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5.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1.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4.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9.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0.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1.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4.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5.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44.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45.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6.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9.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50.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51.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xr:revisionPtr revIDLastSave="0" documentId="13_ncr:1_{531B76D7-67BF-4B4C-8BA3-E37BB3B558A1}" xr6:coauthVersionLast="47" xr6:coauthVersionMax="47" xr10:uidLastSave="{00000000-0000-0000-0000-000000000000}"/>
  <bookViews>
    <workbookView xWindow="1200" yWindow="-120" windowWidth="50520" windowHeight="21840" activeTab="1" xr2:uid="{549C4284-4ACE-4B42-9B9D-D555C28317A8}"/>
  </bookViews>
  <sheets>
    <sheet name="Cockpit" sheetId="45" r:id="rId1"/>
    <sheet name="Referenz Plattenfertiger" sheetId="12" r:id="rId2"/>
    <sheet name="THG Bilanz Jahr W" sheetId="49" r:id="rId3"/>
    <sheet name="THG Bilanz Jahr X " sheetId="46" r:id="rId4"/>
    <sheet name="THG Bilanz Jahr Y" sheetId="47" r:id="rId5"/>
    <sheet name="THG Bilanz Jahr Z" sheetId="48" r:id="rId6"/>
    <sheet name="Vergleich Bilanzjahre" sheetId="50" r:id="rId7"/>
    <sheet name="Eingabe Preise" sheetId="3" r:id="rId8"/>
    <sheet name="Default Preise" sheetId="13" r:id="rId9"/>
    <sheet name="Eingabe EF" sheetId="11" r:id="rId10"/>
    <sheet name="Default EF" sheetId="14" r:id="rId11"/>
    <sheet name="M1 Härtekammern" sheetId="36" r:id="rId12"/>
    <sheet name="M2 Fuhrpark" sheetId="37" r:id="rId13"/>
    <sheet name="M3 Effizienz Stapler" sheetId="38" r:id="rId14"/>
    <sheet name="M4 Grünstrom" sheetId="39" r:id="rId15"/>
    <sheet name="M5 PV-Anlage" sheetId="40" r:id="rId16"/>
    <sheet name="M6 allgemeine Effizienz" sheetId="41" r:id="rId17"/>
    <sheet name="M7 Rezeptur, Einsatzmenge" sheetId="42" r:id="rId18"/>
    <sheet name="M8 Rezeptur, geringerer EF" sheetId="43" r:id="rId19"/>
    <sheet name="M9 Rezeptur, Recycling" sheetId="44" r:id="rId20"/>
    <sheet name="Quellen" sheetId="9" r:id="rId21"/>
    <sheet name="Lizenzbedingungen Ecoinvent" sheetId="32" r:id="rId22"/>
    <sheet name="Impressum" sheetId="6" r:id="rId23"/>
    <sheet name="Drop-Down" sheetId="26" state="hidden" r:id="rId24"/>
  </sheets>
  <definedNames>
    <definedName name="_xlnm.Print_Area" localSheetId="8">'Default Preise'!$A$1:$M$34</definedName>
    <definedName name="_xlnm.Print_Area" localSheetId="9">'Eingabe EF'!$A$1:$BB$69</definedName>
    <definedName name="_xlnm.Print_Area" localSheetId="11">'M1 Härtekammern'!$A$2:$AN$72</definedName>
    <definedName name="_xlnm.Print_Area" localSheetId="12">'M2 Fuhrpark'!$A$1:$AP$75</definedName>
    <definedName name="_xlnm.Print_Area" localSheetId="13">'M3 Effizienz Stapler'!$A$1:$AP$74</definedName>
    <definedName name="_xlnm.Print_Area" localSheetId="14">'M4 Grünstrom'!$A$1:$AO$75</definedName>
    <definedName name="_xlnm.Print_Area" localSheetId="15">'M5 PV-Anlage'!$A$1:$AP$77</definedName>
    <definedName name="_xlnm.Print_Area" localSheetId="16">'M6 allgemeine Effizienz'!$A$1:$AP$75</definedName>
    <definedName name="_xlnm.Print_Area" localSheetId="18">'M8 Rezeptur, geringerer EF'!$A$1:$AP$75</definedName>
    <definedName name="_xlnm.Print_Area" localSheetId="19">'M9 Rezeptur, Recycling'!$A$1:$AR$77</definedName>
    <definedName name="_xlnm.Print_Area" localSheetId="1">'Referenz Plattenfertiger'!$A$1:$AF$84</definedName>
    <definedName name="_xlnm.Print_Area" localSheetId="2">'THG Bilanz Jahr W'!$A$1:$AI$84</definedName>
    <definedName name="_xlnm.Print_Area" localSheetId="3">'THG Bilanz Jahr X '!$A$1:$AI$84</definedName>
    <definedName name="_xlnm.Print_Area" localSheetId="4">'THG Bilanz Jahr Y'!$A$1:$AI$84</definedName>
    <definedName name="_xlnm.Print_Area" localSheetId="5">'THG Bilanz Jahr Z'!$A$1:$AI$84</definedName>
    <definedName name="_xlnm.Print_Area" localSheetId="6">'Vergleich Bilanzjahre'!$B$2:$AH$80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U54" i="12" l="1"/>
  <c r="U55" i="12"/>
  <c r="F18" i="12"/>
  <c r="F24" i="12" s="1"/>
  <c r="F17" i="12"/>
  <c r="F22" i="12" s="1"/>
  <c r="F16" i="12"/>
  <c r="F21" i="12" s="1"/>
  <c r="AN24" i="11" l="1"/>
  <c r="V24" i="11"/>
  <c r="D24" i="11"/>
  <c r="D20" i="42"/>
  <c r="D20" i="44"/>
  <c r="S115" i="44" s="1"/>
  <c r="C20" i="43"/>
  <c r="T200" i="44"/>
  <c r="T201" i="44"/>
  <c r="T115" i="44"/>
  <c r="T116" i="44"/>
  <c r="V169" i="43"/>
  <c r="V170" i="43"/>
  <c r="V175" i="42"/>
  <c r="R208" i="42"/>
  <c r="R207" i="42"/>
  <c r="S207" i="42"/>
  <c r="S208" i="42"/>
  <c r="R119" i="42"/>
  <c r="S118" i="42"/>
  <c r="S119" i="42"/>
  <c r="R118" i="42"/>
  <c r="D26" i="42"/>
  <c r="D27" i="42"/>
  <c r="V176" i="42"/>
  <c r="Y172" i="42"/>
  <c r="Y171" i="42"/>
  <c r="R172" i="42"/>
  <c r="R171" i="42"/>
  <c r="U203" i="37"/>
  <c r="Z246" i="44"/>
  <c r="Z247" i="44"/>
  <c r="Z237" i="44"/>
  <c r="Z238" i="44"/>
  <c r="Z162" i="44"/>
  <c r="Z163" i="44"/>
  <c r="Z153" i="44"/>
  <c r="Z154" i="44"/>
  <c r="S163" i="44"/>
  <c r="S162" i="44"/>
  <c r="Y159" i="43"/>
  <c r="Y160" i="43"/>
  <c r="Y150" i="43"/>
  <c r="Y151" i="43"/>
  <c r="R160" i="43"/>
  <c r="R159" i="43"/>
  <c r="R158" i="43"/>
  <c r="Y241" i="43"/>
  <c r="Y242" i="43"/>
  <c r="Y232" i="43"/>
  <c r="Y233" i="43"/>
  <c r="Y250" i="42"/>
  <c r="Y251" i="42"/>
  <c r="Y241" i="42"/>
  <c r="Y242" i="42"/>
  <c r="Y162" i="42"/>
  <c r="Y163" i="42"/>
  <c r="Y153" i="42"/>
  <c r="Y154" i="42"/>
  <c r="R163" i="42"/>
  <c r="R162" i="42"/>
  <c r="X159" i="41"/>
  <c r="X160" i="41"/>
  <c r="X150" i="41"/>
  <c r="X151" i="41"/>
  <c r="Q160" i="41"/>
  <c r="Q159" i="41"/>
  <c r="X239" i="41"/>
  <c r="X240" i="41"/>
  <c r="X230" i="41"/>
  <c r="X231" i="41"/>
  <c r="X230" i="40"/>
  <c r="X231" i="40"/>
  <c r="X221" i="40"/>
  <c r="X222" i="40"/>
  <c r="X156" i="40"/>
  <c r="X155" i="40"/>
  <c r="X146" i="40"/>
  <c r="X147" i="40"/>
  <c r="Q156" i="40"/>
  <c r="Q155" i="40"/>
  <c r="X233" i="39"/>
  <c r="X234" i="39"/>
  <c r="X224" i="39"/>
  <c r="X225" i="39"/>
  <c r="X156" i="39"/>
  <c r="X157" i="39"/>
  <c r="X147" i="39"/>
  <c r="X148" i="39"/>
  <c r="Q157" i="39"/>
  <c r="Q156" i="39"/>
  <c r="X225" i="38"/>
  <c r="X226" i="38"/>
  <c r="X216" i="38"/>
  <c r="X217" i="38"/>
  <c r="X152" i="38"/>
  <c r="X153" i="38"/>
  <c r="X143" i="38"/>
  <c r="X144" i="38"/>
  <c r="Q153" i="38"/>
  <c r="Q152" i="38"/>
  <c r="X153" i="37"/>
  <c r="X154" i="37"/>
  <c r="X225" i="37"/>
  <c r="X226" i="37"/>
  <c r="X216" i="37"/>
  <c r="X217" i="37"/>
  <c r="Q154" i="37"/>
  <c r="Q153" i="37"/>
  <c r="X144" i="37"/>
  <c r="X145" i="37"/>
  <c r="T239" i="36"/>
  <c r="V260" i="43" s="1"/>
  <c r="T237" i="36"/>
  <c r="U243" i="40" s="1"/>
  <c r="T238" i="36"/>
  <c r="V259" i="43" s="1"/>
  <c r="T229" i="36"/>
  <c r="W251" i="44" s="1"/>
  <c r="T230" i="36"/>
  <c r="U245" i="41" s="1"/>
  <c r="T231" i="36"/>
  <c r="V257" i="42" s="1"/>
  <c r="T228" i="36"/>
  <c r="W250" i="44" s="1"/>
  <c r="T218" i="36"/>
  <c r="U224" i="40" s="1"/>
  <c r="T225" i="36"/>
  <c r="X225" i="36" s="1"/>
  <c r="T224" i="36"/>
  <c r="X224" i="36" s="1"/>
  <c r="T216" i="36"/>
  <c r="X216" i="36" s="1"/>
  <c r="T215" i="36"/>
  <c r="X215" i="36" s="1"/>
  <c r="T214" i="36"/>
  <c r="V231" i="43" s="1"/>
  <c r="T213" i="36"/>
  <c r="V239" i="42" s="1"/>
  <c r="T209" i="36"/>
  <c r="U215" i="40" s="1"/>
  <c r="T137" i="36"/>
  <c r="T222" i="36"/>
  <c r="U228" i="40" s="1"/>
  <c r="T223" i="36"/>
  <c r="W245" i="44" s="1"/>
  <c r="T221" i="36"/>
  <c r="U227" i="40" s="1"/>
  <c r="T212" i="36"/>
  <c r="V238" i="42" s="1"/>
  <c r="T207" i="36"/>
  <c r="W229" i="44" s="1"/>
  <c r="T208" i="36"/>
  <c r="U214" i="40" s="1"/>
  <c r="T206" i="36"/>
  <c r="W228" i="44" s="1"/>
  <c r="W224" i="36"/>
  <c r="W225" i="36"/>
  <c r="W215" i="36"/>
  <c r="W216" i="36"/>
  <c r="P225" i="36"/>
  <c r="Q226" i="38" s="1"/>
  <c r="P224" i="36"/>
  <c r="S246" i="44" s="1"/>
  <c r="T152" i="36"/>
  <c r="W162" i="44" s="1"/>
  <c r="AA162" i="44" s="1"/>
  <c r="T153" i="36"/>
  <c r="W163" i="44" s="1"/>
  <c r="AA163" i="44" s="1"/>
  <c r="T146" i="36"/>
  <c r="V156" i="42" s="1"/>
  <c r="T142" i="36"/>
  <c r="W152" i="44" s="1"/>
  <c r="T143" i="36"/>
  <c r="V150" i="43" s="1"/>
  <c r="Z150" i="43" s="1"/>
  <c r="T144" i="36"/>
  <c r="V151" i="43" s="1"/>
  <c r="Z151" i="43" s="1"/>
  <c r="T141" i="36"/>
  <c r="U144" i="40" s="1"/>
  <c r="U43" i="12"/>
  <c r="U39" i="12"/>
  <c r="T167" i="36"/>
  <c r="V184" i="42" s="1"/>
  <c r="T165" i="36"/>
  <c r="W180" i="44" s="1"/>
  <c r="T166" i="36"/>
  <c r="W181" i="44" s="1"/>
  <c r="T157" i="36"/>
  <c r="V167" i="42" s="1"/>
  <c r="T158" i="36"/>
  <c r="V168" i="42" s="1"/>
  <c r="T159" i="36"/>
  <c r="V166" i="43" s="1"/>
  <c r="T156" i="36"/>
  <c r="U159" i="40" s="1"/>
  <c r="T149" i="36"/>
  <c r="U150" i="37" s="1"/>
  <c r="T151" i="36"/>
  <c r="W161" i="44" s="1"/>
  <c r="T150" i="36"/>
  <c r="W160" i="44" s="1"/>
  <c r="T140" i="36"/>
  <c r="U143" i="40" s="1"/>
  <c r="T135" i="36"/>
  <c r="U142" i="41" s="1"/>
  <c r="T136" i="36"/>
  <c r="T134" i="36"/>
  <c r="U141" i="41" s="1"/>
  <c r="W152" i="36"/>
  <c r="W153" i="36"/>
  <c r="W143" i="36"/>
  <c r="P153" i="36"/>
  <c r="P152" i="36"/>
  <c r="P144" i="36"/>
  <c r="P216" i="36" s="1"/>
  <c r="P143" i="36"/>
  <c r="Q144" i="37" s="1"/>
  <c r="D21" i="44"/>
  <c r="S201" i="44" s="1"/>
  <c r="D24" i="42"/>
  <c r="D25" i="42"/>
  <c r="D23" i="42"/>
  <c r="H34" i="50"/>
  <c r="H35" i="50"/>
  <c r="T45" i="46"/>
  <c r="Z45" i="46"/>
  <c r="T46" i="46"/>
  <c r="Z46" i="46"/>
  <c r="T45" i="47"/>
  <c r="Z45" i="47"/>
  <c r="T46" i="47"/>
  <c r="Z46" i="47"/>
  <c r="T45" i="48"/>
  <c r="Z45" i="48"/>
  <c r="T46" i="48"/>
  <c r="Z46" i="48"/>
  <c r="T45" i="49"/>
  <c r="Z45" i="49"/>
  <c r="T46" i="49"/>
  <c r="Z46" i="49"/>
  <c r="W45" i="12"/>
  <c r="U45" i="12"/>
  <c r="U46" i="12"/>
  <c r="AY30" i="11"/>
  <c r="AY31" i="11"/>
  <c r="AG30" i="11"/>
  <c r="AG31" i="11"/>
  <c r="O30" i="11"/>
  <c r="O31" i="11"/>
  <c r="D31" i="11"/>
  <c r="V31" i="11" s="1"/>
  <c r="D30" i="11"/>
  <c r="AN30" i="11" s="1"/>
  <c r="D29" i="14"/>
  <c r="D28" i="14"/>
  <c r="Q45" i="12"/>
  <c r="B34" i="50" s="1"/>
  <c r="Q46" i="12"/>
  <c r="K35" i="50" s="1"/>
  <c r="H43" i="50"/>
  <c r="H44" i="50"/>
  <c r="Z52" i="49"/>
  <c r="Z53" i="49"/>
  <c r="Z54" i="49"/>
  <c r="Z55" i="49"/>
  <c r="Z52" i="46"/>
  <c r="Z53" i="46"/>
  <c r="Z54" i="46"/>
  <c r="Z55" i="46"/>
  <c r="Z52" i="47"/>
  <c r="Z53" i="47"/>
  <c r="Z54" i="47"/>
  <c r="Z55" i="47"/>
  <c r="Z52" i="48"/>
  <c r="Z53" i="48"/>
  <c r="Z54" i="48"/>
  <c r="Z55" i="48"/>
  <c r="D52" i="49"/>
  <c r="T52" i="49" s="1"/>
  <c r="D53" i="49"/>
  <c r="T53" i="49" s="1"/>
  <c r="D54" i="49"/>
  <c r="T54" i="49" s="1"/>
  <c r="D55" i="49"/>
  <c r="T55" i="49" s="1"/>
  <c r="D52" i="46"/>
  <c r="T52" i="46" s="1"/>
  <c r="D53" i="46"/>
  <c r="T53" i="46" s="1"/>
  <c r="D54" i="46"/>
  <c r="T54" i="46" s="1"/>
  <c r="D55" i="46"/>
  <c r="T55" i="46" s="1"/>
  <c r="D52" i="47"/>
  <c r="T52" i="47" s="1"/>
  <c r="D53" i="47"/>
  <c r="T53" i="47" s="1"/>
  <c r="D54" i="47"/>
  <c r="T54" i="47" s="1"/>
  <c r="D55" i="47"/>
  <c r="T55" i="47" s="1"/>
  <c r="D52" i="48"/>
  <c r="T52" i="48" s="1"/>
  <c r="D53" i="48"/>
  <c r="T53" i="48" s="1"/>
  <c r="D54" i="48"/>
  <c r="T54" i="48" s="1"/>
  <c r="D55" i="48"/>
  <c r="T55" i="48" s="1"/>
  <c r="D51" i="46"/>
  <c r="D51" i="47"/>
  <c r="D51" i="48"/>
  <c r="D51" i="49"/>
  <c r="V50" i="12"/>
  <c r="U207" i="37" l="1"/>
  <c r="U215" i="39"/>
  <c r="W264" i="44"/>
  <c r="U244" i="40"/>
  <c r="U166" i="37"/>
  <c r="U221" i="41"/>
  <c r="W230" i="44"/>
  <c r="U232" i="37"/>
  <c r="U246" i="41"/>
  <c r="U238" i="38"/>
  <c r="U239" i="38"/>
  <c r="U240" i="39"/>
  <c r="U229" i="40"/>
  <c r="U140" i="39"/>
  <c r="U157" i="38"/>
  <c r="U143" i="41"/>
  <c r="W182" i="44"/>
  <c r="U138" i="37"/>
  <c r="U217" i="37"/>
  <c r="Y217" i="37" s="1"/>
  <c r="U153" i="39"/>
  <c r="U156" i="41"/>
  <c r="V247" i="43"/>
  <c r="W252" i="44"/>
  <c r="V169" i="42"/>
  <c r="U240" i="37"/>
  <c r="U225" i="39"/>
  <c r="Y225" i="39" s="1"/>
  <c r="U231" i="41"/>
  <c r="Y231" i="41" s="1"/>
  <c r="U151" i="37"/>
  <c r="U224" i="38"/>
  <c r="U160" i="40"/>
  <c r="V240" i="42"/>
  <c r="S247" i="44"/>
  <c r="V166" i="42"/>
  <c r="V153" i="43"/>
  <c r="V232" i="43"/>
  <c r="Z232" i="43" s="1"/>
  <c r="W144" i="44"/>
  <c r="W153" i="44"/>
  <c r="Q233" i="39"/>
  <c r="R250" i="42"/>
  <c r="R241" i="43"/>
  <c r="U141" i="37"/>
  <c r="U152" i="37"/>
  <c r="U167" i="37"/>
  <c r="U208" i="37"/>
  <c r="U219" i="37"/>
  <c r="U143" i="38"/>
  <c r="Y143" i="38" s="1"/>
  <c r="U158" i="38"/>
  <c r="U214" i="38"/>
  <c r="U229" i="38"/>
  <c r="U240" i="38"/>
  <c r="U141" i="39"/>
  <c r="U154" i="39"/>
  <c r="U169" i="39"/>
  <c r="U216" i="39"/>
  <c r="U227" i="39"/>
  <c r="U146" i="40"/>
  <c r="Y146" i="40" s="1"/>
  <c r="U161" i="40"/>
  <c r="U219" i="40"/>
  <c r="U234" i="40"/>
  <c r="U245" i="40"/>
  <c r="U144" i="41"/>
  <c r="U157" i="41"/>
  <c r="U172" i="41"/>
  <c r="U222" i="41"/>
  <c r="U233" i="41"/>
  <c r="V241" i="42"/>
  <c r="Z241" i="42" s="1"/>
  <c r="V147" i="43"/>
  <c r="V156" i="43"/>
  <c r="V233" i="43"/>
  <c r="Z233" i="43" s="1"/>
  <c r="V248" i="43"/>
  <c r="W145" i="44"/>
  <c r="W167" i="44"/>
  <c r="W154" i="44"/>
  <c r="W265" i="44"/>
  <c r="W231" i="44"/>
  <c r="W253" i="44"/>
  <c r="Q234" i="39"/>
  <c r="Q230" i="40"/>
  <c r="Q239" i="41"/>
  <c r="R251" i="42"/>
  <c r="R242" i="43"/>
  <c r="U142" i="37"/>
  <c r="U157" i="37"/>
  <c r="U168" i="37"/>
  <c r="U209" i="37"/>
  <c r="U222" i="37"/>
  <c r="U134" i="38"/>
  <c r="U144" i="38"/>
  <c r="Y144" i="38" s="1"/>
  <c r="U159" i="38"/>
  <c r="U215" i="38"/>
  <c r="U230" i="38"/>
  <c r="U144" i="39"/>
  <c r="U155" i="39"/>
  <c r="U170" i="39"/>
  <c r="U217" i="39"/>
  <c r="U230" i="39"/>
  <c r="U137" i="40"/>
  <c r="U147" i="40"/>
  <c r="Y147" i="40" s="1"/>
  <c r="U162" i="40"/>
  <c r="U220" i="40"/>
  <c r="U235" i="40"/>
  <c r="U147" i="41"/>
  <c r="U158" i="41"/>
  <c r="U173" i="41"/>
  <c r="U223" i="41"/>
  <c r="U236" i="41"/>
  <c r="V150" i="42"/>
  <c r="V242" i="42"/>
  <c r="Z242" i="42" s="1"/>
  <c r="V267" i="42"/>
  <c r="V157" i="43"/>
  <c r="V176" i="43"/>
  <c r="V235" i="43"/>
  <c r="W146" i="44"/>
  <c r="W168" i="44"/>
  <c r="W266" i="44"/>
  <c r="W240" i="44"/>
  <c r="U142" i="38"/>
  <c r="U145" i="40"/>
  <c r="W166" i="44"/>
  <c r="Q225" i="37"/>
  <c r="Q231" i="40"/>
  <c r="Q240" i="41"/>
  <c r="U143" i="37"/>
  <c r="U158" i="37"/>
  <c r="U210" i="37"/>
  <c r="U223" i="37"/>
  <c r="U238" i="37"/>
  <c r="U135" i="38"/>
  <c r="U146" i="38"/>
  <c r="U216" i="38"/>
  <c r="Y216" i="38" s="1"/>
  <c r="U231" i="38"/>
  <c r="U145" i="39"/>
  <c r="U160" i="39"/>
  <c r="U171" i="39"/>
  <c r="U218" i="39"/>
  <c r="U231" i="39"/>
  <c r="U246" i="39"/>
  <c r="U138" i="40"/>
  <c r="U149" i="40"/>
  <c r="U221" i="40"/>
  <c r="Y221" i="40" s="1"/>
  <c r="U236" i="40"/>
  <c r="U148" i="41"/>
  <c r="U163" i="41"/>
  <c r="U174" i="41"/>
  <c r="U224" i="41"/>
  <c r="U237" i="41"/>
  <c r="U252" i="41"/>
  <c r="V151" i="42"/>
  <c r="V244" i="42"/>
  <c r="V268" i="42"/>
  <c r="V158" i="43"/>
  <c r="V177" i="43"/>
  <c r="V238" i="43"/>
  <c r="W147" i="44"/>
  <c r="W169" i="44"/>
  <c r="W243" i="44"/>
  <c r="T227" i="36"/>
  <c r="Q226" i="37"/>
  <c r="U144" i="37"/>
  <c r="U159" i="37"/>
  <c r="U213" i="37"/>
  <c r="U224" i="37"/>
  <c r="U239" i="37"/>
  <c r="U136" i="38"/>
  <c r="U149" i="38"/>
  <c r="U207" i="38"/>
  <c r="U217" i="38"/>
  <c r="Y217" i="38" s="1"/>
  <c r="U232" i="38"/>
  <c r="U146" i="39"/>
  <c r="U161" i="39"/>
  <c r="U221" i="39"/>
  <c r="U232" i="39"/>
  <c r="U247" i="39"/>
  <c r="U139" i="40"/>
  <c r="U152" i="40"/>
  <c r="U212" i="40"/>
  <c r="U222" i="40"/>
  <c r="Y222" i="40" s="1"/>
  <c r="U237" i="40"/>
  <c r="U149" i="41"/>
  <c r="U164" i="41"/>
  <c r="U227" i="41"/>
  <c r="U238" i="41"/>
  <c r="U253" i="41"/>
  <c r="V152" i="42"/>
  <c r="V254" i="42"/>
  <c r="V269" i="42"/>
  <c r="V148" i="43"/>
  <c r="V163" i="43"/>
  <c r="V178" i="43"/>
  <c r="V239" i="43"/>
  <c r="V258" i="43"/>
  <c r="W156" i="44"/>
  <c r="W237" i="44"/>
  <c r="W244" i="44"/>
  <c r="T211" i="36"/>
  <c r="U135" i="37"/>
  <c r="U145" i="37"/>
  <c r="Y145" i="37" s="1"/>
  <c r="U160" i="37"/>
  <c r="U214" i="37"/>
  <c r="U229" i="37"/>
  <c r="U137" i="38"/>
  <c r="U150" i="38"/>
  <c r="U165" i="38"/>
  <c r="U208" i="38"/>
  <c r="U219" i="38"/>
  <c r="U147" i="39"/>
  <c r="Y147" i="39" s="1"/>
  <c r="U162" i="39"/>
  <c r="U222" i="39"/>
  <c r="U237" i="39"/>
  <c r="U248" i="39"/>
  <c r="U140" i="40"/>
  <c r="U153" i="40"/>
  <c r="U168" i="40"/>
  <c r="U213" i="40"/>
  <c r="U150" i="41"/>
  <c r="Y150" i="41" s="1"/>
  <c r="U165" i="41"/>
  <c r="U228" i="41"/>
  <c r="U243" i="41"/>
  <c r="U254" i="41"/>
  <c r="V153" i="42"/>
  <c r="Z153" i="42" s="1"/>
  <c r="V182" i="42"/>
  <c r="V255" i="42"/>
  <c r="V149" i="43"/>
  <c r="V164" i="43"/>
  <c r="V229" i="43"/>
  <c r="V240" i="43"/>
  <c r="W159" i="44"/>
  <c r="W238" i="44"/>
  <c r="U213" i="38"/>
  <c r="U218" i="40"/>
  <c r="Q225" i="38"/>
  <c r="U136" i="37"/>
  <c r="U147" i="37"/>
  <c r="U215" i="37"/>
  <c r="U230" i="37"/>
  <c r="U140" i="38"/>
  <c r="U151" i="38"/>
  <c r="U166" i="38"/>
  <c r="U209" i="38"/>
  <c r="U222" i="38"/>
  <c r="U138" i="39"/>
  <c r="U148" i="39"/>
  <c r="Y148" i="39" s="1"/>
  <c r="U163" i="39"/>
  <c r="U223" i="39"/>
  <c r="U238" i="39"/>
  <c r="U154" i="40"/>
  <c r="U169" i="40"/>
  <c r="U151" i="41"/>
  <c r="Y151" i="41" s="1"/>
  <c r="U166" i="41"/>
  <c r="U229" i="41"/>
  <c r="U244" i="41"/>
  <c r="V154" i="42"/>
  <c r="Z154" i="42" s="1"/>
  <c r="V183" i="42"/>
  <c r="V256" i="42"/>
  <c r="V165" i="43"/>
  <c r="V230" i="43"/>
  <c r="V245" i="43"/>
  <c r="W151" i="44"/>
  <c r="U137" i="37"/>
  <c r="U216" i="37"/>
  <c r="Y216" i="37" s="1"/>
  <c r="U231" i="37"/>
  <c r="U141" i="38"/>
  <c r="U156" i="38"/>
  <c r="U167" i="38"/>
  <c r="U210" i="38"/>
  <c r="U223" i="38"/>
  <c r="U139" i="39"/>
  <c r="U150" i="39"/>
  <c r="U224" i="39"/>
  <c r="Y224" i="39" s="1"/>
  <c r="U239" i="39"/>
  <c r="U170" i="40"/>
  <c r="U153" i="41"/>
  <c r="U230" i="41"/>
  <c r="Y230" i="41" s="1"/>
  <c r="V246" i="43"/>
  <c r="U240" i="41"/>
  <c r="Y240" i="41" s="1"/>
  <c r="V242" i="43"/>
  <c r="Z242" i="43" s="1"/>
  <c r="U231" i="40"/>
  <c r="Y231" i="40" s="1"/>
  <c r="W247" i="44"/>
  <c r="AA247" i="44" s="1"/>
  <c r="U153" i="37"/>
  <c r="Y153" i="37" s="1"/>
  <c r="V159" i="43"/>
  <c r="Z159" i="43" s="1"/>
  <c r="U156" i="39"/>
  <c r="Y156" i="39" s="1"/>
  <c r="V241" i="43"/>
  <c r="Z241" i="43" s="1"/>
  <c r="T220" i="36"/>
  <c r="U152" i="38"/>
  <c r="Y152" i="38" s="1"/>
  <c r="V162" i="42"/>
  <c r="Z162" i="42" s="1"/>
  <c r="U154" i="37"/>
  <c r="Y154" i="37" s="1"/>
  <c r="U153" i="38"/>
  <c r="Y153" i="38" s="1"/>
  <c r="U157" i="39"/>
  <c r="Y157" i="39" s="1"/>
  <c r="U155" i="40"/>
  <c r="Y155" i="40" s="1"/>
  <c r="U159" i="41"/>
  <c r="Y159" i="41" s="1"/>
  <c r="V163" i="42"/>
  <c r="Z163" i="42" s="1"/>
  <c r="U156" i="40"/>
  <c r="Y156" i="40" s="1"/>
  <c r="U160" i="41"/>
  <c r="Y160" i="41" s="1"/>
  <c r="V160" i="43"/>
  <c r="Z160" i="43" s="1"/>
  <c r="W246" i="44"/>
  <c r="AA246" i="44" s="1"/>
  <c r="U225" i="37"/>
  <c r="Y225" i="37" s="1"/>
  <c r="U225" i="38"/>
  <c r="U233" i="39"/>
  <c r="Y233" i="39" s="1"/>
  <c r="V250" i="42"/>
  <c r="Z250" i="42" s="1"/>
  <c r="U226" i="37"/>
  <c r="Y226" i="37" s="1"/>
  <c r="U226" i="38"/>
  <c r="Y226" i="38" s="1"/>
  <c r="U234" i="39"/>
  <c r="Y234" i="39" s="1"/>
  <c r="U230" i="40"/>
  <c r="U239" i="41"/>
  <c r="Y239" i="41" s="1"/>
  <c r="V251" i="42"/>
  <c r="Z251" i="42" s="1"/>
  <c r="S200" i="44"/>
  <c r="V30" i="11"/>
  <c r="AN31" i="11"/>
  <c r="S238" i="44"/>
  <c r="Q222" i="40"/>
  <c r="R242" i="42"/>
  <c r="Q217" i="37"/>
  <c r="Q217" i="38"/>
  <c r="R233" i="43"/>
  <c r="Q231" i="41"/>
  <c r="Q225" i="39"/>
  <c r="B35" i="50"/>
  <c r="Q148" i="39"/>
  <c r="R151" i="43"/>
  <c r="R154" i="42"/>
  <c r="Q145" i="37"/>
  <c r="Q144" i="38"/>
  <c r="Q147" i="40"/>
  <c r="Q151" i="41"/>
  <c r="S154" i="44"/>
  <c r="Q147" i="39"/>
  <c r="K34" i="50"/>
  <c r="Q143" i="38"/>
  <c r="P215" i="36"/>
  <c r="R150" i="43"/>
  <c r="Q150" i="41"/>
  <c r="Q146" i="40"/>
  <c r="S153" i="44"/>
  <c r="R153" i="42"/>
  <c r="T148" i="36"/>
  <c r="W144" i="36"/>
  <c r="X143" i="36"/>
  <c r="X153" i="36"/>
  <c r="T139" i="36"/>
  <c r="X152" i="36"/>
  <c r="X144" i="36"/>
  <c r="W46" i="12"/>
  <c r="X45" i="12"/>
  <c r="Q34" i="50" s="1"/>
  <c r="X46" i="12"/>
  <c r="Q35" i="50" s="1"/>
  <c r="U217" i="40" l="1"/>
  <c r="U212" i="38"/>
  <c r="U149" i="37"/>
  <c r="V228" i="43"/>
  <c r="U142" i="40"/>
  <c r="V149" i="42"/>
  <c r="U220" i="39"/>
  <c r="U139" i="38"/>
  <c r="U226" i="41"/>
  <c r="V146" i="43"/>
  <c r="U212" i="37"/>
  <c r="U146" i="41"/>
  <c r="U140" i="37"/>
  <c r="Y144" i="37"/>
  <c r="V237" i="43"/>
  <c r="U148" i="38"/>
  <c r="V155" i="43"/>
  <c r="U151" i="40"/>
  <c r="U152" i="39"/>
  <c r="U155" i="41"/>
  <c r="U229" i="39"/>
  <c r="U221" i="37"/>
  <c r="U235" i="41"/>
  <c r="Y230" i="40"/>
  <c r="U226" i="40"/>
  <c r="Y225" i="38"/>
  <c r="U221" i="38"/>
  <c r="Q216" i="38"/>
  <c r="Q230" i="41"/>
  <c r="R241" i="42"/>
  <c r="Q216" i="37"/>
  <c r="Q221" i="40"/>
  <c r="Q224" i="39"/>
  <c r="S237" i="44"/>
  <c r="R232" i="43"/>
  <c r="W55" i="12"/>
  <c r="AY39" i="11"/>
  <c r="AY40" i="11"/>
  <c r="AG39" i="11"/>
  <c r="AG40" i="11"/>
  <c r="O40" i="11"/>
  <c r="O39" i="11"/>
  <c r="AN36" i="11"/>
  <c r="D36" i="11"/>
  <c r="V36" i="11" s="1"/>
  <c r="D37" i="11"/>
  <c r="AN37" i="11" s="1"/>
  <c r="D38" i="11"/>
  <c r="AN38" i="11" s="1"/>
  <c r="D40" i="11"/>
  <c r="V40" i="11" s="1"/>
  <c r="D39" i="11"/>
  <c r="AN39" i="11" s="1"/>
  <c r="D38" i="14"/>
  <c r="D37" i="14"/>
  <c r="Q55" i="12"/>
  <c r="Q54" i="12"/>
  <c r="I78" i="12"/>
  <c r="B126" i="44"/>
  <c r="B81" i="44"/>
  <c r="B120" i="43"/>
  <c r="B79" i="42"/>
  <c r="B78" i="42"/>
  <c r="V39" i="11" l="1"/>
  <c r="X54" i="12"/>
  <c r="Q43" i="50" s="1"/>
  <c r="V38" i="11"/>
  <c r="V37" i="11"/>
  <c r="AN40" i="11"/>
  <c r="B43" i="50"/>
  <c r="K43" i="50"/>
  <c r="W54" i="12"/>
  <c r="B44" i="50"/>
  <c r="K44" i="50"/>
  <c r="X55" i="12"/>
  <c r="Q44" i="50" s="1"/>
  <c r="D93" i="49"/>
  <c r="D92" i="49"/>
  <c r="D90" i="49"/>
  <c r="D94" i="49"/>
  <c r="D87" i="49"/>
  <c r="D85" i="49"/>
  <c r="D92" i="12"/>
  <c r="D90" i="12"/>
  <c r="I86" i="12"/>
  <c r="D86" i="12"/>
  <c r="D85" i="48"/>
  <c r="D85" i="47"/>
  <c r="D85" i="46"/>
  <c r="D85" i="12"/>
  <c r="D87" i="48"/>
  <c r="D87" i="47"/>
  <c r="D87" i="46"/>
  <c r="D87" i="12"/>
  <c r="D88" i="48"/>
  <c r="D88" i="47"/>
  <c r="D88" i="46"/>
  <c r="D88" i="49"/>
  <c r="D88" i="12"/>
  <c r="D89" i="48"/>
  <c r="D89" i="47"/>
  <c r="D89" i="46"/>
  <c r="D89" i="49"/>
  <c r="D89" i="12"/>
  <c r="D90" i="48"/>
  <c r="D90" i="47"/>
  <c r="D90" i="46"/>
  <c r="D94" i="48"/>
  <c r="D94" i="47"/>
  <c r="D94" i="46"/>
  <c r="D94" i="12"/>
  <c r="D86" i="49"/>
  <c r="D86" i="46"/>
  <c r="D86" i="47"/>
  <c r="D86" i="48"/>
  <c r="B83" i="12"/>
  <c r="B83" i="49"/>
  <c r="B83" i="46"/>
  <c r="B83" i="47"/>
  <c r="B83" i="48"/>
  <c r="B79" i="36"/>
  <c r="B79" i="38"/>
  <c r="B79" i="39"/>
  <c r="B79" i="40"/>
  <c r="B79" i="41"/>
  <c r="B79" i="43"/>
  <c r="B79" i="37"/>
  <c r="S101" i="50"/>
  <c r="Q97" i="38"/>
  <c r="Q97" i="39"/>
  <c r="Q97" i="40"/>
  <c r="Q97" i="41"/>
  <c r="Q97" i="42"/>
  <c r="Q97" i="43"/>
  <c r="Q99" i="44"/>
  <c r="Q97" i="37"/>
  <c r="B116" i="36"/>
  <c r="B116" i="39"/>
  <c r="B116" i="40"/>
  <c r="B116" i="41"/>
  <c r="B116" i="42"/>
  <c r="B116" i="43"/>
  <c r="B118" i="44"/>
  <c r="B116" i="38"/>
  <c r="AB108" i="43"/>
  <c r="AK41" i="12"/>
  <c r="AK41" i="49"/>
  <c r="AK41" i="46"/>
  <c r="AK41" i="47"/>
  <c r="AK41" i="48"/>
  <c r="AJ41" i="12"/>
  <c r="AJ41" i="49"/>
  <c r="AJ41" i="46"/>
  <c r="AJ41" i="47"/>
  <c r="AJ41" i="48"/>
  <c r="AI41" i="12"/>
  <c r="B107" i="36"/>
  <c r="B107" i="38"/>
  <c r="B107" i="39"/>
  <c r="B107" i="41"/>
  <c r="B107" i="42"/>
  <c r="B107" i="43"/>
  <c r="B109" i="44"/>
  <c r="B107" i="40"/>
  <c r="B113" i="36"/>
  <c r="B113" i="38"/>
  <c r="B113" i="39"/>
  <c r="B113" i="40"/>
  <c r="B113" i="42"/>
  <c r="B113" i="43"/>
  <c r="B115" i="44"/>
  <c r="B113" i="41"/>
  <c r="B78" i="37"/>
  <c r="B78" i="38"/>
  <c r="B78" i="39"/>
  <c r="B78" i="41"/>
  <c r="B78" i="43"/>
  <c r="B80" i="44"/>
  <c r="B120" i="38"/>
  <c r="B120" i="39"/>
  <c r="B120" i="40"/>
  <c r="B120" i="41"/>
  <c r="B120" i="42"/>
  <c r="B122" i="44"/>
  <c r="B124" i="36"/>
  <c r="B124" i="38"/>
  <c r="B124" i="39"/>
  <c r="B124" i="40"/>
  <c r="B124" i="41"/>
  <c r="B124" i="42"/>
  <c r="B124" i="43"/>
  <c r="C80" i="50"/>
  <c r="B76" i="37"/>
  <c r="B76" i="38"/>
  <c r="B76" i="39"/>
  <c r="B76" i="40"/>
  <c r="B76" i="41"/>
  <c r="B76" i="42"/>
  <c r="B76" i="43"/>
  <c r="B78" i="44"/>
  <c r="B76" i="36"/>
  <c r="D90" i="43"/>
  <c r="D93" i="46"/>
  <c r="D93" i="47"/>
  <c r="D93" i="48"/>
  <c r="D89" i="43"/>
  <c r="D93" i="12"/>
  <c r="D92" i="46"/>
  <c r="D92" i="47"/>
  <c r="D92" i="48"/>
  <c r="D91" i="49"/>
  <c r="D91" i="46"/>
  <c r="D91" i="47"/>
  <c r="D91" i="48"/>
  <c r="D91" i="12"/>
  <c r="H65" i="50" l="1"/>
  <c r="H63" i="50"/>
  <c r="H62" i="50"/>
  <c r="H61" i="50"/>
  <c r="H58" i="50"/>
  <c r="H57" i="50"/>
  <c r="H56" i="50"/>
  <c r="H53" i="50"/>
  <c r="H52" i="50"/>
  <c r="H42" i="50"/>
  <c r="H41" i="50"/>
  <c r="H40" i="50"/>
  <c r="H37" i="50"/>
  <c r="H33" i="50"/>
  <c r="H32" i="50"/>
  <c r="H31" i="50"/>
  <c r="H28" i="50"/>
  <c r="H27" i="50"/>
  <c r="H26" i="50"/>
  <c r="H25" i="50"/>
  <c r="H22" i="50"/>
  <c r="H21" i="50"/>
  <c r="H18" i="50"/>
  <c r="H17" i="50"/>
  <c r="H15" i="50"/>
  <c r="H14" i="50"/>
  <c r="H8" i="50"/>
  <c r="M2" i="50"/>
  <c r="D2" i="50"/>
  <c r="U63" i="12"/>
  <c r="H2" i="50"/>
  <c r="G2" i="50"/>
  <c r="F2" i="50"/>
  <c r="E2" i="50"/>
  <c r="U69" i="12"/>
  <c r="U67" i="12"/>
  <c r="H85" i="50" l="1"/>
  <c r="B52" i="50"/>
  <c r="B53" i="50"/>
  <c r="B46" i="50"/>
  <c r="B24" i="50"/>
  <c r="B20" i="50"/>
  <c r="K67" i="50"/>
  <c r="K53" i="50"/>
  <c r="K52" i="50"/>
  <c r="K46" i="50"/>
  <c r="K24" i="50"/>
  <c r="K20" i="50"/>
  <c r="Q2" i="50"/>
  <c r="P2" i="50"/>
  <c r="O2" i="50"/>
  <c r="N2" i="50"/>
  <c r="I78" i="49"/>
  <c r="Z76" i="49"/>
  <c r="T76" i="49"/>
  <c r="F76" i="49"/>
  <c r="Z74" i="49"/>
  <c r="T74" i="49"/>
  <c r="F74" i="49"/>
  <c r="D63" i="50" s="1"/>
  <c r="Z73" i="49"/>
  <c r="T73" i="49"/>
  <c r="F73" i="49"/>
  <c r="D62" i="50" s="1"/>
  <c r="Z72" i="49"/>
  <c r="T72" i="49"/>
  <c r="F72" i="49"/>
  <c r="D61" i="50" s="1"/>
  <c r="Z71" i="49"/>
  <c r="T71" i="49"/>
  <c r="Z69" i="49"/>
  <c r="T69" i="49"/>
  <c r="F69" i="49"/>
  <c r="Z68" i="49"/>
  <c r="T68" i="49"/>
  <c r="F68" i="49"/>
  <c r="Z67" i="49"/>
  <c r="T67" i="49"/>
  <c r="F67" i="49"/>
  <c r="Z66" i="49"/>
  <c r="T66" i="49"/>
  <c r="Z64" i="49"/>
  <c r="F64" i="49"/>
  <c r="Z63" i="49"/>
  <c r="F63" i="49"/>
  <c r="Z61" i="49"/>
  <c r="T61" i="49"/>
  <c r="F61" i="49"/>
  <c r="Z60" i="49"/>
  <c r="T60" i="49"/>
  <c r="F60" i="49"/>
  <c r="Z59" i="49"/>
  <c r="T59" i="49"/>
  <c r="F59" i="49"/>
  <c r="Z58" i="49"/>
  <c r="T58" i="49"/>
  <c r="F58" i="49"/>
  <c r="Z57" i="49"/>
  <c r="F57" i="49"/>
  <c r="F53" i="49"/>
  <c r="F52" i="49"/>
  <c r="Z51" i="49"/>
  <c r="T51" i="49"/>
  <c r="F51" i="49"/>
  <c r="Z50" i="49"/>
  <c r="T50" i="49"/>
  <c r="Z48" i="49"/>
  <c r="T48" i="49"/>
  <c r="F48" i="49"/>
  <c r="Z44" i="49"/>
  <c r="T44" i="49"/>
  <c r="F44" i="49"/>
  <c r="Z43" i="49"/>
  <c r="T43" i="49"/>
  <c r="F43" i="49"/>
  <c r="Z42" i="49"/>
  <c r="T42" i="49"/>
  <c r="F42" i="49"/>
  <c r="Z41" i="49"/>
  <c r="T41" i="49"/>
  <c r="Z39" i="49"/>
  <c r="T39" i="49"/>
  <c r="F39" i="49"/>
  <c r="Z38" i="49"/>
  <c r="T38" i="49"/>
  <c r="F38" i="49"/>
  <c r="Z37" i="49"/>
  <c r="T37" i="49"/>
  <c r="F37" i="49"/>
  <c r="Z36" i="49"/>
  <c r="T36" i="49"/>
  <c r="F36" i="49"/>
  <c r="Z35" i="49"/>
  <c r="Z33" i="49"/>
  <c r="T33" i="49"/>
  <c r="F33" i="49"/>
  <c r="D22" i="50" s="1"/>
  <c r="Z32" i="49"/>
  <c r="T32" i="49"/>
  <c r="F32" i="49"/>
  <c r="Z31" i="49"/>
  <c r="T29" i="49"/>
  <c r="F29" i="49"/>
  <c r="T28" i="49"/>
  <c r="F28" i="49"/>
  <c r="T26" i="49"/>
  <c r="F26" i="49"/>
  <c r="T25" i="49"/>
  <c r="F25" i="49"/>
  <c r="T24" i="49"/>
  <c r="T22" i="49"/>
  <c r="AG21" i="49"/>
  <c r="T21" i="49"/>
  <c r="AG20" i="49"/>
  <c r="T19" i="49"/>
  <c r="F19" i="49"/>
  <c r="D8" i="50" s="1"/>
  <c r="T18" i="49"/>
  <c r="T17" i="49"/>
  <c r="T16" i="49"/>
  <c r="F12" i="49"/>
  <c r="AF11" i="49"/>
  <c r="T11" i="49"/>
  <c r="G10" i="49"/>
  <c r="I78" i="48"/>
  <c r="Z76" i="48"/>
  <c r="T76" i="48"/>
  <c r="F76" i="48"/>
  <c r="G65" i="50" s="1"/>
  <c r="Z74" i="48"/>
  <c r="T74" i="48"/>
  <c r="F74" i="48"/>
  <c r="G63" i="50" s="1"/>
  <c r="Z73" i="48"/>
  <c r="T73" i="48"/>
  <c r="F73" i="48"/>
  <c r="Z72" i="48"/>
  <c r="T72" i="48"/>
  <c r="F72" i="48"/>
  <c r="Z71" i="48"/>
  <c r="T71" i="48"/>
  <c r="Z69" i="48"/>
  <c r="T69" i="48"/>
  <c r="F69" i="48"/>
  <c r="Z68" i="48"/>
  <c r="T68" i="48"/>
  <c r="F68" i="48"/>
  <c r="Z67" i="48"/>
  <c r="T67" i="48"/>
  <c r="F67" i="48"/>
  <c r="Z66" i="48"/>
  <c r="T66" i="48"/>
  <c r="Z64" i="48"/>
  <c r="F64" i="48"/>
  <c r="Z63" i="48"/>
  <c r="F63" i="48"/>
  <c r="Z61" i="48"/>
  <c r="T61" i="48"/>
  <c r="F61" i="48"/>
  <c r="Z60" i="48"/>
  <c r="T60" i="48"/>
  <c r="F60" i="48"/>
  <c r="Z59" i="48"/>
  <c r="T59" i="48"/>
  <c r="F59" i="48"/>
  <c r="Z58" i="48"/>
  <c r="T58" i="48"/>
  <c r="F58" i="48"/>
  <c r="Z57" i="48"/>
  <c r="F57" i="48"/>
  <c r="F53" i="48"/>
  <c r="F52" i="48"/>
  <c r="Z51" i="48"/>
  <c r="T51" i="48"/>
  <c r="F51" i="48"/>
  <c r="Z50" i="48"/>
  <c r="T50" i="48"/>
  <c r="Z48" i="48"/>
  <c r="T48" i="48"/>
  <c r="F48" i="48"/>
  <c r="Z44" i="48"/>
  <c r="T44" i="48"/>
  <c r="F44" i="48"/>
  <c r="Z43" i="48"/>
  <c r="T43" i="48"/>
  <c r="F43" i="48"/>
  <c r="Z42" i="48"/>
  <c r="T42" i="48"/>
  <c r="F42" i="48"/>
  <c r="Z41" i="48"/>
  <c r="T41" i="48"/>
  <c r="Z39" i="48"/>
  <c r="T39" i="48"/>
  <c r="F39" i="48"/>
  <c r="Z38" i="48"/>
  <c r="T38" i="48"/>
  <c r="F38" i="48"/>
  <c r="Z37" i="48"/>
  <c r="T37" i="48"/>
  <c r="F37" i="48"/>
  <c r="Z36" i="48"/>
  <c r="T36" i="48"/>
  <c r="F36" i="48"/>
  <c r="Z35" i="48"/>
  <c r="Z33" i="48"/>
  <c r="T33" i="48"/>
  <c r="F33" i="48"/>
  <c r="G22" i="50" s="1"/>
  <c r="Z32" i="48"/>
  <c r="T32" i="48"/>
  <c r="F32" i="48"/>
  <c r="Z31" i="48"/>
  <c r="T29" i="48"/>
  <c r="F29" i="48"/>
  <c r="T28" i="48"/>
  <c r="F28" i="48"/>
  <c r="T26" i="48"/>
  <c r="F26" i="48"/>
  <c r="T25" i="48"/>
  <c r="F25" i="48"/>
  <c r="T24" i="48"/>
  <c r="T22" i="48"/>
  <c r="AG21" i="48"/>
  <c r="T21" i="48"/>
  <c r="AG20" i="48"/>
  <c r="T19" i="48"/>
  <c r="F19" i="48"/>
  <c r="G8" i="50" s="1"/>
  <c r="T18" i="48"/>
  <c r="T17" i="48"/>
  <c r="T16" i="48"/>
  <c r="F12" i="48"/>
  <c r="AF11" i="48"/>
  <c r="T11" i="48"/>
  <c r="G10" i="48"/>
  <c r="I78" i="47"/>
  <c r="Z76" i="47"/>
  <c r="T76" i="47"/>
  <c r="F76" i="47"/>
  <c r="F65" i="50" s="1"/>
  <c r="Z74" i="47"/>
  <c r="T74" i="47"/>
  <c r="F74" i="47"/>
  <c r="F63" i="50" s="1"/>
  <c r="Z73" i="47"/>
  <c r="T73" i="47"/>
  <c r="F73" i="47"/>
  <c r="Z72" i="47"/>
  <c r="T72" i="47"/>
  <c r="F72" i="47"/>
  <c r="Z71" i="47"/>
  <c r="T71" i="47"/>
  <c r="Z69" i="47"/>
  <c r="T69" i="47"/>
  <c r="F69" i="47"/>
  <c r="Z68" i="47"/>
  <c r="T68" i="47"/>
  <c r="F68" i="47"/>
  <c r="Z67" i="47"/>
  <c r="T67" i="47"/>
  <c r="F67" i="47"/>
  <c r="Z66" i="47"/>
  <c r="T66" i="47"/>
  <c r="Z64" i="47"/>
  <c r="F64" i="47"/>
  <c r="Z63" i="47"/>
  <c r="F63" i="47"/>
  <c r="Z61" i="47"/>
  <c r="T61" i="47"/>
  <c r="F61" i="47"/>
  <c r="Z60" i="47"/>
  <c r="T60" i="47"/>
  <c r="F60" i="47"/>
  <c r="Z59" i="47"/>
  <c r="T59" i="47"/>
  <c r="F59" i="47"/>
  <c r="Z58" i="47"/>
  <c r="T58" i="47"/>
  <c r="F58" i="47"/>
  <c r="Z57" i="47"/>
  <c r="F57" i="47"/>
  <c r="F53" i="47"/>
  <c r="F52" i="47"/>
  <c r="Z51" i="47"/>
  <c r="T51" i="47"/>
  <c r="F51" i="47"/>
  <c r="Z50" i="47"/>
  <c r="T50" i="47"/>
  <c r="Z48" i="47"/>
  <c r="T48" i="47"/>
  <c r="F48" i="47"/>
  <c r="Z44" i="47"/>
  <c r="T44" i="47"/>
  <c r="F44" i="47"/>
  <c r="Z43" i="47"/>
  <c r="T43" i="47"/>
  <c r="F43" i="47"/>
  <c r="Z42" i="47"/>
  <c r="T42" i="47"/>
  <c r="F42" i="47"/>
  <c r="Z41" i="47"/>
  <c r="T41" i="47"/>
  <c r="Z39" i="47"/>
  <c r="T39" i="47"/>
  <c r="F39" i="47"/>
  <c r="Z38" i="47"/>
  <c r="T38" i="47"/>
  <c r="F38" i="47"/>
  <c r="Z37" i="47"/>
  <c r="T37" i="47"/>
  <c r="F37" i="47"/>
  <c r="Z36" i="47"/>
  <c r="T36" i="47"/>
  <c r="F36" i="47"/>
  <c r="Z35" i="47"/>
  <c r="Z33" i="47"/>
  <c r="T33" i="47"/>
  <c r="F33" i="47"/>
  <c r="F22" i="50" s="1"/>
  <c r="Z32" i="47"/>
  <c r="T32" i="47"/>
  <c r="F32" i="47"/>
  <c r="Z31" i="47"/>
  <c r="T29" i="47"/>
  <c r="F29" i="47"/>
  <c r="T28" i="47"/>
  <c r="F28" i="47"/>
  <c r="T26" i="47"/>
  <c r="F26" i="47"/>
  <c r="T25" i="47"/>
  <c r="F25" i="47"/>
  <c r="T24" i="47"/>
  <c r="T22" i="47"/>
  <c r="AG21" i="47"/>
  <c r="T21" i="47"/>
  <c r="AG20" i="47"/>
  <c r="T19" i="47"/>
  <c r="F19" i="47"/>
  <c r="F8" i="50" s="1"/>
  <c r="T18" i="47"/>
  <c r="T17" i="47"/>
  <c r="T16" i="47"/>
  <c r="F12" i="47"/>
  <c r="AF11" i="47"/>
  <c r="T11" i="47"/>
  <c r="G10" i="47"/>
  <c r="F76" i="46"/>
  <c r="E65" i="50" s="1"/>
  <c r="F74" i="46"/>
  <c r="E63" i="50" s="1"/>
  <c r="F73" i="46"/>
  <c r="E62" i="50" s="1"/>
  <c r="F72" i="46"/>
  <c r="E61" i="50" s="1"/>
  <c r="F69" i="46"/>
  <c r="F68" i="46"/>
  <c r="F67" i="46"/>
  <c r="F64" i="46"/>
  <c r="E53" i="50" s="1"/>
  <c r="F63" i="46"/>
  <c r="F61" i="46"/>
  <c r="F60" i="46"/>
  <c r="F59" i="46"/>
  <c r="F58" i="46"/>
  <c r="F57" i="46"/>
  <c r="F53" i="46"/>
  <c r="F52" i="46"/>
  <c r="F51" i="46"/>
  <c r="F48" i="46"/>
  <c r="F44" i="46"/>
  <c r="F43" i="46"/>
  <c r="F42" i="46"/>
  <c r="F39" i="46"/>
  <c r="F38" i="46"/>
  <c r="F37" i="46"/>
  <c r="F36" i="46"/>
  <c r="F33" i="46"/>
  <c r="E22" i="50" s="1"/>
  <c r="F32" i="46"/>
  <c r="E21" i="50" s="1"/>
  <c r="F29" i="46"/>
  <c r="E18" i="50" s="1"/>
  <c r="F28" i="46"/>
  <c r="E17" i="50" s="1"/>
  <c r="F26" i="46"/>
  <c r="E15" i="50" s="1"/>
  <c r="F25" i="46"/>
  <c r="E14" i="50" s="1"/>
  <c r="F19" i="46"/>
  <c r="E8" i="50" s="1"/>
  <c r="F12" i="46"/>
  <c r="I78" i="46"/>
  <c r="T76" i="46"/>
  <c r="T74" i="46"/>
  <c r="T73" i="46"/>
  <c r="T72" i="46"/>
  <c r="T71" i="46"/>
  <c r="T69" i="46"/>
  <c r="T68" i="46"/>
  <c r="T67" i="46"/>
  <c r="T66" i="46"/>
  <c r="T61" i="46"/>
  <c r="T60" i="46"/>
  <c r="T59" i="46"/>
  <c r="T58" i="46"/>
  <c r="T51" i="46"/>
  <c r="T50" i="46"/>
  <c r="T48" i="46"/>
  <c r="T44" i="46"/>
  <c r="T43" i="46"/>
  <c r="T42" i="46"/>
  <c r="T41" i="46"/>
  <c r="T39" i="46"/>
  <c r="T38" i="46"/>
  <c r="T37" i="46"/>
  <c r="Z36" i="46"/>
  <c r="T36" i="46"/>
  <c r="T33" i="46"/>
  <c r="T32" i="46"/>
  <c r="T29" i="46"/>
  <c r="T28" i="46"/>
  <c r="T26" i="46"/>
  <c r="T25" i="46"/>
  <c r="T24" i="46"/>
  <c r="T22" i="46"/>
  <c r="AG21" i="46"/>
  <c r="T21" i="46"/>
  <c r="AG20" i="46"/>
  <c r="T19" i="46"/>
  <c r="T18" i="46"/>
  <c r="T17" i="46"/>
  <c r="T16" i="46"/>
  <c r="AF11" i="46"/>
  <c r="T11" i="46"/>
  <c r="G10" i="46"/>
  <c r="Z258" i="44"/>
  <c r="W258" i="44"/>
  <c r="AA258" i="44" s="1"/>
  <c r="Z257" i="44"/>
  <c r="W257" i="44"/>
  <c r="AA257" i="44" s="1"/>
  <c r="Z256" i="44"/>
  <c r="W256" i="44"/>
  <c r="AJ235" i="44"/>
  <c r="AJ232" i="44"/>
  <c r="AJ220" i="44"/>
  <c r="AN54" i="44" s="1"/>
  <c r="AN93" i="44" s="1"/>
  <c r="AJ216" i="44"/>
  <c r="V222" i="44"/>
  <c r="AJ215" i="44"/>
  <c r="V221" i="44"/>
  <c r="AJ213" i="44"/>
  <c r="AN51" i="44" s="1"/>
  <c r="AN90" i="44" s="1"/>
  <c r="W219" i="44"/>
  <c r="V219" i="44"/>
  <c r="U219" i="44"/>
  <c r="AJ212" i="44"/>
  <c r="AN49" i="44" s="1"/>
  <c r="AN88" i="44" s="1"/>
  <c r="V218" i="44"/>
  <c r="AJ206" i="44"/>
  <c r="AN50" i="44" s="1"/>
  <c r="AN89" i="44" s="1"/>
  <c r="W212" i="44"/>
  <c r="V212" i="44"/>
  <c r="U212" i="44"/>
  <c r="T199" i="44"/>
  <c r="W236" i="44" s="1"/>
  <c r="T198" i="44"/>
  <c r="W235" i="44" s="1"/>
  <c r="T197" i="44"/>
  <c r="W234" i="44" s="1"/>
  <c r="Z174" i="44"/>
  <c r="Z173" i="44"/>
  <c r="W173" i="44"/>
  <c r="AA173" i="44" s="1"/>
  <c r="Z172" i="44"/>
  <c r="W172" i="44"/>
  <c r="AJ142" i="44"/>
  <c r="AJ234" i="44" s="1"/>
  <c r="AJ141" i="44"/>
  <c r="AM54" i="44" s="1"/>
  <c r="AM93" i="44" s="1"/>
  <c r="AJ140" i="44"/>
  <c r="AJ231" i="44" s="1"/>
  <c r="AJ137" i="44"/>
  <c r="V138" i="44"/>
  <c r="AJ136" i="44"/>
  <c r="V137" i="44"/>
  <c r="AJ134" i="44"/>
  <c r="AM51" i="44" s="1"/>
  <c r="AM90" i="44" s="1"/>
  <c r="W135" i="44"/>
  <c r="V135" i="44"/>
  <c r="U135" i="44"/>
  <c r="AJ133" i="44"/>
  <c r="AM49" i="44" s="1"/>
  <c r="AM88" i="44" s="1"/>
  <c r="V134" i="44"/>
  <c r="AJ127" i="44"/>
  <c r="AM50" i="44" s="1"/>
  <c r="AM89" i="44" s="1"/>
  <c r="W128" i="44"/>
  <c r="V128" i="44"/>
  <c r="U128" i="44"/>
  <c r="T114" i="44"/>
  <c r="T113" i="44"/>
  <c r="T112" i="44"/>
  <c r="W150" i="44" s="1"/>
  <c r="B127" i="44"/>
  <c r="AK95" i="44"/>
  <c r="AL94" i="44"/>
  <c r="AK94" i="44"/>
  <c r="AL93" i="44"/>
  <c r="AK93" i="44"/>
  <c r="AL92" i="44"/>
  <c r="AK92" i="44"/>
  <c r="AB92" i="44"/>
  <c r="AC91" i="44"/>
  <c r="S90" i="44"/>
  <c r="V89" i="44"/>
  <c r="U89" i="44"/>
  <c r="T89" i="44"/>
  <c r="S89" i="44"/>
  <c r="V88" i="44"/>
  <c r="U88" i="44"/>
  <c r="T88" i="44"/>
  <c r="S88" i="44"/>
  <c r="V87" i="44"/>
  <c r="U87" i="44"/>
  <c r="T87" i="44"/>
  <c r="S87" i="44"/>
  <c r="S86" i="44"/>
  <c r="S85" i="44"/>
  <c r="S84" i="44"/>
  <c r="S56" i="44"/>
  <c r="AB95" i="44" s="1"/>
  <c r="S55" i="44"/>
  <c r="AB94" i="44" s="1"/>
  <c r="S54" i="44"/>
  <c r="AB93" i="44" s="1"/>
  <c r="S52" i="44"/>
  <c r="AB91" i="44" s="1"/>
  <c r="S51" i="44"/>
  <c r="AB90" i="44" s="1"/>
  <c r="S50" i="44"/>
  <c r="AB89" i="44" s="1"/>
  <c r="S49" i="44"/>
  <c r="AB88" i="44" s="1"/>
  <c r="S48" i="44"/>
  <c r="AB87" i="44" s="1"/>
  <c r="S47" i="44"/>
  <c r="AB86" i="44" s="1"/>
  <c r="S46" i="44"/>
  <c r="AB85" i="44" s="1"/>
  <c r="S45" i="44"/>
  <c r="AB84" i="44" s="1"/>
  <c r="T43" i="44"/>
  <c r="E13" i="44"/>
  <c r="R111" i="44" s="1"/>
  <c r="AD111" i="44" s="1"/>
  <c r="Y252" i="43"/>
  <c r="V252" i="43"/>
  <c r="Z252" i="43" s="1"/>
  <c r="Y251" i="43"/>
  <c r="V251" i="43"/>
  <c r="AI232" i="43"/>
  <c r="AI229" i="43"/>
  <c r="AI217" i="43"/>
  <c r="AM52" i="43" s="1"/>
  <c r="AI213" i="43"/>
  <c r="U217" i="43"/>
  <c r="AI212" i="43"/>
  <c r="U216" i="43"/>
  <c r="AI210" i="43"/>
  <c r="AM49" i="43" s="1"/>
  <c r="AM88" i="43" s="1"/>
  <c r="V214" i="43"/>
  <c r="U214" i="43"/>
  <c r="T214" i="43"/>
  <c r="AI209" i="43"/>
  <c r="AM47" i="43" s="1"/>
  <c r="AM86" i="43" s="1"/>
  <c r="U213" i="43"/>
  <c r="AI203" i="43"/>
  <c r="AM48" i="43" s="1"/>
  <c r="AM87" i="43" s="1"/>
  <c r="V207" i="43"/>
  <c r="U207" i="43"/>
  <c r="T207" i="43"/>
  <c r="S196" i="43"/>
  <c r="V226" i="43" s="1"/>
  <c r="S195" i="43"/>
  <c r="V225" i="43" s="1"/>
  <c r="S194" i="43"/>
  <c r="V224" i="43" s="1"/>
  <c r="S193" i="43"/>
  <c r="V223" i="43" s="1"/>
  <c r="Y170" i="43"/>
  <c r="Z170" i="43"/>
  <c r="Y169" i="43"/>
  <c r="AI140" i="43"/>
  <c r="AI231" i="43" s="1"/>
  <c r="AI139" i="43"/>
  <c r="AL52" i="43" s="1"/>
  <c r="AL91" i="43" s="1"/>
  <c r="AI138" i="43"/>
  <c r="AI228" i="43" s="1"/>
  <c r="AI135" i="43"/>
  <c r="U135" i="43"/>
  <c r="AI134" i="43"/>
  <c r="U134" i="43"/>
  <c r="AI132" i="43"/>
  <c r="AL49" i="43" s="1"/>
  <c r="AL88" i="43" s="1"/>
  <c r="V132" i="43"/>
  <c r="U132" i="43"/>
  <c r="T132" i="43"/>
  <c r="AI131" i="43"/>
  <c r="AL47" i="43" s="1"/>
  <c r="AL86" i="43" s="1"/>
  <c r="U131" i="43"/>
  <c r="AI125" i="43"/>
  <c r="AL48" i="43" s="1"/>
  <c r="AL87" i="43" s="1"/>
  <c r="V125" i="43"/>
  <c r="U125" i="43"/>
  <c r="T125" i="43"/>
  <c r="S113" i="43"/>
  <c r="V144" i="43" s="1"/>
  <c r="S112" i="43"/>
  <c r="V143" i="43" s="1"/>
  <c r="S111" i="43"/>
  <c r="V142" i="43" s="1"/>
  <c r="S110" i="43"/>
  <c r="V141" i="43" s="1"/>
  <c r="B121" i="43"/>
  <c r="AJ93" i="43"/>
  <c r="AK92" i="43"/>
  <c r="AJ92" i="43"/>
  <c r="AM91" i="43"/>
  <c r="AK91" i="43"/>
  <c r="AJ91" i="43"/>
  <c r="AK90" i="43"/>
  <c r="AJ90" i="43"/>
  <c r="AA90" i="43"/>
  <c r="AB89" i="43"/>
  <c r="R88" i="43"/>
  <c r="U87" i="43"/>
  <c r="T87" i="43"/>
  <c r="S87" i="43"/>
  <c r="R87" i="43"/>
  <c r="U86" i="43"/>
  <c r="T86" i="43"/>
  <c r="S86" i="43"/>
  <c r="R86" i="43"/>
  <c r="U85" i="43"/>
  <c r="T85" i="43"/>
  <c r="S85" i="43"/>
  <c r="R85" i="43"/>
  <c r="R84" i="43"/>
  <c r="R83" i="43"/>
  <c r="R82" i="43"/>
  <c r="R54" i="43"/>
  <c r="AA93" i="43" s="1"/>
  <c r="R53" i="43"/>
  <c r="AA92" i="43" s="1"/>
  <c r="R52" i="43"/>
  <c r="AA91" i="43" s="1"/>
  <c r="R50" i="43"/>
  <c r="AA89" i="43" s="1"/>
  <c r="R49" i="43"/>
  <c r="AA88" i="43" s="1"/>
  <c r="R48" i="43"/>
  <c r="AA87" i="43" s="1"/>
  <c r="R47" i="43"/>
  <c r="AA86" i="43" s="1"/>
  <c r="R46" i="43"/>
  <c r="AA85" i="43" s="1"/>
  <c r="R45" i="43"/>
  <c r="AA84" i="43" s="1"/>
  <c r="R44" i="43"/>
  <c r="AA83" i="43" s="1"/>
  <c r="R43" i="43"/>
  <c r="AA82" i="43" s="1"/>
  <c r="S41" i="43"/>
  <c r="D13" i="43"/>
  <c r="Q109" i="43" s="1"/>
  <c r="AC109" i="43" s="1"/>
  <c r="Y261" i="42"/>
  <c r="V261" i="42"/>
  <c r="Z261" i="42" s="1"/>
  <c r="Y260" i="42"/>
  <c r="V260" i="42"/>
  <c r="AI235" i="42"/>
  <c r="AI232" i="42"/>
  <c r="AI220" i="42"/>
  <c r="AM52" i="42" s="1"/>
  <c r="AM91" i="42" s="1"/>
  <c r="U226" i="42"/>
  <c r="U225" i="42"/>
  <c r="AI216" i="42"/>
  <c r="AI215" i="42"/>
  <c r="V223" i="42"/>
  <c r="U223" i="42"/>
  <c r="T223" i="42"/>
  <c r="U222" i="42"/>
  <c r="AI213" i="42"/>
  <c r="AM49" i="42" s="1"/>
  <c r="AM88" i="42" s="1"/>
  <c r="AI212" i="42"/>
  <c r="AM47" i="42" s="1"/>
  <c r="AM86" i="42" s="1"/>
  <c r="V216" i="42"/>
  <c r="U216" i="42"/>
  <c r="T216" i="42"/>
  <c r="AI206" i="42"/>
  <c r="AM48" i="42" s="1"/>
  <c r="AM87" i="42" s="1"/>
  <c r="S206" i="42"/>
  <c r="V249" i="42" s="1"/>
  <c r="S205" i="42"/>
  <c r="V248" i="42" s="1"/>
  <c r="S204" i="42"/>
  <c r="V247" i="42" s="1"/>
  <c r="S202" i="42"/>
  <c r="V235" i="42" s="1"/>
  <c r="S201" i="42"/>
  <c r="V234" i="42" s="1"/>
  <c r="S200" i="42"/>
  <c r="V233" i="42" s="1"/>
  <c r="S199" i="42"/>
  <c r="V232" i="42" s="1"/>
  <c r="Y176" i="42"/>
  <c r="Z176" i="42"/>
  <c r="Y175" i="42"/>
  <c r="Z175" i="42"/>
  <c r="AI140" i="42"/>
  <c r="AI234" i="42" s="1"/>
  <c r="AI139" i="42"/>
  <c r="AL52" i="42" s="1"/>
  <c r="AL91" i="42" s="1"/>
  <c r="AI138" i="42"/>
  <c r="AI231" i="42" s="1"/>
  <c r="U138" i="42"/>
  <c r="AI135" i="42"/>
  <c r="U137" i="42"/>
  <c r="AI134" i="42"/>
  <c r="V135" i="42"/>
  <c r="U135" i="42"/>
  <c r="T135" i="42"/>
  <c r="AI132" i="42"/>
  <c r="AL49" i="42" s="1"/>
  <c r="AL88" i="42" s="1"/>
  <c r="U134" i="42"/>
  <c r="AI131" i="42"/>
  <c r="AL47" i="42" s="1"/>
  <c r="AL86" i="42" s="1"/>
  <c r="V128" i="42"/>
  <c r="U128" i="42"/>
  <c r="T128" i="42"/>
  <c r="AI125" i="42"/>
  <c r="AL48" i="42" s="1"/>
  <c r="AL87" i="42" s="1"/>
  <c r="S117" i="42"/>
  <c r="V161" i="42" s="1"/>
  <c r="S116" i="42"/>
  <c r="V160" i="42" s="1"/>
  <c r="S115" i="42"/>
  <c r="V159" i="42" s="1"/>
  <c r="S113" i="42"/>
  <c r="V147" i="42" s="1"/>
  <c r="S112" i="42"/>
  <c r="V146" i="42" s="1"/>
  <c r="S111" i="42"/>
  <c r="V145" i="42" s="1"/>
  <c r="S110" i="42"/>
  <c r="V144" i="42" s="1"/>
  <c r="B80" i="42"/>
  <c r="AJ93" i="42"/>
  <c r="AK92" i="42"/>
  <c r="AJ92" i="42"/>
  <c r="AK91" i="42"/>
  <c r="AJ91" i="42"/>
  <c r="AK90" i="42"/>
  <c r="AJ90" i="42"/>
  <c r="AA90" i="42"/>
  <c r="AB89" i="42"/>
  <c r="R88" i="42"/>
  <c r="U87" i="42"/>
  <c r="T87" i="42"/>
  <c r="S87" i="42"/>
  <c r="R87" i="42"/>
  <c r="U86" i="42"/>
  <c r="T86" i="42"/>
  <c r="S86" i="42"/>
  <c r="R86" i="42"/>
  <c r="U85" i="42"/>
  <c r="T85" i="42"/>
  <c r="S85" i="42"/>
  <c r="R85" i="42"/>
  <c r="R84" i="42"/>
  <c r="R83" i="42"/>
  <c r="R82" i="42"/>
  <c r="R54" i="42"/>
  <c r="AA93" i="42" s="1"/>
  <c r="R53" i="42"/>
  <c r="AA92" i="42" s="1"/>
  <c r="R52" i="42"/>
  <c r="AA91" i="42" s="1"/>
  <c r="R50" i="42"/>
  <c r="AA89" i="42" s="1"/>
  <c r="R49" i="42"/>
  <c r="AA88" i="42" s="1"/>
  <c r="R48" i="42"/>
  <c r="AA87" i="42" s="1"/>
  <c r="R47" i="42"/>
  <c r="AA86" i="42" s="1"/>
  <c r="R46" i="42"/>
  <c r="AA85" i="42" s="1"/>
  <c r="R45" i="42"/>
  <c r="AA84" i="42" s="1"/>
  <c r="R44" i="42"/>
  <c r="AA83" i="42" s="1"/>
  <c r="R43" i="42"/>
  <c r="AA82" i="42" s="1"/>
  <c r="S41" i="42"/>
  <c r="I13" i="42"/>
  <c r="E13" i="42"/>
  <c r="AH230" i="41"/>
  <c r="AH227" i="41"/>
  <c r="AH215" i="41"/>
  <c r="AL52" i="41" s="1"/>
  <c r="AH211" i="41"/>
  <c r="T215" i="41"/>
  <c r="AH210" i="41"/>
  <c r="T214" i="41"/>
  <c r="AH201" i="41"/>
  <c r="AL48" i="41" s="1"/>
  <c r="AL87" i="41" s="1"/>
  <c r="U205" i="41"/>
  <c r="T205" i="41"/>
  <c r="S205" i="41"/>
  <c r="T196" i="41"/>
  <c r="R196" i="41"/>
  <c r="T195" i="41"/>
  <c r="R195" i="41"/>
  <c r="T194" i="41"/>
  <c r="T193" i="41"/>
  <c r="T192" i="41"/>
  <c r="R190" i="41"/>
  <c r="R189" i="41"/>
  <c r="AH140" i="41"/>
  <c r="AK53" i="41" s="1"/>
  <c r="AH139" i="41"/>
  <c r="AK52" i="41" s="1"/>
  <c r="AH138" i="41"/>
  <c r="AH226" i="41" s="1"/>
  <c r="AH135" i="41"/>
  <c r="T135" i="41"/>
  <c r="AH134" i="41"/>
  <c r="T134" i="41"/>
  <c r="AH125" i="41"/>
  <c r="AK48" i="41" s="1"/>
  <c r="AK87" i="41" s="1"/>
  <c r="U125" i="41"/>
  <c r="T125" i="41"/>
  <c r="S125" i="41"/>
  <c r="T117" i="41"/>
  <c r="R117" i="41"/>
  <c r="T116" i="41"/>
  <c r="R116" i="41"/>
  <c r="T115" i="41"/>
  <c r="T114" i="41"/>
  <c r="T113" i="41"/>
  <c r="R111" i="41"/>
  <c r="R110" i="41"/>
  <c r="AI93" i="41"/>
  <c r="AK92" i="41"/>
  <c r="AJ92" i="41"/>
  <c r="AI92" i="41"/>
  <c r="AL91" i="41"/>
  <c r="AK91" i="41"/>
  <c r="AJ91" i="41"/>
  <c r="AI91" i="41"/>
  <c r="AC91" i="41"/>
  <c r="AB91" i="41"/>
  <c r="AA91" i="41"/>
  <c r="Z91" i="41"/>
  <c r="AJ90" i="41"/>
  <c r="AI90" i="41"/>
  <c r="AC90" i="41"/>
  <c r="AB90" i="41"/>
  <c r="AA90" i="41"/>
  <c r="Z90" i="41"/>
  <c r="AC89" i="41"/>
  <c r="AB89" i="41"/>
  <c r="AA89" i="41"/>
  <c r="Z89" i="41"/>
  <c r="Q88" i="41"/>
  <c r="Q87" i="41"/>
  <c r="Q86" i="41"/>
  <c r="Q85" i="41"/>
  <c r="Q84" i="41"/>
  <c r="Q83" i="41"/>
  <c r="Q82" i="41"/>
  <c r="Z62" i="41"/>
  <c r="Z92" i="41" s="1"/>
  <c r="Z61" i="41"/>
  <c r="Z60" i="41"/>
  <c r="Z58" i="41"/>
  <c r="Z88" i="41" s="1"/>
  <c r="Z57" i="41"/>
  <c r="Z87" i="41" s="1"/>
  <c r="Z56" i="41"/>
  <c r="Z86" i="41" s="1"/>
  <c r="Z55" i="41"/>
  <c r="Z85" i="41" s="1"/>
  <c r="Z54" i="41"/>
  <c r="Z84" i="41" s="1"/>
  <c r="Z53" i="41"/>
  <c r="Z83" i="41" s="1"/>
  <c r="Z52" i="41"/>
  <c r="Z82" i="41" s="1"/>
  <c r="E13" i="41"/>
  <c r="E19" i="41" s="1"/>
  <c r="AH221" i="40"/>
  <c r="AH218" i="40"/>
  <c r="AH206" i="40"/>
  <c r="AL52" i="40" s="1"/>
  <c r="AH202" i="40"/>
  <c r="T206" i="40"/>
  <c r="AH201" i="40"/>
  <c r="T205" i="40"/>
  <c r="AH199" i="40"/>
  <c r="AL49" i="40" s="1"/>
  <c r="AL88" i="40" s="1"/>
  <c r="U203" i="40"/>
  <c r="T203" i="40"/>
  <c r="S203" i="40"/>
  <c r="AH198" i="40"/>
  <c r="AL47" i="40" s="1"/>
  <c r="AL86" i="40" s="1"/>
  <c r="T202" i="40"/>
  <c r="AH192" i="40"/>
  <c r="AL48" i="40" s="1"/>
  <c r="AL87" i="40" s="1"/>
  <c r="U196" i="40"/>
  <c r="T196" i="40"/>
  <c r="S196" i="40"/>
  <c r="R186" i="40"/>
  <c r="AH136" i="40"/>
  <c r="AH220" i="40" s="1"/>
  <c r="AH135" i="40"/>
  <c r="AK52" i="40" s="1"/>
  <c r="AK91" i="40" s="1"/>
  <c r="AH134" i="40"/>
  <c r="AK51" i="40" s="1"/>
  <c r="AK90" i="40" s="1"/>
  <c r="AH131" i="40"/>
  <c r="T131" i="40"/>
  <c r="AH130" i="40"/>
  <c r="T130" i="40"/>
  <c r="AH128" i="40"/>
  <c r="AK49" i="40" s="1"/>
  <c r="AK88" i="40" s="1"/>
  <c r="U128" i="40"/>
  <c r="T128" i="40"/>
  <c r="S128" i="40"/>
  <c r="AH127" i="40"/>
  <c r="AK47" i="40" s="1"/>
  <c r="AK86" i="40" s="1"/>
  <c r="T127" i="40"/>
  <c r="AH121" i="40"/>
  <c r="AK48" i="40" s="1"/>
  <c r="AK87" i="40" s="1"/>
  <c r="U121" i="40"/>
  <c r="T121" i="40"/>
  <c r="S121" i="40"/>
  <c r="R111" i="40"/>
  <c r="AI93" i="40"/>
  <c r="AJ92" i="40"/>
  <c r="AI92" i="40"/>
  <c r="AL91" i="40"/>
  <c r="AJ91" i="40"/>
  <c r="AI91" i="40"/>
  <c r="AC91" i="40"/>
  <c r="AB91" i="40"/>
  <c r="AA91" i="40"/>
  <c r="Z91" i="40"/>
  <c r="AJ90" i="40"/>
  <c r="AI90" i="40"/>
  <c r="AC90" i="40"/>
  <c r="AB90" i="40"/>
  <c r="AA90" i="40"/>
  <c r="Z90" i="40"/>
  <c r="AC89" i="40"/>
  <c r="AB89" i="40"/>
  <c r="AA89" i="40"/>
  <c r="Z89" i="40"/>
  <c r="Q88" i="40"/>
  <c r="Q87" i="40"/>
  <c r="Q86" i="40"/>
  <c r="Q85" i="40"/>
  <c r="Q84" i="40"/>
  <c r="Q83" i="40"/>
  <c r="Q82" i="40"/>
  <c r="Z62" i="40"/>
  <c r="Z92" i="40" s="1"/>
  <c r="Z61" i="40"/>
  <c r="Z60" i="40"/>
  <c r="Z58" i="40"/>
  <c r="Z88" i="40" s="1"/>
  <c r="Z57" i="40"/>
  <c r="Z87" i="40" s="1"/>
  <c r="Z56" i="40"/>
  <c r="Z86" i="40" s="1"/>
  <c r="Z55" i="40"/>
  <c r="Z85" i="40" s="1"/>
  <c r="Z54" i="40"/>
  <c r="Z84" i="40" s="1"/>
  <c r="Z53" i="40"/>
  <c r="Z83" i="40" s="1"/>
  <c r="Z52" i="40"/>
  <c r="Z82" i="40" s="1"/>
  <c r="R41" i="40"/>
  <c r="AA50" i="40" s="1"/>
  <c r="I13" i="40"/>
  <c r="E13" i="40"/>
  <c r="AG205" i="39"/>
  <c r="T209" i="39"/>
  <c r="AG204" i="39"/>
  <c r="T208" i="39"/>
  <c r="AG202" i="39"/>
  <c r="AK49" i="39" s="1"/>
  <c r="AK88" i="39" s="1"/>
  <c r="U206" i="39"/>
  <c r="T206" i="39"/>
  <c r="S206" i="39"/>
  <c r="AG201" i="39"/>
  <c r="AK47" i="39" s="1"/>
  <c r="AK86" i="39" s="1"/>
  <c r="T205" i="39"/>
  <c r="AG195" i="39"/>
  <c r="AK48" i="39" s="1"/>
  <c r="AK87" i="39" s="1"/>
  <c r="U199" i="39"/>
  <c r="T199" i="39"/>
  <c r="S199" i="39"/>
  <c r="R186" i="39"/>
  <c r="S186" i="39" s="1"/>
  <c r="AG132" i="39"/>
  <c r="T132" i="39"/>
  <c r="AG131" i="39"/>
  <c r="T131" i="39"/>
  <c r="AG129" i="39"/>
  <c r="AJ49" i="39" s="1"/>
  <c r="AJ88" i="39" s="1"/>
  <c r="U129" i="39"/>
  <c r="T129" i="39"/>
  <c r="S129" i="39"/>
  <c r="AG128" i="39"/>
  <c r="AJ47" i="39" s="1"/>
  <c r="AJ86" i="39" s="1"/>
  <c r="T128" i="39"/>
  <c r="AG122" i="39"/>
  <c r="AJ48" i="39" s="1"/>
  <c r="AJ87" i="39" s="1"/>
  <c r="U122" i="39"/>
  <c r="T122" i="39"/>
  <c r="S122" i="39"/>
  <c r="R110" i="39"/>
  <c r="AH93" i="39"/>
  <c r="AI92" i="39"/>
  <c r="AH92" i="39"/>
  <c r="AK91" i="39"/>
  <c r="AI91" i="39"/>
  <c r="AH91" i="39"/>
  <c r="AC91" i="39"/>
  <c r="AB91" i="39"/>
  <c r="AA91" i="39"/>
  <c r="Z91" i="39"/>
  <c r="AK90" i="39"/>
  <c r="AI90" i="39"/>
  <c r="AH90" i="39"/>
  <c r="AC90" i="39"/>
  <c r="AB90" i="39"/>
  <c r="AA90" i="39"/>
  <c r="Z90" i="39"/>
  <c r="AC89" i="39"/>
  <c r="AB89" i="39"/>
  <c r="AA89" i="39"/>
  <c r="Z89" i="39"/>
  <c r="Q88" i="39"/>
  <c r="Q87" i="39"/>
  <c r="Q86" i="39"/>
  <c r="Q85" i="39"/>
  <c r="Q84" i="39"/>
  <c r="Q83" i="39"/>
  <c r="Q82" i="39"/>
  <c r="Z62" i="39"/>
  <c r="Z92" i="39" s="1"/>
  <c r="Z61" i="39"/>
  <c r="Z60" i="39"/>
  <c r="Z58" i="39"/>
  <c r="Z88" i="39" s="1"/>
  <c r="Z57" i="39"/>
  <c r="Z87" i="39" s="1"/>
  <c r="Z56" i="39"/>
  <c r="Z86" i="39" s="1"/>
  <c r="Z55" i="39"/>
  <c r="Z85" i="39" s="1"/>
  <c r="Z54" i="39"/>
  <c r="Z84" i="39" s="1"/>
  <c r="AK53" i="39"/>
  <c r="AK92" i="39" s="1"/>
  <c r="AJ53" i="39"/>
  <c r="AJ92" i="39" s="1"/>
  <c r="Z53" i="39"/>
  <c r="Z83" i="39" s="1"/>
  <c r="AK52" i="39"/>
  <c r="AJ52" i="39"/>
  <c r="AJ91" i="39" s="1"/>
  <c r="Z52" i="39"/>
  <c r="Z82" i="39" s="1"/>
  <c r="AK51" i="39"/>
  <c r="AJ51" i="39"/>
  <c r="AJ90" i="39" s="1"/>
  <c r="R41" i="39"/>
  <c r="AA67" i="39" s="1"/>
  <c r="AH217" i="38"/>
  <c r="AH201" i="38"/>
  <c r="AL51" i="38" s="1"/>
  <c r="AH197" i="38"/>
  <c r="T201" i="38"/>
  <c r="AH194" i="38"/>
  <c r="AL48" i="38" s="1"/>
  <c r="AL87" i="38" s="1"/>
  <c r="U198" i="38"/>
  <c r="T198" i="38"/>
  <c r="S198" i="38"/>
  <c r="AH193" i="38"/>
  <c r="AL46" i="38" s="1"/>
  <c r="AL85" i="38" s="1"/>
  <c r="T197" i="38"/>
  <c r="AH187" i="38"/>
  <c r="AL47" i="38" s="1"/>
  <c r="AL86" i="38" s="1"/>
  <c r="U191" i="38"/>
  <c r="T191" i="38"/>
  <c r="S191" i="38"/>
  <c r="R182" i="38"/>
  <c r="AH214" i="38" s="1"/>
  <c r="AH133" i="38"/>
  <c r="AH216" i="38" s="1"/>
  <c r="AH132" i="38"/>
  <c r="AK51" i="38" s="1"/>
  <c r="AH128" i="38"/>
  <c r="T128" i="38"/>
  <c r="AH125" i="38"/>
  <c r="AK48" i="38" s="1"/>
  <c r="AK87" i="38" s="1"/>
  <c r="U125" i="38"/>
  <c r="T125" i="38"/>
  <c r="S125" i="38"/>
  <c r="AH124" i="38"/>
  <c r="AK46" i="38" s="1"/>
  <c r="AK85" i="38" s="1"/>
  <c r="T124" i="38"/>
  <c r="AH118" i="38"/>
  <c r="AK47" i="38" s="1"/>
  <c r="AK86" i="38" s="1"/>
  <c r="U118" i="38"/>
  <c r="T118" i="38"/>
  <c r="S118" i="38"/>
  <c r="R109" i="38"/>
  <c r="AH131" i="38" s="1"/>
  <c r="AI92" i="38"/>
  <c r="AJ91" i="38"/>
  <c r="AI91" i="38"/>
  <c r="AL90" i="38"/>
  <c r="AK90" i="38"/>
  <c r="AJ90" i="38"/>
  <c r="AI90" i="38"/>
  <c r="AC90" i="38"/>
  <c r="AB90" i="38"/>
  <c r="AA90" i="38"/>
  <c r="Z90" i="38"/>
  <c r="AJ89" i="38"/>
  <c r="AI89" i="38"/>
  <c r="AC89" i="38"/>
  <c r="AB89" i="38"/>
  <c r="AA89" i="38"/>
  <c r="Z89" i="38"/>
  <c r="AC88" i="38"/>
  <c r="AB88" i="38"/>
  <c r="AA88" i="38"/>
  <c r="Z88" i="38"/>
  <c r="Q87" i="38"/>
  <c r="Q86" i="38"/>
  <c r="Q85" i="38"/>
  <c r="Q84" i="38"/>
  <c r="Q83" i="38"/>
  <c r="Q82" i="38"/>
  <c r="Q81" i="38"/>
  <c r="Z61" i="38"/>
  <c r="Z91" i="38" s="1"/>
  <c r="Z60" i="38"/>
  <c r="Z59" i="38"/>
  <c r="Z57" i="38"/>
  <c r="Z87" i="38" s="1"/>
  <c r="Z56" i="38"/>
  <c r="Z86" i="38" s="1"/>
  <c r="Z55" i="38"/>
  <c r="Z85" i="38" s="1"/>
  <c r="Z54" i="38"/>
  <c r="Z84" i="38" s="1"/>
  <c r="Z53" i="38"/>
  <c r="Z83" i="38" s="1"/>
  <c r="Z52" i="38"/>
  <c r="Z82" i="38" s="1"/>
  <c r="Z51" i="38"/>
  <c r="Z81" i="38" s="1"/>
  <c r="E17" i="38"/>
  <c r="E25" i="38" s="1"/>
  <c r="E13" i="38"/>
  <c r="I20" i="38" s="1"/>
  <c r="P181" i="38" s="1"/>
  <c r="AH217" i="37"/>
  <c r="AH201" i="37"/>
  <c r="AL52" i="37" s="1"/>
  <c r="AH197" i="37"/>
  <c r="T201" i="37"/>
  <c r="AH194" i="37"/>
  <c r="AL49" i="37" s="1"/>
  <c r="AL88" i="37" s="1"/>
  <c r="U198" i="37"/>
  <c r="T198" i="37"/>
  <c r="S198" i="37"/>
  <c r="AH193" i="37"/>
  <c r="AL47" i="37" s="1"/>
  <c r="AL86" i="37" s="1"/>
  <c r="T197" i="37"/>
  <c r="AH187" i="37"/>
  <c r="AL48" i="37" s="1"/>
  <c r="AL87" i="37" s="1"/>
  <c r="U191" i="37"/>
  <c r="T191" i="37"/>
  <c r="S191" i="37"/>
  <c r="R183" i="37"/>
  <c r="AH214" i="37" s="1"/>
  <c r="AH134" i="37"/>
  <c r="AH216" i="37" s="1"/>
  <c r="AH133" i="37"/>
  <c r="AK52" i="37" s="1"/>
  <c r="AH129" i="37"/>
  <c r="T129" i="37"/>
  <c r="AH126" i="37"/>
  <c r="AK49" i="37" s="1"/>
  <c r="AK88" i="37" s="1"/>
  <c r="U126" i="37"/>
  <c r="T126" i="37"/>
  <c r="S126" i="37"/>
  <c r="AH125" i="37"/>
  <c r="AK47" i="37" s="1"/>
  <c r="AK86" i="37" s="1"/>
  <c r="T125" i="37"/>
  <c r="AH119" i="37"/>
  <c r="AK48" i="37" s="1"/>
  <c r="AK87" i="37" s="1"/>
  <c r="U119" i="37"/>
  <c r="T119" i="37"/>
  <c r="S119" i="37"/>
  <c r="R110" i="37"/>
  <c r="AH132" i="37" s="1"/>
  <c r="AI93" i="37"/>
  <c r="AJ92" i="37"/>
  <c r="AI92" i="37"/>
  <c r="AL91" i="37"/>
  <c r="AK91" i="37"/>
  <c r="AJ91" i="37"/>
  <c r="AI91" i="37"/>
  <c r="AC91" i="37"/>
  <c r="AB91" i="37"/>
  <c r="AA91" i="37"/>
  <c r="Z91" i="37"/>
  <c r="AJ90" i="37"/>
  <c r="AI90" i="37"/>
  <c r="AC90" i="37"/>
  <c r="AB90" i="37"/>
  <c r="AA90" i="37"/>
  <c r="Z90" i="37"/>
  <c r="AC89" i="37"/>
  <c r="AB89" i="37"/>
  <c r="AA89" i="37"/>
  <c r="Z89" i="37"/>
  <c r="Q88" i="37"/>
  <c r="Q87" i="37"/>
  <c r="Q86" i="37"/>
  <c r="Q85" i="37"/>
  <c r="Q84" i="37"/>
  <c r="Q83" i="37"/>
  <c r="Q82" i="37"/>
  <c r="R80" i="37"/>
  <c r="Z62" i="37"/>
  <c r="Z92" i="37" s="1"/>
  <c r="Z61" i="37"/>
  <c r="Z60" i="37"/>
  <c r="Z58" i="37"/>
  <c r="Z88" i="37" s="1"/>
  <c r="Z57" i="37"/>
  <c r="Z87" i="37" s="1"/>
  <c r="Z56" i="37"/>
  <c r="Z86" i="37" s="1"/>
  <c r="Z55" i="37"/>
  <c r="Z85" i="37" s="1"/>
  <c r="Z54" i="37"/>
  <c r="Z84" i="37" s="1"/>
  <c r="Z53" i="37"/>
  <c r="Z83" i="37" s="1"/>
  <c r="Z52" i="37"/>
  <c r="Z82" i="37" s="1"/>
  <c r="R41" i="37"/>
  <c r="AA67" i="37" s="1"/>
  <c r="E17" i="37"/>
  <c r="E13" i="37"/>
  <c r="T244" i="36"/>
  <c r="T243" i="36"/>
  <c r="T233" i="36"/>
  <c r="AG215" i="36"/>
  <c r="AG212" i="36"/>
  <c r="AG200" i="36"/>
  <c r="AK51" i="36" s="1"/>
  <c r="AK90" i="36" s="1"/>
  <c r="AG196" i="36"/>
  <c r="S200" i="36"/>
  <c r="AG195" i="36"/>
  <c r="S199" i="36"/>
  <c r="AG193" i="36"/>
  <c r="AK48" i="36" s="1"/>
  <c r="AK87" i="36" s="1"/>
  <c r="T197" i="36"/>
  <c r="S197" i="36"/>
  <c r="R197" i="36"/>
  <c r="AG192" i="36"/>
  <c r="AK46" i="36" s="1"/>
  <c r="AK85" i="36" s="1"/>
  <c r="S196" i="36"/>
  <c r="Q182" i="36"/>
  <c r="T172" i="36"/>
  <c r="T171" i="36"/>
  <c r="T161" i="36"/>
  <c r="AG133" i="36"/>
  <c r="AG214" i="36" s="1"/>
  <c r="AG132" i="36"/>
  <c r="AJ51" i="36" s="1"/>
  <c r="AJ90" i="36" s="1"/>
  <c r="AG131" i="36"/>
  <c r="AG211" i="36" s="1"/>
  <c r="AG128" i="36"/>
  <c r="S128" i="36"/>
  <c r="AG127" i="36"/>
  <c r="S127" i="36"/>
  <c r="AG125" i="36"/>
  <c r="AJ48" i="36" s="1"/>
  <c r="AJ87" i="36" s="1"/>
  <c r="T125" i="36"/>
  <c r="S125" i="36"/>
  <c r="R125" i="36"/>
  <c r="AG124" i="36"/>
  <c r="AJ46" i="36" s="1"/>
  <c r="AJ85" i="36" s="1"/>
  <c r="S124" i="36"/>
  <c r="Q109" i="36"/>
  <c r="S118" i="36" s="1"/>
  <c r="AH92" i="36"/>
  <c r="AI91" i="36"/>
  <c r="AH91" i="36"/>
  <c r="AI90" i="36"/>
  <c r="AH90" i="36"/>
  <c r="AB90" i="36"/>
  <c r="AA90" i="36"/>
  <c r="Z90" i="36"/>
  <c r="Y90" i="36"/>
  <c r="AI89" i="36"/>
  <c r="AH89" i="36"/>
  <c r="AB89" i="36"/>
  <c r="AA89" i="36"/>
  <c r="Z89" i="36"/>
  <c r="Y89" i="36"/>
  <c r="AB88" i="36"/>
  <c r="AA88" i="36"/>
  <c r="Z88" i="36"/>
  <c r="Y88" i="36"/>
  <c r="P87" i="36"/>
  <c r="P86" i="36"/>
  <c r="P85" i="36"/>
  <c r="P84" i="36"/>
  <c r="P83" i="36"/>
  <c r="P82" i="36"/>
  <c r="P81" i="36"/>
  <c r="Q79" i="36"/>
  <c r="S79" i="36" s="1"/>
  <c r="AK79" i="36" s="1"/>
  <c r="Y61" i="36"/>
  <c r="Y91" i="36" s="1"/>
  <c r="Y60" i="36"/>
  <c r="Y59" i="36"/>
  <c r="Y57" i="36"/>
  <c r="Y87" i="36" s="1"/>
  <c r="Y56" i="36"/>
  <c r="Y86" i="36" s="1"/>
  <c r="Y55" i="36"/>
  <c r="Y85" i="36" s="1"/>
  <c r="Y54" i="36"/>
  <c r="Y84" i="36" s="1"/>
  <c r="Y53" i="36"/>
  <c r="Y83" i="36" s="1"/>
  <c r="Y52" i="36"/>
  <c r="Y82" i="36" s="1"/>
  <c r="Y51" i="36"/>
  <c r="Y81" i="36" s="1"/>
  <c r="Q40" i="36"/>
  <c r="R40" i="36" s="1"/>
  <c r="H13" i="36"/>
  <c r="AD212" i="36" s="1"/>
  <c r="AD215" i="36" s="1"/>
  <c r="D13" i="36"/>
  <c r="AD211" i="36" s="1"/>
  <c r="AD214" i="36" s="1"/>
  <c r="D34" i="50" l="1"/>
  <c r="X46" i="49"/>
  <c r="AA46" i="49" s="1"/>
  <c r="M35" i="50" s="1"/>
  <c r="D35" i="50"/>
  <c r="X45" i="49"/>
  <c r="AA45" i="49" s="1"/>
  <c r="M34" i="50" s="1"/>
  <c r="F35" i="50"/>
  <c r="X45" i="47"/>
  <c r="AA45" i="47" s="1"/>
  <c r="O34" i="50" s="1"/>
  <c r="F34" i="50"/>
  <c r="X46" i="47"/>
  <c r="AA46" i="47" s="1"/>
  <c r="O35" i="50" s="1"/>
  <c r="X45" i="48"/>
  <c r="AA45" i="48" s="1"/>
  <c r="P34" i="50" s="1"/>
  <c r="G35" i="50"/>
  <c r="X46" i="48"/>
  <c r="AA46" i="48" s="1"/>
  <c r="P35" i="50" s="1"/>
  <c r="G34" i="50"/>
  <c r="E35" i="50"/>
  <c r="X46" i="46"/>
  <c r="AA46" i="46" s="1"/>
  <c r="N35" i="50" s="1"/>
  <c r="E34" i="50"/>
  <c r="X45" i="46"/>
  <c r="AA45" i="46" s="1"/>
  <c r="N34" i="50" s="1"/>
  <c r="F28" i="50"/>
  <c r="W260" i="44"/>
  <c r="AA260" i="44" s="1"/>
  <c r="U239" i="40"/>
  <c r="Y239" i="40" s="1"/>
  <c r="U234" i="38"/>
  <c r="Y234" i="38" s="1"/>
  <c r="V254" i="43"/>
  <c r="Z254" i="43" s="1"/>
  <c r="U248" i="41"/>
  <c r="Y248" i="41" s="1"/>
  <c r="U242" i="39"/>
  <c r="Y242" i="39" s="1"/>
  <c r="U234" i="37"/>
  <c r="Y234" i="37" s="1"/>
  <c r="V263" i="42"/>
  <c r="V183" i="43"/>
  <c r="Z183" i="43" s="1"/>
  <c r="U179" i="41"/>
  <c r="U176" i="39"/>
  <c r="Y176" i="39" s="1"/>
  <c r="U173" i="37"/>
  <c r="Y173" i="37" s="1"/>
  <c r="W187" i="44"/>
  <c r="V189" i="42"/>
  <c r="Z189" i="42" s="1"/>
  <c r="U175" i="40"/>
  <c r="Y175" i="40" s="1"/>
  <c r="U172" i="38"/>
  <c r="U258" i="41"/>
  <c r="Y258" i="41" s="1"/>
  <c r="U252" i="39"/>
  <c r="Y252" i="39" s="1"/>
  <c r="U244" i="37"/>
  <c r="V273" i="42"/>
  <c r="W270" i="44"/>
  <c r="AA270" i="44" s="1"/>
  <c r="U249" i="40"/>
  <c r="Y249" i="40" s="1"/>
  <c r="U244" i="38"/>
  <c r="Y244" i="38" s="1"/>
  <c r="V264" i="43"/>
  <c r="Z264" i="43" s="1"/>
  <c r="V182" i="43"/>
  <c r="Z182" i="43" s="1"/>
  <c r="U178" i="41"/>
  <c r="Y178" i="41" s="1"/>
  <c r="U175" i="39"/>
  <c r="Y175" i="39" s="1"/>
  <c r="U172" i="37"/>
  <c r="W186" i="44"/>
  <c r="AA186" i="44" s="1"/>
  <c r="V188" i="42"/>
  <c r="Z188" i="42" s="1"/>
  <c r="U174" i="40"/>
  <c r="Y174" i="40" s="1"/>
  <c r="U171" i="38"/>
  <c r="V274" i="42"/>
  <c r="Z274" i="42" s="1"/>
  <c r="W271" i="44"/>
  <c r="AA271" i="44" s="1"/>
  <c r="U250" i="40"/>
  <c r="Y250" i="40" s="1"/>
  <c r="U245" i="38"/>
  <c r="U253" i="39"/>
  <c r="U245" i="37"/>
  <c r="Y245" i="37" s="1"/>
  <c r="V265" i="43"/>
  <c r="Z265" i="43" s="1"/>
  <c r="U259" i="41"/>
  <c r="Y259" i="41" s="1"/>
  <c r="U168" i="41"/>
  <c r="Y168" i="41" s="1"/>
  <c r="U165" i="39"/>
  <c r="Y165" i="39" s="1"/>
  <c r="U162" i="37"/>
  <c r="Y162" i="37" s="1"/>
  <c r="W176" i="44"/>
  <c r="AA176" i="44" s="1"/>
  <c r="V178" i="42"/>
  <c r="Z178" i="42" s="1"/>
  <c r="U164" i="40"/>
  <c r="Y164" i="40" s="1"/>
  <c r="U161" i="38"/>
  <c r="Y161" i="38" s="1"/>
  <c r="V171" i="42"/>
  <c r="Z171" i="42" s="1"/>
  <c r="V172" i="43"/>
  <c r="Z172" i="43" s="1"/>
  <c r="AA238" i="44"/>
  <c r="AA237" i="44"/>
  <c r="AA154" i="44"/>
  <c r="AA153" i="44"/>
  <c r="V158" i="42"/>
  <c r="AA152" i="44"/>
  <c r="AM53" i="44"/>
  <c r="AM92" i="44" s="1"/>
  <c r="F32" i="50"/>
  <c r="D44" i="50"/>
  <c r="D43" i="50"/>
  <c r="X55" i="49"/>
  <c r="AA55" i="49" s="1"/>
  <c r="M44" i="50" s="1"/>
  <c r="X54" i="49"/>
  <c r="AA54" i="49" s="1"/>
  <c r="M43" i="50" s="1"/>
  <c r="X55" i="47"/>
  <c r="AA55" i="47" s="1"/>
  <c r="O44" i="50" s="1"/>
  <c r="X54" i="47"/>
  <c r="AA54" i="47" s="1"/>
  <c r="O43" i="50" s="1"/>
  <c r="F44" i="50"/>
  <c r="F43" i="50"/>
  <c r="X54" i="48"/>
  <c r="AA54" i="48" s="1"/>
  <c r="P43" i="50" s="1"/>
  <c r="G43" i="50"/>
  <c r="G44" i="50"/>
  <c r="X55" i="48"/>
  <c r="AA55" i="48" s="1"/>
  <c r="P44" i="50" s="1"/>
  <c r="E44" i="50"/>
  <c r="X55" i="46"/>
  <c r="AA55" i="46" s="1"/>
  <c r="N44" i="50" s="1"/>
  <c r="X54" i="46"/>
  <c r="AA54" i="46" s="1"/>
  <c r="N43" i="50" s="1"/>
  <c r="E43" i="50"/>
  <c r="F41" i="50"/>
  <c r="E26" i="50"/>
  <c r="V19" i="48"/>
  <c r="X63" i="47"/>
  <c r="AA63" i="47" s="1"/>
  <c r="O52" i="50" s="1"/>
  <c r="X73" i="49"/>
  <c r="AA73" i="49" s="1"/>
  <c r="M62" i="50" s="1"/>
  <c r="G28" i="50"/>
  <c r="G32" i="50"/>
  <c r="F26" i="50"/>
  <c r="F52" i="50"/>
  <c r="X19" i="48"/>
  <c r="G40" i="50"/>
  <c r="E32" i="50"/>
  <c r="F31" i="50"/>
  <c r="F25" i="50"/>
  <c r="G25" i="50"/>
  <c r="F40" i="50"/>
  <c r="E33" i="50"/>
  <c r="G31" i="50"/>
  <c r="G41" i="50"/>
  <c r="E25" i="50"/>
  <c r="X74" i="48"/>
  <c r="AA74" i="48" s="1"/>
  <c r="P63" i="50" s="1"/>
  <c r="X19" i="47"/>
  <c r="X63" i="48"/>
  <c r="AA63" i="48" s="1"/>
  <c r="P52" i="50" s="1"/>
  <c r="G52" i="50"/>
  <c r="F37" i="50"/>
  <c r="D46" i="50"/>
  <c r="D49" i="50" s="1"/>
  <c r="G46" i="50"/>
  <c r="G47" i="50" s="1"/>
  <c r="H46" i="50"/>
  <c r="E46" i="50"/>
  <c r="E48" i="50" s="1"/>
  <c r="F46" i="50"/>
  <c r="G53" i="50"/>
  <c r="F18" i="50"/>
  <c r="X39" i="47"/>
  <c r="AA39" i="47" s="1"/>
  <c r="O28" i="50" s="1"/>
  <c r="F57" i="50"/>
  <c r="G14" i="50"/>
  <c r="G27" i="50"/>
  <c r="F42" i="50"/>
  <c r="X67" i="47"/>
  <c r="AA67" i="47" s="1"/>
  <c r="O56" i="50" s="1"/>
  <c r="F56" i="50"/>
  <c r="X73" i="47"/>
  <c r="AA73" i="47" s="1"/>
  <c r="O62" i="50" s="1"/>
  <c r="F62" i="50"/>
  <c r="I86" i="48"/>
  <c r="P86" i="48" s="1"/>
  <c r="G26" i="50"/>
  <c r="F53" i="50"/>
  <c r="G37" i="50"/>
  <c r="I87" i="48"/>
  <c r="P87" i="48" s="1"/>
  <c r="G58" i="50"/>
  <c r="X69" i="48"/>
  <c r="AA69" i="48" s="1"/>
  <c r="X73" i="48"/>
  <c r="AA73" i="48" s="1"/>
  <c r="P62" i="50" s="1"/>
  <c r="G62" i="50"/>
  <c r="G18" i="50"/>
  <c r="X44" i="48"/>
  <c r="AA44" i="48" s="1"/>
  <c r="P33" i="50" s="1"/>
  <c r="G33" i="50"/>
  <c r="G61" i="50"/>
  <c r="X43" i="47"/>
  <c r="AA43" i="47" s="1"/>
  <c r="O32" i="50" s="1"/>
  <c r="F61" i="50"/>
  <c r="X74" i="47"/>
  <c r="AA74" i="47" s="1"/>
  <c r="O63" i="50" s="1"/>
  <c r="X26" i="48"/>
  <c r="G15" i="50"/>
  <c r="G21" i="50"/>
  <c r="F21" i="50"/>
  <c r="I86" i="47"/>
  <c r="P86" i="47" s="1"/>
  <c r="F27" i="50"/>
  <c r="G56" i="50"/>
  <c r="X67" i="48"/>
  <c r="AA67" i="48" s="1"/>
  <c r="G57" i="50"/>
  <c r="X44" i="47"/>
  <c r="AA44" i="47" s="1"/>
  <c r="O33" i="50" s="1"/>
  <c r="F33" i="50"/>
  <c r="I87" i="47"/>
  <c r="P87" i="47" s="1"/>
  <c r="X69" i="47"/>
  <c r="AA69" i="47" s="1"/>
  <c r="O58" i="50" s="1"/>
  <c r="F58" i="50"/>
  <c r="G17" i="50"/>
  <c r="G42" i="50"/>
  <c r="X44" i="46"/>
  <c r="AA44" i="46" s="1"/>
  <c r="N33" i="50" s="1"/>
  <c r="X19" i="46"/>
  <c r="V19" i="49"/>
  <c r="Z19" i="49" s="1"/>
  <c r="X74" i="49"/>
  <c r="AA74" i="49" s="1"/>
  <c r="M63" i="50" s="1"/>
  <c r="V26" i="46"/>
  <c r="Z26" i="46" s="1"/>
  <c r="E40" i="50"/>
  <c r="E52" i="50"/>
  <c r="X63" i="46"/>
  <c r="AA63" i="46" s="1"/>
  <c r="N52" i="50" s="1"/>
  <c r="F17" i="50"/>
  <c r="D17" i="50"/>
  <c r="D28" i="50"/>
  <c r="X43" i="49"/>
  <c r="AA43" i="49" s="1"/>
  <c r="M32" i="50" s="1"/>
  <c r="D32" i="50"/>
  <c r="X67" i="49"/>
  <c r="AA67" i="49" s="1"/>
  <c r="M56" i="50" s="1"/>
  <c r="D56" i="50"/>
  <c r="D42" i="50"/>
  <c r="E27" i="50"/>
  <c r="E42" i="50"/>
  <c r="E56" i="50"/>
  <c r="X67" i="46"/>
  <c r="AA67" i="46" s="1"/>
  <c r="N56" i="50" s="1"/>
  <c r="X73" i="46"/>
  <c r="AA73" i="46" s="1"/>
  <c r="N62" i="50" s="1"/>
  <c r="D26" i="50"/>
  <c r="D52" i="50"/>
  <c r="X63" i="49"/>
  <c r="AA63" i="49" s="1"/>
  <c r="M52" i="50" s="1"/>
  <c r="E41" i="50"/>
  <c r="E28" i="50"/>
  <c r="E57" i="50"/>
  <c r="X74" i="46"/>
  <c r="F14" i="50"/>
  <c r="D14" i="50"/>
  <c r="D18" i="50"/>
  <c r="X44" i="49"/>
  <c r="AA44" i="49" s="1"/>
  <c r="M33" i="50" s="1"/>
  <c r="D33" i="50"/>
  <c r="D40" i="50"/>
  <c r="D57" i="50"/>
  <c r="E31" i="50"/>
  <c r="E58" i="50"/>
  <c r="X69" i="46"/>
  <c r="AA69" i="46" s="1"/>
  <c r="N58" i="50" s="1"/>
  <c r="V19" i="46"/>
  <c r="Z19" i="46" s="1"/>
  <c r="X26" i="46"/>
  <c r="X39" i="46"/>
  <c r="AA39" i="46" s="1"/>
  <c r="N28" i="50" s="1"/>
  <c r="V19" i="47"/>
  <c r="Z19" i="47" s="1"/>
  <c r="D53" i="50"/>
  <c r="V26" i="49"/>
  <c r="Z26" i="49" s="1"/>
  <c r="D15" i="50"/>
  <c r="D27" i="50"/>
  <c r="D31" i="50"/>
  <c r="AG22" i="46"/>
  <c r="X43" i="46"/>
  <c r="X26" i="47"/>
  <c r="F15" i="50"/>
  <c r="X19" i="49"/>
  <c r="D37" i="50"/>
  <c r="D41" i="50"/>
  <c r="I87" i="49"/>
  <c r="P87" i="49" s="1"/>
  <c r="X69" i="49"/>
  <c r="AA69" i="49" s="1"/>
  <c r="M58" i="50" s="1"/>
  <c r="D58" i="50"/>
  <c r="E37" i="50"/>
  <c r="X26" i="49"/>
  <c r="D21" i="50"/>
  <c r="I86" i="49"/>
  <c r="P86" i="49" s="1"/>
  <c r="D25" i="50"/>
  <c r="D65" i="50"/>
  <c r="AJ221" i="44"/>
  <c r="AN55" i="44" s="1"/>
  <c r="AN94" i="44" s="1"/>
  <c r="AI219" i="42"/>
  <c r="AM51" i="42" s="1"/>
  <c r="AM90" i="42" s="1"/>
  <c r="AL51" i="42"/>
  <c r="AL90" i="42" s="1"/>
  <c r="AH214" i="41"/>
  <c r="AL51" i="41" s="1"/>
  <c r="AL90" i="41" s="1"/>
  <c r="AH202" i="38"/>
  <c r="AL52" i="38" s="1"/>
  <c r="AL91" i="38" s="1"/>
  <c r="AM50" i="42"/>
  <c r="AM89" i="42" s="1"/>
  <c r="Z244" i="44"/>
  <c r="X249" i="40"/>
  <c r="X212" i="39"/>
  <c r="X174" i="38"/>
  <c r="AM50" i="43"/>
  <c r="AM89" i="43" s="1"/>
  <c r="Z135" i="44"/>
  <c r="AD59" i="44" s="1"/>
  <c r="X170" i="39"/>
  <c r="X181" i="41"/>
  <c r="Y187" i="42"/>
  <c r="Y255" i="43"/>
  <c r="Y132" i="43"/>
  <c r="AC57" i="43" s="1"/>
  <c r="X198" i="37"/>
  <c r="T48" i="37" s="1"/>
  <c r="T87" i="37" s="1"/>
  <c r="X141" i="39"/>
  <c r="Z159" i="44"/>
  <c r="Z189" i="44"/>
  <c r="Y188" i="42"/>
  <c r="Y260" i="43"/>
  <c r="Y179" i="42"/>
  <c r="X249" i="41"/>
  <c r="X169" i="41"/>
  <c r="Z167" i="44"/>
  <c r="X157" i="37"/>
  <c r="Y167" i="42"/>
  <c r="AK50" i="39"/>
  <c r="AK89" i="39" s="1"/>
  <c r="AL50" i="40"/>
  <c r="AL89" i="40" s="1"/>
  <c r="Y156" i="42"/>
  <c r="Z267" i="42"/>
  <c r="Z250" i="44"/>
  <c r="S41" i="39"/>
  <c r="AB50" i="39" s="1"/>
  <c r="S80" i="37"/>
  <c r="AK80" i="37" s="1"/>
  <c r="AJ80" i="37"/>
  <c r="T80" i="37"/>
  <c r="AL80" i="37" s="1"/>
  <c r="Z19" i="48"/>
  <c r="AG22" i="49"/>
  <c r="AG19" i="49"/>
  <c r="X39" i="49"/>
  <c r="AA39" i="49" s="1"/>
  <c r="M28" i="50" s="1"/>
  <c r="AG22" i="48"/>
  <c r="V26" i="48"/>
  <c r="AG19" i="48"/>
  <c r="X43" i="48"/>
  <c r="AA43" i="48" s="1"/>
  <c r="X39" i="48"/>
  <c r="AA39" i="48" s="1"/>
  <c r="AG22" i="47"/>
  <c r="V26" i="47"/>
  <c r="AG19" i="47"/>
  <c r="Y245" i="38"/>
  <c r="X244" i="38"/>
  <c r="Y215" i="38"/>
  <c r="X224" i="41"/>
  <c r="Y223" i="42"/>
  <c r="AD57" i="42" s="1"/>
  <c r="Z214" i="43"/>
  <c r="X122" i="39"/>
  <c r="S46" i="39" s="1"/>
  <c r="S85" i="39" s="1"/>
  <c r="AA212" i="44"/>
  <c r="Z216" i="42"/>
  <c r="X125" i="41"/>
  <c r="S46" i="41" s="1"/>
  <c r="S85" i="41" s="1"/>
  <c r="Z59" i="46"/>
  <c r="Z68" i="46"/>
  <c r="I86" i="46"/>
  <c r="P86" i="46" s="1"/>
  <c r="Z31" i="46"/>
  <c r="Z42" i="46"/>
  <c r="Z32" i="46"/>
  <c r="Z64" i="46"/>
  <c r="I87" i="46"/>
  <c r="P87" i="46" s="1"/>
  <c r="AG19" i="46"/>
  <c r="Z67" i="46"/>
  <c r="Z48" i="46"/>
  <c r="Z60" i="46"/>
  <c r="Z69" i="46"/>
  <c r="Z74" i="46"/>
  <c r="Z39" i="46"/>
  <c r="Z44" i="46"/>
  <c r="Z72" i="46"/>
  <c r="Z38" i="46"/>
  <c r="Z43" i="46"/>
  <c r="Z51" i="46"/>
  <c r="Z33" i="46"/>
  <c r="Z61" i="46"/>
  <c r="Z76" i="46"/>
  <c r="AJ219" i="44"/>
  <c r="AN53" i="44" s="1"/>
  <c r="AN92" i="44" s="1"/>
  <c r="Z235" i="44"/>
  <c r="Z264" i="44"/>
  <c r="Z271" i="44"/>
  <c r="AA182" i="44"/>
  <c r="Z260" i="44"/>
  <c r="AC69" i="44"/>
  <c r="AC82" i="44" s="1"/>
  <c r="AL82" i="44" s="1"/>
  <c r="Z182" i="44"/>
  <c r="AN52" i="44"/>
  <c r="AN91" i="44" s="1"/>
  <c r="Z152" i="44"/>
  <c r="Z176" i="44"/>
  <c r="Z161" i="44"/>
  <c r="Z171" i="44"/>
  <c r="Z168" i="44"/>
  <c r="Z225" i="44"/>
  <c r="Z231" i="44"/>
  <c r="AA231" i="44"/>
  <c r="I13" i="44"/>
  <c r="R196" i="44" s="1"/>
  <c r="AD191" i="44" s="1"/>
  <c r="Z212" i="44"/>
  <c r="AE57" i="44" s="1"/>
  <c r="Z261" i="44"/>
  <c r="Z128" i="44"/>
  <c r="AD57" i="44" s="1"/>
  <c r="Z266" i="44"/>
  <c r="W255" i="44"/>
  <c r="V52" i="44" s="1"/>
  <c r="AE91" i="44" s="1"/>
  <c r="T118" i="44"/>
  <c r="AM55" i="44"/>
  <c r="AM94" i="44" s="1"/>
  <c r="AA256" i="44"/>
  <c r="AA135" i="44"/>
  <c r="Z150" i="44"/>
  <c r="Z230" i="44"/>
  <c r="AM52" i="44"/>
  <c r="AM91" i="44" s="1"/>
  <c r="Z151" i="44"/>
  <c r="AA219" i="44"/>
  <c r="Z234" i="44"/>
  <c r="AC52" i="44"/>
  <c r="AA128" i="44"/>
  <c r="Z140" i="44"/>
  <c r="AA147" i="44"/>
  <c r="Z181" i="44"/>
  <c r="Z185" i="44"/>
  <c r="Z252" i="44"/>
  <c r="AA180" i="44"/>
  <c r="U43" i="44"/>
  <c r="AD52" i="44" s="1"/>
  <c r="Z141" i="44"/>
  <c r="Z156" i="44"/>
  <c r="Z166" i="44"/>
  <c r="Z186" i="44"/>
  <c r="Z236" i="44"/>
  <c r="Z243" i="44"/>
  <c r="Z253" i="44"/>
  <c r="AA266" i="44"/>
  <c r="Z270" i="44"/>
  <c r="Z224" i="44"/>
  <c r="Z251" i="44"/>
  <c r="AA264" i="44"/>
  <c r="V43" i="44"/>
  <c r="Z147" i="44"/>
  <c r="Z169" i="44"/>
  <c r="Z177" i="44"/>
  <c r="Z187" i="44"/>
  <c r="AA236" i="44"/>
  <c r="Z240" i="44"/>
  <c r="Z255" i="44"/>
  <c r="Z273" i="44"/>
  <c r="AC43" i="44"/>
  <c r="AL43" i="44" s="1"/>
  <c r="AA172" i="44"/>
  <c r="AA187" i="44"/>
  <c r="T203" i="44"/>
  <c r="Z269" i="44"/>
  <c r="Z160" i="44"/>
  <c r="Z180" i="44"/>
  <c r="Z219" i="44"/>
  <c r="AE59" i="44" s="1"/>
  <c r="Z245" i="44"/>
  <c r="Z265" i="44"/>
  <c r="AA235" i="44"/>
  <c r="Y207" i="43"/>
  <c r="AD55" i="43" s="1"/>
  <c r="Y153" i="43"/>
  <c r="Y125" i="43"/>
  <c r="AC55" i="43" s="1"/>
  <c r="Y164" i="43"/>
  <c r="Y183" i="43"/>
  <c r="H13" i="43"/>
  <c r="Q192" i="43" s="1"/>
  <c r="AC188" i="43" s="1"/>
  <c r="Z258" i="43"/>
  <c r="Y248" i="43"/>
  <c r="Y165" i="43"/>
  <c r="Y247" i="43"/>
  <c r="AI216" i="43"/>
  <c r="AM51" i="43" s="1"/>
  <c r="AM90" i="43" s="1"/>
  <c r="Z176" i="43"/>
  <c r="Y230" i="43"/>
  <c r="Y264" i="43"/>
  <c r="Y166" i="43"/>
  <c r="V168" i="43"/>
  <c r="T50" i="43" s="1"/>
  <c r="AC89" i="43" s="1"/>
  <c r="Y149" i="43"/>
  <c r="Y173" i="43"/>
  <c r="Y254" i="43"/>
  <c r="Y246" i="43"/>
  <c r="Y258" i="43"/>
  <c r="Z132" i="43"/>
  <c r="AL50" i="43"/>
  <c r="AL89" i="43" s="1"/>
  <c r="Z149" i="43"/>
  <c r="Y182" i="43"/>
  <c r="Y214" i="43"/>
  <c r="AD57" i="43" s="1"/>
  <c r="Y250" i="43"/>
  <c r="AL51" i="43"/>
  <c r="AL90" i="43" s="1"/>
  <c r="AL53" i="43"/>
  <c r="AL92" i="43" s="1"/>
  <c r="Z207" i="43"/>
  <c r="Z231" i="43"/>
  <c r="V250" i="43"/>
  <c r="U50" i="43" s="1"/>
  <c r="AD89" i="43" s="1"/>
  <c r="Y148" i="43"/>
  <c r="Y172" i="43"/>
  <c r="Y176" i="43"/>
  <c r="Y219" i="43"/>
  <c r="AI218" i="43"/>
  <c r="AM53" i="43" s="1"/>
  <c r="AM92" i="43" s="1"/>
  <c r="T41" i="43"/>
  <c r="AF228" i="43" s="1"/>
  <c r="AF231" i="43" s="1"/>
  <c r="Y163" i="43"/>
  <c r="Z169" i="43"/>
  <c r="U41" i="43"/>
  <c r="AF229" i="43" s="1"/>
  <c r="AF232" i="43" s="1"/>
  <c r="AB67" i="43"/>
  <c r="Y144" i="43"/>
  <c r="Y245" i="43"/>
  <c r="Z251" i="43"/>
  <c r="AB41" i="43"/>
  <c r="AK41" i="43" s="1"/>
  <c r="Y158" i="43"/>
  <c r="Z230" i="43"/>
  <c r="Y238" i="43"/>
  <c r="Y265" i="43"/>
  <c r="Y137" i="43"/>
  <c r="Y240" i="43"/>
  <c r="Z125" i="43"/>
  <c r="Z178" i="43"/>
  <c r="Z260" i="43"/>
  <c r="Y226" i="43"/>
  <c r="Z148" i="43"/>
  <c r="Y231" i="43"/>
  <c r="Y178" i="43"/>
  <c r="Y157" i="43"/>
  <c r="Y185" i="43"/>
  <c r="Y239" i="43"/>
  <c r="Y267" i="43"/>
  <c r="Y138" i="43"/>
  <c r="Y181" i="43"/>
  <c r="Y220" i="43"/>
  <c r="Y263" i="43"/>
  <c r="AB50" i="43"/>
  <c r="Y147" i="43"/>
  <c r="Y177" i="43"/>
  <c r="Y229" i="43"/>
  <c r="Y259" i="43"/>
  <c r="Y156" i="43"/>
  <c r="Y168" i="43"/>
  <c r="Y235" i="43"/>
  <c r="Z269" i="42"/>
  <c r="Y169" i="42"/>
  <c r="Y152" i="42"/>
  <c r="Z182" i="42"/>
  <c r="Y189" i="42"/>
  <c r="Y244" i="42"/>
  <c r="Y141" i="42"/>
  <c r="Z239" i="42"/>
  <c r="Y135" i="42"/>
  <c r="AC57" i="42" s="1"/>
  <c r="Y264" i="42"/>
  <c r="Z151" i="42"/>
  <c r="Y263" i="42"/>
  <c r="Y140" i="42"/>
  <c r="Z152" i="42"/>
  <c r="Y159" i="42"/>
  <c r="Y178" i="42"/>
  <c r="Y174" i="42"/>
  <c r="Y240" i="42"/>
  <c r="Y247" i="42"/>
  <c r="AL53" i="42"/>
  <c r="AL92" i="42" s="1"/>
  <c r="Y168" i="42"/>
  <c r="Z184" i="42"/>
  <c r="Y238" i="42"/>
  <c r="Y259" i="42"/>
  <c r="Y269" i="42"/>
  <c r="V259" i="42"/>
  <c r="U50" i="42" s="1"/>
  <c r="AD89" i="42" s="1"/>
  <c r="Z135" i="42"/>
  <c r="AI221" i="42"/>
  <c r="AM53" i="42" s="1"/>
  <c r="AM92" i="42" s="1"/>
  <c r="Y182" i="42"/>
  <c r="Y216" i="42"/>
  <c r="AD55" i="42" s="1"/>
  <c r="AL50" i="42"/>
  <c r="AL89" i="42" s="1"/>
  <c r="Y229" i="42"/>
  <c r="Y239" i="42"/>
  <c r="Y257" i="42"/>
  <c r="Z260" i="42"/>
  <c r="Z128" i="42"/>
  <c r="Y150" i="42"/>
  <c r="Y255" i="42"/>
  <c r="Y273" i="42"/>
  <c r="T41" i="42"/>
  <c r="U41" i="42"/>
  <c r="V174" i="42"/>
  <c r="Y183" i="42"/>
  <c r="Z223" i="42"/>
  <c r="Z240" i="42"/>
  <c r="Y254" i="42"/>
  <c r="Z263" i="42"/>
  <c r="Z273" i="42"/>
  <c r="AB41" i="42"/>
  <c r="AK41" i="42" s="1"/>
  <c r="Y276" i="42"/>
  <c r="AB67" i="42"/>
  <c r="Y256" i="42"/>
  <c r="Y272" i="42"/>
  <c r="Y268" i="42"/>
  <c r="AB50" i="42"/>
  <c r="Y274" i="42"/>
  <c r="Y151" i="42"/>
  <c r="Y166" i="42"/>
  <c r="Y184" i="42"/>
  <c r="Y128" i="42"/>
  <c r="AC55" i="42" s="1"/>
  <c r="Y191" i="42"/>
  <c r="Y228" i="42"/>
  <c r="Y267" i="42"/>
  <c r="X223" i="41"/>
  <c r="X148" i="41"/>
  <c r="Y174" i="41"/>
  <c r="Y179" i="41"/>
  <c r="Y228" i="41"/>
  <c r="X248" i="41"/>
  <c r="X253" i="41"/>
  <c r="AK50" i="41"/>
  <c r="AK89" i="41" s="1"/>
  <c r="X222" i="41"/>
  <c r="AL50" i="41"/>
  <c r="AL89" i="41" s="1"/>
  <c r="X205" i="41"/>
  <c r="T46" i="41" s="1"/>
  <c r="T85" i="41" s="1"/>
  <c r="X221" i="41"/>
  <c r="X143" i="41"/>
  <c r="X158" i="41"/>
  <c r="Y205" i="41"/>
  <c r="X233" i="41"/>
  <c r="X237" i="41"/>
  <c r="X138" i="41"/>
  <c r="Y144" i="41"/>
  <c r="Y224" i="41"/>
  <c r="Y229" i="41"/>
  <c r="X258" i="41"/>
  <c r="AK51" i="41"/>
  <c r="AK90" i="41" s="1"/>
  <c r="S116" i="41"/>
  <c r="T131" i="41" s="1"/>
  <c r="X165" i="41"/>
  <c r="S195" i="41"/>
  <c r="AH207" i="41" s="1"/>
  <c r="AL47" i="41" s="1"/>
  <c r="AL86" i="41" s="1"/>
  <c r="X228" i="41"/>
  <c r="X153" i="41"/>
  <c r="X243" i="41"/>
  <c r="X172" i="41"/>
  <c r="Y148" i="41"/>
  <c r="X157" i="41"/>
  <c r="X173" i="41"/>
  <c r="X179" i="41"/>
  <c r="S196" i="41"/>
  <c r="T212" i="41" s="1"/>
  <c r="X259" i="41"/>
  <c r="Y125" i="41"/>
  <c r="Y149" i="41"/>
  <c r="X156" i="41"/>
  <c r="X246" i="41"/>
  <c r="X257" i="41"/>
  <c r="Y252" i="41"/>
  <c r="X147" i="41"/>
  <c r="X163" i="41"/>
  <c r="Y172" i="41"/>
  <c r="Y254" i="41"/>
  <c r="I19" i="41"/>
  <c r="X141" i="41"/>
  <c r="X144" i="41"/>
  <c r="X166" i="41"/>
  <c r="X177" i="41"/>
  <c r="X217" i="41"/>
  <c r="X229" i="41"/>
  <c r="X244" i="41"/>
  <c r="X254" i="41"/>
  <c r="X137" i="41"/>
  <c r="R41" i="41"/>
  <c r="AH229" i="41"/>
  <c r="AH216" i="41" s="1"/>
  <c r="AL53" i="41" s="1"/>
  <c r="AL92" i="41" s="1"/>
  <c r="X238" i="41"/>
  <c r="X261" i="41"/>
  <c r="S117" i="41"/>
  <c r="X142" i="41"/>
  <c r="X168" i="41"/>
  <c r="X178" i="41"/>
  <c r="X218" i="41"/>
  <c r="X236" i="41"/>
  <c r="X245" i="41"/>
  <c r="X149" i="41"/>
  <c r="X164" i="41"/>
  <c r="X174" i="41"/>
  <c r="X227" i="41"/>
  <c r="X252" i="41"/>
  <c r="Y219" i="40"/>
  <c r="X138" i="40"/>
  <c r="X203" i="40"/>
  <c r="T48" i="40" s="1"/>
  <c r="T87" i="40" s="1"/>
  <c r="X164" i="40"/>
  <c r="Y144" i="40"/>
  <c r="X174" i="40"/>
  <c r="Y220" i="40"/>
  <c r="Y243" i="40"/>
  <c r="X235" i="40"/>
  <c r="X229" i="40"/>
  <c r="Y215" i="40"/>
  <c r="X134" i="40"/>
  <c r="X162" i="40"/>
  <c r="X121" i="40"/>
  <c r="S46" i="40" s="1"/>
  <c r="S85" i="40" s="1"/>
  <c r="X208" i="40"/>
  <c r="X220" i="40"/>
  <c r="X239" i="40"/>
  <c r="X245" i="40"/>
  <c r="AK53" i="40"/>
  <c r="AK92" i="40" s="1"/>
  <c r="AH207" i="40"/>
  <c r="AL53" i="40" s="1"/>
  <c r="AL92" i="40" s="1"/>
  <c r="Y140" i="40"/>
  <c r="X143" i="40"/>
  <c r="X149" i="40"/>
  <c r="X152" i="40"/>
  <c r="X168" i="40"/>
  <c r="Y168" i="40"/>
  <c r="X224" i="40"/>
  <c r="Y196" i="40"/>
  <c r="X213" i="40"/>
  <c r="X228" i="40"/>
  <c r="X240" i="40"/>
  <c r="X250" i="40"/>
  <c r="AK50" i="40"/>
  <c r="AK89" i="40" s="1"/>
  <c r="X144" i="40"/>
  <c r="X169" i="40"/>
  <c r="X133" i="40"/>
  <c r="Y121" i="40"/>
  <c r="X145" i="40"/>
  <c r="X161" i="40"/>
  <c r="X170" i="40"/>
  <c r="Y203" i="40"/>
  <c r="X214" i="40"/>
  <c r="Y245" i="40"/>
  <c r="Y128" i="40"/>
  <c r="X137" i="40"/>
  <c r="Y145" i="40"/>
  <c r="Y170" i="40"/>
  <c r="X243" i="40"/>
  <c r="S41" i="40"/>
  <c r="T41" i="40"/>
  <c r="T80" i="40" s="1"/>
  <c r="AK80" i="40" s="1"/>
  <c r="X160" i="40"/>
  <c r="X252" i="40"/>
  <c r="AA41" i="40"/>
  <c r="AJ41" i="40" s="1"/>
  <c r="X128" i="40"/>
  <c r="S48" i="40" s="1"/>
  <c r="S87" i="40" s="1"/>
  <c r="X154" i="40"/>
  <c r="X177" i="40"/>
  <c r="X212" i="40"/>
  <c r="X215" i="40"/>
  <c r="X237" i="40"/>
  <c r="X248" i="40"/>
  <c r="X140" i="40"/>
  <c r="X173" i="40"/>
  <c r="X196" i="40"/>
  <c r="T46" i="40" s="1"/>
  <c r="T85" i="40" s="1"/>
  <c r="X219" i="40"/>
  <c r="AH217" i="40"/>
  <c r="AH205" i="40" s="1"/>
  <c r="AL51" i="40" s="1"/>
  <c r="AL90" i="40" s="1"/>
  <c r="X234" i="40"/>
  <c r="X244" i="40"/>
  <c r="R80" i="40"/>
  <c r="AI80" i="40" s="1"/>
  <c r="X159" i="40"/>
  <c r="AA67" i="40"/>
  <c r="X139" i="40"/>
  <c r="X153" i="40"/>
  <c r="X165" i="40"/>
  <c r="X175" i="40"/>
  <c r="X209" i="40"/>
  <c r="X227" i="40"/>
  <c r="X236" i="40"/>
  <c r="X218" i="40"/>
  <c r="X162" i="39"/>
  <c r="Y218" i="39"/>
  <c r="Y248" i="39"/>
  <c r="X231" i="39"/>
  <c r="X238" i="39"/>
  <c r="Y206" i="39"/>
  <c r="X217" i="39"/>
  <c r="X176" i="39"/>
  <c r="X218" i="39"/>
  <c r="Y223" i="39"/>
  <c r="Y253" i="39"/>
  <c r="Y129" i="39"/>
  <c r="X140" i="39"/>
  <c r="X246" i="39"/>
  <c r="X134" i="39"/>
  <c r="X243" i="39"/>
  <c r="X138" i="39"/>
  <c r="X145" i="39"/>
  <c r="X248" i="39"/>
  <c r="X150" i="39"/>
  <c r="X154" i="39"/>
  <c r="Y145" i="39"/>
  <c r="X253" i="39"/>
  <c r="Y199" i="39"/>
  <c r="Y222" i="39"/>
  <c r="X166" i="39"/>
  <c r="AJ50" i="39"/>
  <c r="AJ89" i="39" s="1"/>
  <c r="X211" i="39"/>
  <c r="X223" i="39"/>
  <c r="Y246" i="39"/>
  <c r="X163" i="39"/>
  <c r="X206" i="39"/>
  <c r="T48" i="39" s="1"/>
  <c r="T87" i="39" s="1"/>
  <c r="Y141" i="39"/>
  <c r="X144" i="39"/>
  <c r="Y169" i="39"/>
  <c r="X230" i="39"/>
  <c r="X129" i="39"/>
  <c r="S48" i="39" s="1"/>
  <c r="S87" i="39" s="1"/>
  <c r="X215" i="39"/>
  <c r="X160" i="39"/>
  <c r="X222" i="39"/>
  <c r="X252" i="39"/>
  <c r="X242" i="39"/>
  <c r="X165" i="39"/>
  <c r="X169" i="39"/>
  <c r="X175" i="39"/>
  <c r="AA50" i="39"/>
  <c r="R80" i="39"/>
  <c r="AI80" i="39" s="1"/>
  <c r="AA41" i="39"/>
  <c r="AI41" i="39" s="1"/>
  <c r="X135" i="39"/>
  <c r="T41" i="39"/>
  <c r="X139" i="39"/>
  <c r="Y146" i="39"/>
  <c r="X146" i="39"/>
  <c r="X153" i="39"/>
  <c r="X155" i="39"/>
  <c r="Y122" i="39"/>
  <c r="X161" i="39"/>
  <c r="Y171" i="39"/>
  <c r="X171" i="39"/>
  <c r="X232" i="39"/>
  <c r="X255" i="39"/>
  <c r="X221" i="39"/>
  <c r="X227" i="39"/>
  <c r="X240" i="39"/>
  <c r="X251" i="39"/>
  <c r="X199" i="39"/>
  <c r="T46" i="39" s="1"/>
  <c r="T85" i="39" s="1"/>
  <c r="S110" i="39"/>
  <c r="X178" i="39"/>
  <c r="X216" i="39"/>
  <c r="X237" i="39"/>
  <c r="X247" i="39"/>
  <c r="X174" i="39"/>
  <c r="X239" i="39"/>
  <c r="I25" i="38"/>
  <c r="R183" i="38" s="1"/>
  <c r="X125" i="38"/>
  <c r="S47" i="38" s="1"/>
  <c r="S86" i="38" s="1"/>
  <c r="X235" i="38"/>
  <c r="X118" i="38"/>
  <c r="S45" i="38" s="1"/>
  <c r="S84" i="38" s="1"/>
  <c r="X222" i="38"/>
  <c r="X210" i="38"/>
  <c r="AK52" i="38"/>
  <c r="AK91" i="38" s="1"/>
  <c r="X136" i="38"/>
  <c r="X151" i="38"/>
  <c r="R40" i="38"/>
  <c r="S40" i="38" s="1"/>
  <c r="AB66" i="38" s="1"/>
  <c r="Y125" i="38"/>
  <c r="X223" i="38"/>
  <c r="X146" i="38"/>
  <c r="Y141" i="38"/>
  <c r="X170" i="38"/>
  <c r="X203" i="38"/>
  <c r="X215" i="38"/>
  <c r="X134" i="38"/>
  <c r="X162" i="38"/>
  <c r="X208" i="38"/>
  <c r="X239" i="38"/>
  <c r="Y137" i="38"/>
  <c r="Y167" i="38"/>
  <c r="Y171" i="38"/>
  <c r="X131" i="38"/>
  <c r="Y198" i="38"/>
  <c r="Y240" i="38"/>
  <c r="Y210" i="38"/>
  <c r="X159" i="38"/>
  <c r="Y165" i="38"/>
  <c r="X229" i="38"/>
  <c r="Y118" i="38"/>
  <c r="X137" i="38"/>
  <c r="X141" i="38"/>
  <c r="X161" i="38"/>
  <c r="X198" i="38"/>
  <c r="T47" i="38" s="1"/>
  <c r="T86" i="38" s="1"/>
  <c r="X231" i="38"/>
  <c r="X245" i="38"/>
  <c r="Y142" i="38"/>
  <c r="X172" i="38"/>
  <c r="X150" i="38"/>
  <c r="X207" i="38"/>
  <c r="X247" i="38"/>
  <c r="X214" i="38"/>
  <c r="X219" i="38"/>
  <c r="X156" i="38"/>
  <c r="X166" i="38"/>
  <c r="X234" i="38"/>
  <c r="X238" i="38"/>
  <c r="AH213" i="38"/>
  <c r="AH200" i="38" s="1"/>
  <c r="AL50" i="38" s="1"/>
  <c r="AL89" i="38" s="1"/>
  <c r="AK50" i="38"/>
  <c r="AK89" i="38" s="1"/>
  <c r="Y238" i="38"/>
  <c r="X140" i="38"/>
  <c r="X165" i="38"/>
  <c r="Y191" i="38"/>
  <c r="X209" i="38"/>
  <c r="Y214" i="38"/>
  <c r="X230" i="38"/>
  <c r="X240" i="38"/>
  <c r="X158" i="38"/>
  <c r="E20" i="38"/>
  <c r="P108" i="38" s="1"/>
  <c r="AB108" i="38" s="1"/>
  <c r="X135" i="38"/>
  <c r="X149" i="38"/>
  <c r="X171" i="38"/>
  <c r="X204" i="38"/>
  <c r="X224" i="38"/>
  <c r="R110" i="38"/>
  <c r="X130" i="38"/>
  <c r="X142" i="38"/>
  <c r="X157" i="38"/>
  <c r="X167" i="38"/>
  <c r="X213" i="38"/>
  <c r="X232" i="38"/>
  <c r="X243" i="38"/>
  <c r="Y172" i="38"/>
  <c r="X191" i="38"/>
  <c r="T45" i="38" s="1"/>
  <c r="T84" i="38" s="1"/>
  <c r="X223" i="37"/>
  <c r="Y138" i="37"/>
  <c r="X214" i="37"/>
  <c r="Y244" i="37"/>
  <c r="AK53" i="37"/>
  <c r="AK92" i="37" s="1"/>
  <c r="X126" i="37"/>
  <c r="S48" i="37" s="1"/>
  <c r="S87" i="37" s="1"/>
  <c r="X135" i="37"/>
  <c r="X163" i="37"/>
  <c r="X215" i="37"/>
  <c r="X240" i="37"/>
  <c r="S41" i="37"/>
  <c r="AB50" i="37" s="1"/>
  <c r="AA50" i="37"/>
  <c r="X244" i="37"/>
  <c r="Y143" i="37"/>
  <c r="X160" i="37"/>
  <c r="X232" i="37"/>
  <c r="X147" i="37"/>
  <c r="X175" i="37"/>
  <c r="X207" i="37"/>
  <c r="X203" i="37"/>
  <c r="Y210" i="37"/>
  <c r="X239" i="37"/>
  <c r="AK51" i="37"/>
  <c r="AK90" i="37" s="1"/>
  <c r="AH213" i="37"/>
  <c r="AH200" i="37" s="1"/>
  <c r="AL51" i="37" s="1"/>
  <c r="AL90" i="37" s="1"/>
  <c r="Y119" i="37"/>
  <c r="Y142" i="37"/>
  <c r="X152" i="37"/>
  <c r="Y168" i="37"/>
  <c r="X224" i="37"/>
  <c r="X171" i="37"/>
  <c r="Y198" i="37"/>
  <c r="X229" i="37"/>
  <c r="T41" i="37"/>
  <c r="AC67" i="37" s="1"/>
  <c r="Y126" i="37"/>
  <c r="X138" i="37"/>
  <c r="Y214" i="37"/>
  <c r="Y240" i="37"/>
  <c r="X243" i="37"/>
  <c r="AH202" i="37"/>
  <c r="AL53" i="37" s="1"/>
  <c r="AL92" i="37" s="1"/>
  <c r="X141" i="37"/>
  <c r="X159" i="37"/>
  <c r="X230" i="37"/>
  <c r="X234" i="37"/>
  <c r="Y238" i="37"/>
  <c r="X247" i="37"/>
  <c r="X208" i="37"/>
  <c r="X119" i="37"/>
  <c r="S46" i="37" s="1"/>
  <c r="S85" i="37" s="1"/>
  <c r="X137" i="37"/>
  <c r="X151" i="37"/>
  <c r="X173" i="37"/>
  <c r="X210" i="37"/>
  <c r="Y215" i="37"/>
  <c r="X150" i="37"/>
  <c r="Y172" i="37"/>
  <c r="X172" i="37"/>
  <c r="X204" i="37"/>
  <c r="X219" i="37"/>
  <c r="E20" i="37"/>
  <c r="I20" i="37"/>
  <c r="AE214" i="37" s="1"/>
  <c r="AE217" i="37" s="1"/>
  <c r="X132" i="37"/>
  <c r="X231" i="37"/>
  <c r="X162" i="37"/>
  <c r="X136" i="37"/>
  <c r="T128" i="37"/>
  <c r="E18" i="37"/>
  <c r="Y166" i="37"/>
  <c r="X166" i="37"/>
  <c r="Y191" i="37"/>
  <c r="X209" i="37"/>
  <c r="X235" i="37"/>
  <c r="X142" i="37"/>
  <c r="X167" i="37"/>
  <c r="AH196" i="37"/>
  <c r="AL50" i="37" s="1"/>
  <c r="AL89" i="37" s="1"/>
  <c r="X191" i="37"/>
  <c r="T46" i="37" s="1"/>
  <c r="T85" i="37" s="1"/>
  <c r="X222" i="37"/>
  <c r="AA41" i="37"/>
  <c r="AJ41" i="37" s="1"/>
  <c r="X245" i="37"/>
  <c r="T200" i="37"/>
  <c r="X131" i="37"/>
  <c r="X143" i="37"/>
  <c r="X158" i="37"/>
  <c r="X168" i="37"/>
  <c r="X213" i="37"/>
  <c r="X238" i="37"/>
  <c r="AH128" i="37"/>
  <c r="AK50" i="37" s="1"/>
  <c r="AK89" i="37" s="1"/>
  <c r="W214" i="36"/>
  <c r="X244" i="36"/>
  <c r="W167" i="36"/>
  <c r="W125" i="36"/>
  <c r="R47" i="36" s="1"/>
  <c r="R86" i="36" s="1"/>
  <c r="W170" i="36"/>
  <c r="W202" i="36"/>
  <c r="X243" i="36"/>
  <c r="W130" i="36"/>
  <c r="AG201" i="36"/>
  <c r="AK52" i="36" s="1"/>
  <c r="AK91" i="36" s="1"/>
  <c r="W171" i="36"/>
  <c r="X197" i="36"/>
  <c r="W159" i="36"/>
  <c r="AJ50" i="36"/>
  <c r="AJ89" i="36" s="1"/>
  <c r="T118" i="36"/>
  <c r="AK49" i="36"/>
  <c r="AK88" i="36" s="1"/>
  <c r="W206" i="36"/>
  <c r="X125" i="36"/>
  <c r="X137" i="36"/>
  <c r="W142" i="36"/>
  <c r="X172" i="36"/>
  <c r="X167" i="36"/>
  <c r="W229" i="36"/>
  <c r="W151" i="36"/>
  <c r="W157" i="36"/>
  <c r="W207" i="36"/>
  <c r="AJ49" i="36"/>
  <c r="AJ88" i="36" s="1"/>
  <c r="X142" i="36"/>
  <c r="W161" i="36"/>
  <c r="W239" i="36"/>
  <c r="S129" i="36"/>
  <c r="W231" i="36"/>
  <c r="X237" i="36"/>
  <c r="W134" i="36"/>
  <c r="X141" i="36"/>
  <c r="R129" i="36"/>
  <c r="W149" i="36"/>
  <c r="W209" i="36"/>
  <c r="W233" i="36"/>
  <c r="AA177" i="36"/>
  <c r="O181" i="36"/>
  <c r="R79" i="36"/>
  <c r="AJ79" i="36" s="1"/>
  <c r="W136" i="36"/>
  <c r="W174" i="36"/>
  <c r="W218" i="36"/>
  <c r="X233" i="36"/>
  <c r="W237" i="36"/>
  <c r="W243" i="36"/>
  <c r="X161" i="36"/>
  <c r="X171" i="36"/>
  <c r="AJ52" i="36"/>
  <c r="AJ91" i="36" s="1"/>
  <c r="AG199" i="36"/>
  <c r="AK50" i="36" s="1"/>
  <c r="AK89" i="36" s="1"/>
  <c r="W162" i="36"/>
  <c r="W172" i="36"/>
  <c r="W212" i="36"/>
  <c r="AI79" i="36"/>
  <c r="W137" i="36"/>
  <c r="W203" i="36"/>
  <c r="X209" i="36"/>
  <c r="W221" i="36"/>
  <c r="X165" i="36"/>
  <c r="X239" i="36"/>
  <c r="AA49" i="36"/>
  <c r="AA66" i="36"/>
  <c r="AA40" i="36"/>
  <c r="AJ40" i="36" s="1"/>
  <c r="S40" i="36"/>
  <c r="Z40" i="36"/>
  <c r="AI40" i="36" s="1"/>
  <c r="W141" i="36"/>
  <c r="W156" i="36"/>
  <c r="W166" i="36"/>
  <c r="S190" i="36"/>
  <c r="W197" i="36"/>
  <c r="S47" i="36" s="1"/>
  <c r="S86" i="36" s="1"/>
  <c r="X214" i="36"/>
  <c r="W223" i="36"/>
  <c r="W246" i="36"/>
  <c r="R190" i="36"/>
  <c r="W150" i="36"/>
  <c r="W242" i="36"/>
  <c r="AG118" i="36"/>
  <c r="AJ47" i="36" s="1"/>
  <c r="AJ86" i="36" s="1"/>
  <c r="W131" i="36"/>
  <c r="W146" i="36"/>
  <c r="W158" i="36"/>
  <c r="W213" i="36"/>
  <c r="W228" i="36"/>
  <c r="W238" i="36"/>
  <c r="Z66" i="36"/>
  <c r="W140" i="36"/>
  <c r="W165" i="36"/>
  <c r="W208" i="36"/>
  <c r="X213" i="36"/>
  <c r="W222" i="36"/>
  <c r="W234" i="36"/>
  <c r="W244" i="36"/>
  <c r="T190" i="36"/>
  <c r="Z49" i="36"/>
  <c r="W135" i="36"/>
  <c r="AG186" i="36"/>
  <c r="AK47" i="36" s="1"/>
  <c r="AK86" i="36" s="1"/>
  <c r="W230" i="36"/>
  <c r="R118" i="36"/>
  <c r="O53" i="11"/>
  <c r="AA19" i="48" l="1"/>
  <c r="U68" i="12"/>
  <c r="X68" i="48"/>
  <c r="AA68" i="48" s="1"/>
  <c r="P57" i="50" s="1"/>
  <c r="X68" i="47"/>
  <c r="AA68" i="47" s="1"/>
  <c r="O57" i="50" s="1"/>
  <c r="X68" i="49"/>
  <c r="AA68" i="49" s="1"/>
  <c r="M57" i="50" s="1"/>
  <c r="X68" i="46"/>
  <c r="AA68" i="46" s="1"/>
  <c r="N57" i="50" s="1"/>
  <c r="AB67" i="39"/>
  <c r="AB41" i="39"/>
  <c r="AJ41" i="39" s="1"/>
  <c r="AE220" i="39"/>
  <c r="AE223" i="39" s="1"/>
  <c r="AA26" i="46"/>
  <c r="N15" i="50" s="1"/>
  <c r="AA26" i="49"/>
  <c r="M15" i="50" s="1"/>
  <c r="F85" i="50"/>
  <c r="AA43" i="46"/>
  <c r="N32" i="50" s="1"/>
  <c r="G85" i="50"/>
  <c r="AA19" i="49"/>
  <c r="M8" i="50" s="1"/>
  <c r="AA19" i="46"/>
  <c r="N8" i="50" s="1"/>
  <c r="E85" i="50"/>
  <c r="E47" i="50"/>
  <c r="G50" i="50"/>
  <c r="X66" i="47"/>
  <c r="AA66" i="47" s="1"/>
  <c r="O55" i="50" s="1"/>
  <c r="D47" i="50"/>
  <c r="F50" i="50"/>
  <c r="F49" i="50"/>
  <c r="D50" i="50"/>
  <c r="F48" i="50"/>
  <c r="D48" i="50"/>
  <c r="H49" i="50"/>
  <c r="H48" i="50"/>
  <c r="H50" i="50"/>
  <c r="H47" i="50"/>
  <c r="G48" i="50"/>
  <c r="E50" i="50"/>
  <c r="E49" i="50"/>
  <c r="G49" i="50"/>
  <c r="D85" i="50"/>
  <c r="F47" i="50"/>
  <c r="X66" i="49"/>
  <c r="AA66" i="49" s="1"/>
  <c r="M55" i="50" s="1"/>
  <c r="Z149" i="44"/>
  <c r="AA19" i="47"/>
  <c r="O8" i="50" s="1"/>
  <c r="AB41" i="37"/>
  <c r="AK41" i="37" s="1"/>
  <c r="AC50" i="43"/>
  <c r="T40" i="38"/>
  <c r="T79" i="38" s="1"/>
  <c r="AL79" i="38" s="1"/>
  <c r="P182" i="37"/>
  <c r="AB178" i="37" s="1"/>
  <c r="Z139" i="44"/>
  <c r="Z184" i="44"/>
  <c r="Y237" i="43"/>
  <c r="X210" i="39"/>
  <c r="X143" i="39"/>
  <c r="AA40" i="38"/>
  <c r="AJ40" i="38" s="1"/>
  <c r="AB40" i="38"/>
  <c r="AK40" i="38" s="1"/>
  <c r="AB80" i="42"/>
  <c r="AK80" i="42"/>
  <c r="AC41" i="43"/>
  <c r="AL41" i="43" s="1"/>
  <c r="AD50" i="43"/>
  <c r="AB67" i="37"/>
  <c r="AA66" i="38"/>
  <c r="AC67" i="43"/>
  <c r="AK80" i="43"/>
  <c r="AB80" i="43"/>
  <c r="W174" i="44"/>
  <c r="X226" i="40"/>
  <c r="X142" i="40"/>
  <c r="X202" i="38"/>
  <c r="X251" i="41"/>
  <c r="P58" i="50"/>
  <c r="P32" i="50"/>
  <c r="P56" i="50"/>
  <c r="P8" i="50"/>
  <c r="P28" i="50"/>
  <c r="X66" i="48"/>
  <c r="AA66" i="48" s="1"/>
  <c r="AA26" i="48"/>
  <c r="Z26" i="48"/>
  <c r="AA26" i="47"/>
  <c r="O15" i="50" s="1"/>
  <c r="Z26" i="47"/>
  <c r="Z63" i="46"/>
  <c r="Z73" i="46"/>
  <c r="Z58" i="46"/>
  <c r="AA74" i="46"/>
  <c r="N63" i="50" s="1"/>
  <c r="Z66" i="46"/>
  <c r="Z37" i="46"/>
  <c r="Z71" i="46"/>
  <c r="Z41" i="46"/>
  <c r="Z50" i="46"/>
  <c r="Z35" i="46"/>
  <c r="Z57" i="46"/>
  <c r="Z249" i="44"/>
  <c r="AD43" i="44"/>
  <c r="AM43" i="44" s="1"/>
  <c r="Z233" i="44"/>
  <c r="Z158" i="44"/>
  <c r="AD69" i="44"/>
  <c r="AD82" i="44" s="1"/>
  <c r="AM82" i="44" s="1"/>
  <c r="AG231" i="44"/>
  <c r="AG234" i="44" s="1"/>
  <c r="AA255" i="44"/>
  <c r="Z144" i="44"/>
  <c r="Z146" i="44"/>
  <c r="Z242" i="44"/>
  <c r="Z263" i="44"/>
  <c r="AE52" i="44"/>
  <c r="AE43" i="44"/>
  <c r="AN43" i="44" s="1"/>
  <c r="AG232" i="44"/>
  <c r="AG235" i="44" s="1"/>
  <c r="AE69" i="44"/>
  <c r="AE82" i="44" s="1"/>
  <c r="AN82" i="44" s="1"/>
  <c r="Z165" i="44"/>
  <c r="Z228" i="44"/>
  <c r="Z179" i="44"/>
  <c r="Z145" i="44"/>
  <c r="Z268" i="44"/>
  <c r="Z229" i="44"/>
  <c r="AA151" i="44"/>
  <c r="Z223" i="44"/>
  <c r="Y244" i="43"/>
  <c r="Y175" i="43"/>
  <c r="Y180" i="43"/>
  <c r="Y162" i="43"/>
  <c r="Z250" i="43"/>
  <c r="Z168" i="43"/>
  <c r="Y143" i="43"/>
  <c r="Y155" i="43"/>
  <c r="Z144" i="43"/>
  <c r="Y225" i="43"/>
  <c r="Z226" i="43"/>
  <c r="Y257" i="43"/>
  <c r="AD41" i="43"/>
  <c r="AM41" i="43" s="1"/>
  <c r="AD67" i="43"/>
  <c r="Y262" i="43"/>
  <c r="Y136" i="43"/>
  <c r="Y142" i="43"/>
  <c r="Y141" i="43"/>
  <c r="Y228" i="43"/>
  <c r="Y224" i="43"/>
  <c r="Y223" i="43"/>
  <c r="Y218" i="43"/>
  <c r="Y146" i="43"/>
  <c r="Y266" i="42"/>
  <c r="Z259" i="42"/>
  <c r="Y146" i="42"/>
  <c r="Y181" i="42"/>
  <c r="Y233" i="42"/>
  <c r="Z147" i="42"/>
  <c r="Y147" i="42"/>
  <c r="Y253" i="42"/>
  <c r="Z235" i="42"/>
  <c r="Y235" i="42"/>
  <c r="Y139" i="42"/>
  <c r="Y144" i="42"/>
  <c r="Z174" i="42"/>
  <c r="T50" i="42"/>
  <c r="AC89" i="42" s="1"/>
  <c r="Y165" i="42"/>
  <c r="Y145" i="42"/>
  <c r="Y237" i="42"/>
  <c r="Y160" i="42"/>
  <c r="Y227" i="42"/>
  <c r="Y271" i="42"/>
  <c r="Y161" i="42"/>
  <c r="Y232" i="42"/>
  <c r="Y248" i="42"/>
  <c r="Y186" i="42"/>
  <c r="Y234" i="42"/>
  <c r="Q198" i="42"/>
  <c r="AC191" i="42" s="1"/>
  <c r="AD41" i="42"/>
  <c r="AM41" i="42" s="1"/>
  <c r="AD50" i="42"/>
  <c r="AF232" i="42"/>
  <c r="AF235" i="42" s="1"/>
  <c r="AD67" i="42"/>
  <c r="Y249" i="42"/>
  <c r="Y149" i="42"/>
  <c r="AC50" i="42"/>
  <c r="AF231" i="42"/>
  <c r="AF234" i="42" s="1"/>
  <c r="Q109" i="42"/>
  <c r="AC109" i="42" s="1"/>
  <c r="AC41" i="42"/>
  <c r="AL41" i="42" s="1"/>
  <c r="AC67" i="42"/>
  <c r="X146" i="41"/>
  <c r="X136" i="41"/>
  <c r="X226" i="41"/>
  <c r="X171" i="41"/>
  <c r="X220" i="41"/>
  <c r="T211" i="41"/>
  <c r="U212" i="41"/>
  <c r="AH208" i="41"/>
  <c r="AL49" i="41" s="1"/>
  <c r="AL88" i="41" s="1"/>
  <c r="AH131" i="41"/>
  <c r="AK47" i="41" s="1"/>
  <c r="AK86" i="41" s="1"/>
  <c r="S212" i="41"/>
  <c r="X140" i="41"/>
  <c r="X155" i="41"/>
  <c r="X256" i="41"/>
  <c r="AA67" i="41"/>
  <c r="AA41" i="41"/>
  <c r="AJ41" i="41" s="1"/>
  <c r="T41" i="41"/>
  <c r="T80" i="41" s="1"/>
  <c r="AK80" i="41" s="1"/>
  <c r="S41" i="41"/>
  <c r="AA50" i="41"/>
  <c r="R80" i="41"/>
  <c r="AI80" i="41" s="1"/>
  <c r="T132" i="41"/>
  <c r="AH132" i="41"/>
  <c r="AK49" i="41" s="1"/>
  <c r="AK88" i="41" s="1"/>
  <c r="U132" i="41"/>
  <c r="S132" i="41"/>
  <c r="X242" i="41"/>
  <c r="X235" i="41"/>
  <c r="X176" i="41"/>
  <c r="X216" i="41"/>
  <c r="X162" i="41"/>
  <c r="X167" i="40"/>
  <c r="X158" i="40"/>
  <c r="AB50" i="40"/>
  <c r="AB67" i="40"/>
  <c r="S80" i="40"/>
  <c r="AB41" i="40"/>
  <c r="AK41" i="40" s="1"/>
  <c r="X242" i="40"/>
  <c r="X207" i="40"/>
  <c r="X217" i="40"/>
  <c r="X247" i="40"/>
  <c r="X136" i="40"/>
  <c r="X132" i="40"/>
  <c r="X172" i="40"/>
  <c r="X233" i="40"/>
  <c r="X151" i="40"/>
  <c r="X211" i="40"/>
  <c r="AC67" i="40"/>
  <c r="AC50" i="40"/>
  <c r="AC41" i="40"/>
  <c r="AL41" i="40" s="1"/>
  <c r="X214" i="39"/>
  <c r="X245" i="39"/>
  <c r="X229" i="39"/>
  <c r="X168" i="39"/>
  <c r="X152" i="39"/>
  <c r="X137" i="39"/>
  <c r="X250" i="39"/>
  <c r="S80" i="39"/>
  <c r="X220" i="39"/>
  <c r="X159" i="39"/>
  <c r="X236" i="39"/>
  <c r="X173" i="39"/>
  <c r="X133" i="39"/>
  <c r="AE221" i="39"/>
  <c r="AE224" i="39" s="1"/>
  <c r="AC41" i="39"/>
  <c r="AK41" i="39" s="1"/>
  <c r="P185" i="39"/>
  <c r="AB181" i="39" s="1"/>
  <c r="AC67" i="39"/>
  <c r="AC50" i="39"/>
  <c r="X155" i="38"/>
  <c r="X206" i="38"/>
  <c r="X169" i="38"/>
  <c r="S79" i="38"/>
  <c r="AK79" i="38" s="1"/>
  <c r="R79" i="38"/>
  <c r="AJ79" i="38" s="1"/>
  <c r="X221" i="38"/>
  <c r="AB49" i="38"/>
  <c r="AA49" i="38"/>
  <c r="AH196" i="38"/>
  <c r="AL49" i="38" s="1"/>
  <c r="X133" i="38"/>
  <c r="T200" i="38"/>
  <c r="X237" i="38"/>
  <c r="X242" i="38"/>
  <c r="X228" i="38"/>
  <c r="X139" i="38"/>
  <c r="X212" i="38"/>
  <c r="X148" i="38"/>
  <c r="X129" i="38"/>
  <c r="AH127" i="38"/>
  <c r="AK49" i="38" s="1"/>
  <c r="T127" i="38"/>
  <c r="AC49" i="38"/>
  <c r="X164" i="38"/>
  <c r="AC41" i="37"/>
  <c r="AL41" i="37" s="1"/>
  <c r="X165" i="37"/>
  <c r="AC50" i="37"/>
  <c r="X242" i="37"/>
  <c r="X202" i="37"/>
  <c r="X134" i="37"/>
  <c r="X130" i="37"/>
  <c r="X156" i="37"/>
  <c r="X140" i="37"/>
  <c r="E25" i="37"/>
  <c r="I25" i="37"/>
  <c r="X228" i="37"/>
  <c r="X149" i="37"/>
  <c r="X237" i="37"/>
  <c r="X212" i="37"/>
  <c r="X221" i="37"/>
  <c r="AE213" i="37"/>
  <c r="AE216" i="37" s="1"/>
  <c r="P109" i="37"/>
  <c r="X170" i="37"/>
  <c r="X206" i="37"/>
  <c r="AA108" i="36"/>
  <c r="O108" i="36"/>
  <c r="W241" i="36"/>
  <c r="W201" i="36"/>
  <c r="W169" i="36"/>
  <c r="W236" i="36"/>
  <c r="W211" i="36"/>
  <c r="W129" i="36"/>
  <c r="W148" i="36"/>
  <c r="W164" i="36"/>
  <c r="W139" i="36"/>
  <c r="W205" i="36"/>
  <c r="W227" i="36"/>
  <c r="W155" i="36"/>
  <c r="AB49" i="36"/>
  <c r="AB66" i="36"/>
  <c r="AB40" i="36"/>
  <c r="AK40" i="36" s="1"/>
  <c r="W133" i="36"/>
  <c r="X118" i="36"/>
  <c r="W118" i="36"/>
  <c r="R45" i="36" s="1"/>
  <c r="R84" i="36" s="1"/>
  <c r="W220" i="36"/>
  <c r="X190" i="36"/>
  <c r="W190" i="36"/>
  <c r="S45" i="36" s="1"/>
  <c r="S84" i="36" s="1"/>
  <c r="X66" i="46" l="1"/>
  <c r="AA66" i="46" s="1"/>
  <c r="N55" i="50" s="1"/>
  <c r="AC66" i="38"/>
  <c r="AC40" i="38"/>
  <c r="AL40" i="38" s="1"/>
  <c r="P109" i="40"/>
  <c r="AB109" i="40" s="1"/>
  <c r="AJ80" i="40"/>
  <c r="AD80" i="43"/>
  <c r="AM80" i="43"/>
  <c r="AL80" i="42"/>
  <c r="AC80" i="42"/>
  <c r="AD80" i="42"/>
  <c r="AM80" i="42"/>
  <c r="AC80" i="43"/>
  <c r="AL80" i="43"/>
  <c r="P109" i="39"/>
  <c r="AB109" i="39" s="1"/>
  <c r="T80" i="39"/>
  <c r="AK80" i="39" s="1"/>
  <c r="AJ80" i="39"/>
  <c r="AA174" i="44"/>
  <c r="W171" i="44"/>
  <c r="U52" i="44" s="1"/>
  <c r="AD91" i="44" s="1"/>
  <c r="P15" i="50"/>
  <c r="P55" i="50"/>
  <c r="Z227" i="44"/>
  <c r="Z143" i="44"/>
  <c r="Y222" i="43"/>
  <c r="Y140" i="43"/>
  <c r="Y143" i="42"/>
  <c r="Y231" i="42"/>
  <c r="Y158" i="42"/>
  <c r="Y246" i="42"/>
  <c r="Y212" i="41"/>
  <c r="X212" i="41"/>
  <c r="T48" i="41" s="1"/>
  <c r="T87" i="41" s="1"/>
  <c r="X132" i="41"/>
  <c r="S48" i="41" s="1"/>
  <c r="S87" i="41" s="1"/>
  <c r="Y132" i="41"/>
  <c r="S80" i="41"/>
  <c r="AB41" i="41"/>
  <c r="AK41" i="41" s="1"/>
  <c r="AE226" i="41"/>
  <c r="AE229" i="41" s="1"/>
  <c r="AB50" i="41"/>
  <c r="AB67" i="41"/>
  <c r="AC41" i="41"/>
  <c r="AL41" i="41" s="1"/>
  <c r="AC50" i="41"/>
  <c r="AE227" i="41"/>
  <c r="AE230" i="41" s="1"/>
  <c r="AC67" i="41"/>
  <c r="P188" i="41"/>
  <c r="AB184" i="41" s="1"/>
  <c r="AF218" i="40"/>
  <c r="AF221" i="40" s="1"/>
  <c r="P184" i="40"/>
  <c r="AB180" i="40" s="1"/>
  <c r="AF217" i="40"/>
  <c r="AF220" i="40" s="1"/>
  <c r="AL88" i="38"/>
  <c r="AK88" i="38"/>
  <c r="AA171" i="44" l="1"/>
  <c r="P109" i="41"/>
  <c r="AB109" i="41" s="1"/>
  <c r="AJ80" i="41"/>
  <c r="U44" i="12" l="1"/>
  <c r="D4" i="11"/>
  <c r="U4" i="11" s="1"/>
  <c r="G8" i="3"/>
  <c r="K8" i="3" s="1"/>
  <c r="E8" i="3"/>
  <c r="AC11" i="12"/>
  <c r="Q11" i="12"/>
  <c r="G10" i="12"/>
  <c r="AN4" i="11" l="1"/>
  <c r="V4" i="11"/>
  <c r="O8" i="3"/>
  <c r="Q59" i="12" l="1"/>
  <c r="Q60" i="12"/>
  <c r="Q61" i="12"/>
  <c r="Q58" i="12"/>
  <c r="H6" i="50" l="1"/>
  <c r="AI123" i="42"/>
  <c r="T203" i="41"/>
  <c r="T194" i="40"/>
  <c r="T119" i="40"/>
  <c r="T120" i="39"/>
  <c r="AJ125" i="44"/>
  <c r="U205" i="43"/>
  <c r="AG193" i="39"/>
  <c r="AH185" i="38"/>
  <c r="T117" i="37"/>
  <c r="F17" i="49"/>
  <c r="AI123" i="43"/>
  <c r="AH116" i="38"/>
  <c r="AH185" i="37"/>
  <c r="AJ204" i="44"/>
  <c r="V126" i="44"/>
  <c r="AH123" i="41"/>
  <c r="T197" i="39"/>
  <c r="T189" i="38"/>
  <c r="F17" i="48"/>
  <c r="U123" i="43"/>
  <c r="AI204" i="42"/>
  <c r="T116" i="38"/>
  <c r="T189" i="37"/>
  <c r="V210" i="44"/>
  <c r="T123" i="41"/>
  <c r="AI201" i="43"/>
  <c r="AH117" i="37"/>
  <c r="F17" i="47"/>
  <c r="F17" i="46"/>
  <c r="U214" i="42"/>
  <c r="U126" i="42"/>
  <c r="AH199" i="41"/>
  <c r="AH190" i="40"/>
  <c r="AH119" i="40"/>
  <c r="AG120" i="39"/>
  <c r="S188" i="36"/>
  <c r="S116" i="36"/>
  <c r="AG184" i="36"/>
  <c r="AG116" i="36"/>
  <c r="H7" i="50"/>
  <c r="U127" i="44"/>
  <c r="AI205" i="42"/>
  <c r="AG194" i="39"/>
  <c r="S190" i="38"/>
  <c r="F18" i="48"/>
  <c r="T124" i="43"/>
  <c r="S117" i="38"/>
  <c r="S190" i="37"/>
  <c r="U211" i="44"/>
  <c r="AH200" i="41"/>
  <c r="S124" i="41"/>
  <c r="F18" i="49"/>
  <c r="AI202" i="43"/>
  <c r="T215" i="42"/>
  <c r="T127" i="42"/>
  <c r="AH118" i="37"/>
  <c r="AH124" i="41"/>
  <c r="F18" i="47"/>
  <c r="AI124" i="42"/>
  <c r="F18" i="46"/>
  <c r="AJ126" i="44"/>
  <c r="S204" i="41"/>
  <c r="AG121" i="39"/>
  <c r="AH186" i="38"/>
  <c r="AJ205" i="44"/>
  <c r="T206" i="43"/>
  <c r="AI124" i="43"/>
  <c r="AH117" i="38"/>
  <c r="AH186" i="37"/>
  <c r="S118" i="37"/>
  <c r="R187" i="40"/>
  <c r="S187" i="40" s="1"/>
  <c r="R112" i="40"/>
  <c r="S112" i="40" s="1"/>
  <c r="S198" i="39"/>
  <c r="R117" i="36"/>
  <c r="R189" i="36"/>
  <c r="AG185" i="36"/>
  <c r="AG117" i="36"/>
  <c r="S121" i="39"/>
  <c r="B80" i="12"/>
  <c r="H5" i="50"/>
  <c r="F16" i="47"/>
  <c r="U122" i="43"/>
  <c r="T115" i="38"/>
  <c r="T188" i="37"/>
  <c r="V209" i="44"/>
  <c r="T122" i="41"/>
  <c r="V125" i="44"/>
  <c r="T188" i="38"/>
  <c r="U213" i="42"/>
  <c r="U125" i="42"/>
  <c r="AH198" i="41"/>
  <c r="AH189" i="40"/>
  <c r="AH118" i="40"/>
  <c r="AG119" i="39"/>
  <c r="AI200" i="43"/>
  <c r="AH116" i="37"/>
  <c r="AJ203" i="44"/>
  <c r="F16" i="49"/>
  <c r="AI122" i="42"/>
  <c r="T202" i="41"/>
  <c r="T193" i="40"/>
  <c r="T118" i="40"/>
  <c r="T119" i="39"/>
  <c r="F16" i="46"/>
  <c r="AJ124" i="44"/>
  <c r="U204" i="43"/>
  <c r="AI203" i="42"/>
  <c r="AG192" i="39"/>
  <c r="AH184" i="38"/>
  <c r="T116" i="37"/>
  <c r="T196" i="39"/>
  <c r="F16" i="48"/>
  <c r="AI122" i="43"/>
  <c r="AH115" i="38"/>
  <c r="AH184" i="37"/>
  <c r="AH122" i="41"/>
  <c r="S187" i="36"/>
  <c r="AG115" i="36"/>
  <c r="AG183" i="36"/>
  <c r="S115" i="36"/>
  <c r="K47" i="50"/>
  <c r="B47" i="50"/>
  <c r="K50" i="50"/>
  <c r="B50" i="50"/>
  <c r="K49" i="50"/>
  <c r="B49" i="50"/>
  <c r="K48" i="50"/>
  <c r="B48" i="50"/>
  <c r="I87" i="12"/>
  <c r="M87" i="12" s="1"/>
  <c r="M86" i="12"/>
  <c r="X21" i="14"/>
  <c r="AA21" i="14" s="1"/>
  <c r="AA9" i="14"/>
  <c r="Z9" i="14"/>
  <c r="G6" i="50" l="1"/>
  <c r="B80" i="48"/>
  <c r="G5" i="50"/>
  <c r="G7" i="50"/>
  <c r="E5" i="50"/>
  <c r="B80" i="46"/>
  <c r="D5" i="50"/>
  <c r="B80" i="49"/>
  <c r="S113" i="40"/>
  <c r="T112" i="40"/>
  <c r="E7" i="50"/>
  <c r="D7" i="50"/>
  <c r="S188" i="40"/>
  <c r="T187" i="40"/>
  <c r="E6" i="50"/>
  <c r="D6" i="50"/>
  <c r="F6" i="50"/>
  <c r="H11" i="50"/>
  <c r="F22" i="47"/>
  <c r="AI128" i="42"/>
  <c r="AL45" i="42" s="1"/>
  <c r="AL84" i="42" s="1"/>
  <c r="AG121" i="36"/>
  <c r="AJ44" i="36" s="1"/>
  <c r="AJ83" i="36" s="1"/>
  <c r="AJ130" i="44"/>
  <c r="AM47" i="44" s="1"/>
  <c r="AM86" i="44" s="1"/>
  <c r="U210" i="43"/>
  <c r="AG125" i="39"/>
  <c r="AJ45" i="39" s="1"/>
  <c r="AJ84" i="39" s="1"/>
  <c r="AH190" i="38"/>
  <c r="T122" i="37"/>
  <c r="S121" i="36"/>
  <c r="U219" i="42"/>
  <c r="F22" i="48"/>
  <c r="F22" i="46"/>
  <c r="AG17" i="46" s="1"/>
  <c r="AI128" i="43"/>
  <c r="AL45" i="43" s="1"/>
  <c r="AL84" i="43" s="1"/>
  <c r="R114" i="41"/>
  <c r="S114" i="41" s="1"/>
  <c r="AH195" i="40"/>
  <c r="AL45" i="40" s="1"/>
  <c r="AL84" i="40" s="1"/>
  <c r="AH124" i="40"/>
  <c r="AK45" i="40" s="1"/>
  <c r="AK84" i="40" s="1"/>
  <c r="AH121" i="38"/>
  <c r="AK44" i="38" s="1"/>
  <c r="AK83" i="38" s="1"/>
  <c r="AH190" i="37"/>
  <c r="AL45" i="37" s="1"/>
  <c r="AL84" i="37" s="1"/>
  <c r="AG189" i="36"/>
  <c r="AK44" i="36" s="1"/>
  <c r="AK83" i="36" s="1"/>
  <c r="AJ209" i="44"/>
  <c r="AN47" i="44" s="1"/>
  <c r="AN86" i="44" s="1"/>
  <c r="V131" i="44"/>
  <c r="T125" i="39"/>
  <c r="T194" i="38"/>
  <c r="U128" i="43"/>
  <c r="AI209" i="42"/>
  <c r="AM45" i="42" s="1"/>
  <c r="AM84" i="42" s="1"/>
  <c r="T199" i="40"/>
  <c r="T124" i="40"/>
  <c r="AG198" i="39"/>
  <c r="AK45" i="39" s="1"/>
  <c r="AK84" i="39" s="1"/>
  <c r="T121" i="38"/>
  <c r="T194" i="37"/>
  <c r="S193" i="36"/>
  <c r="AH122" i="37"/>
  <c r="AK45" i="37" s="1"/>
  <c r="AK84" i="37" s="1"/>
  <c r="F22" i="49"/>
  <c r="V215" i="44"/>
  <c r="R193" i="41"/>
  <c r="S193" i="41" s="1"/>
  <c r="AI206" i="43"/>
  <c r="AM45" i="43" s="1"/>
  <c r="AM84" i="43" s="1"/>
  <c r="U131" i="42"/>
  <c r="T202" i="39"/>
  <c r="H13" i="50"/>
  <c r="F24" i="48"/>
  <c r="AG18" i="48" s="1"/>
  <c r="U133" i="44"/>
  <c r="R115" i="41"/>
  <c r="S115" i="41" s="1"/>
  <c r="AG127" i="39"/>
  <c r="AJ46" i="39" s="1"/>
  <c r="AJ85" i="39" s="1"/>
  <c r="S196" i="38"/>
  <c r="R123" i="36"/>
  <c r="F24" i="46"/>
  <c r="T130" i="43"/>
  <c r="S123" i="38"/>
  <c r="R195" i="36"/>
  <c r="U217" i="44"/>
  <c r="AJ211" i="44"/>
  <c r="AN48" i="44" s="1"/>
  <c r="AN87" i="44" s="1"/>
  <c r="F24" i="49"/>
  <c r="AI208" i="43"/>
  <c r="AM46" i="43" s="1"/>
  <c r="AM85" i="43" s="1"/>
  <c r="T221" i="42"/>
  <c r="T133" i="42"/>
  <c r="R194" i="41"/>
  <c r="S194" i="41" s="1"/>
  <c r="AG200" i="39"/>
  <c r="AK46" i="39" s="1"/>
  <c r="AK85" i="39" s="1"/>
  <c r="AI130" i="42"/>
  <c r="AL46" i="42" s="1"/>
  <c r="AL85" i="42" s="1"/>
  <c r="AG123" i="36"/>
  <c r="AJ45" i="36" s="1"/>
  <c r="AJ84" i="36" s="1"/>
  <c r="F24" i="47"/>
  <c r="AG18" i="47" s="1"/>
  <c r="AJ132" i="44"/>
  <c r="AM48" i="44" s="1"/>
  <c r="AM87" i="44" s="1"/>
  <c r="AI211" i="42"/>
  <c r="AM46" i="42" s="1"/>
  <c r="AM85" i="42" s="1"/>
  <c r="AH192" i="38"/>
  <c r="AL45" i="38" s="1"/>
  <c r="AL84" i="38" s="1"/>
  <c r="T212" i="43"/>
  <c r="AI130" i="43"/>
  <c r="AL46" i="43" s="1"/>
  <c r="AL85" i="43" s="1"/>
  <c r="R188" i="40"/>
  <c r="R113" i="40"/>
  <c r="AH123" i="38"/>
  <c r="AK45" i="38" s="1"/>
  <c r="AK84" i="38" s="1"/>
  <c r="AG191" i="36"/>
  <c r="AK45" i="36" s="1"/>
  <c r="AK84" i="36" s="1"/>
  <c r="S204" i="39"/>
  <c r="S127" i="39"/>
  <c r="S124" i="37"/>
  <c r="S196" i="37"/>
  <c r="AH192" i="37"/>
  <c r="AL46" i="37" s="1"/>
  <c r="AL85" i="37" s="1"/>
  <c r="AH124" i="37"/>
  <c r="AK46" i="37" s="1"/>
  <c r="AK85" i="37" s="1"/>
  <c r="H10" i="50"/>
  <c r="F21" i="49"/>
  <c r="AG16" i="49" s="1"/>
  <c r="U127" i="43"/>
  <c r="T198" i="40"/>
  <c r="T123" i="40"/>
  <c r="AG197" i="39"/>
  <c r="AK44" i="39" s="1"/>
  <c r="T120" i="38"/>
  <c r="T193" i="37"/>
  <c r="S192" i="36"/>
  <c r="R192" i="41"/>
  <c r="S192" i="41" s="1"/>
  <c r="V214" i="44"/>
  <c r="T124" i="39"/>
  <c r="U218" i="42"/>
  <c r="U130" i="42"/>
  <c r="T201" i="39"/>
  <c r="F21" i="46"/>
  <c r="AI205" i="43"/>
  <c r="AM44" i="43" s="1"/>
  <c r="AH121" i="37"/>
  <c r="AK44" i="37" s="1"/>
  <c r="F21" i="47"/>
  <c r="AG16" i="47" s="1"/>
  <c r="AI127" i="42"/>
  <c r="AL44" i="42" s="1"/>
  <c r="R113" i="41"/>
  <c r="S113" i="41" s="1"/>
  <c r="AG120" i="36"/>
  <c r="AJ43" i="36" s="1"/>
  <c r="V130" i="44"/>
  <c r="AJ129" i="44"/>
  <c r="AM46" i="44" s="1"/>
  <c r="U209" i="43"/>
  <c r="AI208" i="42"/>
  <c r="AM44" i="42" s="1"/>
  <c r="AG124" i="39"/>
  <c r="AJ44" i="39" s="1"/>
  <c r="AH189" i="38"/>
  <c r="AL43" i="38" s="1"/>
  <c r="T121" i="37"/>
  <c r="AI127" i="43"/>
  <c r="AL44" i="43" s="1"/>
  <c r="AH194" i="40"/>
  <c r="AL44" i="40" s="1"/>
  <c r="AH123" i="40"/>
  <c r="AK44" i="40" s="1"/>
  <c r="AK83" i="40" s="1"/>
  <c r="AH120" i="38"/>
  <c r="AK43" i="38" s="1"/>
  <c r="AH189" i="37"/>
  <c r="AL44" i="37" s="1"/>
  <c r="AG188" i="36"/>
  <c r="AK43" i="36" s="1"/>
  <c r="S120" i="36"/>
  <c r="F21" i="48"/>
  <c r="AJ208" i="44"/>
  <c r="AN46" i="44" s="1"/>
  <c r="T193" i="38"/>
  <c r="B80" i="47"/>
  <c r="F5" i="50"/>
  <c r="AL44" i="38"/>
  <c r="AL83" i="38" s="1"/>
  <c r="F7" i="50"/>
  <c r="X65" i="14"/>
  <c r="AA65" i="14" s="1"/>
  <c r="X64" i="14"/>
  <c r="AA64" i="14" s="1"/>
  <c r="X63" i="14"/>
  <c r="AA63" i="14" s="1"/>
  <c r="X62" i="14"/>
  <c r="AA62" i="14" s="1"/>
  <c r="X59" i="14"/>
  <c r="AA59" i="14" s="1"/>
  <c r="X55" i="14"/>
  <c r="AA55" i="14" s="1"/>
  <c r="X51" i="14"/>
  <c r="AA51" i="14" s="1"/>
  <c r="X47" i="14"/>
  <c r="AA47" i="14" s="1"/>
  <c r="X44" i="14"/>
  <c r="AA44" i="14" s="1"/>
  <c r="X43" i="14"/>
  <c r="AA43" i="14" s="1"/>
  <c r="X42" i="14"/>
  <c r="AA42" i="14" s="1"/>
  <c r="X41" i="14"/>
  <c r="AA41" i="14" s="1"/>
  <c r="X34" i="14"/>
  <c r="AA34" i="14" s="1"/>
  <c r="X35" i="14"/>
  <c r="AA35" i="14" s="1"/>
  <c r="X36" i="14"/>
  <c r="AA36" i="14" s="1"/>
  <c r="X31" i="14"/>
  <c r="AA31" i="14" s="1"/>
  <c r="X25" i="14"/>
  <c r="AA25" i="14" s="1"/>
  <c r="X20" i="14"/>
  <c r="AA20" i="14" s="1"/>
  <c r="X19" i="14"/>
  <c r="AA19" i="14" s="1"/>
  <c r="X16" i="14"/>
  <c r="AA16" i="14" s="1"/>
  <c r="X15" i="14"/>
  <c r="AA15" i="14" s="1"/>
  <c r="X13" i="14"/>
  <c r="AA13" i="14" s="1"/>
  <c r="V13" i="14"/>
  <c r="Y13" i="14" s="1"/>
  <c r="X11" i="14"/>
  <c r="AA11" i="14" s="1"/>
  <c r="V11" i="14"/>
  <c r="Y11" i="14" s="1"/>
  <c r="X8" i="14"/>
  <c r="AA8" i="14" s="1"/>
  <c r="V8" i="14"/>
  <c r="Y8" i="14" s="1"/>
  <c r="X7" i="14"/>
  <c r="AA7" i="14" s="1"/>
  <c r="V7" i="14"/>
  <c r="Y7" i="14" s="1"/>
  <c r="G10" i="50" l="1"/>
  <c r="G11" i="50"/>
  <c r="G13" i="50"/>
  <c r="AG16" i="48"/>
  <c r="AG17" i="48"/>
  <c r="AM83" i="42"/>
  <c r="AM82" i="42" s="1"/>
  <c r="AM43" i="42"/>
  <c r="AL83" i="40"/>
  <c r="AK82" i="36"/>
  <c r="AK81" i="36" s="1"/>
  <c r="AK42" i="36"/>
  <c r="AL83" i="43"/>
  <c r="AL82" i="43" s="1"/>
  <c r="AL43" i="43"/>
  <c r="AM83" i="43"/>
  <c r="AM82" i="43" s="1"/>
  <c r="AM43" i="43"/>
  <c r="AJ42" i="36"/>
  <c r="AJ82" i="36"/>
  <c r="AJ81" i="36" s="1"/>
  <c r="AK83" i="39"/>
  <c r="AK82" i="39" s="1"/>
  <c r="AK43" i="39"/>
  <c r="AJ83" i="39"/>
  <c r="AJ82" i="39" s="1"/>
  <c r="AJ43" i="39"/>
  <c r="AN85" i="44"/>
  <c r="AN84" i="44" s="1"/>
  <c r="AN45" i="44"/>
  <c r="AL82" i="38"/>
  <c r="AL81" i="38" s="1"/>
  <c r="AL42" i="38"/>
  <c r="AH130" i="41"/>
  <c r="AK46" i="41" s="1"/>
  <c r="AK85" i="41" s="1"/>
  <c r="S130" i="41"/>
  <c r="AL83" i="37"/>
  <c r="AL82" i="37" s="1"/>
  <c r="AL43" i="37"/>
  <c r="F11" i="50"/>
  <c r="AK83" i="37"/>
  <c r="AK82" i="37" s="1"/>
  <c r="AK43" i="37"/>
  <c r="F10" i="50"/>
  <c r="AH206" i="41"/>
  <c r="AL46" i="41" s="1"/>
  <c r="AL85" i="41" s="1"/>
  <c r="S210" i="41"/>
  <c r="E13" i="50"/>
  <c r="AG18" i="46"/>
  <c r="E10" i="50"/>
  <c r="D10" i="50"/>
  <c r="D11" i="50"/>
  <c r="AM85" i="44"/>
  <c r="AM84" i="44" s="1"/>
  <c r="AM45" i="44"/>
  <c r="AL83" i="42"/>
  <c r="AL82" i="42" s="1"/>
  <c r="AL43" i="42"/>
  <c r="AH128" i="41"/>
  <c r="AK45" i="41" s="1"/>
  <c r="AK84" i="41" s="1"/>
  <c r="T128" i="41"/>
  <c r="AK82" i="38"/>
  <c r="AK81" i="38" s="1"/>
  <c r="AK42" i="38"/>
  <c r="F13" i="50"/>
  <c r="D13" i="50"/>
  <c r="AG17" i="49"/>
  <c r="AH191" i="40"/>
  <c r="S195" i="40"/>
  <c r="S120" i="40"/>
  <c r="AH120" i="40"/>
  <c r="AG16" i="46"/>
  <c r="AH127" i="41"/>
  <c r="AK44" i="41" s="1"/>
  <c r="T127" i="41"/>
  <c r="T207" i="41"/>
  <c r="AH203" i="41"/>
  <c r="AL44" i="41" s="1"/>
  <c r="AH204" i="41"/>
  <c r="AL45" i="41" s="1"/>
  <c r="AL84" i="41" s="1"/>
  <c r="T208" i="41"/>
  <c r="AG17" i="47"/>
  <c r="AG15" i="47" s="1"/>
  <c r="T188" i="40"/>
  <c r="AG18" i="49"/>
  <c r="T113" i="40"/>
  <c r="E11" i="50"/>
  <c r="AG15" i="48" l="1"/>
  <c r="AG15" i="49"/>
  <c r="S126" i="40"/>
  <c r="AH126" i="40"/>
  <c r="AK46" i="40" s="1"/>
  <c r="AK83" i="41"/>
  <c r="AK82" i="41" s="1"/>
  <c r="AK43" i="41"/>
  <c r="AG15" i="46"/>
  <c r="AL83" i="41"/>
  <c r="AL82" i="41" s="1"/>
  <c r="AL43" i="41"/>
  <c r="S201" i="40"/>
  <c r="AH197" i="40"/>
  <c r="AL46" i="40" s="1"/>
  <c r="J20" i="13"/>
  <c r="AL85" i="40" l="1"/>
  <c r="AL82" i="40" s="1"/>
  <c r="AL43" i="40"/>
  <c r="AK43" i="40"/>
  <c r="AK85" i="40"/>
  <c r="AK82" i="40" s="1"/>
  <c r="J18" i="13"/>
  <c r="J9" i="13"/>
  <c r="J10" i="13"/>
  <c r="J13" i="13"/>
  <c r="U74" i="12" l="1"/>
  <c r="U73" i="12"/>
  <c r="AY59" i="11"/>
  <c r="AY58" i="11"/>
  <c r="AY54" i="11"/>
  <c r="AY52" i="11"/>
  <c r="AY48" i="11"/>
  <c r="AY29" i="11"/>
  <c r="AY28" i="11"/>
  <c r="AY24" i="11"/>
  <c r="AY14" i="11"/>
  <c r="AY12" i="11"/>
  <c r="AU14" i="11"/>
  <c r="AU12" i="11"/>
  <c r="AQ14" i="11"/>
  <c r="AQ12" i="11"/>
  <c r="AG59" i="11"/>
  <c r="AG58" i="11"/>
  <c r="AG54" i="11"/>
  <c r="AG52" i="11"/>
  <c r="AG48" i="11"/>
  <c r="AG29" i="11"/>
  <c r="AG28" i="11"/>
  <c r="AG24" i="11"/>
  <c r="AG14" i="11"/>
  <c r="AG12" i="11"/>
  <c r="AC14" i="11"/>
  <c r="AC12" i="11"/>
  <c r="Y14" i="11"/>
  <c r="Y12" i="11"/>
  <c r="O48" i="11"/>
  <c r="O59" i="11"/>
  <c r="O58" i="11"/>
  <c r="O54" i="11"/>
  <c r="O52" i="11"/>
  <c r="O29" i="11"/>
  <c r="O28" i="11"/>
  <c r="O24" i="11"/>
  <c r="O14" i="11"/>
  <c r="O12" i="11"/>
  <c r="K14" i="11"/>
  <c r="K12" i="11"/>
  <c r="G14" i="11"/>
  <c r="G12" i="11"/>
  <c r="Q68" i="12"/>
  <c r="Q69" i="12"/>
  <c r="Q71" i="12"/>
  <c r="Q72" i="12"/>
  <c r="Q73" i="12"/>
  <c r="Q74" i="12"/>
  <c r="Q76" i="12"/>
  <c r="Q66" i="12"/>
  <c r="Q67" i="12"/>
  <c r="Q43" i="12"/>
  <c r="Q44" i="12"/>
  <c r="Q48" i="12"/>
  <c r="Q50" i="12"/>
  <c r="Q51" i="12"/>
  <c r="Q52" i="12"/>
  <c r="Q53" i="12"/>
  <c r="Q42" i="12"/>
  <c r="Q41" i="12"/>
  <c r="Q37" i="12"/>
  <c r="Q38" i="12"/>
  <c r="Q39" i="12"/>
  <c r="Q36" i="12"/>
  <c r="Q33" i="12"/>
  <c r="Q32" i="12"/>
  <c r="Q29" i="12"/>
  <c r="Q28" i="12"/>
  <c r="Q26" i="12"/>
  <c r="Q25" i="12"/>
  <c r="Q24" i="12"/>
  <c r="Q22" i="12"/>
  <c r="Q21" i="12"/>
  <c r="Q18" i="12"/>
  <c r="Q19" i="12"/>
  <c r="Q17" i="12"/>
  <c r="Q16" i="12"/>
  <c r="B6" i="50" l="1"/>
  <c r="K6" i="50"/>
  <c r="K8" i="50"/>
  <c r="B8" i="50"/>
  <c r="K10" i="50"/>
  <c r="B10" i="50"/>
  <c r="K11" i="50"/>
  <c r="B11" i="50"/>
  <c r="K15" i="50"/>
  <c r="B15" i="50"/>
  <c r="K7" i="50"/>
  <c r="B7" i="50"/>
  <c r="K13" i="50"/>
  <c r="B13" i="50"/>
  <c r="K5" i="50"/>
  <c r="B5" i="50"/>
  <c r="K14" i="50"/>
  <c r="B14" i="50"/>
  <c r="K21" i="50"/>
  <c r="B21" i="50"/>
  <c r="B42" i="50"/>
  <c r="K42" i="50"/>
  <c r="B55" i="50"/>
  <c r="K55" i="50"/>
  <c r="B31" i="50"/>
  <c r="K31" i="50"/>
  <c r="B65" i="50"/>
  <c r="K65" i="50"/>
  <c r="B40" i="50"/>
  <c r="K40" i="50"/>
  <c r="B63" i="50"/>
  <c r="K63" i="50"/>
  <c r="B28" i="50"/>
  <c r="K28" i="50"/>
  <c r="K39" i="50"/>
  <c r="B39" i="50"/>
  <c r="B62" i="50"/>
  <c r="K62" i="50"/>
  <c r="B18" i="50"/>
  <c r="K18" i="50"/>
  <c r="B41" i="50"/>
  <c r="K41" i="50"/>
  <c r="K25" i="50"/>
  <c r="B25" i="50"/>
  <c r="B27" i="50"/>
  <c r="K27" i="50"/>
  <c r="K37" i="50"/>
  <c r="B37" i="50"/>
  <c r="K61" i="50"/>
  <c r="B61" i="50"/>
  <c r="B56" i="50"/>
  <c r="K56" i="50"/>
  <c r="K26" i="50"/>
  <c r="B26" i="50"/>
  <c r="K33" i="50"/>
  <c r="B33" i="50"/>
  <c r="K60" i="50"/>
  <c r="B60" i="50"/>
  <c r="B17" i="50"/>
  <c r="K17" i="50"/>
  <c r="B30" i="50"/>
  <c r="K30" i="50"/>
  <c r="K32" i="50"/>
  <c r="B32" i="50"/>
  <c r="K58" i="50"/>
  <c r="B58" i="50"/>
  <c r="B57" i="50"/>
  <c r="K57" i="50"/>
  <c r="B22" i="50"/>
  <c r="K22" i="50"/>
  <c r="X44" i="12"/>
  <c r="Q33" i="50" s="1"/>
  <c r="X43" i="12"/>
  <c r="Q32" i="50" s="1"/>
  <c r="X74" i="12"/>
  <c r="Q63" i="50" s="1"/>
  <c r="W73" i="12"/>
  <c r="W74" i="12"/>
  <c r="X73" i="12"/>
  <c r="Q62" i="50" s="1"/>
  <c r="W44" i="12"/>
  <c r="W69" i="12"/>
  <c r="X69" i="12"/>
  <c r="Q58" i="50" s="1"/>
  <c r="W67" i="12"/>
  <c r="X67" i="12"/>
  <c r="Q56" i="50" s="1"/>
  <c r="W43" i="12"/>
  <c r="S26" i="12"/>
  <c r="X39" i="12" l="1"/>
  <c r="Q28" i="50" s="1"/>
  <c r="W39" i="12"/>
  <c r="Q65" i="14" l="1"/>
  <c r="Q64" i="14"/>
  <c r="Q63" i="14"/>
  <c r="Q62" i="14"/>
  <c r="P65" i="14"/>
  <c r="P64" i="14"/>
  <c r="P63" i="14"/>
  <c r="P62" i="14"/>
  <c r="M9" i="14" l="1"/>
  <c r="M72" i="14" s="1"/>
  <c r="Q9" i="14" s="1"/>
  <c r="L9" i="14"/>
  <c r="L72" i="14" s="1"/>
  <c r="P9" i="14" l="1"/>
  <c r="AG11" i="11" s="1"/>
  <c r="AC11" i="11"/>
  <c r="AD21" i="12"/>
  <c r="AD20" i="12"/>
  <c r="J14" i="13"/>
  <c r="E14" i="3" s="1"/>
  <c r="AD22" i="12" s="1"/>
  <c r="E13" i="3"/>
  <c r="I13" i="3" s="1"/>
  <c r="E11" i="3"/>
  <c r="J11" i="13"/>
  <c r="E10" i="3"/>
  <c r="T26" i="12"/>
  <c r="T19" i="12"/>
  <c r="Q11" i="14"/>
  <c r="P11" i="14"/>
  <c r="I11" i="14"/>
  <c r="H11" i="14"/>
  <c r="U124" i="43" l="1"/>
  <c r="S117" i="36"/>
  <c r="T124" i="41"/>
  <c r="U127" i="42"/>
  <c r="T118" i="37"/>
  <c r="T117" i="38"/>
  <c r="V127" i="44"/>
  <c r="U133" i="42"/>
  <c r="S123" i="36"/>
  <c r="V133" i="44"/>
  <c r="T123" i="38"/>
  <c r="U130" i="43"/>
  <c r="T124" i="37"/>
  <c r="T130" i="41"/>
  <c r="U124" i="41"/>
  <c r="U118" i="37"/>
  <c r="U117" i="38"/>
  <c r="V127" i="42"/>
  <c r="W127" i="44"/>
  <c r="T117" i="36"/>
  <c r="V124" i="43"/>
  <c r="T123" i="36"/>
  <c r="V133" i="42"/>
  <c r="V130" i="43"/>
  <c r="U123" i="38"/>
  <c r="W133" i="44"/>
  <c r="U124" i="37"/>
  <c r="U130" i="41"/>
  <c r="AJ50" i="41"/>
  <c r="AJ89" i="41" s="1"/>
  <c r="AI49" i="36"/>
  <c r="AI88" i="36" s="1"/>
  <c r="AI50" i="39"/>
  <c r="AI89" i="39" s="1"/>
  <c r="AK50" i="42"/>
  <c r="AK89" i="42" s="1"/>
  <c r="AL52" i="44"/>
  <c r="AL91" i="44" s="1"/>
  <c r="AJ50" i="40"/>
  <c r="AJ89" i="40" s="1"/>
  <c r="AJ49" i="38"/>
  <c r="AJ88" i="38" s="1"/>
  <c r="AJ50" i="37"/>
  <c r="AJ89" i="37" s="1"/>
  <c r="AK50" i="43"/>
  <c r="AK89" i="43" s="1"/>
  <c r="AI49" i="39"/>
  <c r="AI88" i="39" s="1"/>
  <c r="AK49" i="42"/>
  <c r="AK88" i="42" s="1"/>
  <c r="AJ49" i="37"/>
  <c r="AJ88" i="37" s="1"/>
  <c r="AL51" i="44"/>
  <c r="AL90" i="44" s="1"/>
  <c r="AJ49" i="41"/>
  <c r="AJ88" i="41" s="1"/>
  <c r="AK49" i="43"/>
  <c r="AK88" i="43" s="1"/>
  <c r="AJ49" i="40"/>
  <c r="AJ88" i="40" s="1"/>
  <c r="AJ48" i="38"/>
  <c r="AJ87" i="38" s="1"/>
  <c r="AI48" i="36"/>
  <c r="AI87" i="36" s="1"/>
  <c r="AL50" i="44"/>
  <c r="AJ48" i="37"/>
  <c r="AI48" i="39"/>
  <c r="AJ47" i="38"/>
  <c r="AK48" i="43"/>
  <c r="AK48" i="42"/>
  <c r="AI47" i="36"/>
  <c r="AJ48" i="40"/>
  <c r="AJ48" i="41"/>
  <c r="J12" i="13"/>
  <c r="E15" i="3" s="1"/>
  <c r="E12" i="3"/>
  <c r="AD19" i="12"/>
  <c r="M13" i="3"/>
  <c r="I14" i="3"/>
  <c r="Y133" i="42" l="1"/>
  <c r="Z133" i="42"/>
  <c r="X130" i="41"/>
  <c r="Y130" i="41"/>
  <c r="AA127" i="44"/>
  <c r="Z127" i="44"/>
  <c r="V123" i="44"/>
  <c r="V191" i="44"/>
  <c r="Y117" i="38"/>
  <c r="X117" i="38"/>
  <c r="T113" i="38"/>
  <c r="T176" i="38"/>
  <c r="Y124" i="37"/>
  <c r="X124" i="37"/>
  <c r="Y118" i="37"/>
  <c r="X118" i="37"/>
  <c r="T177" i="37"/>
  <c r="T114" i="37"/>
  <c r="Y130" i="43"/>
  <c r="Z130" i="43"/>
  <c r="Y127" i="42"/>
  <c r="Z127" i="42"/>
  <c r="U123" i="42"/>
  <c r="U193" i="42"/>
  <c r="Y123" i="38"/>
  <c r="X123" i="38"/>
  <c r="Y124" i="41"/>
  <c r="X124" i="41"/>
  <c r="T183" i="41"/>
  <c r="T120" i="41"/>
  <c r="AA133" i="44"/>
  <c r="Z133" i="44"/>
  <c r="X117" i="36"/>
  <c r="W117" i="36"/>
  <c r="S113" i="36"/>
  <c r="S176" i="36"/>
  <c r="W123" i="36"/>
  <c r="X123" i="36"/>
  <c r="Z124" i="43"/>
  <c r="Y124" i="43"/>
  <c r="U187" i="43"/>
  <c r="U120" i="43"/>
  <c r="AJ47" i="40"/>
  <c r="AJ86" i="40" s="1"/>
  <c r="AI46" i="36"/>
  <c r="AI85" i="36" s="1"/>
  <c r="AK47" i="42"/>
  <c r="AK86" i="42" s="1"/>
  <c r="AJ47" i="37"/>
  <c r="AJ86" i="37" s="1"/>
  <c r="AI47" i="39"/>
  <c r="AI86" i="39" s="1"/>
  <c r="AL49" i="44"/>
  <c r="AL88" i="44" s="1"/>
  <c r="AK47" i="43"/>
  <c r="AK86" i="43" s="1"/>
  <c r="AJ47" i="41"/>
  <c r="AJ86" i="41" s="1"/>
  <c r="AJ46" i="38"/>
  <c r="AJ85" i="38" s="1"/>
  <c r="AI86" i="36"/>
  <c r="AK87" i="42"/>
  <c r="AK87" i="43"/>
  <c r="AJ86" i="38"/>
  <c r="AI87" i="39"/>
  <c r="AJ87" i="40"/>
  <c r="AJ87" i="37"/>
  <c r="AJ87" i="41"/>
  <c r="AL89" i="44"/>
  <c r="M14" i="3"/>
  <c r="S19" i="12"/>
  <c r="U19" i="12"/>
  <c r="U26" i="12"/>
  <c r="AY13" i="11"/>
  <c r="AQ13" i="11"/>
  <c r="AG13" i="11"/>
  <c r="Y13" i="11"/>
  <c r="O13" i="11"/>
  <c r="T25" i="12"/>
  <c r="G13" i="11"/>
  <c r="AD56" i="44" l="1"/>
  <c r="U86" i="44" s="1"/>
  <c r="S202" i="40"/>
  <c r="S197" i="37"/>
  <c r="T222" i="42"/>
  <c r="U218" i="44"/>
  <c r="S197" i="38"/>
  <c r="R196" i="36"/>
  <c r="S205" i="39"/>
  <c r="T213" i="43"/>
  <c r="S211" i="41"/>
  <c r="AC44" i="42"/>
  <c r="AC70" i="42" s="1"/>
  <c r="AI144" i="42"/>
  <c r="AL56" i="42" s="1"/>
  <c r="AL95" i="42" s="1"/>
  <c r="S25" i="12"/>
  <c r="V25" i="47"/>
  <c r="V25" i="46"/>
  <c r="V25" i="49"/>
  <c r="V25" i="48"/>
  <c r="S45" i="37"/>
  <c r="S84" i="37" s="1"/>
  <c r="AD46" i="44"/>
  <c r="AD72" i="44" s="1"/>
  <c r="AJ146" i="44"/>
  <c r="AM58" i="44" s="1"/>
  <c r="AM97" i="44" s="1"/>
  <c r="U25" i="12"/>
  <c r="X25" i="12" s="1"/>
  <c r="Q14" i="50" s="1"/>
  <c r="X25" i="47"/>
  <c r="X25" i="49"/>
  <c r="X25" i="46"/>
  <c r="X25" i="48"/>
  <c r="R44" i="36"/>
  <c r="R83" i="36" s="1"/>
  <c r="AH144" i="41"/>
  <c r="AK56" i="41" s="1"/>
  <c r="AK95" i="41" s="1"/>
  <c r="AB44" i="41"/>
  <c r="AB70" i="41" s="1"/>
  <c r="V222" i="42"/>
  <c r="T196" i="36"/>
  <c r="W218" i="44"/>
  <c r="U197" i="38"/>
  <c r="U205" i="39"/>
  <c r="V213" i="43"/>
  <c r="U202" i="40"/>
  <c r="U197" i="37"/>
  <c r="U211" i="41"/>
  <c r="S128" i="39"/>
  <c r="U134" i="44"/>
  <c r="T131" i="43"/>
  <c r="S125" i="37"/>
  <c r="T134" i="42"/>
  <c r="S124" i="38"/>
  <c r="R124" i="36"/>
  <c r="S127" i="40"/>
  <c r="S131" i="41"/>
  <c r="AH137" i="38"/>
  <c r="AK55" i="38" s="1"/>
  <c r="AK94" i="38" s="1"/>
  <c r="AB43" i="38"/>
  <c r="AB69" i="38" s="1"/>
  <c r="AA43" i="36"/>
  <c r="AA69" i="36" s="1"/>
  <c r="AG137" i="36"/>
  <c r="AJ55" i="36" s="1"/>
  <c r="AJ94" i="36" s="1"/>
  <c r="V134" i="42"/>
  <c r="U124" i="38"/>
  <c r="T124" i="36"/>
  <c r="W134" i="44"/>
  <c r="U127" i="40"/>
  <c r="V131" i="43"/>
  <c r="U125" i="37"/>
  <c r="U128" i="39"/>
  <c r="U131" i="41"/>
  <c r="AC54" i="43"/>
  <c r="T84" i="43" s="1"/>
  <c r="S45" i="41"/>
  <c r="S84" i="41" s="1"/>
  <c r="S44" i="38"/>
  <c r="S83" i="38" s="1"/>
  <c r="AC44" i="43"/>
  <c r="AC70" i="43" s="1"/>
  <c r="AI144" i="43"/>
  <c r="AL56" i="43" s="1"/>
  <c r="AL95" i="43" s="1"/>
  <c r="AB44" i="37"/>
  <c r="AB70" i="37" s="1"/>
  <c r="AH138" i="37"/>
  <c r="AK56" i="37" s="1"/>
  <c r="AK95" i="37" s="1"/>
  <c r="AC54" i="42"/>
  <c r="T84" i="42" s="1"/>
  <c r="X19" i="12"/>
  <c r="Q8" i="50" s="1"/>
  <c r="W25" i="12"/>
  <c r="W26" i="12"/>
  <c r="X26" i="12"/>
  <c r="Q15" i="50" s="1"/>
  <c r="W19" i="12"/>
  <c r="AY67" i="11"/>
  <c r="U190" i="39" s="1"/>
  <c r="U186" i="39" s="1"/>
  <c r="AY66" i="11"/>
  <c r="U189" i="39" s="1"/>
  <c r="AY65" i="11"/>
  <c r="U188" i="39" s="1"/>
  <c r="AY64" i="11"/>
  <c r="U187" i="39" s="1"/>
  <c r="AU67" i="11"/>
  <c r="T190" i="39" s="1"/>
  <c r="T186" i="39" s="1"/>
  <c r="AU66" i="11"/>
  <c r="T189" i="39" s="1"/>
  <c r="AU65" i="11"/>
  <c r="T188" i="39" s="1"/>
  <c r="AU64" i="11"/>
  <c r="T187" i="39" s="1"/>
  <c r="AC67" i="11"/>
  <c r="T114" i="39" s="1"/>
  <c r="T110" i="39" s="1"/>
  <c r="AC66" i="11"/>
  <c r="T113" i="39" s="1"/>
  <c r="AC65" i="11"/>
  <c r="AC64" i="11"/>
  <c r="T111" i="39" s="1"/>
  <c r="AG67" i="11"/>
  <c r="U114" i="39" s="1"/>
  <c r="U110" i="39" s="1"/>
  <c r="AG66" i="11"/>
  <c r="U113" i="39" s="1"/>
  <c r="AG65" i="11"/>
  <c r="AG64" i="11"/>
  <c r="U111" i="39" s="1"/>
  <c r="O57" i="11"/>
  <c r="O49" i="11"/>
  <c r="O61" i="11"/>
  <c r="O38" i="11"/>
  <c r="O37" i="11"/>
  <c r="O36" i="11"/>
  <c r="O27" i="11"/>
  <c r="O46" i="11"/>
  <c r="O45" i="11"/>
  <c r="O44" i="11"/>
  <c r="O43" i="11"/>
  <c r="O23" i="11"/>
  <c r="O22" i="11"/>
  <c r="O21" i="11"/>
  <c r="O18" i="11"/>
  <c r="O17" i="11"/>
  <c r="O15" i="11"/>
  <c r="O10" i="11"/>
  <c r="O11" i="11"/>
  <c r="O9" i="11"/>
  <c r="K11" i="11"/>
  <c r="G10" i="11"/>
  <c r="G15" i="11"/>
  <c r="G9" i="11"/>
  <c r="Q8" i="14"/>
  <c r="AY10" i="11" s="1"/>
  <c r="AY11" i="11"/>
  <c r="Q13" i="14"/>
  <c r="AY15" i="11" s="1"/>
  <c r="Q15" i="14"/>
  <c r="AY17" i="11" s="1"/>
  <c r="Q16" i="14"/>
  <c r="AY18" i="11" s="1"/>
  <c r="Q19" i="14"/>
  <c r="AY21" i="11" s="1"/>
  <c r="Q20" i="14"/>
  <c r="AY22" i="11" s="1"/>
  <c r="Q21" i="14"/>
  <c r="AY23" i="11" s="1"/>
  <c r="Q41" i="14"/>
  <c r="AY43" i="11" s="1"/>
  <c r="Q42" i="14"/>
  <c r="AY44" i="11" s="1"/>
  <c r="Q43" i="14"/>
  <c r="AY45" i="11" s="1"/>
  <c r="Q44" i="14"/>
  <c r="AY46" i="11" s="1"/>
  <c r="Q25" i="14"/>
  <c r="AY27" i="11" s="1"/>
  <c r="Q34" i="14"/>
  <c r="AY36" i="11" s="1"/>
  <c r="Q35" i="14"/>
  <c r="AY37" i="11" s="1"/>
  <c r="Q36" i="14"/>
  <c r="AY38" i="11" s="1"/>
  <c r="Q51" i="14"/>
  <c r="AY53" i="11" s="1"/>
  <c r="Q59" i="14"/>
  <c r="AY61" i="11" s="1"/>
  <c r="Q47" i="14"/>
  <c r="AY49" i="11" s="1"/>
  <c r="Q55" i="14"/>
  <c r="Q7" i="14"/>
  <c r="AY9" i="11" s="1"/>
  <c r="P7" i="14"/>
  <c r="AG9" i="11" s="1"/>
  <c r="P8" i="14"/>
  <c r="AG10" i="11" s="1"/>
  <c r="P13" i="14"/>
  <c r="AG15" i="11" s="1"/>
  <c r="P15" i="14"/>
  <c r="AG17" i="11" s="1"/>
  <c r="P16" i="14"/>
  <c r="AG18" i="11" s="1"/>
  <c r="P19" i="14"/>
  <c r="AG21" i="11" s="1"/>
  <c r="P20" i="14"/>
  <c r="AG22" i="11" s="1"/>
  <c r="P21" i="14"/>
  <c r="AG23" i="11" s="1"/>
  <c r="P41" i="14"/>
  <c r="AG43" i="11" s="1"/>
  <c r="P42" i="14"/>
  <c r="AG44" i="11" s="1"/>
  <c r="P43" i="14"/>
  <c r="AG45" i="11" s="1"/>
  <c r="P44" i="14"/>
  <c r="AG46" i="11" s="1"/>
  <c r="P25" i="14"/>
  <c r="AG27" i="11" s="1"/>
  <c r="P34" i="14"/>
  <c r="AG36" i="11" s="1"/>
  <c r="P35" i="14"/>
  <c r="AG37" i="11" s="1"/>
  <c r="P36" i="14"/>
  <c r="AG38" i="11" s="1"/>
  <c r="P51" i="14"/>
  <c r="AG53" i="11" s="1"/>
  <c r="P59" i="14"/>
  <c r="AG61" i="11" s="1"/>
  <c r="P47" i="14"/>
  <c r="AG49" i="11" s="1"/>
  <c r="P55" i="14"/>
  <c r="AG57" i="11" s="1"/>
  <c r="AU11" i="11"/>
  <c r="I7" i="14"/>
  <c r="AQ9" i="11" s="1"/>
  <c r="I8" i="14"/>
  <c r="AQ10" i="11" s="1"/>
  <c r="I13" i="14"/>
  <c r="AQ15" i="11" s="1"/>
  <c r="H13" i="14"/>
  <c r="Y15" i="11" s="1"/>
  <c r="H8" i="14"/>
  <c r="Y10" i="11" s="1"/>
  <c r="H7" i="14"/>
  <c r="Y9" i="11" s="1"/>
  <c r="O31" i="14"/>
  <c r="P31" i="14" s="1"/>
  <c r="AG33" i="11" s="1"/>
  <c r="X52" i="47" l="1"/>
  <c r="X52" i="48"/>
  <c r="X52" i="46"/>
  <c r="X52" i="49"/>
  <c r="AA52" i="49" s="1"/>
  <c r="X53" i="46"/>
  <c r="AA53" i="46" s="1"/>
  <c r="N42" i="50" s="1"/>
  <c r="X53" i="48"/>
  <c r="AA53" i="48" s="1"/>
  <c r="P42" i="50" s="1"/>
  <c r="X53" i="47"/>
  <c r="AA53" i="47" s="1"/>
  <c r="O42" i="50" s="1"/>
  <c r="X53" i="49"/>
  <c r="AA53" i="49" s="1"/>
  <c r="M42" i="50" s="1"/>
  <c r="X72" i="47"/>
  <c r="X72" i="49"/>
  <c r="X72" i="46"/>
  <c r="X72" i="48"/>
  <c r="S134" i="41"/>
  <c r="S131" i="39"/>
  <c r="U137" i="44"/>
  <c r="T134" i="43"/>
  <c r="S129" i="37"/>
  <c r="R128" i="36"/>
  <c r="T137" i="42"/>
  <c r="S131" i="40"/>
  <c r="S135" i="41"/>
  <c r="S132" i="39"/>
  <c r="S128" i="38"/>
  <c r="U138" i="44"/>
  <c r="T135" i="43"/>
  <c r="T138" i="42"/>
  <c r="S130" i="40"/>
  <c r="R127" i="36"/>
  <c r="S128" i="37"/>
  <c r="S127" i="38"/>
  <c r="V122" i="43"/>
  <c r="U119" i="39"/>
  <c r="U115" i="38"/>
  <c r="W125" i="44"/>
  <c r="U122" i="41"/>
  <c r="V125" i="42"/>
  <c r="U116" i="37"/>
  <c r="T115" i="36"/>
  <c r="U118" i="40"/>
  <c r="U124" i="39"/>
  <c r="T120" i="36"/>
  <c r="U121" i="37"/>
  <c r="U120" i="38"/>
  <c r="U123" i="40"/>
  <c r="W130" i="44"/>
  <c r="V130" i="42"/>
  <c r="V127" i="43"/>
  <c r="U127" i="41"/>
  <c r="U51" i="12"/>
  <c r="X51" i="46"/>
  <c r="X51" i="49"/>
  <c r="X51" i="47"/>
  <c r="X51" i="48"/>
  <c r="Z131" i="43"/>
  <c r="Y131" i="43"/>
  <c r="AC56" i="43" s="1"/>
  <c r="Z25" i="49"/>
  <c r="AA25" i="49"/>
  <c r="M14" i="50" s="1"/>
  <c r="Y213" i="43"/>
  <c r="AD56" i="43" s="1"/>
  <c r="Z213" i="43"/>
  <c r="S205" i="40"/>
  <c r="S201" i="37"/>
  <c r="R200" i="36"/>
  <c r="T226" i="42"/>
  <c r="S209" i="39"/>
  <c r="T217" i="43"/>
  <c r="T225" i="42"/>
  <c r="S214" i="41"/>
  <c r="U221" i="44"/>
  <c r="S201" i="38"/>
  <c r="S206" i="40"/>
  <c r="R199" i="36"/>
  <c r="S208" i="39"/>
  <c r="T216" i="43"/>
  <c r="S215" i="41"/>
  <c r="U222" i="44"/>
  <c r="S200" i="37"/>
  <c r="S200" i="38"/>
  <c r="Y151" i="38"/>
  <c r="Y158" i="41"/>
  <c r="AA161" i="44"/>
  <c r="Y155" i="39"/>
  <c r="Z158" i="43"/>
  <c r="Y154" i="40"/>
  <c r="Y152" i="37"/>
  <c r="X151" i="36"/>
  <c r="Z161" i="42"/>
  <c r="Y136" i="38"/>
  <c r="Y140" i="39"/>
  <c r="Y139" i="40"/>
  <c r="Y137" i="37"/>
  <c r="X136" i="36"/>
  <c r="AA146" i="44"/>
  <c r="Y143" i="41"/>
  <c r="Z146" i="42"/>
  <c r="Z143" i="43"/>
  <c r="U202" i="41"/>
  <c r="V213" i="42"/>
  <c r="V204" i="43"/>
  <c r="U188" i="37"/>
  <c r="U188" i="38"/>
  <c r="U196" i="39"/>
  <c r="T187" i="36"/>
  <c r="U193" i="40"/>
  <c r="W209" i="44"/>
  <c r="U193" i="37"/>
  <c r="U193" i="38"/>
  <c r="V218" i="42"/>
  <c r="U198" i="40"/>
  <c r="W214" i="44"/>
  <c r="T192" i="36"/>
  <c r="V209" i="43"/>
  <c r="U201" i="39"/>
  <c r="U207" i="41"/>
  <c r="V237" i="42"/>
  <c r="W233" i="44"/>
  <c r="U212" i="39"/>
  <c r="Y212" i="39" s="1"/>
  <c r="V220" i="43"/>
  <c r="Z220" i="43" s="1"/>
  <c r="U204" i="38"/>
  <c r="Y204" i="38" s="1"/>
  <c r="U204" i="37"/>
  <c r="Y204" i="37" s="1"/>
  <c r="U209" i="40"/>
  <c r="Y209" i="40" s="1"/>
  <c r="U218" i="41"/>
  <c r="Y218" i="41" s="1"/>
  <c r="T203" i="36"/>
  <c r="X203" i="36" s="1"/>
  <c r="W225" i="44"/>
  <c r="AA225" i="44" s="1"/>
  <c r="V229" i="42"/>
  <c r="Z229" i="42" s="1"/>
  <c r="W18" i="46"/>
  <c r="W18" i="48"/>
  <c r="W18" i="49"/>
  <c r="W18" i="47"/>
  <c r="W24" i="49"/>
  <c r="W24" i="46"/>
  <c r="W24" i="47"/>
  <c r="W24" i="48"/>
  <c r="X37" i="47"/>
  <c r="AA37" i="47" s="1"/>
  <c r="O26" i="50" s="1"/>
  <c r="X37" i="48"/>
  <c r="AA37" i="48" s="1"/>
  <c r="P26" i="50" s="1"/>
  <c r="X37" i="49"/>
  <c r="AA37" i="49" s="1"/>
  <c r="M26" i="50" s="1"/>
  <c r="X37" i="46"/>
  <c r="AA37" i="46" s="1"/>
  <c r="N26" i="50" s="1"/>
  <c r="U37" i="12"/>
  <c r="U52" i="12"/>
  <c r="AA52" i="47"/>
  <c r="O41" i="50" s="1"/>
  <c r="M41" i="50"/>
  <c r="AA52" i="48"/>
  <c r="P41" i="50" s="1"/>
  <c r="AA52" i="46"/>
  <c r="N41" i="50" s="1"/>
  <c r="U121" i="39"/>
  <c r="U127" i="39"/>
  <c r="T198" i="39"/>
  <c r="T204" i="39"/>
  <c r="AA134" i="44"/>
  <c r="Z134" i="44"/>
  <c r="AD58" i="44" s="1"/>
  <c r="Z25" i="46"/>
  <c r="AA25" i="46"/>
  <c r="N14" i="50" s="1"/>
  <c r="X205" i="39"/>
  <c r="T47" i="39" s="1"/>
  <c r="T86" i="39" s="1"/>
  <c r="Y205" i="39"/>
  <c r="X131" i="41"/>
  <c r="S47" i="41" s="1"/>
  <c r="S86" i="41" s="1"/>
  <c r="Y131" i="41"/>
  <c r="X128" i="39"/>
  <c r="S47" i="39" s="1"/>
  <c r="S86" i="39" s="1"/>
  <c r="Y128" i="39"/>
  <c r="AA25" i="47"/>
  <c r="O14" i="50" s="1"/>
  <c r="Z25" i="47"/>
  <c r="X196" i="36"/>
  <c r="W196" i="36"/>
  <c r="S46" i="36" s="1"/>
  <c r="S85" i="36" s="1"/>
  <c r="T170" i="36"/>
  <c r="V17" i="48"/>
  <c r="V17" i="49"/>
  <c r="V17" i="47"/>
  <c r="V17" i="46"/>
  <c r="V22" i="48"/>
  <c r="V22" i="46"/>
  <c r="V22" i="49"/>
  <c r="V22" i="47"/>
  <c r="S203" i="41"/>
  <c r="S197" i="39"/>
  <c r="S194" i="40"/>
  <c r="S189" i="38"/>
  <c r="U210" i="44"/>
  <c r="T205" i="43"/>
  <c r="S189" i="37"/>
  <c r="R188" i="36"/>
  <c r="T214" i="42"/>
  <c r="T219" i="42"/>
  <c r="U215" i="44"/>
  <c r="T210" i="43"/>
  <c r="S199" i="40"/>
  <c r="S202" i="39"/>
  <c r="S194" i="37"/>
  <c r="R193" i="36"/>
  <c r="S194" i="38"/>
  <c r="S208" i="41"/>
  <c r="Y153" i="40"/>
  <c r="Y151" i="37"/>
  <c r="X150" i="36"/>
  <c r="Y157" i="41"/>
  <c r="Y150" i="38"/>
  <c r="Z157" i="43"/>
  <c r="AA160" i="44"/>
  <c r="Y154" i="39"/>
  <c r="Z160" i="42"/>
  <c r="Y138" i="40"/>
  <c r="Y136" i="37"/>
  <c r="X135" i="36"/>
  <c r="Y142" i="41"/>
  <c r="Y135" i="38"/>
  <c r="Y139" i="39"/>
  <c r="AA145" i="44"/>
  <c r="Z142" i="43"/>
  <c r="Z145" i="42"/>
  <c r="Y232" i="37"/>
  <c r="X231" i="36"/>
  <c r="Z257" i="42"/>
  <c r="Y237" i="40"/>
  <c r="Y240" i="39"/>
  <c r="Y232" i="38"/>
  <c r="Z248" i="43"/>
  <c r="Y246" i="41"/>
  <c r="AA253" i="44"/>
  <c r="U217" i="41"/>
  <c r="T202" i="36"/>
  <c r="W224" i="44"/>
  <c r="V228" i="42"/>
  <c r="U211" i="39"/>
  <c r="V219" i="43"/>
  <c r="U203" i="38"/>
  <c r="U208" i="40"/>
  <c r="X16" i="49"/>
  <c r="X16" i="48"/>
  <c r="X16" i="46"/>
  <c r="X16" i="47"/>
  <c r="X21" i="49"/>
  <c r="X21" i="47"/>
  <c r="X21" i="48"/>
  <c r="X21" i="46"/>
  <c r="X38" i="46"/>
  <c r="AA38" i="46" s="1"/>
  <c r="N27" i="50" s="1"/>
  <c r="X38" i="47"/>
  <c r="AA38" i="47" s="1"/>
  <c r="O27" i="50" s="1"/>
  <c r="X38" i="49"/>
  <c r="AA38" i="49" s="1"/>
  <c r="M27" i="50" s="1"/>
  <c r="X38" i="48"/>
  <c r="AA38" i="48" s="1"/>
  <c r="P27" i="50" s="1"/>
  <c r="U38" i="12"/>
  <c r="U53" i="12"/>
  <c r="U209" i="44"/>
  <c r="S202" i="41"/>
  <c r="R187" i="36"/>
  <c r="S193" i="40"/>
  <c r="T204" i="43"/>
  <c r="S188" i="37"/>
  <c r="S196" i="39"/>
  <c r="T213" i="42"/>
  <c r="S188" i="38"/>
  <c r="S193" i="37"/>
  <c r="S193" i="38"/>
  <c r="R192" i="36"/>
  <c r="S198" i="40"/>
  <c r="T209" i="43"/>
  <c r="U214" i="44"/>
  <c r="T218" i="42"/>
  <c r="S201" i="39"/>
  <c r="S207" i="41"/>
  <c r="T234" i="36"/>
  <c r="Z247" i="43"/>
  <c r="Y245" i="41"/>
  <c r="X230" i="36"/>
  <c r="AA252" i="44"/>
  <c r="Y231" i="37"/>
  <c r="Z256" i="42"/>
  <c r="Y236" i="40"/>
  <c r="Y239" i="39"/>
  <c r="Y231" i="38"/>
  <c r="V217" i="43"/>
  <c r="V225" i="42"/>
  <c r="U214" i="41"/>
  <c r="W221" i="44"/>
  <c r="U201" i="38"/>
  <c r="T199" i="36"/>
  <c r="U206" i="40"/>
  <c r="U208" i="39"/>
  <c r="U209" i="39"/>
  <c r="V216" i="43"/>
  <c r="U215" i="41"/>
  <c r="W222" i="44"/>
  <c r="V226" i="42"/>
  <c r="U205" i="40"/>
  <c r="U201" i="37"/>
  <c r="T200" i="36"/>
  <c r="U200" i="37"/>
  <c r="U200" i="38"/>
  <c r="X18" i="48"/>
  <c r="X18" i="49"/>
  <c r="X18" i="47"/>
  <c r="X18" i="46"/>
  <c r="X24" i="49"/>
  <c r="X24" i="47"/>
  <c r="X24" i="48"/>
  <c r="X24" i="46"/>
  <c r="U58" i="12"/>
  <c r="X58" i="48"/>
  <c r="X58" i="49"/>
  <c r="X58" i="47"/>
  <c r="X58" i="46"/>
  <c r="X76" i="48"/>
  <c r="AA76" i="48" s="1"/>
  <c r="P65" i="50" s="1"/>
  <c r="X76" i="46"/>
  <c r="AA76" i="46" s="1"/>
  <c r="N65" i="50" s="1"/>
  <c r="X76" i="49"/>
  <c r="AA76" i="49" s="1"/>
  <c r="M65" i="50" s="1"/>
  <c r="X76" i="47"/>
  <c r="AA76" i="47" s="1"/>
  <c r="O65" i="50" s="1"/>
  <c r="T112" i="39"/>
  <c r="T126" i="40"/>
  <c r="T120" i="40"/>
  <c r="X127" i="40"/>
  <c r="S47" i="40" s="1"/>
  <c r="S86" i="40" s="1"/>
  <c r="Y127" i="40"/>
  <c r="X197" i="38"/>
  <c r="T46" i="38" s="1"/>
  <c r="T85" i="38" s="1"/>
  <c r="Y197" i="38"/>
  <c r="Z166" i="43"/>
  <c r="Z169" i="42"/>
  <c r="Y162" i="40"/>
  <c r="Y160" i="37"/>
  <c r="X159" i="36"/>
  <c r="Y166" i="41"/>
  <c r="Y159" i="38"/>
  <c r="AA169" i="44"/>
  <c r="Y163" i="39"/>
  <c r="V137" i="43"/>
  <c r="V140" i="42"/>
  <c r="U131" i="37"/>
  <c r="T130" i="36"/>
  <c r="U133" i="40"/>
  <c r="W140" i="44"/>
  <c r="U137" i="41"/>
  <c r="U134" i="39"/>
  <c r="U130" i="38"/>
  <c r="U189" i="38"/>
  <c r="V205" i="43"/>
  <c r="V214" i="42"/>
  <c r="U194" i="40"/>
  <c r="T188" i="36"/>
  <c r="U189" i="37"/>
  <c r="U203" i="41"/>
  <c r="W210" i="44"/>
  <c r="U197" i="39"/>
  <c r="V219" i="42"/>
  <c r="U202" i="39"/>
  <c r="U194" i="37"/>
  <c r="T193" i="36"/>
  <c r="V210" i="43"/>
  <c r="U194" i="38"/>
  <c r="U199" i="40"/>
  <c r="W215" i="44"/>
  <c r="U208" i="41"/>
  <c r="X28" i="46"/>
  <c r="X28" i="49"/>
  <c r="X29" i="47"/>
  <c r="X29" i="48"/>
  <c r="X29" i="46"/>
  <c r="X28" i="47"/>
  <c r="X29" i="49"/>
  <c r="X28" i="48"/>
  <c r="U60" i="12"/>
  <c r="X60" i="49"/>
  <c r="AA60" i="49" s="1"/>
  <c r="M49" i="50" s="1"/>
  <c r="X60" i="46"/>
  <c r="AA60" i="46" s="1"/>
  <c r="N49" i="50" s="1"/>
  <c r="X60" i="48"/>
  <c r="AA60" i="48" s="1"/>
  <c r="P49" i="50" s="1"/>
  <c r="X60" i="47"/>
  <c r="AA60" i="47" s="1"/>
  <c r="O49" i="50" s="1"/>
  <c r="X36" i="47"/>
  <c r="X36" i="46"/>
  <c r="X36" i="49"/>
  <c r="X36" i="48"/>
  <c r="U36" i="12"/>
  <c r="T190" i="38"/>
  <c r="V211" i="44"/>
  <c r="U215" i="42"/>
  <c r="T204" i="41"/>
  <c r="S189" i="36"/>
  <c r="T190" i="37"/>
  <c r="U206" i="43"/>
  <c r="S195" i="36"/>
  <c r="T196" i="38"/>
  <c r="U212" i="43"/>
  <c r="T196" i="37"/>
  <c r="V217" i="44"/>
  <c r="U221" i="42"/>
  <c r="T210" i="41"/>
  <c r="T195" i="40"/>
  <c r="T201" i="40"/>
  <c r="U143" i="39"/>
  <c r="W149" i="44"/>
  <c r="U132" i="37"/>
  <c r="Y132" i="37" s="1"/>
  <c r="U134" i="40"/>
  <c r="Y134" i="40" s="1"/>
  <c r="T131" i="36"/>
  <c r="X131" i="36" s="1"/>
  <c r="U138" i="41"/>
  <c r="Y138" i="41" s="1"/>
  <c r="U135" i="39"/>
  <c r="Y135" i="39" s="1"/>
  <c r="U131" i="38"/>
  <c r="Y131" i="38" s="1"/>
  <c r="W141" i="44"/>
  <c r="AA141" i="44" s="1"/>
  <c r="V138" i="43"/>
  <c r="Z138" i="43" s="1"/>
  <c r="V141" i="42"/>
  <c r="Z141" i="42" s="1"/>
  <c r="T246" i="36"/>
  <c r="Z255" i="42"/>
  <c r="Y235" i="40"/>
  <c r="Y238" i="39"/>
  <c r="Y230" i="38"/>
  <c r="Z246" i="43"/>
  <c r="Y244" i="41"/>
  <c r="AA251" i="44"/>
  <c r="X229" i="36"/>
  <c r="Y230" i="37"/>
  <c r="U190" i="38"/>
  <c r="W211" i="44"/>
  <c r="U204" i="41"/>
  <c r="V215" i="42"/>
  <c r="U190" i="37"/>
  <c r="T189" i="36"/>
  <c r="V206" i="43"/>
  <c r="V212" i="43"/>
  <c r="V221" i="42"/>
  <c r="U196" i="38"/>
  <c r="U196" i="37"/>
  <c r="W217" i="44"/>
  <c r="T195" i="36"/>
  <c r="U210" i="41"/>
  <c r="U195" i="40"/>
  <c r="U201" i="40"/>
  <c r="X17" i="48"/>
  <c r="X17" i="46"/>
  <c r="X17" i="49"/>
  <c r="X17" i="47"/>
  <c r="X22" i="46"/>
  <c r="X22" i="47"/>
  <c r="X22" i="49"/>
  <c r="X22" i="48"/>
  <c r="U59" i="12"/>
  <c r="X59" i="47"/>
  <c r="AA59" i="47" s="1"/>
  <c r="O48" i="50" s="1"/>
  <c r="X59" i="46"/>
  <c r="AA59" i="46" s="1"/>
  <c r="N48" i="50" s="1"/>
  <c r="X59" i="48"/>
  <c r="AA59" i="48" s="1"/>
  <c r="P48" i="50" s="1"/>
  <c r="X59" i="49"/>
  <c r="AA59" i="49" s="1"/>
  <c r="M48" i="50" s="1"/>
  <c r="X64" i="48"/>
  <c r="AA64" i="48" s="1"/>
  <c r="P53" i="50" s="1"/>
  <c r="X64" i="47"/>
  <c r="AA64" i="47" s="1"/>
  <c r="O53" i="50" s="1"/>
  <c r="X64" i="49"/>
  <c r="AA64" i="49" s="1"/>
  <c r="M53" i="50" s="1"/>
  <c r="X64" i="46"/>
  <c r="AA64" i="46" s="1"/>
  <c r="N53" i="50" s="1"/>
  <c r="W124" i="36"/>
  <c r="R46" i="36" s="1"/>
  <c r="R85" i="36" s="1"/>
  <c r="X124" i="36"/>
  <c r="AA218" i="44"/>
  <c r="Z218" i="44"/>
  <c r="AE58" i="44" s="1"/>
  <c r="T121" i="39"/>
  <c r="T127" i="39"/>
  <c r="Z222" i="42"/>
  <c r="Y222" i="42"/>
  <c r="AD56" i="42" s="1"/>
  <c r="X32" i="47"/>
  <c r="X32" i="49"/>
  <c r="X32" i="46"/>
  <c r="X32" i="48"/>
  <c r="X197" i="37"/>
  <c r="T47" i="37" s="1"/>
  <c r="T86" i="37" s="1"/>
  <c r="Y197" i="37"/>
  <c r="U198" i="39"/>
  <c r="U204" i="39"/>
  <c r="X124" i="38"/>
  <c r="S46" i="38" s="1"/>
  <c r="S85" i="38" s="1"/>
  <c r="Y124" i="38"/>
  <c r="U125" i="44"/>
  <c r="T122" i="43"/>
  <c r="S116" i="37"/>
  <c r="S118" i="40"/>
  <c r="S115" i="38"/>
  <c r="S122" i="41"/>
  <c r="T125" i="42"/>
  <c r="S119" i="39"/>
  <c r="R115" i="36"/>
  <c r="S120" i="38"/>
  <c r="T127" i="43"/>
  <c r="S124" i="39"/>
  <c r="R120" i="36"/>
  <c r="S121" i="37"/>
  <c r="U130" i="44"/>
  <c r="S123" i="40"/>
  <c r="T130" i="42"/>
  <c r="S127" i="41"/>
  <c r="T162" i="36"/>
  <c r="AA168" i="44"/>
  <c r="Y162" i="39"/>
  <c r="Z165" i="43"/>
  <c r="Z168" i="42"/>
  <c r="Y161" i="40"/>
  <c r="Y159" i="37"/>
  <c r="X158" i="36"/>
  <c r="Y165" i="41"/>
  <c r="Y158" i="38"/>
  <c r="V137" i="42"/>
  <c r="U131" i="40"/>
  <c r="T128" i="36"/>
  <c r="U129" i="37"/>
  <c r="U135" i="41"/>
  <c r="U132" i="39"/>
  <c r="U128" i="38"/>
  <c r="V134" i="43"/>
  <c r="W138" i="44"/>
  <c r="V135" i="43"/>
  <c r="V138" i="42"/>
  <c r="U130" i="40"/>
  <c r="T127" i="36"/>
  <c r="W137" i="44"/>
  <c r="U134" i="41"/>
  <c r="U131" i="39"/>
  <c r="U128" i="37"/>
  <c r="U127" i="38"/>
  <c r="Y229" i="40"/>
  <c r="Z240" i="43"/>
  <c r="Y238" i="41"/>
  <c r="Y232" i="39"/>
  <c r="Y224" i="38"/>
  <c r="AA245" i="44"/>
  <c r="X223" i="36"/>
  <c r="Y224" i="37"/>
  <c r="Z249" i="42"/>
  <c r="Y209" i="38"/>
  <c r="Y214" i="40"/>
  <c r="Y217" i="39"/>
  <c r="AA230" i="44"/>
  <c r="Y223" i="41"/>
  <c r="Y209" i="37"/>
  <c r="X208" i="36"/>
  <c r="Z234" i="42"/>
  <c r="Z225" i="43"/>
  <c r="S16" i="12"/>
  <c r="V16" i="47"/>
  <c r="V16" i="49"/>
  <c r="V16" i="46"/>
  <c r="V16" i="48"/>
  <c r="V21" i="47"/>
  <c r="V21" i="49"/>
  <c r="V21" i="46"/>
  <c r="V21" i="48"/>
  <c r="U61" i="12"/>
  <c r="X61" i="47"/>
  <c r="AA61" i="47" s="1"/>
  <c r="O50" i="50" s="1"/>
  <c r="X61" i="49"/>
  <c r="AA61" i="49" s="1"/>
  <c r="M50" i="50" s="1"/>
  <c r="X61" i="46"/>
  <c r="AA61" i="46" s="1"/>
  <c r="N50" i="50" s="1"/>
  <c r="X61" i="48"/>
  <c r="AA61" i="48" s="1"/>
  <c r="P50" i="50" s="1"/>
  <c r="Z134" i="42"/>
  <c r="Y134" i="42"/>
  <c r="AC56" i="42" s="1"/>
  <c r="T126" i="42"/>
  <c r="T123" i="43"/>
  <c r="S123" i="41"/>
  <c r="S117" i="37"/>
  <c r="R116" i="36"/>
  <c r="S116" i="38"/>
  <c r="S119" i="40"/>
  <c r="S120" i="39"/>
  <c r="U126" i="44"/>
  <c r="U131" i="44"/>
  <c r="S122" i="37"/>
  <c r="S124" i="40"/>
  <c r="T131" i="42"/>
  <c r="S121" i="38"/>
  <c r="R121" i="36"/>
  <c r="S125" i="39"/>
  <c r="T128" i="43"/>
  <c r="S128" i="41"/>
  <c r="T174" i="36"/>
  <c r="Y164" i="41"/>
  <c r="Y158" i="37"/>
  <c r="Y157" i="38"/>
  <c r="AA167" i="44"/>
  <c r="Y161" i="39"/>
  <c r="Y160" i="40"/>
  <c r="Z164" i="43"/>
  <c r="Z167" i="42"/>
  <c r="X157" i="36"/>
  <c r="U119" i="40"/>
  <c r="T116" i="36"/>
  <c r="U116" i="38"/>
  <c r="U123" i="41"/>
  <c r="V126" i="42"/>
  <c r="W126" i="44"/>
  <c r="U120" i="39"/>
  <c r="V123" i="43"/>
  <c r="U117" i="37"/>
  <c r="W131" i="44"/>
  <c r="U124" i="40"/>
  <c r="T121" i="36"/>
  <c r="U122" i="37"/>
  <c r="U121" i="38"/>
  <c r="U125" i="39"/>
  <c r="V128" i="43"/>
  <c r="V131" i="42"/>
  <c r="U128" i="41"/>
  <c r="Y223" i="37"/>
  <c r="Y228" i="40"/>
  <c r="Y231" i="39"/>
  <c r="Y223" i="38"/>
  <c r="Z239" i="43"/>
  <c r="Y237" i="41"/>
  <c r="AA244" i="44"/>
  <c r="X222" i="36"/>
  <c r="Y208" i="37"/>
  <c r="X207" i="36"/>
  <c r="Y216" i="39"/>
  <c r="AA229" i="44"/>
  <c r="Y208" i="38"/>
  <c r="Y213" i="40"/>
  <c r="Y222" i="41"/>
  <c r="Z224" i="43"/>
  <c r="Z233" i="42"/>
  <c r="V28" i="49"/>
  <c r="V29" i="49"/>
  <c r="Z29" i="49" s="1"/>
  <c r="V29" i="47"/>
  <c r="V29" i="48"/>
  <c r="V28" i="46"/>
  <c r="V28" i="48"/>
  <c r="V29" i="46"/>
  <c r="V28" i="47"/>
  <c r="X33" i="48"/>
  <c r="AA33" i="48" s="1"/>
  <c r="P22" i="50" s="1"/>
  <c r="X33" i="46"/>
  <c r="AA33" i="46" s="1"/>
  <c r="N22" i="50" s="1"/>
  <c r="X33" i="49"/>
  <c r="AA33" i="49" s="1"/>
  <c r="M22" i="50" s="1"/>
  <c r="X33" i="47"/>
  <c r="AA33" i="47" s="1"/>
  <c r="O22" i="50" s="1"/>
  <c r="X42" i="46"/>
  <c r="X41" i="46" s="1"/>
  <c r="X42" i="47"/>
  <c r="X41" i="47" s="1"/>
  <c r="X42" i="49"/>
  <c r="X41" i="49" s="1"/>
  <c r="X42" i="48"/>
  <c r="X41" i="48" s="1"/>
  <c r="U42" i="12"/>
  <c r="U41" i="12" s="1"/>
  <c r="U112" i="39"/>
  <c r="U126" i="40"/>
  <c r="U120" i="40"/>
  <c r="Y125" i="37"/>
  <c r="X125" i="37"/>
  <c r="S47" i="37" s="1"/>
  <c r="S86" i="37" s="1"/>
  <c r="Z25" i="48"/>
  <c r="AA25" i="48"/>
  <c r="P14" i="50" s="1"/>
  <c r="X211" i="41"/>
  <c r="T47" i="41" s="1"/>
  <c r="T86" i="41" s="1"/>
  <c r="Y211" i="41"/>
  <c r="Y202" i="40"/>
  <c r="X202" i="40"/>
  <c r="T47" i="40" s="1"/>
  <c r="T86" i="40" s="1"/>
  <c r="AB57" i="43"/>
  <c r="AB57" i="42"/>
  <c r="R48" i="40"/>
  <c r="R87" i="40" s="1"/>
  <c r="R47" i="38"/>
  <c r="R86" i="38" s="1"/>
  <c r="R48" i="39"/>
  <c r="R87" i="39" s="1"/>
  <c r="AC59" i="44"/>
  <c r="R48" i="37"/>
  <c r="R87" i="37" s="1"/>
  <c r="Q47" i="36"/>
  <c r="Q86" i="36" s="1"/>
  <c r="R48" i="41"/>
  <c r="R87" i="41" s="1"/>
  <c r="AC58" i="44"/>
  <c r="R47" i="39"/>
  <c r="R86" i="39" s="1"/>
  <c r="R46" i="38"/>
  <c r="R85" i="38" s="1"/>
  <c r="R47" i="40"/>
  <c r="R86" i="40" s="1"/>
  <c r="AB56" i="43"/>
  <c r="Q46" i="36"/>
  <c r="Q85" i="36" s="1"/>
  <c r="AB56" i="42"/>
  <c r="R47" i="37"/>
  <c r="R86" i="37" s="1"/>
  <c r="R47" i="41"/>
  <c r="R86" i="41" s="1"/>
  <c r="R46" i="40"/>
  <c r="R85" i="40" s="1"/>
  <c r="AB55" i="43"/>
  <c r="R46" i="41"/>
  <c r="R85" i="41" s="1"/>
  <c r="AC57" i="44"/>
  <c r="AB55" i="42"/>
  <c r="R46" i="39"/>
  <c r="R85" i="39" s="1"/>
  <c r="R45" i="38"/>
  <c r="R84" i="38" s="1"/>
  <c r="R46" i="37"/>
  <c r="R85" i="37" s="1"/>
  <c r="Q45" i="36"/>
  <c r="Q84" i="36" s="1"/>
  <c r="AD16" i="12"/>
  <c r="AY57" i="11"/>
  <c r="S22" i="12"/>
  <c r="U22" i="12"/>
  <c r="S21" i="12"/>
  <c r="T22" i="12"/>
  <c r="T21" i="12"/>
  <c r="AD17" i="12"/>
  <c r="U16" i="12"/>
  <c r="U21" i="12"/>
  <c r="O33" i="11"/>
  <c r="Q31" i="14"/>
  <c r="AY33" i="11" s="1"/>
  <c r="X50" i="47" l="1"/>
  <c r="X50" i="46"/>
  <c r="U163" i="37"/>
  <c r="W177" i="44"/>
  <c r="AA177" i="44" s="1"/>
  <c r="V179" i="42"/>
  <c r="T51" i="42" s="1"/>
  <c r="AC90" i="42" s="1"/>
  <c r="U165" i="40"/>
  <c r="U162" i="38"/>
  <c r="U169" i="41"/>
  <c r="Y169" i="41" s="1"/>
  <c r="V172" i="42"/>
  <c r="Z172" i="42" s="1"/>
  <c r="V173" i="43"/>
  <c r="U166" i="39"/>
  <c r="W273" i="44"/>
  <c r="U252" i="40"/>
  <c r="AC62" i="40" s="1"/>
  <c r="AC92" i="40" s="1"/>
  <c r="U247" i="38"/>
  <c r="V267" i="43"/>
  <c r="U261" i="41"/>
  <c r="U255" i="39"/>
  <c r="Y255" i="39" s="1"/>
  <c r="U247" i="37"/>
  <c r="AC62" i="37" s="1"/>
  <c r="AC92" i="37" s="1"/>
  <c r="V276" i="42"/>
  <c r="U181" i="41"/>
  <c r="U178" i="39"/>
  <c r="AB62" i="39" s="1"/>
  <c r="AB92" i="39" s="1"/>
  <c r="U175" i="37"/>
  <c r="W189" i="44"/>
  <c r="V191" i="42"/>
  <c r="T54" i="42" s="1"/>
  <c r="AC93" i="42" s="1"/>
  <c r="U177" i="40"/>
  <c r="AB62" i="40" s="1"/>
  <c r="AB92" i="40" s="1"/>
  <c r="U174" i="38"/>
  <c r="AB61" i="38" s="1"/>
  <c r="AB91" i="38" s="1"/>
  <c r="V185" i="43"/>
  <c r="W261" i="44"/>
  <c r="U240" i="40"/>
  <c r="AC59" i="40" s="1"/>
  <c r="U235" i="38"/>
  <c r="AC58" i="38" s="1"/>
  <c r="V255" i="43"/>
  <c r="U249" i="41"/>
  <c r="Y249" i="41" s="1"/>
  <c r="U243" i="39"/>
  <c r="AC59" i="39" s="1"/>
  <c r="U235" i="37"/>
  <c r="Y235" i="37" s="1"/>
  <c r="V264" i="42"/>
  <c r="V181" i="43"/>
  <c r="U177" i="41"/>
  <c r="U176" i="41" s="1"/>
  <c r="U174" i="39"/>
  <c r="U171" i="37"/>
  <c r="Y171" i="37" s="1"/>
  <c r="U173" i="40"/>
  <c r="Y173" i="40" s="1"/>
  <c r="U170" i="38"/>
  <c r="U169" i="38" s="1"/>
  <c r="W185" i="44"/>
  <c r="AA185" i="44" s="1"/>
  <c r="V187" i="42"/>
  <c r="U50" i="12"/>
  <c r="W158" i="44"/>
  <c r="W242" i="44"/>
  <c r="Z247" i="42"/>
  <c r="V246" i="42"/>
  <c r="X50" i="48"/>
  <c r="AA50" i="48" s="1"/>
  <c r="P39" i="50" s="1"/>
  <c r="X50" i="49"/>
  <c r="X117" i="37"/>
  <c r="Y117" i="37"/>
  <c r="X118" i="40"/>
  <c r="Y118" i="40"/>
  <c r="S179" i="40"/>
  <c r="S116" i="40"/>
  <c r="AA36" i="47"/>
  <c r="O25" i="50" s="1"/>
  <c r="X35" i="47"/>
  <c r="AA35" i="47" s="1"/>
  <c r="O24" i="50" s="1"/>
  <c r="U237" i="37"/>
  <c r="Y239" i="37"/>
  <c r="Z140" i="42"/>
  <c r="V139" i="42"/>
  <c r="U49" i="44"/>
  <c r="AD88" i="44" s="1"/>
  <c r="AA156" i="44"/>
  <c r="X57" i="47"/>
  <c r="AA57" i="47" s="1"/>
  <c r="O46" i="50" s="1"/>
  <c r="AA58" i="47"/>
  <c r="O47" i="50" s="1"/>
  <c r="W143" i="44"/>
  <c r="AA144" i="44"/>
  <c r="Z156" i="43"/>
  <c r="Y193" i="40"/>
  <c r="X193" i="40"/>
  <c r="S254" i="40"/>
  <c r="S191" i="40"/>
  <c r="X212" i="36"/>
  <c r="U186" i="38"/>
  <c r="AC51" i="38" s="1"/>
  <c r="AA51" i="47"/>
  <c r="O40" i="50" s="1"/>
  <c r="AA50" i="47"/>
  <c r="O39" i="50" s="1"/>
  <c r="Y212" i="40"/>
  <c r="U211" i="40"/>
  <c r="Y230" i="39"/>
  <c r="T113" i="36"/>
  <c r="AA51" i="36" s="1"/>
  <c r="AA166" i="44"/>
  <c r="W165" i="44"/>
  <c r="Z163" i="43"/>
  <c r="V162" i="43"/>
  <c r="AA181" i="44"/>
  <c r="W179" i="44"/>
  <c r="Z138" i="44"/>
  <c r="AA138" i="44"/>
  <c r="Z134" i="43"/>
  <c r="Y134" i="43"/>
  <c r="AA29" i="47"/>
  <c r="O18" i="50" s="1"/>
  <c r="Z29" i="47"/>
  <c r="AB62" i="37"/>
  <c r="AB92" i="37" s="1"/>
  <c r="Y175" i="37"/>
  <c r="Z191" i="42"/>
  <c r="X122" i="37"/>
  <c r="Y122" i="37"/>
  <c r="X123" i="41"/>
  <c r="Y123" i="41"/>
  <c r="AA16" i="49"/>
  <c r="M5" i="50" s="1"/>
  <c r="Z16" i="49"/>
  <c r="V15" i="49"/>
  <c r="V78" i="49"/>
  <c r="Y162" i="38"/>
  <c r="AB58" i="38"/>
  <c r="U53" i="44"/>
  <c r="AD92" i="44" s="1"/>
  <c r="Y127" i="43"/>
  <c r="Z127" i="43"/>
  <c r="Y116" i="37"/>
  <c r="X116" i="37"/>
  <c r="S177" i="37"/>
  <c r="S114" i="37"/>
  <c r="Y237" i="39"/>
  <c r="U236" i="39"/>
  <c r="X127" i="39"/>
  <c r="Y127" i="39"/>
  <c r="Y140" i="38"/>
  <c r="Y196" i="37"/>
  <c r="X196" i="37"/>
  <c r="Y215" i="42"/>
  <c r="Z215" i="42"/>
  <c r="U278" i="42"/>
  <c r="U211" i="42"/>
  <c r="T236" i="36"/>
  <c r="X238" i="36"/>
  <c r="U129" i="38"/>
  <c r="Y130" i="38"/>
  <c r="Z137" i="43"/>
  <c r="V136" i="43"/>
  <c r="AB55" i="38"/>
  <c r="AB85" i="38" s="1"/>
  <c r="Y146" i="38"/>
  <c r="T179" i="40"/>
  <c r="Y126" i="40"/>
  <c r="X126" i="40"/>
  <c r="X57" i="49"/>
  <c r="AA57" i="49" s="1"/>
  <c r="M46" i="50" s="1"/>
  <c r="AA58" i="49"/>
  <c r="M47" i="50" s="1"/>
  <c r="V143" i="42"/>
  <c r="Z144" i="42"/>
  <c r="Z159" i="42"/>
  <c r="Y153" i="39"/>
  <c r="X193" i="38"/>
  <c r="Y193" i="38"/>
  <c r="X187" i="36"/>
  <c r="W187" i="36"/>
  <c r="R248" i="36"/>
  <c r="R185" i="36"/>
  <c r="U210" i="39"/>
  <c r="Y211" i="39"/>
  <c r="AA215" i="44"/>
  <c r="Z215" i="44"/>
  <c r="Y194" i="40"/>
  <c r="X194" i="40"/>
  <c r="Z17" i="47"/>
  <c r="AA17" i="47"/>
  <c r="O6" i="50" s="1"/>
  <c r="Z24" i="48"/>
  <c r="AA24" i="48"/>
  <c r="P13" i="50" s="1"/>
  <c r="Y221" i="39"/>
  <c r="U186" i="37"/>
  <c r="AC52" i="37" s="1"/>
  <c r="AA222" i="44"/>
  <c r="Z222" i="44"/>
  <c r="X214" i="41"/>
  <c r="Y214" i="41"/>
  <c r="AA51" i="49"/>
  <c r="M40" i="50" s="1"/>
  <c r="AA50" i="49"/>
  <c r="M39" i="50" s="1"/>
  <c r="W227" i="44"/>
  <c r="AA228" i="44"/>
  <c r="Y222" i="37"/>
  <c r="U114" i="37"/>
  <c r="AB52" i="37" s="1"/>
  <c r="Y156" i="38"/>
  <c r="U155" i="38"/>
  <c r="V175" i="43"/>
  <c r="Z177" i="43"/>
  <c r="Y166" i="38"/>
  <c r="U164" i="38"/>
  <c r="X128" i="38"/>
  <c r="Y128" i="38"/>
  <c r="Z137" i="44"/>
  <c r="AA137" i="44"/>
  <c r="X124" i="39"/>
  <c r="Y124" i="39"/>
  <c r="AA217" i="44"/>
  <c r="Z217" i="44"/>
  <c r="X204" i="41"/>
  <c r="Y204" i="41"/>
  <c r="T200" i="41"/>
  <c r="T263" i="41"/>
  <c r="V266" i="42"/>
  <c r="Z268" i="42"/>
  <c r="Y120" i="40"/>
  <c r="X120" i="40"/>
  <c r="T116" i="40"/>
  <c r="V140" i="43"/>
  <c r="Z141" i="43"/>
  <c r="X192" i="36"/>
  <c r="W192" i="36"/>
  <c r="Z219" i="43"/>
  <c r="V218" i="43"/>
  <c r="X189" i="38"/>
  <c r="Y189" i="38"/>
  <c r="Z17" i="46"/>
  <c r="AA17" i="46"/>
  <c r="N6" i="50" s="1"/>
  <c r="AA18" i="46"/>
  <c r="N7" i="50" s="1"/>
  <c r="Z18" i="46"/>
  <c r="W78" i="46"/>
  <c r="Y200" i="37"/>
  <c r="X200" i="37"/>
  <c r="AA221" i="44"/>
  <c r="Z221" i="44"/>
  <c r="X205" i="40"/>
  <c r="Y205" i="40"/>
  <c r="U48" i="12"/>
  <c r="X48" i="49"/>
  <c r="AA48" i="49" s="1"/>
  <c r="M37" i="50" s="1"/>
  <c r="X48" i="47"/>
  <c r="AA48" i="47" s="1"/>
  <c r="O37" i="50" s="1"/>
  <c r="X48" i="48"/>
  <c r="AA48" i="48" s="1"/>
  <c r="P37" i="50" s="1"/>
  <c r="X48" i="46"/>
  <c r="AA48" i="46" s="1"/>
  <c r="N37" i="50" s="1"/>
  <c r="Y177" i="40"/>
  <c r="Y128" i="41"/>
  <c r="X128" i="41"/>
  <c r="AA131" i="44"/>
  <c r="Z131" i="44"/>
  <c r="Z123" i="43"/>
  <c r="Y123" i="43"/>
  <c r="Z16" i="47"/>
  <c r="AA16" i="47"/>
  <c r="O5" i="50" s="1"/>
  <c r="V78" i="47"/>
  <c r="V15" i="47"/>
  <c r="AB59" i="41"/>
  <c r="X127" i="41"/>
  <c r="Y127" i="41"/>
  <c r="X120" i="38"/>
  <c r="Y120" i="38"/>
  <c r="Z122" i="43"/>
  <c r="Y122" i="43"/>
  <c r="T120" i="43"/>
  <c r="T187" i="43"/>
  <c r="AA32" i="48"/>
  <c r="P21" i="50" s="1"/>
  <c r="X31" i="48"/>
  <c r="AA31" i="48" s="1"/>
  <c r="P20" i="50" s="1"/>
  <c r="U233" i="40"/>
  <c r="Y234" i="40"/>
  <c r="Y121" i="39"/>
  <c r="X121" i="39"/>
  <c r="T117" i="39"/>
  <c r="T180" i="39"/>
  <c r="AB61" i="36"/>
  <c r="AB91" i="36" s="1"/>
  <c r="X246" i="36"/>
  <c r="Y147" i="41"/>
  <c r="Z212" i="43"/>
  <c r="Y212" i="43"/>
  <c r="Z211" i="44"/>
  <c r="AA211" i="44"/>
  <c r="V275" i="44"/>
  <c r="V207" i="44"/>
  <c r="V257" i="43"/>
  <c r="Z259" i="43"/>
  <c r="Y134" i="39"/>
  <c r="U133" i="39"/>
  <c r="T47" i="42"/>
  <c r="AC86" i="42" s="1"/>
  <c r="Z156" i="42"/>
  <c r="X57" i="48"/>
  <c r="AA57" i="48" s="1"/>
  <c r="P46" i="50" s="1"/>
  <c r="AA58" i="48"/>
  <c r="P47" i="50" s="1"/>
  <c r="Y134" i="38"/>
  <c r="U133" i="38"/>
  <c r="Y149" i="38"/>
  <c r="Y207" i="41"/>
  <c r="X207" i="41"/>
  <c r="Y193" i="37"/>
  <c r="X193" i="37"/>
  <c r="X202" i="41"/>
  <c r="Y202" i="41"/>
  <c r="S263" i="41"/>
  <c r="S200" i="41"/>
  <c r="X15" i="47"/>
  <c r="Y203" i="37"/>
  <c r="U202" i="37"/>
  <c r="X208" i="41"/>
  <c r="Y208" i="41"/>
  <c r="Z219" i="42"/>
  <c r="Y219" i="42"/>
  <c r="X197" i="39"/>
  <c r="Y197" i="39"/>
  <c r="AA17" i="49"/>
  <c r="M6" i="50" s="1"/>
  <c r="Z17" i="49"/>
  <c r="V186" i="42"/>
  <c r="Z187" i="42"/>
  <c r="Z24" i="47"/>
  <c r="AA24" i="47"/>
  <c r="O13" i="50" s="1"/>
  <c r="AA234" i="44"/>
  <c r="Y213" i="37"/>
  <c r="V202" i="43"/>
  <c r="U43" i="43" s="1"/>
  <c r="X215" i="41"/>
  <c r="Y215" i="41"/>
  <c r="Y225" i="42"/>
  <c r="Z225" i="42"/>
  <c r="AA50" i="46"/>
  <c r="N39" i="50" s="1"/>
  <c r="AA51" i="46"/>
  <c r="N40" i="50" s="1"/>
  <c r="T205" i="36"/>
  <c r="X206" i="36"/>
  <c r="AA243" i="44"/>
  <c r="V123" i="42"/>
  <c r="T43" i="42" s="1"/>
  <c r="Y163" i="41"/>
  <c r="U162" i="41"/>
  <c r="T164" i="36"/>
  <c r="X166" i="36"/>
  <c r="Y127" i="38"/>
  <c r="X127" i="38"/>
  <c r="Y132" i="39"/>
  <c r="X132" i="39"/>
  <c r="Y131" i="39"/>
  <c r="X131" i="39"/>
  <c r="AA29" i="48"/>
  <c r="P18" i="50" s="1"/>
  <c r="Z29" i="48"/>
  <c r="AB59" i="39"/>
  <c r="Y166" i="39"/>
  <c r="U228" i="38"/>
  <c r="Y229" i="38"/>
  <c r="Y144" i="39"/>
  <c r="Y210" i="43"/>
  <c r="Z210" i="43"/>
  <c r="T242" i="36"/>
  <c r="Z28" i="49"/>
  <c r="AA28" i="49"/>
  <c r="M17" i="50" s="1"/>
  <c r="AA61" i="36"/>
  <c r="AA91" i="36" s="1"/>
  <c r="X174" i="36"/>
  <c r="Z128" i="43"/>
  <c r="Y128" i="43"/>
  <c r="Z126" i="44"/>
  <c r="AA126" i="44"/>
  <c r="Z126" i="42"/>
  <c r="Y126" i="42"/>
  <c r="AA21" i="48"/>
  <c r="P10" i="50" s="1"/>
  <c r="Z21" i="48"/>
  <c r="Z179" i="42"/>
  <c r="Z130" i="42"/>
  <c r="Y130" i="42"/>
  <c r="W115" i="36"/>
  <c r="X115" i="36"/>
  <c r="R176" i="36"/>
  <c r="R113" i="36"/>
  <c r="AA125" i="44"/>
  <c r="Z125" i="44"/>
  <c r="U191" i="44"/>
  <c r="U123" i="44"/>
  <c r="AA32" i="46"/>
  <c r="N21" i="50" s="1"/>
  <c r="X31" i="46"/>
  <c r="AA31" i="46" s="1"/>
  <c r="N20" i="50" s="1"/>
  <c r="Z254" i="42"/>
  <c r="V253" i="42"/>
  <c r="X15" i="46"/>
  <c r="U54" i="43"/>
  <c r="AD93" i="43" s="1"/>
  <c r="Z267" i="43"/>
  <c r="AA150" i="44"/>
  <c r="AA149" i="44"/>
  <c r="Z150" i="42"/>
  <c r="Y196" i="38"/>
  <c r="X196" i="38"/>
  <c r="Y190" i="38"/>
  <c r="X190" i="38"/>
  <c r="T249" i="38"/>
  <c r="T186" i="38"/>
  <c r="AA265" i="44"/>
  <c r="W263" i="44"/>
  <c r="Y137" i="41"/>
  <c r="U136" i="41"/>
  <c r="AA55" i="36"/>
  <c r="AA85" i="36" s="1"/>
  <c r="X146" i="36"/>
  <c r="AB56" i="41"/>
  <c r="AB86" i="41" s="1"/>
  <c r="Y153" i="41"/>
  <c r="U140" i="41"/>
  <c r="Y141" i="41"/>
  <c r="Y156" i="41"/>
  <c r="Y201" i="39"/>
  <c r="X201" i="39"/>
  <c r="X188" i="38"/>
  <c r="Y188" i="38"/>
  <c r="S249" i="38"/>
  <c r="S186" i="38"/>
  <c r="Z209" i="44"/>
  <c r="AA209" i="44"/>
  <c r="U275" i="44"/>
  <c r="U207" i="44"/>
  <c r="V227" i="42"/>
  <c r="Z228" i="42"/>
  <c r="X194" i="38"/>
  <c r="Y194" i="38"/>
  <c r="Z214" i="42"/>
  <c r="Y214" i="42"/>
  <c r="X203" i="41"/>
  <c r="Y203" i="41"/>
  <c r="Z17" i="48"/>
  <c r="AA17" i="48"/>
  <c r="P6" i="50" s="1"/>
  <c r="X204" i="39"/>
  <c r="Y204" i="39"/>
  <c r="W15" i="46"/>
  <c r="Z24" i="46"/>
  <c r="AA24" i="46"/>
  <c r="N13" i="50" s="1"/>
  <c r="Y227" i="41"/>
  <c r="V211" i="42"/>
  <c r="U43" i="42" s="1"/>
  <c r="Z216" i="43"/>
  <c r="Y216" i="43"/>
  <c r="Y217" i="43"/>
  <c r="Z217" i="43"/>
  <c r="U206" i="37"/>
  <c r="Y207" i="37"/>
  <c r="X221" i="36"/>
  <c r="U120" i="41"/>
  <c r="AB52" i="41" s="1"/>
  <c r="U159" i="39"/>
  <c r="Y160" i="39"/>
  <c r="Y167" i="37"/>
  <c r="U165" i="37"/>
  <c r="X128" i="37"/>
  <c r="Y128" i="37"/>
  <c r="X135" i="41"/>
  <c r="Y135" i="41"/>
  <c r="X134" i="41"/>
  <c r="Y134" i="41"/>
  <c r="X124" i="40"/>
  <c r="Y124" i="40"/>
  <c r="Z28" i="47"/>
  <c r="AA28" i="47"/>
  <c r="O17" i="50" s="1"/>
  <c r="Z21" i="46"/>
  <c r="AA21" i="46"/>
  <c r="N10" i="50" s="1"/>
  <c r="Y123" i="40"/>
  <c r="X123" i="40"/>
  <c r="Y229" i="37"/>
  <c r="U228" i="37"/>
  <c r="X195" i="36"/>
  <c r="W195" i="36"/>
  <c r="AB56" i="37"/>
  <c r="AB86" i="37" s="1"/>
  <c r="Y147" i="37"/>
  <c r="Y213" i="42"/>
  <c r="Z213" i="42"/>
  <c r="T278" i="42"/>
  <c r="T211" i="42"/>
  <c r="Y208" i="39"/>
  <c r="X208" i="39"/>
  <c r="Y209" i="39"/>
  <c r="X209" i="39"/>
  <c r="Z232" i="42"/>
  <c r="V231" i="42"/>
  <c r="U220" i="41"/>
  <c r="Y221" i="41"/>
  <c r="Y236" i="41"/>
  <c r="W123" i="44"/>
  <c r="U45" i="44" s="1"/>
  <c r="U156" i="37"/>
  <c r="Y157" i="37"/>
  <c r="Y169" i="40"/>
  <c r="U167" i="40"/>
  <c r="W127" i="36"/>
  <c r="X127" i="36"/>
  <c r="X131" i="40"/>
  <c r="Y131" i="40"/>
  <c r="AA72" i="48"/>
  <c r="P61" i="50" s="1"/>
  <c r="X71" i="48"/>
  <c r="AA71" i="48" s="1"/>
  <c r="P60" i="50" s="1"/>
  <c r="Y141" i="37"/>
  <c r="W139" i="44"/>
  <c r="AA140" i="44"/>
  <c r="X134" i="36"/>
  <c r="T133" i="36"/>
  <c r="AA159" i="44"/>
  <c r="Z218" i="42"/>
  <c r="Y218" i="42"/>
  <c r="AA224" i="44"/>
  <c r="W223" i="44"/>
  <c r="W193" i="36"/>
  <c r="X193" i="36"/>
  <c r="X188" i="36"/>
  <c r="W188" i="36"/>
  <c r="T169" i="36"/>
  <c r="X170" i="36"/>
  <c r="Z181" i="43"/>
  <c r="V180" i="43"/>
  <c r="Y198" i="39"/>
  <c r="X198" i="39"/>
  <c r="T194" i="39"/>
  <c r="T257" i="39"/>
  <c r="W207" i="44"/>
  <c r="V45" i="44" s="1"/>
  <c r="U200" i="41"/>
  <c r="AC52" i="41" s="1"/>
  <c r="AA41" i="49"/>
  <c r="M30" i="50" s="1"/>
  <c r="AA42" i="49"/>
  <c r="M31" i="50" s="1"/>
  <c r="Z29" i="46"/>
  <c r="AA29" i="46"/>
  <c r="N18" i="50" s="1"/>
  <c r="Z248" i="42"/>
  <c r="Y178" i="39"/>
  <c r="X121" i="36"/>
  <c r="W121" i="36"/>
  <c r="X119" i="40"/>
  <c r="Y119" i="40"/>
  <c r="Z21" i="49"/>
  <c r="AA21" i="49"/>
  <c r="M10" i="50" s="1"/>
  <c r="AA58" i="36"/>
  <c r="X162" i="36"/>
  <c r="Z130" i="44"/>
  <c r="AA130" i="44"/>
  <c r="Z125" i="42"/>
  <c r="Y125" i="42"/>
  <c r="T193" i="42"/>
  <c r="T123" i="42"/>
  <c r="AA32" i="47"/>
  <c r="O21" i="50" s="1"/>
  <c r="X31" i="47"/>
  <c r="AA31" i="47" s="1"/>
  <c r="O20" i="50" s="1"/>
  <c r="X228" i="36"/>
  <c r="AC62" i="41"/>
  <c r="AC92" i="41" s="1"/>
  <c r="Y261" i="41"/>
  <c r="Z147" i="43"/>
  <c r="Y195" i="40"/>
  <c r="X195" i="40"/>
  <c r="T254" i="40"/>
  <c r="Y206" i="43"/>
  <c r="Z206" i="43"/>
  <c r="U202" i="43"/>
  <c r="U269" i="43"/>
  <c r="AA36" i="48"/>
  <c r="P25" i="50" s="1"/>
  <c r="X35" i="48"/>
  <c r="AA35" i="48" s="1"/>
  <c r="P24" i="50" s="1"/>
  <c r="Y247" i="39"/>
  <c r="U245" i="39"/>
  <c r="U132" i="40"/>
  <c r="Y133" i="40"/>
  <c r="AB56" i="40"/>
  <c r="AB86" i="40" s="1"/>
  <c r="Y149" i="40"/>
  <c r="AB58" i="36"/>
  <c r="X234" i="36"/>
  <c r="U134" i="37"/>
  <c r="Y135" i="37"/>
  <c r="X149" i="36"/>
  <c r="Z214" i="44"/>
  <c r="AA214" i="44"/>
  <c r="Y196" i="39"/>
  <c r="X196" i="39"/>
  <c r="S194" i="39"/>
  <c r="S257" i="39"/>
  <c r="X15" i="49"/>
  <c r="X202" i="36"/>
  <c r="T201" i="36"/>
  <c r="X194" i="37"/>
  <c r="Y194" i="37"/>
  <c r="X189" i="37"/>
  <c r="Y189" i="37"/>
  <c r="Z22" i="49"/>
  <c r="AA22" i="49"/>
  <c r="M11" i="50" s="1"/>
  <c r="Y174" i="39"/>
  <c r="U173" i="39"/>
  <c r="Z18" i="47"/>
  <c r="AA18" i="47"/>
  <c r="O7" i="50" s="1"/>
  <c r="W15" i="47"/>
  <c r="W78" i="47"/>
  <c r="Y218" i="40"/>
  <c r="U191" i="40"/>
  <c r="AC52" i="40" s="1"/>
  <c r="W199" i="36"/>
  <c r="X199" i="36"/>
  <c r="Z226" i="42"/>
  <c r="Y226" i="42"/>
  <c r="Z223" i="43"/>
  <c r="V222" i="43"/>
  <c r="Z238" i="43"/>
  <c r="U113" i="38"/>
  <c r="AB51" i="38" s="1"/>
  <c r="Y159" i="40"/>
  <c r="U158" i="40"/>
  <c r="Z183" i="42"/>
  <c r="V181" i="42"/>
  <c r="Y130" i="40"/>
  <c r="X130" i="40"/>
  <c r="Z137" i="42"/>
  <c r="Y137" i="42"/>
  <c r="AA72" i="46"/>
  <c r="N61" i="50" s="1"/>
  <c r="X71" i="46"/>
  <c r="AA71" i="46" s="1"/>
  <c r="N60" i="50" s="1"/>
  <c r="AB62" i="41"/>
  <c r="AB92" i="41" s="1"/>
  <c r="Y181" i="41"/>
  <c r="Z16" i="46"/>
  <c r="AA16" i="46"/>
  <c r="N5" i="50" s="1"/>
  <c r="V78" i="46"/>
  <c r="V15" i="46"/>
  <c r="AA41" i="48"/>
  <c r="AA42" i="48"/>
  <c r="P31" i="50" s="1"/>
  <c r="X15" i="48"/>
  <c r="Z22" i="47"/>
  <c r="AA22" i="47"/>
  <c r="O11" i="50" s="1"/>
  <c r="W15" i="49"/>
  <c r="AA24" i="49"/>
  <c r="M13" i="50" s="1"/>
  <c r="Z24" i="49"/>
  <c r="Z229" i="43"/>
  <c r="AA42" i="47"/>
  <c r="O31" i="50" s="1"/>
  <c r="AA41" i="47"/>
  <c r="Z28" i="48"/>
  <c r="AA28" i="48"/>
  <c r="P17" i="50" s="1"/>
  <c r="U56" i="44"/>
  <c r="AD95" i="44" s="1"/>
  <c r="AA189" i="44"/>
  <c r="Y121" i="38"/>
  <c r="X121" i="38"/>
  <c r="X116" i="38"/>
  <c r="Y116" i="38"/>
  <c r="AA21" i="47"/>
  <c r="O10" i="50" s="1"/>
  <c r="Z21" i="47"/>
  <c r="AB59" i="37"/>
  <c r="Y163" i="37"/>
  <c r="Y121" i="37"/>
  <c r="X121" i="37"/>
  <c r="Y122" i="41"/>
  <c r="X122" i="41"/>
  <c r="S183" i="41"/>
  <c r="S120" i="41"/>
  <c r="Y243" i="41"/>
  <c r="U242" i="41"/>
  <c r="AA250" i="44"/>
  <c r="W249" i="44"/>
  <c r="U54" i="42"/>
  <c r="AD93" i="42" s="1"/>
  <c r="Z276" i="42"/>
  <c r="X140" i="36"/>
  <c r="Y210" i="41"/>
  <c r="X210" i="41"/>
  <c r="X190" i="37"/>
  <c r="Y190" i="37"/>
  <c r="T186" i="37"/>
  <c r="T249" i="37"/>
  <c r="X35" i="49"/>
  <c r="AA35" i="49" s="1"/>
  <c r="M24" i="50" s="1"/>
  <c r="AA36" i="49"/>
  <c r="M25" i="50" s="1"/>
  <c r="Y244" i="40"/>
  <c r="U242" i="40"/>
  <c r="X130" i="36"/>
  <c r="T129" i="36"/>
  <c r="T47" i="43"/>
  <c r="AC86" i="43" s="1"/>
  <c r="Z153" i="43"/>
  <c r="U51" i="43"/>
  <c r="AD90" i="43" s="1"/>
  <c r="Z255" i="43"/>
  <c r="U136" i="40"/>
  <c r="Y137" i="40"/>
  <c r="Y150" i="37"/>
  <c r="Z209" i="43"/>
  <c r="Y209" i="43"/>
  <c r="X188" i="37"/>
  <c r="Y188" i="37"/>
  <c r="S249" i="37"/>
  <c r="S186" i="37"/>
  <c r="Y208" i="40"/>
  <c r="U207" i="40"/>
  <c r="U216" i="41"/>
  <c r="Y217" i="41"/>
  <c r="Y202" i="39"/>
  <c r="X202" i="39"/>
  <c r="T44" i="39" s="1"/>
  <c r="T83" i="39" s="1"/>
  <c r="Y205" i="43"/>
  <c r="Z205" i="43"/>
  <c r="AA22" i="46"/>
  <c r="N11" i="50" s="1"/>
  <c r="Z22" i="46"/>
  <c r="AA18" i="49"/>
  <c r="M7" i="50" s="1"/>
  <c r="Z18" i="49"/>
  <c r="W78" i="49"/>
  <c r="Z238" i="42"/>
  <c r="T185" i="36"/>
  <c r="AB51" i="36" s="1"/>
  <c r="Y206" i="40"/>
  <c r="X206" i="40"/>
  <c r="X200" i="36"/>
  <c r="W200" i="36"/>
  <c r="Y207" i="38"/>
  <c r="U206" i="38"/>
  <c r="Y222" i="38"/>
  <c r="U117" i="39"/>
  <c r="AB52" i="39" s="1"/>
  <c r="Z166" i="42"/>
  <c r="V165" i="42"/>
  <c r="U171" i="41"/>
  <c r="Y173" i="41"/>
  <c r="Y138" i="42"/>
  <c r="Z138" i="42"/>
  <c r="X128" i="36"/>
  <c r="W128" i="36"/>
  <c r="AA72" i="49"/>
  <c r="M61" i="50" s="1"/>
  <c r="X71" i="49"/>
  <c r="AA71" i="49" s="1"/>
  <c r="M60" i="50" s="1"/>
  <c r="T54" i="43"/>
  <c r="AC93" i="43" s="1"/>
  <c r="Z185" i="43"/>
  <c r="Y125" i="39"/>
  <c r="X125" i="39"/>
  <c r="X120" i="39"/>
  <c r="Y120" i="39"/>
  <c r="Z173" i="43"/>
  <c r="T51" i="43"/>
  <c r="AC90" i="43" s="1"/>
  <c r="X119" i="39"/>
  <c r="Y119" i="39"/>
  <c r="S117" i="39"/>
  <c r="S180" i="39"/>
  <c r="AA32" i="49"/>
  <c r="M21" i="50" s="1"/>
  <c r="X31" i="49"/>
  <c r="AA31" i="49" s="1"/>
  <c r="M20" i="50" s="1"/>
  <c r="V56" i="44"/>
  <c r="AE95" i="44" s="1"/>
  <c r="AA273" i="44"/>
  <c r="T191" i="40"/>
  <c r="X201" i="40"/>
  <c r="Y201" i="40"/>
  <c r="U237" i="38"/>
  <c r="Y239" i="38"/>
  <c r="AC59" i="37"/>
  <c r="AA42" i="46"/>
  <c r="N31" i="50" s="1"/>
  <c r="AA41" i="46"/>
  <c r="Z28" i="46"/>
  <c r="AA28" i="46"/>
  <c r="N17" i="50" s="1"/>
  <c r="Y131" i="42"/>
  <c r="Z131" i="42"/>
  <c r="W116" i="36"/>
  <c r="X116" i="36"/>
  <c r="Z16" i="48"/>
  <c r="AA16" i="48"/>
  <c r="P5" i="50" s="1"/>
  <c r="V15" i="48"/>
  <c r="V78" i="48"/>
  <c r="AB59" i="40"/>
  <c r="Y165" i="40"/>
  <c r="W120" i="36"/>
  <c r="X120" i="36"/>
  <c r="Y115" i="38"/>
  <c r="X115" i="38"/>
  <c r="S176" i="38"/>
  <c r="S113" i="38"/>
  <c r="V244" i="43"/>
  <c r="Z245" i="43"/>
  <c r="AC61" i="38"/>
  <c r="AC91" i="38" s="1"/>
  <c r="Y247" i="38"/>
  <c r="Y143" i="40"/>
  <c r="Z221" i="42"/>
  <c r="Y221" i="42"/>
  <c r="X189" i="36"/>
  <c r="W189" i="36"/>
  <c r="S248" i="36"/>
  <c r="S185" i="36"/>
  <c r="AA36" i="46"/>
  <c r="N25" i="50" s="1"/>
  <c r="X35" i="46"/>
  <c r="AA35" i="46" s="1"/>
  <c r="N24" i="50" s="1"/>
  <c r="AA29" i="49"/>
  <c r="M18" i="50" s="1"/>
  <c r="U251" i="41"/>
  <c r="Y253" i="41"/>
  <c r="Y131" i="37"/>
  <c r="U130" i="37"/>
  <c r="AB56" i="39"/>
  <c r="AB86" i="39" s="1"/>
  <c r="Y150" i="39"/>
  <c r="AA58" i="46"/>
  <c r="N47" i="50" s="1"/>
  <c r="X57" i="46"/>
  <c r="AA57" i="46" s="1"/>
  <c r="N46" i="50" s="1"/>
  <c r="Z264" i="42"/>
  <c r="U51" i="42"/>
  <c r="AD90" i="42" s="1"/>
  <c r="AA261" i="44"/>
  <c r="V53" i="44"/>
  <c r="AE92" i="44" s="1"/>
  <c r="Y138" i="39"/>
  <c r="U137" i="39"/>
  <c r="Y152" i="40"/>
  <c r="X198" i="40"/>
  <c r="T43" i="40" s="1"/>
  <c r="Y198" i="40"/>
  <c r="Y204" i="43"/>
  <c r="Z204" i="43"/>
  <c r="T202" i="43"/>
  <c r="T269" i="43"/>
  <c r="Y203" i="38"/>
  <c r="U202" i="38"/>
  <c r="Y199" i="40"/>
  <c r="X199" i="40"/>
  <c r="T44" i="40" s="1"/>
  <c r="T83" i="40" s="1"/>
  <c r="Z210" i="44"/>
  <c r="AA210" i="44"/>
  <c r="Z22" i="48"/>
  <c r="AA22" i="48"/>
  <c r="P11" i="50" s="1"/>
  <c r="AA18" i="48"/>
  <c r="P7" i="50" s="1"/>
  <c r="Z18" i="48"/>
  <c r="W78" i="48"/>
  <c r="W15" i="48"/>
  <c r="Y213" i="38"/>
  <c r="U194" i="39"/>
  <c r="AC52" i="39" s="1"/>
  <c r="X200" i="38"/>
  <c r="Y200" i="38"/>
  <c r="Y201" i="38"/>
  <c r="X201" i="38"/>
  <c r="Y201" i="37"/>
  <c r="X201" i="37"/>
  <c r="AA51" i="48"/>
  <c r="P40" i="50" s="1"/>
  <c r="Y215" i="39"/>
  <c r="U214" i="39"/>
  <c r="Y227" i="40"/>
  <c r="U116" i="40"/>
  <c r="AB52" i="40" s="1"/>
  <c r="V120" i="43"/>
  <c r="T43" i="43" s="1"/>
  <c r="X156" i="36"/>
  <c r="T155" i="36"/>
  <c r="Y170" i="39"/>
  <c r="U168" i="39"/>
  <c r="Z135" i="43"/>
  <c r="Y135" i="43"/>
  <c r="X129" i="37"/>
  <c r="Y129" i="37"/>
  <c r="AA72" i="47"/>
  <c r="O61" i="50" s="1"/>
  <c r="X71" i="47"/>
  <c r="AA71" i="47" s="1"/>
  <c r="O60" i="50" s="1"/>
  <c r="AJ45" i="40"/>
  <c r="AJ84" i="40" s="1"/>
  <c r="AJ45" i="41"/>
  <c r="AJ84" i="41" s="1"/>
  <c r="AK45" i="43"/>
  <c r="AK84" i="43" s="1"/>
  <c r="AK45" i="42"/>
  <c r="AK84" i="42" s="1"/>
  <c r="AJ44" i="38"/>
  <c r="AJ83" i="38" s="1"/>
  <c r="AI45" i="39"/>
  <c r="AI84" i="39" s="1"/>
  <c r="AI44" i="36"/>
  <c r="AI83" i="36" s="1"/>
  <c r="AL47" i="44"/>
  <c r="AL86" i="44" s="1"/>
  <c r="AJ45" i="37"/>
  <c r="AJ84" i="37" s="1"/>
  <c r="AL46" i="44"/>
  <c r="AI44" i="39"/>
  <c r="AJ43" i="38"/>
  <c r="AK44" i="43"/>
  <c r="AJ44" i="41"/>
  <c r="AJ44" i="40"/>
  <c r="AI43" i="36"/>
  <c r="AK44" i="42"/>
  <c r="AJ44" i="37"/>
  <c r="X22" i="12"/>
  <c r="Q11" i="50" s="1"/>
  <c r="W21" i="12"/>
  <c r="X21" i="12"/>
  <c r="Q10" i="50" s="1"/>
  <c r="W22" i="12"/>
  <c r="U18" i="12"/>
  <c r="T18" i="12"/>
  <c r="S18" i="12"/>
  <c r="Y170" i="38" l="1"/>
  <c r="Y240" i="40"/>
  <c r="W184" i="44"/>
  <c r="Y247" i="37"/>
  <c r="Y174" i="38"/>
  <c r="AC59" i="41"/>
  <c r="U172" i="40"/>
  <c r="U179" i="40" s="1"/>
  <c r="AH141" i="40" s="1"/>
  <c r="AK57" i="40" s="1"/>
  <c r="AK96" i="40" s="1"/>
  <c r="AD54" i="43"/>
  <c r="U84" i="43" s="1"/>
  <c r="Y243" i="39"/>
  <c r="Y252" i="40"/>
  <c r="Y177" i="41"/>
  <c r="Y235" i="38"/>
  <c r="AC62" i="39"/>
  <c r="AC92" i="39" s="1"/>
  <c r="U170" i="37"/>
  <c r="AB61" i="37" s="1"/>
  <c r="V263" i="43"/>
  <c r="Z263" i="43" s="1"/>
  <c r="U257" i="41"/>
  <c r="U251" i="39"/>
  <c r="U243" i="37"/>
  <c r="Y243" i="37" s="1"/>
  <c r="V272" i="42"/>
  <c r="Z272" i="42" s="1"/>
  <c r="W269" i="44"/>
  <c r="U248" i="40"/>
  <c r="U247" i="40" s="1"/>
  <c r="U243" i="38"/>
  <c r="AC53" i="43"/>
  <c r="T83" i="43" s="1"/>
  <c r="S45" i="40"/>
  <c r="S84" i="40" s="1"/>
  <c r="AD60" i="44"/>
  <c r="U90" i="44" s="1"/>
  <c r="AC53" i="42"/>
  <c r="T83" i="42" s="1"/>
  <c r="T45" i="41"/>
  <c r="T84" i="41" s="1"/>
  <c r="U176" i="38"/>
  <c r="AB44" i="38" s="1"/>
  <c r="AB70" i="38" s="1"/>
  <c r="AE60" i="44"/>
  <c r="V90" i="44" s="1"/>
  <c r="S44" i="37"/>
  <c r="S83" i="37" s="1"/>
  <c r="AE54" i="44"/>
  <c r="V84" i="44" s="1"/>
  <c r="AD54" i="44"/>
  <c r="U84" i="44" s="1"/>
  <c r="W191" i="44"/>
  <c r="AJ147" i="44" s="1"/>
  <c r="AM59" i="44" s="1"/>
  <c r="AM98" i="44" s="1"/>
  <c r="V187" i="43"/>
  <c r="AI145" i="43" s="1"/>
  <c r="AL57" i="43" s="1"/>
  <c r="AL96" i="43" s="1"/>
  <c r="U180" i="39"/>
  <c r="AB45" i="39" s="1"/>
  <c r="AB71" i="39" s="1"/>
  <c r="AD54" i="42"/>
  <c r="U84" i="42" s="1"/>
  <c r="S43" i="37"/>
  <c r="S82" i="37" s="1"/>
  <c r="U183" i="41"/>
  <c r="AH145" i="41" s="1"/>
  <c r="AK57" i="41" s="1"/>
  <c r="AK96" i="41" s="1"/>
  <c r="T42" i="38"/>
  <c r="T81" i="38" s="1"/>
  <c r="T44" i="38"/>
  <c r="T83" i="38" s="1"/>
  <c r="S49" i="39"/>
  <c r="S88" i="39" s="1"/>
  <c r="X176" i="38"/>
  <c r="T43" i="38"/>
  <c r="T82" i="38" s="1"/>
  <c r="S45" i="39"/>
  <c r="S84" i="39" s="1"/>
  <c r="T48" i="38"/>
  <c r="T87" i="38" s="1"/>
  <c r="X257" i="39"/>
  <c r="S44" i="41"/>
  <c r="S83" i="41" s="1"/>
  <c r="T45" i="40"/>
  <c r="T84" i="40" s="1"/>
  <c r="AH211" i="40"/>
  <c r="AL56" i="40" s="1"/>
  <c r="AL95" i="40" s="1"/>
  <c r="AC44" i="40"/>
  <c r="AC70" i="40" s="1"/>
  <c r="T49" i="41"/>
  <c r="T88" i="41" s="1"/>
  <c r="AB82" i="40"/>
  <c r="AC54" i="38"/>
  <c r="AC84" i="38" s="1"/>
  <c r="Y212" i="38"/>
  <c r="Y202" i="43"/>
  <c r="Z202" i="43"/>
  <c r="N30" i="50"/>
  <c r="AI41" i="46"/>
  <c r="X180" i="39"/>
  <c r="AB60" i="41"/>
  <c r="Y171" i="41"/>
  <c r="X186" i="37"/>
  <c r="Y186" i="37"/>
  <c r="AC60" i="40"/>
  <c r="Y242" i="40"/>
  <c r="AC58" i="41"/>
  <c r="AC88" i="41" s="1"/>
  <c r="Y242" i="41"/>
  <c r="AI41" i="48"/>
  <c r="P30" i="50"/>
  <c r="AC82" i="41"/>
  <c r="U46" i="44"/>
  <c r="AD85" i="44" s="1"/>
  <c r="AA139" i="44"/>
  <c r="R48" i="36"/>
  <c r="R87" i="36" s="1"/>
  <c r="S49" i="37"/>
  <c r="S88" i="37" s="1"/>
  <c r="Y170" i="37"/>
  <c r="Z275" i="44"/>
  <c r="Z191" i="44"/>
  <c r="V262" i="43"/>
  <c r="AD53" i="43"/>
  <c r="U83" i="43" s="1"/>
  <c r="AA59" i="36"/>
  <c r="X164" i="36"/>
  <c r="AB53" i="36"/>
  <c r="AB83" i="36" s="1"/>
  <c r="X205" i="36"/>
  <c r="T53" i="42"/>
  <c r="AC92" i="42" s="1"/>
  <c r="Z186" i="42"/>
  <c r="T44" i="41"/>
  <c r="T83" i="41" s="1"/>
  <c r="X263" i="41"/>
  <c r="T43" i="41"/>
  <c r="V79" i="47"/>
  <c r="AG26" i="47"/>
  <c r="Z78" i="47"/>
  <c r="Z79" i="47" s="1"/>
  <c r="AB61" i="41"/>
  <c r="Y176" i="41"/>
  <c r="AC53" i="39"/>
  <c r="AC83" i="39" s="1"/>
  <c r="Y210" i="39"/>
  <c r="T45" i="37"/>
  <c r="T84" i="37" s="1"/>
  <c r="AC56" i="41"/>
  <c r="AC86" i="41" s="1"/>
  <c r="Y233" i="41"/>
  <c r="AA81" i="36"/>
  <c r="T48" i="43"/>
  <c r="AC87" i="43" s="1"/>
  <c r="Z155" i="43"/>
  <c r="Y117" i="39"/>
  <c r="X117" i="39"/>
  <c r="AC53" i="40"/>
  <c r="AC83" i="40" s="1"/>
  <c r="Y207" i="40"/>
  <c r="AA52" i="36"/>
  <c r="AA82" i="36" s="1"/>
  <c r="X129" i="36"/>
  <c r="V51" i="44"/>
  <c r="AE90" i="44" s="1"/>
  <c r="AA249" i="44"/>
  <c r="W79" i="47"/>
  <c r="AG27" i="47"/>
  <c r="AJ224" i="44"/>
  <c r="AN57" i="44" s="1"/>
  <c r="AE45" i="44"/>
  <c r="AA123" i="44"/>
  <c r="Z123" i="44"/>
  <c r="AC57" i="40"/>
  <c r="AC87" i="40" s="1"/>
  <c r="Y226" i="40"/>
  <c r="AB53" i="37"/>
  <c r="AB83" i="37" s="1"/>
  <c r="Y130" i="37"/>
  <c r="AC43" i="37"/>
  <c r="AH205" i="37"/>
  <c r="AL55" i="37" s="1"/>
  <c r="AB54" i="40"/>
  <c r="AB84" i="40" s="1"/>
  <c r="Y136" i="40"/>
  <c r="AA15" i="46"/>
  <c r="N4" i="50" s="1"/>
  <c r="Z15" i="46"/>
  <c r="AC58" i="42"/>
  <c r="T88" i="42" s="1"/>
  <c r="AB81" i="38"/>
  <c r="Y123" i="42"/>
  <c r="Z123" i="42"/>
  <c r="AE84" i="44"/>
  <c r="AD52" i="42"/>
  <c r="AB60" i="40"/>
  <c r="Y167" i="40"/>
  <c r="Z211" i="42"/>
  <c r="Y211" i="42"/>
  <c r="AC58" i="37"/>
  <c r="AC88" i="37" s="1"/>
  <c r="Y228" i="37"/>
  <c r="AB60" i="37"/>
  <c r="Y165" i="37"/>
  <c r="AC55" i="41"/>
  <c r="AC85" i="41" s="1"/>
  <c r="Y226" i="41"/>
  <c r="Y186" i="38"/>
  <c r="X186" i="38"/>
  <c r="AB53" i="41"/>
  <c r="AB83" i="41" s="1"/>
  <c r="Y136" i="41"/>
  <c r="W268" i="44"/>
  <c r="W275" i="44" s="1"/>
  <c r="AA269" i="44"/>
  <c r="AB58" i="41"/>
  <c r="AB88" i="41" s="1"/>
  <c r="Y162" i="41"/>
  <c r="AC55" i="37"/>
  <c r="AC85" i="37" s="1"/>
  <c r="Y212" i="37"/>
  <c r="AC53" i="37"/>
  <c r="AC83" i="37" s="1"/>
  <c r="Y202" i="37"/>
  <c r="T43" i="37"/>
  <c r="T49" i="40"/>
  <c r="T88" i="40" s="1"/>
  <c r="U52" i="42"/>
  <c r="AD91" i="42" s="1"/>
  <c r="Z266" i="42"/>
  <c r="AC82" i="37"/>
  <c r="W185" i="36"/>
  <c r="X185" i="36"/>
  <c r="X179" i="40"/>
  <c r="AB52" i="38"/>
  <c r="AB82" i="38" s="1"/>
  <c r="Y129" i="38"/>
  <c r="AC52" i="43"/>
  <c r="U47" i="43"/>
  <c r="AD86" i="43" s="1"/>
  <c r="Z235" i="43"/>
  <c r="T176" i="36"/>
  <c r="AC81" i="38"/>
  <c r="AB57" i="40"/>
  <c r="AB87" i="40" s="1"/>
  <c r="Y151" i="40"/>
  <c r="AB55" i="40"/>
  <c r="AB85" i="40" s="1"/>
  <c r="Y142" i="40"/>
  <c r="Y120" i="43"/>
  <c r="Z120" i="43"/>
  <c r="W79" i="46"/>
  <c r="AG27" i="46"/>
  <c r="AG205" i="36"/>
  <c r="AK55" i="36" s="1"/>
  <c r="AK94" i="36" s="1"/>
  <c r="AB43" i="36"/>
  <c r="AB69" i="36" s="1"/>
  <c r="T49" i="42"/>
  <c r="AC88" i="42" s="1"/>
  <c r="Z165" i="42"/>
  <c r="W79" i="49"/>
  <c r="AG27" i="49"/>
  <c r="AB60" i="39"/>
  <c r="Y168" i="39"/>
  <c r="W79" i="48"/>
  <c r="AG27" i="48"/>
  <c r="Y269" i="43"/>
  <c r="AD52" i="43"/>
  <c r="AA54" i="36"/>
  <c r="AA84" i="36" s="1"/>
  <c r="X139" i="36"/>
  <c r="X120" i="41"/>
  <c r="Y120" i="41"/>
  <c r="V79" i="46"/>
  <c r="Z78" i="46"/>
  <c r="Z79" i="46" s="1"/>
  <c r="AG26" i="46"/>
  <c r="S48" i="36"/>
  <c r="S87" i="36" s="1"/>
  <c r="AB61" i="39"/>
  <c r="Y173" i="39"/>
  <c r="AB52" i="36"/>
  <c r="AB82" i="36" s="1"/>
  <c r="X201" i="36"/>
  <c r="AD44" i="43"/>
  <c r="AD70" i="43" s="1"/>
  <c r="AI222" i="43"/>
  <c r="AM56" i="43" s="1"/>
  <c r="AM95" i="43" s="1"/>
  <c r="T46" i="43"/>
  <c r="AC85" i="43" s="1"/>
  <c r="Z146" i="43"/>
  <c r="AC43" i="42"/>
  <c r="AI143" i="42"/>
  <c r="AL55" i="42" s="1"/>
  <c r="U48" i="42"/>
  <c r="AD87" i="42" s="1"/>
  <c r="Z246" i="42"/>
  <c r="AA60" i="36"/>
  <c r="X169" i="36"/>
  <c r="AB55" i="37"/>
  <c r="AB85" i="37" s="1"/>
  <c r="Y140" i="37"/>
  <c r="AC54" i="41"/>
  <c r="AC84" i="41" s="1"/>
  <c r="Y220" i="41"/>
  <c r="AI224" i="42"/>
  <c r="AM55" i="42" s="1"/>
  <c r="AD43" i="42"/>
  <c r="S44" i="40"/>
  <c r="S83" i="40" s="1"/>
  <c r="AC54" i="37"/>
  <c r="AC84" i="37" s="1"/>
  <c r="Y206" i="37"/>
  <c r="AH205" i="38"/>
  <c r="AL54" i="38" s="1"/>
  <c r="AC42" i="38"/>
  <c r="AB54" i="41"/>
  <c r="AB84" i="41" s="1"/>
  <c r="Y140" i="41"/>
  <c r="U49" i="42"/>
  <c r="AD88" i="42" s="1"/>
  <c r="Z253" i="42"/>
  <c r="X113" i="36"/>
  <c r="W113" i="36"/>
  <c r="Y257" i="41"/>
  <c r="U256" i="41"/>
  <c r="U263" i="41" s="1"/>
  <c r="AB55" i="39"/>
  <c r="AB85" i="39" s="1"/>
  <c r="Y143" i="39"/>
  <c r="U52" i="43"/>
  <c r="AD91" i="43" s="1"/>
  <c r="Z257" i="43"/>
  <c r="AB55" i="41"/>
  <c r="AB85" i="41" s="1"/>
  <c r="Y146" i="41"/>
  <c r="AC58" i="40"/>
  <c r="AC88" i="40" s="1"/>
  <c r="Y233" i="40"/>
  <c r="S42" i="38"/>
  <c r="AB60" i="38"/>
  <c r="Y169" i="38"/>
  <c r="AC44" i="41"/>
  <c r="AC70" i="41" s="1"/>
  <c r="AH220" i="41"/>
  <c r="AL56" i="41" s="1"/>
  <c r="AL95" i="41" s="1"/>
  <c r="S43" i="39"/>
  <c r="T52" i="43"/>
  <c r="AC91" i="43" s="1"/>
  <c r="Z175" i="43"/>
  <c r="V47" i="44"/>
  <c r="AE86" i="44" s="1"/>
  <c r="AA227" i="44"/>
  <c r="AB42" i="36"/>
  <c r="AG204" i="36"/>
  <c r="AK54" i="36" s="1"/>
  <c r="T48" i="42"/>
  <c r="AC87" i="42" s="1"/>
  <c r="Z158" i="42"/>
  <c r="AC58" i="39"/>
  <c r="AC88" i="39" s="1"/>
  <c r="Y236" i="39"/>
  <c r="AC56" i="40"/>
  <c r="AC86" i="40" s="1"/>
  <c r="Y224" i="40"/>
  <c r="U54" i="44"/>
  <c r="AD93" i="44" s="1"/>
  <c r="AA179" i="44"/>
  <c r="AB54" i="36"/>
  <c r="AB84" i="36" s="1"/>
  <c r="X211" i="36"/>
  <c r="T44" i="42"/>
  <c r="AC83" i="42" s="1"/>
  <c r="Z139" i="42"/>
  <c r="X116" i="40"/>
  <c r="Y116" i="40"/>
  <c r="AB57" i="37"/>
  <c r="AB87" i="37" s="1"/>
  <c r="Y149" i="37"/>
  <c r="X78" i="48"/>
  <c r="AA78" i="48" s="1"/>
  <c r="AC60" i="39"/>
  <c r="Y245" i="39"/>
  <c r="AB57" i="36"/>
  <c r="AB87" i="36" s="1"/>
  <c r="X227" i="36"/>
  <c r="AI41" i="49"/>
  <c r="AH206" i="38"/>
  <c r="AL55" i="38" s="1"/>
  <c r="AL94" i="38" s="1"/>
  <c r="AC43" i="38"/>
  <c r="AC69" i="38" s="1"/>
  <c r="AH219" i="41"/>
  <c r="AL55" i="41" s="1"/>
  <c r="AC43" i="41"/>
  <c r="AE56" i="44"/>
  <c r="V86" i="44" s="1"/>
  <c r="AC54" i="39"/>
  <c r="AC84" i="39" s="1"/>
  <c r="Y214" i="39"/>
  <c r="U49" i="43"/>
  <c r="AD88" i="43" s="1"/>
  <c r="Z244" i="43"/>
  <c r="AB82" i="39"/>
  <c r="X249" i="37"/>
  <c r="AH143" i="41"/>
  <c r="AK55" i="41" s="1"/>
  <c r="AB43" i="41"/>
  <c r="S49" i="40"/>
  <c r="S88" i="40" s="1"/>
  <c r="AC82" i="40"/>
  <c r="AC52" i="42"/>
  <c r="Y193" i="42"/>
  <c r="AG214" i="39"/>
  <c r="AK56" i="39" s="1"/>
  <c r="AK95" i="39" s="1"/>
  <c r="AC44" i="39"/>
  <c r="AC70" i="39" s="1"/>
  <c r="S43" i="36"/>
  <c r="S82" i="36" s="1"/>
  <c r="U50" i="44"/>
  <c r="AD89" i="44" s="1"/>
  <c r="AA158" i="44"/>
  <c r="Z231" i="42"/>
  <c r="U45" i="42"/>
  <c r="AD84" i="42" s="1"/>
  <c r="U44" i="42"/>
  <c r="AD83" i="42" s="1"/>
  <c r="Z227" i="42"/>
  <c r="V54" i="44"/>
  <c r="AE93" i="44" s="1"/>
  <c r="AA263" i="44"/>
  <c r="T46" i="42"/>
  <c r="AC85" i="42" s="1"/>
  <c r="Z149" i="42"/>
  <c r="AG136" i="36"/>
  <c r="AJ54" i="36" s="1"/>
  <c r="AA42" i="36"/>
  <c r="AC82" i="42"/>
  <c r="AA233" i="44"/>
  <c r="V48" i="44"/>
  <c r="AE87" i="44" s="1"/>
  <c r="X78" i="47"/>
  <c r="Z207" i="44"/>
  <c r="AB57" i="38"/>
  <c r="AB87" i="38" s="1"/>
  <c r="Y155" i="38"/>
  <c r="S42" i="36"/>
  <c r="W248" i="36"/>
  <c r="AH140" i="40"/>
  <c r="AK56" i="40" s="1"/>
  <c r="AK95" i="40" s="1"/>
  <c r="AB44" i="40"/>
  <c r="AB70" i="40" s="1"/>
  <c r="AB59" i="36"/>
  <c r="X236" i="36"/>
  <c r="AB54" i="38"/>
  <c r="AB84" i="38" s="1"/>
  <c r="Y139" i="38"/>
  <c r="AC55" i="38"/>
  <c r="AC85" i="38" s="1"/>
  <c r="Y219" i="38"/>
  <c r="AC57" i="39"/>
  <c r="AC87" i="39" s="1"/>
  <c r="Y229" i="39"/>
  <c r="U47" i="44"/>
  <c r="AD86" i="44" s="1"/>
  <c r="AA143" i="44"/>
  <c r="AB43" i="40"/>
  <c r="AH139" i="40"/>
  <c r="AK55" i="40" s="1"/>
  <c r="AA57" i="36"/>
  <c r="AA87" i="36" s="1"/>
  <c r="X155" i="36"/>
  <c r="X113" i="38"/>
  <c r="Y113" i="38"/>
  <c r="Z78" i="48"/>
  <c r="Z79" i="48" s="1"/>
  <c r="V79" i="48"/>
  <c r="AG26" i="48"/>
  <c r="AH206" i="37"/>
  <c r="AL56" i="37" s="1"/>
  <c r="AL95" i="37" s="1"/>
  <c r="AC44" i="37"/>
  <c r="AC70" i="37" s="1"/>
  <c r="S43" i="41"/>
  <c r="X183" i="41"/>
  <c r="O30" i="50"/>
  <c r="AI41" i="47"/>
  <c r="U48" i="43"/>
  <c r="AD87" i="43" s="1"/>
  <c r="Z237" i="43"/>
  <c r="AC55" i="40"/>
  <c r="AC85" i="40" s="1"/>
  <c r="Y217" i="40"/>
  <c r="X78" i="49"/>
  <c r="AA78" i="49" s="1"/>
  <c r="AA56" i="36"/>
  <c r="AA86" i="36" s="1"/>
  <c r="X148" i="36"/>
  <c r="AB58" i="37"/>
  <c r="AB88" i="37" s="1"/>
  <c r="Y156" i="37"/>
  <c r="Y278" i="42"/>
  <c r="S49" i="41"/>
  <c r="S88" i="41" s="1"/>
  <c r="AB58" i="39"/>
  <c r="AB88" i="39" s="1"/>
  <c r="Y159" i="39"/>
  <c r="X78" i="46"/>
  <c r="AA78" i="46" s="1"/>
  <c r="X249" i="38"/>
  <c r="Y243" i="38"/>
  <c r="U242" i="38"/>
  <c r="U249" i="38" s="1"/>
  <c r="AC57" i="38"/>
  <c r="AC87" i="38" s="1"/>
  <c r="Y228" i="38"/>
  <c r="V193" i="42"/>
  <c r="AD58" i="42"/>
  <c r="U88" i="42" s="1"/>
  <c r="AJ225" i="44"/>
  <c r="AN58" i="44" s="1"/>
  <c r="AN97" i="44" s="1"/>
  <c r="AE46" i="44"/>
  <c r="AE72" i="44" s="1"/>
  <c r="T49" i="37"/>
  <c r="T88" i="37" s="1"/>
  <c r="T45" i="43"/>
  <c r="AC84" i="43" s="1"/>
  <c r="Z140" i="43"/>
  <c r="AC55" i="39"/>
  <c r="AC85" i="39" s="1"/>
  <c r="Y220" i="39"/>
  <c r="T45" i="42"/>
  <c r="AC84" i="42" s="1"/>
  <c r="Z143" i="42"/>
  <c r="Y114" i="37"/>
  <c r="X114" i="37"/>
  <c r="U47" i="42"/>
  <c r="AD86" i="42" s="1"/>
  <c r="Z244" i="42"/>
  <c r="T49" i="43"/>
  <c r="AC88" i="43" s="1"/>
  <c r="Z162" i="43"/>
  <c r="AC54" i="40"/>
  <c r="AC84" i="40" s="1"/>
  <c r="Y211" i="40"/>
  <c r="X191" i="40"/>
  <c r="Y191" i="40"/>
  <c r="AB81" i="36"/>
  <c r="T82" i="40"/>
  <c r="AC60" i="41"/>
  <c r="Y251" i="41"/>
  <c r="AC82" i="39"/>
  <c r="AB61" i="40"/>
  <c r="Y172" i="40"/>
  <c r="AC52" i="38"/>
  <c r="AC82" i="38" s="1"/>
  <c r="Y202" i="38"/>
  <c r="AB42" i="38"/>
  <c r="AH136" i="38"/>
  <c r="AK54" i="38" s="1"/>
  <c r="Z15" i="48"/>
  <c r="AA15" i="48"/>
  <c r="P4" i="50" s="1"/>
  <c r="AC59" i="38"/>
  <c r="Y237" i="38"/>
  <c r="AB43" i="39"/>
  <c r="AG140" i="39"/>
  <c r="AJ55" i="39" s="1"/>
  <c r="S44" i="39"/>
  <c r="S83" i="39" s="1"/>
  <c r="U55" i="44"/>
  <c r="AD94" i="44" s="1"/>
  <c r="AA184" i="44"/>
  <c r="AC53" i="41"/>
  <c r="AC83" i="41" s="1"/>
  <c r="Y216" i="41"/>
  <c r="S43" i="38"/>
  <c r="S82" i="38" s="1"/>
  <c r="T52" i="42"/>
  <c r="AC91" i="42" s="1"/>
  <c r="Z181" i="42"/>
  <c r="U45" i="43"/>
  <c r="AD84" i="43" s="1"/>
  <c r="Z222" i="43"/>
  <c r="AB53" i="40"/>
  <c r="AB83" i="40" s="1"/>
  <c r="Y132" i="40"/>
  <c r="R43" i="36"/>
  <c r="R82" i="36" s="1"/>
  <c r="AA53" i="36"/>
  <c r="AA83" i="36" s="1"/>
  <c r="X133" i="36"/>
  <c r="AD84" i="44"/>
  <c r="AB82" i="41"/>
  <c r="AD58" i="43"/>
  <c r="U88" i="43" s="1"/>
  <c r="AA207" i="44"/>
  <c r="T43" i="39"/>
  <c r="U48" i="44"/>
  <c r="AD87" i="44" s="1"/>
  <c r="W176" i="36"/>
  <c r="R42" i="36"/>
  <c r="U250" i="39"/>
  <c r="U257" i="39" s="1"/>
  <c r="Y251" i="39"/>
  <c r="S48" i="38"/>
  <c r="S87" i="38" s="1"/>
  <c r="V50" i="44"/>
  <c r="AE89" i="44" s="1"/>
  <c r="AA242" i="44"/>
  <c r="AD53" i="42"/>
  <c r="U83" i="42" s="1"/>
  <c r="Y200" i="41"/>
  <c r="X200" i="41"/>
  <c r="AB56" i="38"/>
  <c r="AB86" i="38" s="1"/>
  <c r="Y148" i="38"/>
  <c r="AB44" i="39"/>
  <c r="AB70" i="39" s="1"/>
  <c r="AG141" i="39"/>
  <c r="AJ56" i="39" s="1"/>
  <c r="AJ95" i="39" s="1"/>
  <c r="AC43" i="43"/>
  <c r="AI143" i="43"/>
  <c r="AL55" i="43" s="1"/>
  <c r="AD55" i="44"/>
  <c r="U85" i="44" s="1"/>
  <c r="AB82" i="37"/>
  <c r="AE55" i="44"/>
  <c r="V85" i="44" s="1"/>
  <c r="AD44" i="42"/>
  <c r="AD70" i="42" s="1"/>
  <c r="AI225" i="42"/>
  <c r="AM56" i="42" s="1"/>
  <c r="AM95" i="42" s="1"/>
  <c r="AH137" i="37"/>
  <c r="AK55" i="37" s="1"/>
  <c r="AB43" i="37"/>
  <c r="AB55" i="36"/>
  <c r="AB85" i="36" s="1"/>
  <c r="X218" i="36"/>
  <c r="AC56" i="39"/>
  <c r="AC86" i="39" s="1"/>
  <c r="Y227" i="39"/>
  <c r="AH210" i="40"/>
  <c r="AL55" i="40" s="1"/>
  <c r="AC43" i="40"/>
  <c r="AC60" i="37"/>
  <c r="Y237" i="37"/>
  <c r="S43" i="40"/>
  <c r="Z78" i="49"/>
  <c r="Z79" i="49" s="1"/>
  <c r="AG26" i="49"/>
  <c r="V79" i="49"/>
  <c r="AC56" i="37"/>
  <c r="AC86" i="37" s="1"/>
  <c r="Y219" i="37"/>
  <c r="AC58" i="43"/>
  <c r="T88" i="43" s="1"/>
  <c r="U51" i="44"/>
  <c r="AD90" i="44" s="1"/>
  <c r="AA165" i="44"/>
  <c r="X254" i="40"/>
  <c r="AC56" i="38"/>
  <c r="AC86" i="38" s="1"/>
  <c r="Y221" i="38"/>
  <c r="AG213" i="39"/>
  <c r="AK55" i="39" s="1"/>
  <c r="AC43" i="39"/>
  <c r="T44" i="43"/>
  <c r="AC83" i="43" s="1"/>
  <c r="Z136" i="43"/>
  <c r="X177" i="37"/>
  <c r="AC82" i="43"/>
  <c r="AD43" i="43"/>
  <c r="AI221" i="43"/>
  <c r="AM55" i="43" s="1"/>
  <c r="AB54" i="39"/>
  <c r="AB84" i="39" s="1"/>
  <c r="Y137" i="39"/>
  <c r="AC53" i="38"/>
  <c r="AC83" i="38" s="1"/>
  <c r="Y206" i="38"/>
  <c r="U46" i="42"/>
  <c r="AD85" i="42" s="1"/>
  <c r="Z237" i="42"/>
  <c r="U46" i="43"/>
  <c r="AD85" i="43" s="1"/>
  <c r="Z228" i="43"/>
  <c r="AB58" i="40"/>
  <c r="AB88" i="40" s="1"/>
  <c r="Y158" i="40"/>
  <c r="T44" i="37"/>
  <c r="T83" i="37" s="1"/>
  <c r="Y194" i="39"/>
  <c r="X194" i="39"/>
  <c r="AB54" i="37"/>
  <c r="AB84" i="37" s="1"/>
  <c r="Y134" i="37"/>
  <c r="T53" i="43"/>
  <c r="AC92" i="43" s="1"/>
  <c r="Z180" i="43"/>
  <c r="V46" i="44"/>
  <c r="AE85" i="44" s="1"/>
  <c r="AA223" i="44"/>
  <c r="AC57" i="41"/>
  <c r="AC87" i="41" s="1"/>
  <c r="Y235" i="41"/>
  <c r="T49" i="39"/>
  <c r="T88" i="39" s="1"/>
  <c r="S44" i="36"/>
  <c r="S83" i="36" s="1"/>
  <c r="AB56" i="36"/>
  <c r="AB86" i="36" s="1"/>
  <c r="X220" i="36"/>
  <c r="AD82" i="42"/>
  <c r="T45" i="39"/>
  <c r="T84" i="39" s="1"/>
  <c r="AB57" i="41"/>
  <c r="AB87" i="41" s="1"/>
  <c r="Y155" i="41"/>
  <c r="AJ145" i="44"/>
  <c r="AM57" i="44" s="1"/>
  <c r="AD45" i="44"/>
  <c r="X242" i="36"/>
  <c r="T241" i="36"/>
  <c r="T248" i="36" s="1"/>
  <c r="AD82" i="43"/>
  <c r="AB53" i="38"/>
  <c r="AB83" i="38" s="1"/>
  <c r="Y133" i="38"/>
  <c r="AB53" i="39"/>
  <c r="AB83" i="39" s="1"/>
  <c r="Y133" i="39"/>
  <c r="Y187" i="43"/>
  <c r="Z15" i="47"/>
  <c r="AA15" i="47"/>
  <c r="O4" i="50" s="1"/>
  <c r="AA56" i="40"/>
  <c r="AA86" i="40" s="1"/>
  <c r="S47" i="43"/>
  <c r="AB86" i="43" s="1"/>
  <c r="S47" i="42"/>
  <c r="AB86" i="42" s="1"/>
  <c r="AA56" i="41"/>
  <c r="AA86" i="41" s="1"/>
  <c r="AA56" i="39"/>
  <c r="AA86" i="39" s="1"/>
  <c r="AA56" i="37"/>
  <c r="AA86" i="37" s="1"/>
  <c r="T49" i="44"/>
  <c r="AC88" i="44" s="1"/>
  <c r="Z55" i="36"/>
  <c r="Z85" i="36" s="1"/>
  <c r="AA55" i="38"/>
  <c r="AA85" i="38" s="1"/>
  <c r="U44" i="43"/>
  <c r="AD83" i="43" s="1"/>
  <c r="Z218" i="43"/>
  <c r="AB59" i="38"/>
  <c r="Y164" i="38"/>
  <c r="AC57" i="37"/>
  <c r="AC87" i="37" s="1"/>
  <c r="Y221" i="37"/>
  <c r="AB57" i="39"/>
  <c r="AB87" i="39" s="1"/>
  <c r="Y152" i="39"/>
  <c r="AA15" i="49"/>
  <c r="M4" i="50" s="1"/>
  <c r="Z15" i="49"/>
  <c r="V49" i="44"/>
  <c r="AE88" i="44" s="1"/>
  <c r="AA240" i="44"/>
  <c r="AK83" i="42"/>
  <c r="AI82" i="36"/>
  <c r="AJ83" i="40"/>
  <c r="AJ83" i="41"/>
  <c r="AK83" i="43"/>
  <c r="AJ82" i="38"/>
  <c r="AI83" i="39"/>
  <c r="AJ83" i="37"/>
  <c r="AL85" i="44"/>
  <c r="S24" i="12"/>
  <c r="AD18" i="12"/>
  <c r="U24" i="12"/>
  <c r="T24" i="12"/>
  <c r="W18" i="12"/>
  <c r="J19" i="13"/>
  <c r="E21" i="3"/>
  <c r="M15" i="3"/>
  <c r="I15" i="3"/>
  <c r="U242" i="37" l="1"/>
  <c r="U249" i="37" s="1"/>
  <c r="V271" i="42"/>
  <c r="V278" i="42" s="1"/>
  <c r="Y248" i="40"/>
  <c r="T50" i="40"/>
  <c r="T88" i="38"/>
  <c r="V91" i="44"/>
  <c r="T89" i="40"/>
  <c r="U91" i="44"/>
  <c r="S89" i="37"/>
  <c r="AB93" i="37"/>
  <c r="AB92" i="38"/>
  <c r="AC92" i="38"/>
  <c r="AC93" i="37"/>
  <c r="AB93" i="40"/>
  <c r="U177" i="37"/>
  <c r="AB45" i="37" s="1"/>
  <c r="AB71" i="37" s="1"/>
  <c r="AB92" i="36"/>
  <c r="AC94" i="43"/>
  <c r="AA92" i="36"/>
  <c r="AB93" i="39"/>
  <c r="AD96" i="44"/>
  <c r="AC93" i="39"/>
  <c r="AB93" i="41"/>
  <c r="AC93" i="40"/>
  <c r="AC94" i="42"/>
  <c r="AC93" i="41"/>
  <c r="S50" i="37"/>
  <c r="T49" i="38"/>
  <c r="AH138" i="38"/>
  <c r="AK56" i="38" s="1"/>
  <c r="AK95" i="38" s="1"/>
  <c r="AB45" i="40"/>
  <c r="AB71" i="40" s="1"/>
  <c r="AG142" i="39"/>
  <c r="AJ57" i="39" s="1"/>
  <c r="AJ96" i="39" s="1"/>
  <c r="AC45" i="43"/>
  <c r="AC71" i="43" s="1"/>
  <c r="AD47" i="44"/>
  <c r="AD73" i="44" s="1"/>
  <c r="Z187" i="43"/>
  <c r="Z193" i="42"/>
  <c r="AB45" i="41"/>
  <c r="AB71" i="41" s="1"/>
  <c r="Y183" i="41"/>
  <c r="Y176" i="38"/>
  <c r="X176" i="36"/>
  <c r="Y180" i="39"/>
  <c r="Y177" i="37"/>
  <c r="Y179" i="40"/>
  <c r="AA191" i="44"/>
  <c r="AG206" i="36"/>
  <c r="AK56" i="36" s="1"/>
  <c r="AK95" i="36" s="1"/>
  <c r="AB44" i="36"/>
  <c r="AB70" i="36" s="1"/>
  <c r="AJ226" i="44"/>
  <c r="AN59" i="44" s="1"/>
  <c r="AN98" i="44" s="1"/>
  <c r="AE47" i="44"/>
  <c r="AE73" i="44" s="1"/>
  <c r="AD45" i="42"/>
  <c r="AD71" i="42" s="1"/>
  <c r="AI226" i="42"/>
  <c r="AM57" i="42" s="1"/>
  <c r="AM96" i="42" s="1"/>
  <c r="AA79" i="49"/>
  <c r="M67" i="50"/>
  <c r="AC45" i="42"/>
  <c r="AC71" i="42" s="1"/>
  <c r="AI145" i="42"/>
  <c r="AL57" i="42" s="1"/>
  <c r="AL96" i="42" s="1"/>
  <c r="AK93" i="36"/>
  <c r="X79" i="49"/>
  <c r="AG28" i="49"/>
  <c r="AG25" i="49" s="1"/>
  <c r="AG30" i="49" s="1"/>
  <c r="S82" i="41"/>
  <c r="S89" i="41" s="1"/>
  <c r="S50" i="41"/>
  <c r="P67" i="50"/>
  <c r="AA79" i="48"/>
  <c r="X79" i="47"/>
  <c r="AG28" i="47"/>
  <c r="AG25" i="47" s="1"/>
  <c r="AG30" i="47" s="1"/>
  <c r="AJ93" i="36"/>
  <c r="AK94" i="41"/>
  <c r="AK54" i="41"/>
  <c r="AK58" i="41" s="1"/>
  <c r="AB68" i="36"/>
  <c r="AA78" i="47"/>
  <c r="AN96" i="44"/>
  <c r="U53" i="43"/>
  <c r="AD92" i="43" s="1"/>
  <c r="AD94" i="43" s="1"/>
  <c r="Z262" i="43"/>
  <c r="Z269" i="43" s="1"/>
  <c r="AB63" i="37"/>
  <c r="AH207" i="37"/>
  <c r="AL57" i="37" s="1"/>
  <c r="AL96" i="37" s="1"/>
  <c r="AC45" i="37"/>
  <c r="AC71" i="37" s="1"/>
  <c r="AD69" i="42"/>
  <c r="AA79" i="46"/>
  <c r="N67" i="50"/>
  <c r="AG138" i="36"/>
  <c r="AJ56" i="36" s="1"/>
  <c r="AJ95" i="36" s="1"/>
  <c r="AA44" i="36"/>
  <c r="AA70" i="36" s="1"/>
  <c r="AB69" i="41"/>
  <c r="V55" i="44"/>
  <c r="AE94" i="44" s="1"/>
  <c r="AE96" i="44" s="1"/>
  <c r="AA268" i="44"/>
  <c r="AA275" i="44" s="1"/>
  <c r="AC61" i="39"/>
  <c r="AC63" i="39" s="1"/>
  <c r="Y250" i="39"/>
  <c r="Y257" i="39" s="1"/>
  <c r="AC69" i="39"/>
  <c r="AB63" i="41"/>
  <c r="AC60" i="38"/>
  <c r="AC62" i="38" s="1"/>
  <c r="Y242" i="38"/>
  <c r="Y249" i="38" s="1"/>
  <c r="AE61" i="44"/>
  <c r="AL94" i="41"/>
  <c r="AM94" i="42"/>
  <c r="U82" i="43"/>
  <c r="U89" i="43" s="1"/>
  <c r="AD59" i="43"/>
  <c r="AC61" i="37"/>
  <c r="AC63" i="37" s="1"/>
  <c r="Y242" i="37"/>
  <c r="Y249" i="37" s="1"/>
  <c r="AL94" i="40"/>
  <c r="AB69" i="39"/>
  <c r="AB46" i="39"/>
  <c r="AB72" i="39" s="1"/>
  <c r="AA68" i="36"/>
  <c r="AC44" i="38"/>
  <c r="AC70" i="38" s="1"/>
  <c r="AH207" i="38"/>
  <c r="AL56" i="38" s="1"/>
  <c r="AL95" i="38" s="1"/>
  <c r="R81" i="36"/>
  <c r="R88" i="36" s="1"/>
  <c r="R49" i="36"/>
  <c r="T55" i="43"/>
  <c r="AK94" i="39"/>
  <c r="S82" i="40"/>
  <c r="S89" i="40" s="1"/>
  <c r="S50" i="40"/>
  <c r="U57" i="44"/>
  <c r="T55" i="42"/>
  <c r="AB63" i="39"/>
  <c r="AC61" i="40"/>
  <c r="AC63" i="40" s="1"/>
  <c r="Y247" i="40"/>
  <c r="Y254" i="40" s="1"/>
  <c r="S81" i="38"/>
  <c r="S88" i="38" s="1"/>
  <c r="S49" i="38"/>
  <c r="U254" i="40"/>
  <c r="AM94" i="43"/>
  <c r="AC69" i="41"/>
  <c r="AD71" i="44"/>
  <c r="AB69" i="37"/>
  <c r="AL94" i="43"/>
  <c r="AL54" i="43"/>
  <c r="AL58" i="43" s="1"/>
  <c r="AK93" i="38"/>
  <c r="S49" i="36"/>
  <c r="S81" i="36"/>
  <c r="S88" i="36" s="1"/>
  <c r="AC61" i="41"/>
  <c r="AC63" i="41" s="1"/>
  <c r="Y256" i="41"/>
  <c r="Y263" i="41" s="1"/>
  <c r="AC68" i="38"/>
  <c r="AL94" i="42"/>
  <c r="T82" i="43"/>
  <c r="T89" i="43" s="1"/>
  <c r="AC59" i="43"/>
  <c r="AL94" i="37"/>
  <c r="T82" i="41"/>
  <c r="T89" i="41" s="1"/>
  <c r="T50" i="41"/>
  <c r="AB63" i="40"/>
  <c r="AD61" i="44"/>
  <c r="V269" i="43"/>
  <c r="U82" i="42"/>
  <c r="U89" i="42" s="1"/>
  <c r="AD59" i="42"/>
  <c r="T82" i="42"/>
  <c r="T89" i="42" s="1"/>
  <c r="AC59" i="42"/>
  <c r="AB60" i="36"/>
  <c r="AB62" i="36" s="1"/>
  <c r="X241" i="36"/>
  <c r="X248" i="36" s="1"/>
  <c r="AK94" i="37"/>
  <c r="AC69" i="43"/>
  <c r="AB68" i="38"/>
  <c r="AB45" i="38"/>
  <c r="AB71" i="38" s="1"/>
  <c r="AK54" i="40"/>
  <c r="AK58" i="40" s="1"/>
  <c r="AK94" i="40"/>
  <c r="AK93" i="40" s="1"/>
  <c r="U53" i="42"/>
  <c r="AD92" i="42" s="1"/>
  <c r="AD94" i="42" s="1"/>
  <c r="Z271" i="42"/>
  <c r="Z278" i="42" s="1"/>
  <c r="AG28" i="48"/>
  <c r="AG25" i="48" s="1"/>
  <c r="AG30" i="48" s="1"/>
  <c r="X79" i="48"/>
  <c r="AL93" i="38"/>
  <c r="AC69" i="42"/>
  <c r="AC69" i="37"/>
  <c r="T82" i="37"/>
  <c r="T89" i="37" s="1"/>
  <c r="T50" i="37"/>
  <c r="AD69" i="43"/>
  <c r="AM96" i="44"/>
  <c r="AM56" i="44"/>
  <c r="AM60" i="44" s="1"/>
  <c r="AC45" i="41"/>
  <c r="AC71" i="41" s="1"/>
  <c r="AH221" i="41"/>
  <c r="AL57" i="41" s="1"/>
  <c r="AL96" i="41" s="1"/>
  <c r="AL93" i="41" s="1"/>
  <c r="AC69" i="40"/>
  <c r="T50" i="39"/>
  <c r="T82" i="39"/>
  <c r="T89" i="39" s="1"/>
  <c r="AJ94" i="39"/>
  <c r="AG28" i="46"/>
  <c r="AG25" i="46" s="1"/>
  <c r="AG30" i="46" s="1"/>
  <c r="X79" i="46"/>
  <c r="AB69" i="40"/>
  <c r="S82" i="39"/>
  <c r="S89" i="39" s="1"/>
  <c r="S50" i="39"/>
  <c r="AB62" i="38"/>
  <c r="AE71" i="44"/>
  <c r="AA62" i="36"/>
  <c r="AJ46" i="40"/>
  <c r="AI45" i="36"/>
  <c r="AJ46" i="41"/>
  <c r="AL48" i="44"/>
  <c r="AK46" i="42"/>
  <c r="AJ45" i="38"/>
  <c r="AI46" i="39"/>
  <c r="AK46" i="43"/>
  <c r="AJ46" i="37"/>
  <c r="AC56" i="44"/>
  <c r="T86" i="44" s="1"/>
  <c r="AB54" i="42"/>
  <c r="S84" i="42" s="1"/>
  <c r="R45" i="41"/>
  <c r="R84" i="41" s="1"/>
  <c r="AB54" i="43"/>
  <c r="S84" i="43" s="1"/>
  <c r="R45" i="37"/>
  <c r="R84" i="37" s="1"/>
  <c r="R45" i="40"/>
  <c r="R84" i="40" s="1"/>
  <c r="R44" i="38"/>
  <c r="R83" i="38" s="1"/>
  <c r="R45" i="39"/>
  <c r="R84" i="39" s="1"/>
  <c r="Q44" i="36"/>
  <c r="Q83" i="36" s="1"/>
  <c r="AD15" i="12"/>
  <c r="E22" i="3"/>
  <c r="M21" i="3"/>
  <c r="M23" i="3"/>
  <c r="M22" i="3"/>
  <c r="I23" i="3"/>
  <c r="I22" i="3"/>
  <c r="I21" i="3"/>
  <c r="X24" i="12"/>
  <c r="Q13" i="50" s="1"/>
  <c r="W24" i="12"/>
  <c r="I12" i="3"/>
  <c r="M12" i="3"/>
  <c r="I10" i="3"/>
  <c r="M10" i="3"/>
  <c r="M11" i="3"/>
  <c r="I11" i="3"/>
  <c r="AB46" i="37" l="1"/>
  <c r="AB72" i="37" s="1"/>
  <c r="AL93" i="42"/>
  <c r="AB46" i="40"/>
  <c r="AB72" i="40" s="1"/>
  <c r="AK92" i="36"/>
  <c r="AK92" i="38"/>
  <c r="AK96" i="38" s="1"/>
  <c r="AM93" i="42"/>
  <c r="AL93" i="37"/>
  <c r="AL97" i="37" s="1"/>
  <c r="AJ93" i="39"/>
  <c r="AJ97" i="39" s="1"/>
  <c r="AM95" i="44"/>
  <c r="AM99" i="44" s="1"/>
  <c r="AN95" i="44"/>
  <c r="AN99" i="44" s="1"/>
  <c r="AL93" i="43"/>
  <c r="AL97" i="43" s="1"/>
  <c r="AK93" i="41"/>
  <c r="AK97" i="41" s="1"/>
  <c r="AK97" i="40"/>
  <c r="AL92" i="38"/>
  <c r="AL96" i="38" s="1"/>
  <c r="AJ92" i="36"/>
  <c r="AJ96" i="36" s="1"/>
  <c r="AH139" i="37"/>
  <c r="AK57" i="37" s="1"/>
  <c r="AK96" i="37" s="1"/>
  <c r="AK93" i="37" s="1"/>
  <c r="AK97" i="37" s="1"/>
  <c r="AC46" i="42"/>
  <c r="AC72" i="42" s="1"/>
  <c r="AK53" i="38"/>
  <c r="AK57" i="38" s="1"/>
  <c r="AK59" i="38" s="1"/>
  <c r="AC46" i="37"/>
  <c r="AC72" i="37" s="1"/>
  <c r="AC46" i="43"/>
  <c r="AC72" i="43" s="1"/>
  <c r="AM54" i="42"/>
  <c r="AM58" i="42" s="1"/>
  <c r="AM61" i="42" s="1"/>
  <c r="AM97" i="42"/>
  <c r="AE48" i="44"/>
  <c r="AE74" i="44" s="1"/>
  <c r="AD48" i="44"/>
  <c r="AD74" i="44" s="1"/>
  <c r="AJ54" i="39"/>
  <c r="AJ58" i="39" s="1"/>
  <c r="AJ61" i="39" s="1"/>
  <c r="AB46" i="41"/>
  <c r="AB72" i="41" s="1"/>
  <c r="AA45" i="36"/>
  <c r="AA71" i="36" s="1"/>
  <c r="AL54" i="37"/>
  <c r="AL58" i="37" s="1"/>
  <c r="AL60" i="37" s="1"/>
  <c r="AL53" i="38"/>
  <c r="AL57" i="38" s="1"/>
  <c r="AL59" i="38" s="1"/>
  <c r="AD46" i="42"/>
  <c r="AD72" i="42" s="1"/>
  <c r="U55" i="43"/>
  <c r="AN56" i="44"/>
  <c r="AN60" i="44" s="1"/>
  <c r="AN63" i="44" s="1"/>
  <c r="AL54" i="42"/>
  <c r="AL58" i="42" s="1"/>
  <c r="AL61" i="42" s="1"/>
  <c r="AB45" i="36"/>
  <c r="AB71" i="36" s="1"/>
  <c r="AL97" i="42"/>
  <c r="AL54" i="41"/>
  <c r="AL58" i="41" s="1"/>
  <c r="AL60" i="41" s="1"/>
  <c r="AK96" i="36"/>
  <c r="AK53" i="36"/>
  <c r="AK57" i="36" s="1"/>
  <c r="AK59" i="36" s="1"/>
  <c r="AC45" i="38"/>
  <c r="AC71" i="38" s="1"/>
  <c r="AL97" i="41"/>
  <c r="U55" i="42"/>
  <c r="AK60" i="41"/>
  <c r="AK61" i="41"/>
  <c r="AC46" i="41"/>
  <c r="AC72" i="41" s="1"/>
  <c r="AC45" i="39"/>
  <c r="AG215" i="39"/>
  <c r="AK57" i="39" s="1"/>
  <c r="AI223" i="43"/>
  <c r="AM57" i="43" s="1"/>
  <c r="AD45" i="43"/>
  <c r="AM62" i="44"/>
  <c r="AM63" i="44"/>
  <c r="AL61" i="43"/>
  <c r="AL60" i="43"/>
  <c r="AK60" i="40"/>
  <c r="AK61" i="40"/>
  <c r="AH212" i="40"/>
  <c r="AL57" i="40" s="1"/>
  <c r="AC45" i="40"/>
  <c r="O67" i="50"/>
  <c r="AA79" i="47"/>
  <c r="AJ53" i="36"/>
  <c r="AJ57" i="36" s="1"/>
  <c r="V57" i="44"/>
  <c r="AL87" i="44"/>
  <c r="AL84" i="44" s="1"/>
  <c r="AL45" i="44"/>
  <c r="AJ85" i="41"/>
  <c r="AJ82" i="41" s="1"/>
  <c r="AJ43" i="41"/>
  <c r="AI84" i="36"/>
  <c r="AI81" i="36" s="1"/>
  <c r="AI42" i="36"/>
  <c r="AJ85" i="37"/>
  <c r="AJ82" i="37" s="1"/>
  <c r="AJ43" i="37"/>
  <c r="AJ85" i="40"/>
  <c r="AJ82" i="40" s="1"/>
  <c r="AJ43" i="40"/>
  <c r="AK85" i="43"/>
  <c r="AK82" i="43" s="1"/>
  <c r="AK43" i="43"/>
  <c r="AI85" i="39"/>
  <c r="AI82" i="39" s="1"/>
  <c r="AI43" i="39"/>
  <c r="AJ84" i="38"/>
  <c r="AJ81" i="38" s="1"/>
  <c r="AJ42" i="38"/>
  <c r="AK85" i="42"/>
  <c r="AK82" i="42" s="1"/>
  <c r="AK43" i="42"/>
  <c r="E23" i="3"/>
  <c r="U64" i="12"/>
  <c r="U72" i="12"/>
  <c r="U71" i="12" s="1"/>
  <c r="U76" i="12"/>
  <c r="U66" i="12"/>
  <c r="U33" i="12"/>
  <c r="U32" i="12"/>
  <c r="U29" i="12"/>
  <c r="T29" i="12"/>
  <c r="U17" i="12"/>
  <c r="U28" i="12"/>
  <c r="T17" i="12"/>
  <c r="T28" i="12"/>
  <c r="T16" i="12"/>
  <c r="S29" i="12"/>
  <c r="S28" i="12"/>
  <c r="S17" i="12"/>
  <c r="AK54" i="37" l="1"/>
  <c r="AK58" i="37" s="1"/>
  <c r="AK60" i="37" s="1"/>
  <c r="AK60" i="38"/>
  <c r="AM60" i="42"/>
  <c r="AL61" i="37"/>
  <c r="AL60" i="38"/>
  <c r="AN62" i="44"/>
  <c r="AK61" i="37"/>
  <c r="AJ60" i="39"/>
  <c r="AK60" i="36"/>
  <c r="AL61" i="41"/>
  <c r="AL60" i="42"/>
  <c r="W50" i="12"/>
  <c r="AM96" i="43"/>
  <c r="AM54" i="43"/>
  <c r="AM58" i="43" s="1"/>
  <c r="AJ59" i="36"/>
  <c r="AJ60" i="36"/>
  <c r="AL96" i="40"/>
  <c r="AL54" i="40"/>
  <c r="AL58" i="40" s="1"/>
  <c r="AK96" i="39"/>
  <c r="AK54" i="39"/>
  <c r="AK58" i="39" s="1"/>
  <c r="AC71" i="39"/>
  <c r="AC46" i="39"/>
  <c r="AC72" i="39" s="1"/>
  <c r="AC71" i="40"/>
  <c r="AC46" i="40"/>
  <c r="AC72" i="40" s="1"/>
  <c r="AD71" i="43"/>
  <c r="AD46" i="43"/>
  <c r="AD72" i="43" s="1"/>
  <c r="AA62" i="41"/>
  <c r="AA92" i="41" s="1"/>
  <c r="AA62" i="39"/>
  <c r="AA92" i="39" s="1"/>
  <c r="T56" i="44"/>
  <c r="AC95" i="44" s="1"/>
  <c r="AA62" i="40"/>
  <c r="AA92" i="40" s="1"/>
  <c r="AA61" i="38"/>
  <c r="AA91" i="38" s="1"/>
  <c r="S54" i="42"/>
  <c r="AB93" i="42" s="1"/>
  <c r="S54" i="43"/>
  <c r="AB93" i="43" s="1"/>
  <c r="AA62" i="37"/>
  <c r="AA92" i="37" s="1"/>
  <c r="Z61" i="36"/>
  <c r="Z91" i="36" s="1"/>
  <c r="S51" i="42"/>
  <c r="AB90" i="42" s="1"/>
  <c r="AA58" i="38"/>
  <c r="AA59" i="41"/>
  <c r="T53" i="44"/>
  <c r="AC92" i="44" s="1"/>
  <c r="S51" i="43"/>
  <c r="AB90" i="43" s="1"/>
  <c r="AA59" i="40"/>
  <c r="AA59" i="39"/>
  <c r="AA59" i="37"/>
  <c r="Z58" i="36"/>
  <c r="AA53" i="41"/>
  <c r="AA83" i="41" s="1"/>
  <c r="AA52" i="38"/>
  <c r="AA82" i="38" s="1"/>
  <c r="S44" i="43"/>
  <c r="AB83" i="43" s="1"/>
  <c r="T46" i="44"/>
  <c r="AC85" i="44" s="1"/>
  <c r="AA53" i="40"/>
  <c r="AA83" i="40" s="1"/>
  <c r="S44" i="42"/>
  <c r="AB83" i="42" s="1"/>
  <c r="AA53" i="39"/>
  <c r="AA83" i="39" s="1"/>
  <c r="AA53" i="37"/>
  <c r="AA83" i="37" s="1"/>
  <c r="Z52" i="36"/>
  <c r="Z82" i="36" s="1"/>
  <c r="AA51" i="38"/>
  <c r="AA81" i="38" s="1"/>
  <c r="S43" i="43"/>
  <c r="AB82" i="43" s="1"/>
  <c r="S43" i="42"/>
  <c r="AB82" i="42" s="1"/>
  <c r="AA52" i="40"/>
  <c r="AA82" i="40" s="1"/>
  <c r="Z51" i="36"/>
  <c r="Z81" i="36" s="1"/>
  <c r="AA52" i="37"/>
  <c r="AA82" i="37" s="1"/>
  <c r="AA52" i="39"/>
  <c r="AA82" i="39" s="1"/>
  <c r="T45" i="44"/>
  <c r="AC84" i="44" s="1"/>
  <c r="AA52" i="41"/>
  <c r="AA82" i="41" s="1"/>
  <c r="AA60" i="38"/>
  <c r="S53" i="43"/>
  <c r="AB92" i="43" s="1"/>
  <c r="AA61" i="41"/>
  <c r="S53" i="42"/>
  <c r="AB92" i="42" s="1"/>
  <c r="AA61" i="39"/>
  <c r="AA61" i="40"/>
  <c r="T55" i="44"/>
  <c r="AC94" i="44" s="1"/>
  <c r="Z60" i="36"/>
  <c r="AA61" i="37"/>
  <c r="Z59" i="36"/>
  <c r="AA59" i="38"/>
  <c r="T54" i="44"/>
  <c r="AC93" i="44" s="1"/>
  <c r="S52" i="42"/>
  <c r="AB91" i="42" s="1"/>
  <c r="AA60" i="40"/>
  <c r="AA60" i="39"/>
  <c r="S52" i="43"/>
  <c r="AB91" i="43" s="1"/>
  <c r="AA60" i="41"/>
  <c r="AA60" i="37"/>
  <c r="T48" i="44"/>
  <c r="AC87" i="44" s="1"/>
  <c r="S46" i="43"/>
  <c r="AB85" i="43" s="1"/>
  <c r="AA55" i="40"/>
  <c r="AA85" i="40" s="1"/>
  <c r="AA55" i="41"/>
  <c r="AA85" i="41" s="1"/>
  <c r="AA55" i="39"/>
  <c r="AA85" i="39" s="1"/>
  <c r="AA54" i="38"/>
  <c r="AA84" i="38" s="1"/>
  <c r="S46" i="42"/>
  <c r="AB85" i="42" s="1"/>
  <c r="AA55" i="37"/>
  <c r="AA85" i="37" s="1"/>
  <c r="Z54" i="36"/>
  <c r="Z84" i="36" s="1"/>
  <c r="S15" i="12"/>
  <c r="U15" i="12"/>
  <c r="T15" i="12"/>
  <c r="U31" i="12"/>
  <c r="W71" i="12"/>
  <c r="X71" i="12"/>
  <c r="Q60" i="50" s="1"/>
  <c r="X41" i="12"/>
  <c r="Q30" i="50" s="1"/>
  <c r="W41" i="12"/>
  <c r="W66" i="12"/>
  <c r="X66" i="12"/>
  <c r="Q55" i="50" s="1"/>
  <c r="W35" i="12"/>
  <c r="U35" i="12"/>
  <c r="W61" i="12"/>
  <c r="W60" i="12"/>
  <c r="W58" i="12"/>
  <c r="W72" i="12"/>
  <c r="W64" i="12"/>
  <c r="W59" i="12"/>
  <c r="W33" i="12"/>
  <c r="W76" i="12"/>
  <c r="W36" i="12"/>
  <c r="W68" i="12"/>
  <c r="W37" i="12"/>
  <c r="W63" i="12"/>
  <c r="W16" i="12"/>
  <c r="W28" i="12"/>
  <c r="W52" i="12"/>
  <c r="W29" i="12"/>
  <c r="W32" i="12"/>
  <c r="W51" i="12"/>
  <c r="W48" i="12"/>
  <c r="W53" i="12"/>
  <c r="W17" i="12"/>
  <c r="W42" i="12"/>
  <c r="W38" i="12"/>
  <c r="X76" i="12"/>
  <c r="Q65" i="50" s="1"/>
  <c r="X42" i="12"/>
  <c r="Q31" i="50" s="1"/>
  <c r="X53" i="12"/>
  <c r="Q42" i="50" s="1"/>
  <c r="X28" i="12"/>
  <c r="Q17" i="50" s="1"/>
  <c r="X37" i="12"/>
  <c r="Q26" i="50" s="1"/>
  <c r="X18" i="12"/>
  <c r="Q7" i="50" s="1"/>
  <c r="X72" i="12"/>
  <c r="Q61" i="50" s="1"/>
  <c r="X29" i="12"/>
  <c r="Q18" i="50" s="1"/>
  <c r="X52" i="12"/>
  <c r="Q41" i="50" s="1"/>
  <c r="X33" i="12"/>
  <c r="Q22" i="50" s="1"/>
  <c r="X36" i="12"/>
  <c r="Q25" i="50" s="1"/>
  <c r="X63" i="12"/>
  <c r="Q52" i="50" s="1"/>
  <c r="X64" i="12"/>
  <c r="Q53" i="50" s="1"/>
  <c r="X32" i="12"/>
  <c r="Q21" i="50" s="1"/>
  <c r="X51" i="12"/>
  <c r="Q40" i="50" s="1"/>
  <c r="X58" i="12"/>
  <c r="Q47" i="50" s="1"/>
  <c r="X16" i="12"/>
  <c r="Q5" i="50" s="1"/>
  <c r="X61" i="12"/>
  <c r="Q50" i="50" s="1"/>
  <c r="X17" i="12"/>
  <c r="Q6" i="50" s="1"/>
  <c r="X38" i="12"/>
  <c r="Q27" i="50" s="1"/>
  <c r="X60" i="12"/>
  <c r="Q49" i="50" s="1"/>
  <c r="X68" i="12"/>
  <c r="Q57" i="50" s="1"/>
  <c r="X59" i="12"/>
  <c r="Q48" i="50" s="1"/>
  <c r="U57" i="12"/>
  <c r="AL93" i="40" l="1"/>
  <c r="AL97" i="40" s="1"/>
  <c r="AM93" i="43"/>
  <c r="AM97" i="43" s="1"/>
  <c r="AK93" i="39"/>
  <c r="AK97" i="39" s="1"/>
  <c r="AK60" i="39"/>
  <c r="AK61" i="39"/>
  <c r="AL60" i="40"/>
  <c r="AL61" i="40"/>
  <c r="AM60" i="43"/>
  <c r="AM61" i="43"/>
  <c r="AB58" i="43"/>
  <c r="S88" i="43" s="1"/>
  <c r="R49" i="40"/>
  <c r="R88" i="40" s="1"/>
  <c r="AC60" i="44"/>
  <c r="T90" i="44" s="1"/>
  <c r="R49" i="39"/>
  <c r="R88" i="39" s="1"/>
  <c r="R48" i="38"/>
  <c r="R87" i="38" s="1"/>
  <c r="R49" i="37"/>
  <c r="R88" i="37" s="1"/>
  <c r="Q48" i="36"/>
  <c r="Q87" i="36" s="1"/>
  <c r="AB58" i="42"/>
  <c r="S88" i="42" s="1"/>
  <c r="R49" i="41"/>
  <c r="R88" i="41" s="1"/>
  <c r="R44" i="40"/>
  <c r="R83" i="40" s="1"/>
  <c r="Q43" i="36"/>
  <c r="Q82" i="36" s="1"/>
  <c r="AB53" i="42"/>
  <c r="S83" i="42" s="1"/>
  <c r="R44" i="41"/>
  <c r="R83" i="41" s="1"/>
  <c r="R44" i="39"/>
  <c r="R83" i="39" s="1"/>
  <c r="AB53" i="43"/>
  <c r="S83" i="43" s="1"/>
  <c r="R43" i="38"/>
  <c r="R82" i="38" s="1"/>
  <c r="AC55" i="44"/>
  <c r="T85" i="44" s="1"/>
  <c r="R44" i="37"/>
  <c r="R83" i="37" s="1"/>
  <c r="AB52" i="43"/>
  <c r="AB52" i="42"/>
  <c r="R43" i="41"/>
  <c r="AC54" i="44"/>
  <c r="R43" i="39"/>
  <c r="R43" i="40"/>
  <c r="Q42" i="36"/>
  <c r="R42" i="38"/>
  <c r="R43" i="37"/>
  <c r="AA56" i="38"/>
  <c r="AA86" i="38" s="1"/>
  <c r="S48" i="43"/>
  <c r="AB87" i="43" s="1"/>
  <c r="T50" i="44"/>
  <c r="AC89" i="44" s="1"/>
  <c r="S48" i="42"/>
  <c r="AB87" i="42" s="1"/>
  <c r="Z56" i="36"/>
  <c r="Z86" i="36" s="1"/>
  <c r="AA57" i="39"/>
  <c r="AA87" i="39" s="1"/>
  <c r="AA57" i="41"/>
  <c r="AA87" i="41" s="1"/>
  <c r="AA57" i="37"/>
  <c r="AA87" i="37" s="1"/>
  <c r="AA57" i="40"/>
  <c r="AA87" i="40" s="1"/>
  <c r="AA58" i="40"/>
  <c r="AA88" i="40" s="1"/>
  <c r="AA57" i="38"/>
  <c r="AA87" i="38" s="1"/>
  <c r="AA58" i="37"/>
  <c r="AA88" i="37" s="1"/>
  <c r="S49" i="43"/>
  <c r="AB88" i="43" s="1"/>
  <c r="AA58" i="39"/>
  <c r="AA88" i="39" s="1"/>
  <c r="Z57" i="36"/>
  <c r="Z87" i="36" s="1"/>
  <c r="S49" i="42"/>
  <c r="AB88" i="42" s="1"/>
  <c r="AA58" i="41"/>
  <c r="AA88" i="41" s="1"/>
  <c r="T51" i="44"/>
  <c r="AC90" i="44" s="1"/>
  <c r="AA54" i="41"/>
  <c r="Z53" i="36"/>
  <c r="S45" i="42"/>
  <c r="T47" i="44"/>
  <c r="AA54" i="39"/>
  <c r="S45" i="43"/>
  <c r="AA53" i="38"/>
  <c r="AA54" i="37"/>
  <c r="AA54" i="40"/>
  <c r="T78" i="12"/>
  <c r="X31" i="12"/>
  <c r="Q20" i="50" s="1"/>
  <c r="W31" i="12"/>
  <c r="S78" i="12"/>
  <c r="W15" i="12"/>
  <c r="X15" i="12"/>
  <c r="Q4" i="50" s="1"/>
  <c r="X50" i="12"/>
  <c r="Q39" i="50" s="1"/>
  <c r="W57" i="12"/>
  <c r="X57" i="12"/>
  <c r="Q46" i="50" s="1"/>
  <c r="X35" i="12"/>
  <c r="Q24" i="50" s="1"/>
  <c r="Q81" i="36" l="1"/>
  <c r="Q88" i="36" s="1"/>
  <c r="Q49" i="36"/>
  <c r="R81" i="38"/>
  <c r="R88" i="38" s="1"/>
  <c r="R49" i="38"/>
  <c r="R82" i="40"/>
  <c r="R89" i="40" s="1"/>
  <c r="R50" i="40"/>
  <c r="R82" i="39"/>
  <c r="R89" i="39" s="1"/>
  <c r="R50" i="39"/>
  <c r="T84" i="44"/>
  <c r="T91" i="44" s="1"/>
  <c r="AC61" i="44"/>
  <c r="R82" i="41"/>
  <c r="R89" i="41" s="1"/>
  <c r="R50" i="41"/>
  <c r="S82" i="42"/>
  <c r="S89" i="42" s="1"/>
  <c r="AB59" i="42"/>
  <c r="R82" i="37"/>
  <c r="R89" i="37" s="1"/>
  <c r="R50" i="37"/>
  <c r="S82" i="43"/>
  <c r="S89" i="43" s="1"/>
  <c r="AB59" i="43"/>
  <c r="AA84" i="37"/>
  <c r="AA93" i="37" s="1"/>
  <c r="AA63" i="37"/>
  <c r="AA83" i="38"/>
  <c r="AA92" i="38" s="1"/>
  <c r="AA62" i="38"/>
  <c r="AB84" i="43"/>
  <c r="AB94" i="43" s="1"/>
  <c r="S55" i="43"/>
  <c r="AC86" i="44"/>
  <c r="AC96" i="44" s="1"/>
  <c r="T57" i="44"/>
  <c r="AA84" i="41"/>
  <c r="AA93" i="41" s="1"/>
  <c r="AA63" i="41"/>
  <c r="AB84" i="42"/>
  <c r="AB94" i="42" s="1"/>
  <c r="S55" i="42"/>
  <c r="AA84" i="40"/>
  <c r="AA93" i="40" s="1"/>
  <c r="AA63" i="40"/>
  <c r="AA84" i="39"/>
  <c r="AA93" i="39" s="1"/>
  <c r="AA63" i="39"/>
  <c r="Z83" i="36"/>
  <c r="Z92" i="36" s="1"/>
  <c r="Z62" i="36"/>
  <c r="AC46" i="44"/>
  <c r="AC72" i="44" s="1"/>
  <c r="AB44" i="43"/>
  <c r="AB70" i="43" s="1"/>
  <c r="AB44" i="42"/>
  <c r="AB70" i="42" s="1"/>
  <c r="AA44" i="39"/>
  <c r="AA70" i="39" s="1"/>
  <c r="AA43" i="38"/>
  <c r="AA69" i="38" s="1"/>
  <c r="AA44" i="37"/>
  <c r="AA70" i="37" s="1"/>
  <c r="Z43" i="36"/>
  <c r="Z69" i="36" s="1"/>
  <c r="AA44" i="40"/>
  <c r="AA70" i="40" s="1"/>
  <c r="AA44" i="41"/>
  <c r="AA70" i="41" s="1"/>
  <c r="AA43" i="41"/>
  <c r="AB43" i="43"/>
  <c r="AA43" i="37"/>
  <c r="AC45" i="44"/>
  <c r="Z42" i="36"/>
  <c r="AB43" i="42"/>
  <c r="AA43" i="39"/>
  <c r="AA42" i="38"/>
  <c r="AA43" i="40"/>
  <c r="AD26" i="12"/>
  <c r="W78" i="12"/>
  <c r="W79" i="12" s="1"/>
  <c r="S79" i="12"/>
  <c r="T79" i="12"/>
  <c r="AD27" i="12"/>
  <c r="AA69" i="39" l="1"/>
  <c r="AB69" i="42"/>
  <c r="Z68" i="36"/>
  <c r="AC71" i="44"/>
  <c r="AA69" i="37"/>
  <c r="AB69" i="43"/>
  <c r="AL58" i="44"/>
  <c r="AL97" i="44" s="1"/>
  <c r="AK56" i="42"/>
  <c r="AK95" i="42" s="1"/>
  <c r="AJ56" i="40"/>
  <c r="AJ95" i="40" s="1"/>
  <c r="AJ55" i="38"/>
  <c r="AJ94" i="38" s="1"/>
  <c r="AJ56" i="37"/>
  <c r="AJ95" i="37" s="1"/>
  <c r="AI55" i="36"/>
  <c r="AI94" i="36" s="1"/>
  <c r="AI56" i="39"/>
  <c r="AI95" i="39" s="1"/>
  <c r="AJ56" i="41"/>
  <c r="AJ95" i="41" s="1"/>
  <c r="AK56" i="43"/>
  <c r="AK95" i="43" s="1"/>
  <c r="AK55" i="43"/>
  <c r="AJ55" i="41"/>
  <c r="AL57" i="44"/>
  <c r="AI54" i="36"/>
  <c r="AK55" i="42"/>
  <c r="AJ55" i="37"/>
  <c r="AJ55" i="40"/>
  <c r="AJ54" i="38"/>
  <c r="AI55" i="39"/>
  <c r="AA69" i="40"/>
  <c r="AA69" i="41"/>
  <c r="AA68" i="38"/>
  <c r="U78" i="12"/>
  <c r="X48" i="12"/>
  <c r="Q37" i="50" s="1"/>
  <c r="AJ94" i="41" l="1"/>
  <c r="AL96" i="44"/>
  <c r="AA45" i="39"/>
  <c r="AA44" i="38"/>
  <c r="AA45" i="37"/>
  <c r="Z44" i="36"/>
  <c r="AA45" i="40"/>
  <c r="AA45" i="41"/>
  <c r="AC47" i="44"/>
  <c r="AB45" i="43"/>
  <c r="AB45" i="42"/>
  <c r="AI94" i="39"/>
  <c r="AK94" i="43"/>
  <c r="AJ93" i="38"/>
  <c r="AJ94" i="40"/>
  <c r="AJ94" i="37"/>
  <c r="AK94" i="42"/>
  <c r="AI93" i="36"/>
  <c r="X78" i="12"/>
  <c r="U79" i="12"/>
  <c r="AD28" i="12"/>
  <c r="X79" i="12" l="1"/>
  <c r="Q67" i="50"/>
  <c r="AA71" i="37"/>
  <c r="AA46" i="37"/>
  <c r="AA72" i="37" s="1"/>
  <c r="AA70" i="38"/>
  <c r="AA45" i="38"/>
  <c r="AA71" i="38" s="1"/>
  <c r="AB71" i="42"/>
  <c r="AB46" i="42"/>
  <c r="AB72" i="42" s="1"/>
  <c r="AA71" i="39"/>
  <c r="AA46" i="39"/>
  <c r="AA72" i="39" s="1"/>
  <c r="AB71" i="43"/>
  <c r="AB46" i="43"/>
  <c r="AB72" i="43" s="1"/>
  <c r="Z70" i="36"/>
  <c r="Z45" i="36"/>
  <c r="Z71" i="36" s="1"/>
  <c r="AC73" i="44"/>
  <c r="AC48" i="44"/>
  <c r="AC74" i="44" s="1"/>
  <c r="AK57" i="42"/>
  <c r="AI57" i="39"/>
  <c r="AJ57" i="41"/>
  <c r="AI56" i="36"/>
  <c r="AK57" i="43"/>
  <c r="AJ57" i="37"/>
  <c r="AL59" i="44"/>
  <c r="AJ57" i="40"/>
  <c r="AJ56" i="38"/>
  <c r="AA71" i="41"/>
  <c r="AA46" i="41"/>
  <c r="AA72" i="41" s="1"/>
  <c r="AA71" i="40"/>
  <c r="AA46" i="40"/>
  <c r="AA72" i="40" s="1"/>
  <c r="AD25" i="12"/>
  <c r="AD30" i="12" s="1"/>
  <c r="AK96" i="43" l="1"/>
  <c r="AK54" i="43"/>
  <c r="AK58" i="43" s="1"/>
  <c r="AJ96" i="37"/>
  <c r="AJ54" i="37"/>
  <c r="AJ58" i="37" s="1"/>
  <c r="AI95" i="36"/>
  <c r="AI53" i="36"/>
  <c r="AI57" i="36" s="1"/>
  <c r="AJ96" i="41"/>
  <c r="AJ54" i="41"/>
  <c r="AJ58" i="41" s="1"/>
  <c r="AI96" i="39"/>
  <c r="AI54" i="39"/>
  <c r="AI58" i="39" s="1"/>
  <c r="AJ95" i="38"/>
  <c r="AJ53" i="38"/>
  <c r="AJ57" i="38" s="1"/>
  <c r="AK96" i="42"/>
  <c r="AK54" i="42"/>
  <c r="AK58" i="42" s="1"/>
  <c r="AJ96" i="40"/>
  <c r="AJ54" i="40"/>
  <c r="AJ58" i="40" s="1"/>
  <c r="AL98" i="44"/>
  <c r="AL56" i="44"/>
  <c r="AL60" i="44" s="1"/>
  <c r="AJ93" i="41" l="1"/>
  <c r="AJ97" i="41" s="1"/>
  <c r="AK93" i="42"/>
  <c r="AK97" i="42" s="1"/>
  <c r="AJ92" i="38"/>
  <c r="AJ96" i="38" s="1"/>
  <c r="AJ93" i="37"/>
  <c r="AJ97" i="37" s="1"/>
  <c r="AJ93" i="40"/>
  <c r="AJ97" i="40" s="1"/>
  <c r="AL95" i="44"/>
  <c r="AL99" i="44" s="1"/>
  <c r="AI93" i="39"/>
  <c r="AI97" i="39" s="1"/>
  <c r="AK93" i="43"/>
  <c r="AK97" i="43" s="1"/>
  <c r="AI92" i="36"/>
  <c r="AI96" i="36" s="1"/>
  <c r="AJ60" i="41"/>
  <c r="AJ61" i="41"/>
  <c r="AK60" i="42"/>
  <c r="AK61" i="42"/>
  <c r="AI59" i="36"/>
  <c r="AI60" i="36"/>
  <c r="AJ60" i="40"/>
  <c r="AJ61" i="40"/>
  <c r="AJ59" i="38"/>
  <c r="AJ60" i="38"/>
  <c r="AJ60" i="37"/>
  <c r="AJ61" i="37"/>
  <c r="AL62" i="44"/>
  <c r="AL63" i="44"/>
  <c r="AI60" i="39"/>
  <c r="AI61" i="39"/>
  <c r="AK60" i="43"/>
  <c r="AK61" i="4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tc={0E065EF0-DFFD-4D1F-B989-F951284EC5D0}</author>
  </authors>
  <commentList>
    <comment ref="K14" authorId="0" shapeId="0" xr:uid="{0E065EF0-DFFD-4D1F-B989-F951284EC5D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erscheinende Hinweis zur Handeingabe für das Jahr 2030 sollte wieder verschwinden, wenn für 2030 ein Wert größer/gleich dem Wert für 2025 erfolgt ist. Gilt auch für z. B. M5 PV-Anlage und M6</t>
      </text>
    </comment>
  </commentList>
</comments>
</file>

<file path=xl/sharedStrings.xml><?xml version="1.0" encoding="utf-8"?>
<sst xmlns="http://schemas.openxmlformats.org/spreadsheetml/2006/main" count="6891" uniqueCount="538">
  <si>
    <t>Impressum</t>
  </si>
  <si>
    <t xml:space="preserve">erarbeitet durch: </t>
  </si>
  <si>
    <t>FutureCamp Climate GmbH</t>
  </si>
  <si>
    <t>Aschauer Str. 30</t>
  </si>
  <si>
    <t>81549 München</t>
  </si>
  <si>
    <t>www.future-camp.de</t>
  </si>
  <si>
    <t>Letzte Aktualisierung:</t>
  </si>
  <si>
    <t>Modellversion:</t>
  </si>
  <si>
    <t>Kontakt:</t>
  </si>
  <si>
    <t>webkontakt@future-camp.de</t>
  </si>
  <si>
    <t>im Auftrag von:</t>
  </si>
  <si>
    <t>Projektleitung:</t>
  </si>
  <si>
    <t>Review:</t>
  </si>
  <si>
    <t>Gestaltung:</t>
  </si>
  <si>
    <t>Betonverband Straße, Landschaft, Garten e.V. (SLG)</t>
  </si>
  <si>
    <t>Schloßallee 10</t>
  </si>
  <si>
    <t>53179 Bonn</t>
  </si>
  <si>
    <t>Michael Gollinger</t>
  </si>
  <si>
    <t>Preise der Energieträger</t>
  </si>
  <si>
    <t>Einheit</t>
  </si>
  <si>
    <t>Quelle</t>
  </si>
  <si>
    <t>Kommentar</t>
  </si>
  <si>
    <t>Wirtschaftlichkeitsparameter</t>
  </si>
  <si>
    <t>Abschreibungszeitraum</t>
  </si>
  <si>
    <t>Zinssatz</t>
  </si>
  <si>
    <t>Scope 1</t>
  </si>
  <si>
    <t>Scope 2</t>
  </si>
  <si>
    <t>Scope 3</t>
  </si>
  <si>
    <t>CAPEX</t>
  </si>
  <si>
    <t>Erdgas</t>
  </si>
  <si>
    <t>Heizöl</t>
  </si>
  <si>
    <t>Strom</t>
  </si>
  <si>
    <t>Diesel</t>
  </si>
  <si>
    <t>Emissionsfaktoren</t>
  </si>
  <si>
    <t>Quellenverzeichnis</t>
  </si>
  <si>
    <t>Emissionsquelle</t>
  </si>
  <si>
    <t>Einheit der Emissionsquelle</t>
  </si>
  <si>
    <t>Gesamt</t>
  </si>
  <si>
    <t>kWh Hs</t>
  </si>
  <si>
    <t>Liter</t>
  </si>
  <si>
    <t>kWh</t>
  </si>
  <si>
    <t>kWh Hi</t>
  </si>
  <si>
    <t>Strommix Dtld 2020</t>
  </si>
  <si>
    <t>Transport vorgelagert</t>
  </si>
  <si>
    <t>Transport nachgelagert</t>
  </si>
  <si>
    <t>Zement - CEM I</t>
  </si>
  <si>
    <t>t</t>
  </si>
  <si>
    <t>Zement - CEM II</t>
  </si>
  <si>
    <t>Weißzement</t>
  </si>
  <si>
    <t>Zusatzmittel</t>
  </si>
  <si>
    <t>Plastifizierer - Concrete admixtures – Plasticizer and superplasticizer - Deutsche Bauchemie e.V. (DBC) (A1-A3)</t>
  </si>
  <si>
    <t>Jeweils auf Zusatzm.</t>
  </si>
  <si>
    <t>Luftporenbildner - Sodium ligninsulfonate</t>
  </si>
  <si>
    <t>Stabilisierer - Concrete admixtures – Retarders – Deutsche Bauchemie e.V. (DBC) (A1-A3)</t>
  </si>
  <si>
    <t>Hydrophobierer - Phenylmethyl siloxane</t>
  </si>
  <si>
    <t>Farben</t>
  </si>
  <si>
    <t>Eurocolour e.V., The groups of pigments and their CF values; Inorganic pigments and fillers, Status: May 2022</t>
  </si>
  <si>
    <t>Flugasche</t>
  </si>
  <si>
    <t>Quarzsteinmehl</t>
  </si>
  <si>
    <t>Kalksteinmehl</t>
  </si>
  <si>
    <t>Imprägniermittel  (Aushärtung über Infrarot)</t>
  </si>
  <si>
    <t>Verpackungsmaterial</t>
  </si>
  <si>
    <t>Abwasser</t>
  </si>
  <si>
    <t>cbm</t>
  </si>
  <si>
    <t>Stahlkugeln (Strahlanlage)</t>
  </si>
  <si>
    <t>Zement Gesamt</t>
  </si>
  <si>
    <t>Zement</t>
  </si>
  <si>
    <t>Summe</t>
  </si>
  <si>
    <t xml:space="preserve">Grünstrom </t>
  </si>
  <si>
    <t>Energieträger</t>
  </si>
  <si>
    <t>Radlader (1x)</t>
  </si>
  <si>
    <t>Scope 1 und 2</t>
  </si>
  <si>
    <t>Handeingabe</t>
  </si>
  <si>
    <t>Handeingabe Verbrauchswerte</t>
  </si>
  <si>
    <t xml:space="preserve">Default Verbrauchswerte </t>
  </si>
  <si>
    <t>Default</t>
  </si>
  <si>
    <t>Referenzjahr 2020</t>
  </si>
  <si>
    <t>Scope2</t>
  </si>
  <si>
    <t>Produktionsmenge</t>
  </si>
  <si>
    <t>Kosten</t>
  </si>
  <si>
    <t>Summe Scope 1 und Scope 2</t>
  </si>
  <si>
    <t>Referenz</t>
  </si>
  <si>
    <t>Energieträger Betrieb</t>
  </si>
  <si>
    <r>
      <t>Emissionen [t CO</t>
    </r>
    <r>
      <rPr>
        <b/>
        <vertAlign val="subscript"/>
        <sz val="9"/>
        <rFont val="Arial"/>
        <family val="2"/>
      </rPr>
      <t>2</t>
    </r>
    <r>
      <rPr>
        <b/>
        <sz val="9"/>
        <rFont val="Arial"/>
        <family val="2"/>
      </rPr>
      <t>e pro Einheit]</t>
    </r>
  </si>
  <si>
    <t>Bezugsjahr</t>
  </si>
  <si>
    <t>Default Wert Rechner</t>
  </si>
  <si>
    <t>€/MWh</t>
  </si>
  <si>
    <t>Vogl et al. (2018)</t>
  </si>
  <si>
    <t>a</t>
  </si>
  <si>
    <t>%</t>
  </si>
  <si>
    <t>BCG/VDEh. (2013)</t>
  </si>
  <si>
    <t>Mittelwert Vogl/BCG</t>
  </si>
  <si>
    <t>Grünstrom</t>
  </si>
  <si>
    <t>Bezugsjahr 2030</t>
  </si>
  <si>
    <t>Bezugsjahr 2025</t>
  </si>
  <si>
    <t>€</t>
  </si>
  <si>
    <t>€/a</t>
  </si>
  <si>
    <t>PV</t>
  </si>
  <si>
    <t>Wind</t>
  </si>
  <si>
    <t>Wasser</t>
  </si>
  <si>
    <t>Scope 1 und Scope 2</t>
  </si>
  <si>
    <t>Scope 1 und 2 Emissionen</t>
  </si>
  <si>
    <t>Emissionen Scope 1 und Scope 2</t>
  </si>
  <si>
    <t>Rechner Emissionen</t>
  </si>
  <si>
    <t xml:space="preserve">Scope 1 </t>
  </si>
  <si>
    <t>Gesamtemissionen</t>
  </si>
  <si>
    <t xml:space="preserve">Rechner Kosten </t>
  </si>
  <si>
    <t>-</t>
  </si>
  <si>
    <t xml:space="preserve">Energiekosten </t>
  </si>
  <si>
    <t>€/l</t>
  </si>
  <si>
    <t>Heizung/Sonstige Wärmeversorgung</t>
  </si>
  <si>
    <t>Flüssiggas</t>
  </si>
  <si>
    <t>Alternative Energieträger Härtekammer</t>
  </si>
  <si>
    <t>Alternative Energieträger restliche Werk</t>
  </si>
  <si>
    <t>Erdgas Härtekammer</t>
  </si>
  <si>
    <t>Alternativer Energieträger Härtekammer</t>
  </si>
  <si>
    <t>Alternativer Energieträger restliche Werk</t>
  </si>
  <si>
    <t>ct/l</t>
  </si>
  <si>
    <t>Durchschnittlicher Preis für Dieselkraftstoff in Deutschland 2020</t>
  </si>
  <si>
    <t>Alternativer Energieträger</t>
  </si>
  <si>
    <t>Gesamtkosten</t>
  </si>
  <si>
    <t>Strommix Dtld (bis 2045 klimaneutral)</t>
  </si>
  <si>
    <r>
      <t>CO</t>
    </r>
    <r>
      <rPr>
        <b/>
        <vertAlign val="subscript"/>
        <sz val="10"/>
        <color theme="1"/>
        <rFont val="Arial"/>
        <family val="2"/>
      </rPr>
      <t>2</t>
    </r>
    <r>
      <rPr>
        <b/>
        <sz val="10"/>
        <color theme="1"/>
        <rFont val="Arial"/>
        <family val="2"/>
      </rPr>
      <t>-Preis</t>
    </r>
  </si>
  <si>
    <t>Ökostrommix Dtld 2020</t>
  </si>
  <si>
    <t>Windstrom</t>
  </si>
  <si>
    <t>Wasserstrom</t>
  </si>
  <si>
    <t>PV-Strom</t>
  </si>
  <si>
    <t>Quellen</t>
  </si>
  <si>
    <t>Quellen (Kürzel)</t>
  </si>
  <si>
    <t>Quellen (lang)</t>
  </si>
  <si>
    <t>Diagrammtabelle</t>
  </si>
  <si>
    <t>In Diagramm anzeigen</t>
  </si>
  <si>
    <t>Härtekammer</t>
  </si>
  <si>
    <t>Heizung</t>
  </si>
  <si>
    <t>Restliche Werk</t>
  </si>
  <si>
    <t>Alternativer Energieträger restliches Werk</t>
  </si>
  <si>
    <t>Strommix Dtld.</t>
  </si>
  <si>
    <t>Reduktion EF Strom Scope 2 und 3</t>
  </si>
  <si>
    <t>Strommix Dtld Härtekammer</t>
  </si>
  <si>
    <t>Zusätzliche Kosten</t>
  </si>
  <si>
    <r>
      <t>CO</t>
    </r>
    <r>
      <rPr>
        <b/>
        <vertAlign val="subscript"/>
        <sz val="10"/>
        <color theme="1"/>
        <rFont val="Arial"/>
        <family val="2"/>
      </rPr>
      <t>2</t>
    </r>
    <r>
      <rPr>
        <b/>
        <sz val="10"/>
        <color theme="1"/>
        <rFont val="Arial"/>
        <family val="2"/>
      </rPr>
      <t>-Kosten Gesamt</t>
    </r>
  </si>
  <si>
    <r>
      <t>CO</t>
    </r>
    <r>
      <rPr>
        <i/>
        <vertAlign val="subscript"/>
        <sz val="10"/>
        <color theme="1"/>
        <rFont val="Arial"/>
        <family val="2"/>
      </rPr>
      <t>2</t>
    </r>
    <r>
      <rPr>
        <i/>
        <sz val="10"/>
        <color theme="1"/>
        <rFont val="Arial"/>
        <family val="2"/>
      </rPr>
      <t>-Kosten Scope 1</t>
    </r>
  </si>
  <si>
    <r>
      <t>CO</t>
    </r>
    <r>
      <rPr>
        <i/>
        <vertAlign val="subscript"/>
        <sz val="10"/>
        <color theme="1"/>
        <rFont val="Arial"/>
        <family val="2"/>
      </rPr>
      <t>2</t>
    </r>
    <r>
      <rPr>
        <i/>
        <sz val="10"/>
        <color theme="1"/>
        <rFont val="Arial"/>
        <family val="2"/>
      </rPr>
      <t>-Kosten Scope 2</t>
    </r>
  </si>
  <si>
    <r>
      <t>CO</t>
    </r>
    <r>
      <rPr>
        <i/>
        <vertAlign val="subscript"/>
        <sz val="10"/>
        <color theme="1"/>
        <rFont val="Arial"/>
        <family val="2"/>
      </rPr>
      <t>2</t>
    </r>
    <r>
      <rPr>
        <i/>
        <sz val="10"/>
        <color theme="1"/>
        <rFont val="Arial"/>
        <family val="2"/>
      </rPr>
      <t>-Kosten Scope 3</t>
    </r>
  </si>
  <si>
    <t>Energieträger intern</t>
  </si>
  <si>
    <r>
      <t>Summe ohne CO</t>
    </r>
    <r>
      <rPr>
        <vertAlign val="subscript"/>
        <sz val="10"/>
        <color theme="1"/>
        <rFont val="Arial"/>
        <family val="2"/>
      </rPr>
      <t>2</t>
    </r>
    <r>
      <rPr>
        <sz val="10"/>
        <color theme="1"/>
        <rFont val="Arial"/>
        <family val="2"/>
      </rPr>
      <t>-Kosten</t>
    </r>
  </si>
  <si>
    <t>Einmalige Kosten</t>
  </si>
  <si>
    <t>Weitere Zementsorte</t>
  </si>
  <si>
    <r>
      <t>t CO</t>
    </r>
    <r>
      <rPr>
        <vertAlign val="subscript"/>
        <sz val="10"/>
        <color theme="1"/>
        <rFont val="Arial"/>
        <family val="2"/>
      </rPr>
      <t>2</t>
    </r>
    <r>
      <rPr>
        <sz val="10"/>
        <color theme="1"/>
        <rFont val="Arial"/>
        <family val="2"/>
      </rPr>
      <t>e</t>
    </r>
  </si>
  <si>
    <r>
      <t>t CO</t>
    </r>
    <r>
      <rPr>
        <b/>
        <vertAlign val="subscript"/>
        <sz val="10"/>
        <color theme="1"/>
        <rFont val="Arial"/>
        <family val="2"/>
      </rPr>
      <t>2</t>
    </r>
    <r>
      <rPr>
        <b/>
        <sz val="10"/>
        <color theme="1"/>
        <rFont val="Arial"/>
        <family val="2"/>
      </rPr>
      <t>e</t>
    </r>
  </si>
  <si>
    <r>
      <t>t CO</t>
    </r>
    <r>
      <rPr>
        <b/>
        <vertAlign val="subscript"/>
        <sz val="10"/>
        <color theme="1"/>
        <rFont val="Arial"/>
        <family val="2"/>
      </rPr>
      <t>2</t>
    </r>
    <r>
      <rPr>
        <b/>
        <sz val="10"/>
        <color theme="1"/>
        <rFont val="Arial"/>
        <family val="2"/>
      </rPr>
      <t>e / t Produkt</t>
    </r>
  </si>
  <si>
    <t>Heizöl Härtekammer</t>
  </si>
  <si>
    <t>Strommix Dtld. Härtekammer</t>
  </si>
  <si>
    <t>Strommix Dtld..</t>
  </si>
  <si>
    <r>
      <rPr>
        <vertAlign val="superscript"/>
        <sz val="9"/>
        <color theme="1" tint="0.249977111117893"/>
        <rFont val="Arial"/>
        <family val="2"/>
      </rPr>
      <t>1)</t>
    </r>
    <r>
      <rPr>
        <sz val="9"/>
        <color theme="1" tint="0.249977111117893"/>
        <rFont val="Arial"/>
        <family val="2"/>
      </rPr>
      <t xml:space="preserve"> Z. B. Mehrkosten bei Wartung, Instandhaltung, Personal, etc. </t>
    </r>
  </si>
  <si>
    <t>Ergebnisse Maßnahme 1</t>
  </si>
  <si>
    <t>€/ 100l</t>
  </si>
  <si>
    <r>
      <rPr>
        <vertAlign val="superscript"/>
        <sz val="10"/>
        <color theme="1"/>
        <rFont val="Arial"/>
        <family val="2"/>
      </rPr>
      <t>1)</t>
    </r>
    <r>
      <rPr>
        <sz val="10"/>
        <color theme="1"/>
        <rFont val="Arial"/>
        <family val="2"/>
      </rPr>
      <t xml:space="preserve"> Im Musterwerk wird von Eigengewinnung ausgegangen, somit sind die Emissionen bereits beim Strom enthalten.</t>
    </r>
  </si>
  <si>
    <t xml:space="preserve">© Betonverband Straße, Landschaft, Garten e.V. und FutureCamp Climate. Alle Rechte vorbehalten. </t>
  </si>
  <si>
    <t>Nutzung der Methoden, Standarddaten und Ergebnisse nur mit  Verweis auf den Herausgeber gestattet.</t>
  </si>
  <si>
    <t>in Kooperation mit Vertretern</t>
  </si>
  <si>
    <t>der SLG-Mitgliedsunternehmen</t>
  </si>
  <si>
    <t>Herausgeber: Betonverband Straße, Landschaft, Garten e.V. (SLG)</t>
  </si>
  <si>
    <t>Gesteinskörnungen (Zuschlagsstoffe)</t>
  </si>
  <si>
    <t>Sand, Kies</t>
  </si>
  <si>
    <t>Brechsand, Splitt</t>
  </si>
  <si>
    <t>RC-Material (Sand, Splitt)</t>
  </si>
  <si>
    <t>Zusatzstoffe (Füllstoffe)</t>
  </si>
  <si>
    <t>Oberflächenschutzsysteme</t>
  </si>
  <si>
    <t>Hydrophobierung</t>
  </si>
  <si>
    <t>Beschichtung</t>
  </si>
  <si>
    <t>Oberflächenbearbeitung (vor/nach Erhärtung)</t>
  </si>
  <si>
    <t>Oberflächenbearbeitungsarten</t>
  </si>
  <si>
    <t>Weitere Materialen</t>
  </si>
  <si>
    <t>k.A.</t>
  </si>
  <si>
    <t>Transport gesamt</t>
  </si>
  <si>
    <t>Energieträger gesamt</t>
  </si>
  <si>
    <r>
      <t xml:space="preserve">Einmalige Kosten </t>
    </r>
    <r>
      <rPr>
        <b/>
        <vertAlign val="superscript"/>
        <sz val="10"/>
        <color theme="1"/>
        <rFont val="Arial"/>
        <family val="2"/>
      </rPr>
      <t>2)</t>
    </r>
  </si>
  <si>
    <t>Aufteilung der Scope 3 Emissionen</t>
  </si>
  <si>
    <t>Wasser &amp; Abwasser</t>
  </si>
  <si>
    <t xml:space="preserve">Gesamtemissionen </t>
  </si>
  <si>
    <r>
      <rPr>
        <b/>
        <sz val="10"/>
        <color theme="1"/>
        <rFont val="Arial"/>
        <family val="2"/>
      </rPr>
      <t xml:space="preserve">Erläuterung: </t>
    </r>
    <r>
      <rPr>
        <sz val="10"/>
        <color theme="1"/>
        <rFont val="Arial"/>
        <family val="2"/>
      </rPr>
      <t>In diesem Blatt werden die zentralen Quellen zur Herleitung der Default Werte für Preisannahmen und Wirtschaftlichkeitsberechnungen aufgeführt.</t>
    </r>
  </si>
  <si>
    <t>Heizwert 9,8 kWh / Liter</t>
  </si>
  <si>
    <r>
      <t>t CO</t>
    </r>
    <r>
      <rPr>
        <b/>
        <vertAlign val="subscript"/>
        <sz val="10"/>
        <rFont val="Arial"/>
        <family val="2"/>
      </rPr>
      <t>2</t>
    </r>
    <r>
      <rPr>
        <b/>
        <sz val="10"/>
        <rFont val="Arial"/>
        <family val="2"/>
      </rPr>
      <t>e</t>
    </r>
  </si>
  <si>
    <r>
      <t>t CO</t>
    </r>
    <r>
      <rPr>
        <vertAlign val="subscript"/>
        <sz val="10"/>
        <rFont val="Arial"/>
        <family val="2"/>
      </rPr>
      <t>2</t>
    </r>
    <r>
      <rPr>
        <sz val="10"/>
        <rFont val="Arial"/>
        <family val="2"/>
      </rPr>
      <t>e</t>
    </r>
  </si>
  <si>
    <t>Jährliche Kosten</t>
  </si>
  <si>
    <r>
      <t>CO</t>
    </r>
    <r>
      <rPr>
        <vertAlign val="subscript"/>
        <sz val="10"/>
        <rFont val="Arial"/>
        <family val="2"/>
      </rPr>
      <t>2</t>
    </r>
    <r>
      <rPr>
        <sz val="10"/>
        <rFont val="Arial"/>
        <family val="2"/>
      </rPr>
      <t xml:space="preserve"> Kosten Scope 1</t>
    </r>
  </si>
  <si>
    <r>
      <t>CO</t>
    </r>
    <r>
      <rPr>
        <vertAlign val="subscript"/>
        <sz val="10"/>
        <rFont val="Arial"/>
        <family val="2"/>
      </rPr>
      <t>2</t>
    </r>
    <r>
      <rPr>
        <sz val="10"/>
        <rFont val="Arial"/>
        <family val="2"/>
      </rPr>
      <t xml:space="preserve"> Kosten Scope 2</t>
    </r>
  </si>
  <si>
    <r>
      <t>CO</t>
    </r>
    <r>
      <rPr>
        <vertAlign val="subscript"/>
        <sz val="10"/>
        <rFont val="Arial"/>
        <family val="2"/>
      </rPr>
      <t>2</t>
    </r>
    <r>
      <rPr>
        <sz val="10"/>
        <rFont val="Arial"/>
        <family val="2"/>
      </rPr>
      <t xml:space="preserve"> Kosten Scope 3</t>
    </r>
  </si>
  <si>
    <r>
      <t xml:space="preserve">Wasser </t>
    </r>
    <r>
      <rPr>
        <b/>
        <vertAlign val="superscript"/>
        <sz val="10"/>
        <color theme="1"/>
        <rFont val="Arial"/>
        <family val="2"/>
      </rPr>
      <t>1)</t>
    </r>
  </si>
  <si>
    <t>Eingaben und Ergebnisse zu Maßnahme 1</t>
  </si>
  <si>
    <t>Maßnahme 1: Verminderung oder Vermeiden von Brennstoffeinsatz für die Härtekammern</t>
  </si>
  <si>
    <t>Berechnungsfaktor</t>
  </si>
  <si>
    <r>
      <t>t CO</t>
    </r>
    <r>
      <rPr>
        <vertAlign val="subscript"/>
        <sz val="10"/>
        <color theme="1"/>
        <rFont val="Arial"/>
        <family val="2"/>
      </rPr>
      <t>2</t>
    </r>
    <r>
      <rPr>
        <sz val="10"/>
        <color theme="1"/>
        <rFont val="Arial"/>
        <family val="2"/>
      </rPr>
      <t>e/t</t>
    </r>
    <r>
      <rPr>
        <vertAlign val="subscript"/>
        <sz val="10"/>
        <color theme="1"/>
        <rFont val="Arial"/>
        <family val="2"/>
      </rPr>
      <t>Produkt</t>
    </r>
  </si>
  <si>
    <t>Gesamtemissionen pro Tonne Produkt</t>
  </si>
  <si>
    <r>
      <t>t CO</t>
    </r>
    <r>
      <rPr>
        <b/>
        <vertAlign val="subscript"/>
        <sz val="10"/>
        <color theme="1"/>
        <rFont val="Arial"/>
        <family val="2"/>
      </rPr>
      <t>2</t>
    </r>
    <r>
      <rPr>
        <b/>
        <sz val="10"/>
        <color theme="1"/>
        <rFont val="Arial"/>
        <family val="2"/>
      </rPr>
      <t>e/t</t>
    </r>
    <r>
      <rPr>
        <b/>
        <vertAlign val="subscript"/>
        <sz val="10"/>
        <color theme="1"/>
        <rFont val="Arial"/>
        <family val="2"/>
      </rPr>
      <t>Produkt</t>
    </r>
  </si>
  <si>
    <r>
      <t>Summe ohne CO</t>
    </r>
    <r>
      <rPr>
        <vertAlign val="subscript"/>
        <sz val="10"/>
        <color theme="1"/>
        <rFont val="Arial"/>
        <family val="2"/>
      </rPr>
      <t>2</t>
    </r>
    <r>
      <rPr>
        <sz val="10"/>
        <color theme="1"/>
        <rFont val="Arial"/>
        <family val="2"/>
      </rPr>
      <t>-Kosten Scope 3</t>
    </r>
  </si>
  <si>
    <t>Eingaben und Ergebnisse zu Maßnahme 2</t>
  </si>
  <si>
    <t>Ergebnisse Maßnahme 2</t>
  </si>
  <si>
    <t>Investitionskosten je Stapler</t>
  </si>
  <si>
    <t>Prozentualer Bedarf Strom (ggü. Bedarf Diesel) je Stapler</t>
  </si>
  <si>
    <r>
      <rPr>
        <vertAlign val="superscript"/>
        <sz val="9"/>
        <color theme="1" tint="0.249977111117893"/>
        <rFont val="Arial"/>
        <family val="2"/>
      </rPr>
      <t>2)</t>
    </r>
    <r>
      <rPr>
        <sz val="9"/>
        <color theme="1" tint="0.249977111117893"/>
        <rFont val="Arial"/>
        <family val="2"/>
      </rPr>
      <t xml:space="preserve"> Z. B. für zusätzlichen Brandschutz, etc.</t>
    </r>
  </si>
  <si>
    <t>Dieselberaf je Stapler</t>
  </si>
  <si>
    <t>Liter/Stapler</t>
  </si>
  <si>
    <t>Strombedarf je Stapler</t>
  </si>
  <si>
    <t>kWh/Stapler</t>
  </si>
  <si>
    <t>Heizwert Diesel</t>
  </si>
  <si>
    <t>Prozentuale Reduktion der Energieträger für die Härtekammer (ggü. Referenzjahr)</t>
  </si>
  <si>
    <t>Investitionskosten im Jahr 2025 bzw. 2030</t>
  </si>
  <si>
    <t>Hilfsrechnung Investition</t>
  </si>
  <si>
    <r>
      <t xml:space="preserve">Zusätzliche jährl. Kosten </t>
    </r>
    <r>
      <rPr>
        <b/>
        <vertAlign val="superscript"/>
        <sz val="10"/>
        <color theme="1"/>
        <rFont val="Arial"/>
        <family val="2"/>
      </rPr>
      <t>1)</t>
    </r>
  </si>
  <si>
    <t>Eingaben und Ergebnisse zu Maßnahme 3</t>
  </si>
  <si>
    <t>Ergebnisse Maßnahme 3</t>
  </si>
  <si>
    <t>Dieselbedarf neuer Stapler</t>
  </si>
  <si>
    <t>Prozentuale Reduktion Dieselbedarf je Stapler</t>
  </si>
  <si>
    <t>Lieter</t>
  </si>
  <si>
    <t>Eingaben und Ergebnisse zu Maßnahme 4</t>
  </si>
  <si>
    <t>Ergebnisse Maßnahme 4</t>
  </si>
  <si>
    <t>Grünstrommix</t>
  </si>
  <si>
    <t>Die zusätzlichen Kosten werden über den Grünstrompreis im Reiter "Eingabe Preise" definiert.</t>
  </si>
  <si>
    <t>EF</t>
  </si>
  <si>
    <t>Grünstrom Auswahl</t>
  </si>
  <si>
    <t>Eingaben und Ergebnisse zu Maßnahme 5</t>
  </si>
  <si>
    <t>Ergebnisse Maßnahme 5</t>
  </si>
  <si>
    <t>Strommenge Härtekammer</t>
  </si>
  <si>
    <t>Strommenge restliche Werk</t>
  </si>
  <si>
    <t>Strommenge PV-Anlage</t>
  </si>
  <si>
    <t>Dtl. Mix</t>
  </si>
  <si>
    <t>kWh/a</t>
  </si>
  <si>
    <t>Eingaben und Ergebnisse zu Maßnahme 6</t>
  </si>
  <si>
    <t>Prozentuale Reduktion der Energieträger (ausgenommen Härtekammer) (ggü. Referenzjahr)</t>
  </si>
  <si>
    <t>Effizienz</t>
  </si>
  <si>
    <t>Auswahl Energieträger (ohne Härtekammern)</t>
  </si>
  <si>
    <t>Eingaben und Ergebnisse zu Maßnahme 7</t>
  </si>
  <si>
    <t>Ergebnisse Maßnahme 7</t>
  </si>
  <si>
    <t>CEM I</t>
  </si>
  <si>
    <t>CEM II</t>
  </si>
  <si>
    <t>Scope 3 Emissionen</t>
  </si>
  <si>
    <t>Aufteilung der Scope 1 und Scope 2 Emissionen</t>
  </si>
  <si>
    <t>Emissionen Scope 3</t>
  </si>
  <si>
    <t>Berechnungsfaktoren</t>
  </si>
  <si>
    <t>Maßnahme 3: Ersatz von Dieselstapler durch Dieselstapler mit besserer Effizienz</t>
  </si>
  <si>
    <t>Ersatzstoff 1</t>
  </si>
  <si>
    <t>Ersatzstoff 2</t>
  </si>
  <si>
    <t>Emissionsfaktor (Scope 3)  Ersatzsstoff 1</t>
  </si>
  <si>
    <t>Emissionsfaktor (Scope 3)  Ersatzsstoff 2</t>
  </si>
  <si>
    <t>Zusätzliche Ersatzstoffe</t>
  </si>
  <si>
    <t>Maßnahme 2: Umstellung Dieselstapler auf Elektroantrieb</t>
  </si>
  <si>
    <t>Anzahl Dieselstapler im Werk</t>
  </si>
  <si>
    <t>Umstellung Anzahl Dieselstapler</t>
  </si>
  <si>
    <t>Name Werk</t>
  </si>
  <si>
    <t>Datum</t>
  </si>
  <si>
    <t>Name Mitarbeiter</t>
  </si>
  <si>
    <t>Weiterer Ersatzsstoff 1</t>
  </si>
  <si>
    <t>Weiterer Ersatzstoff 2</t>
  </si>
  <si>
    <t>Kommentarfeld</t>
  </si>
  <si>
    <t>Eingaben und Ergebnisse zu Maßnahme 8</t>
  </si>
  <si>
    <t>Maßnahme 8: Rezepturänderung - Einsatz von Sorten mit geringeren Emissionsfaktoren (über allgemeine Marktentwicklung hinausgehend)</t>
  </si>
  <si>
    <t>Reduzierung Emissionsfaktor (ggü. Referenzjahr) folgender Stoffe:</t>
  </si>
  <si>
    <t>Eingaben und Ergebnisse zu Maßnahme 9</t>
  </si>
  <si>
    <t>Ergebnisse Maßnahme 9</t>
  </si>
  <si>
    <t>Ergebnisse Maßnahme 8</t>
  </si>
  <si>
    <t>Eingabe der Preisannahmen</t>
  </si>
  <si>
    <t>Preisannahmen Default Werte</t>
  </si>
  <si>
    <t>Bischoff &amp; Ditze (2020)</t>
  </si>
  <si>
    <r>
      <t>€/tCO</t>
    </r>
    <r>
      <rPr>
        <vertAlign val="subscript"/>
        <sz val="10"/>
        <rFont val="Arial"/>
        <family val="2"/>
      </rPr>
      <t>2</t>
    </r>
  </si>
  <si>
    <r>
      <t>€/tCO</t>
    </r>
    <r>
      <rPr>
        <b/>
        <vertAlign val="subscript"/>
        <sz val="10"/>
        <rFont val="Arial"/>
        <family val="2"/>
      </rPr>
      <t>2</t>
    </r>
  </si>
  <si>
    <t>EUA Futures DEC 2020; 01.01.2020 bis 14.12.2020</t>
  </si>
  <si>
    <t>EUA Futures DEC 2021; 01.01.2021 bis 20.12.2021</t>
  </si>
  <si>
    <t>EUA Futures DEC 2022; 01.01.2022 bis 07.11.2022</t>
  </si>
  <si>
    <t>https://www.rheingas.de/fluessiggas/gastank/preisentwicklung</t>
  </si>
  <si>
    <t>Erdgaspreise für Haushalte Durchschnitt 2020</t>
  </si>
  <si>
    <r>
      <t>Strompreis für Nicht-Haushalte Durchschnitt 2020; Beschaffungskosten bereinigt um den CO</t>
    </r>
    <r>
      <rPr>
        <vertAlign val="subscript"/>
        <sz val="10"/>
        <color theme="1"/>
        <rFont val="Arial"/>
        <family val="2"/>
      </rPr>
      <t>2</t>
    </r>
    <r>
      <rPr>
        <sz val="10"/>
        <color theme="1"/>
        <rFont val="Arial"/>
        <family val="2"/>
      </rPr>
      <t>-Anteil im Strompreis 
(Annahme: preissetzendes Grenzkraftwerk: Steinkohle)</t>
    </r>
  </si>
  <si>
    <t>ICE (2020)</t>
  </si>
  <si>
    <t>ICE (2021)</t>
  </si>
  <si>
    <t>ICE (2022)</t>
  </si>
  <si>
    <t>t/1000l</t>
  </si>
  <si>
    <t xml:space="preserve"> GJ/t</t>
  </si>
  <si>
    <t>Dichte Diesel</t>
  </si>
  <si>
    <t>Hier nur Eintragungen vornehmen, falls bereits im Referenzfall eine weitere Zementsorte relevant ist (siehe Reiter Referenzwerk). Neue in Zukunft zum Einsatz kommende Zementsorten bitte bei Ersatzstoffe eintragen.</t>
  </si>
  <si>
    <t>1)</t>
  </si>
  <si>
    <t>2)</t>
  </si>
  <si>
    <t>3)</t>
  </si>
  <si>
    <t>4)</t>
  </si>
  <si>
    <t>5)</t>
  </si>
  <si>
    <t>Ersatzstoffe sind die Stoffe, die zusätzlich eingesetzt werden, um den Zementeinsatz (gemäß Referenz 2020) reduzieren zu können. Dies können zum Beispiel Zusatzstoffe, Zusatzmittel, Bindemittel oder auch andere Zementsorten sein.</t>
  </si>
  <si>
    <t xml:space="preserve">Z. B. Mehrkosten bei Wartung, Instandhaltung, Personal, etc. </t>
  </si>
  <si>
    <t>Z. B. für zusätzlichen Brandschutz, etc.</t>
  </si>
  <si>
    <t>Hier ist kein Default Wert hinterlegt. Investitionen sind abhängig von Maßnahmen und Unternehmen (z. B. Mischtechnologie und Silokapazitäten) und können nicht vordefiniert werden.</t>
  </si>
  <si>
    <r>
      <t>tCO</t>
    </r>
    <r>
      <rPr>
        <vertAlign val="subscript"/>
        <sz val="10"/>
        <color theme="1"/>
        <rFont val="Arial"/>
        <family val="2"/>
      </rPr>
      <t>2</t>
    </r>
    <r>
      <rPr>
        <sz val="10"/>
        <color theme="1"/>
        <rFont val="Arial"/>
        <family val="2"/>
      </rPr>
      <t>e/t</t>
    </r>
    <r>
      <rPr>
        <vertAlign val="subscript"/>
        <sz val="10"/>
        <color theme="1"/>
        <rFont val="Arial"/>
        <family val="2"/>
      </rPr>
      <t>Ersatzstoff</t>
    </r>
  </si>
  <si>
    <r>
      <t>CO</t>
    </r>
    <r>
      <rPr>
        <b/>
        <vertAlign val="subscript"/>
        <sz val="10"/>
        <color theme="1"/>
        <rFont val="Arial"/>
        <family val="2"/>
      </rPr>
      <t>2</t>
    </r>
    <r>
      <rPr>
        <b/>
        <sz val="10"/>
        <color theme="1"/>
        <rFont val="Arial"/>
        <family val="2"/>
      </rPr>
      <t>-Kosten</t>
    </r>
  </si>
  <si>
    <r>
      <rPr>
        <b/>
        <sz val="10"/>
        <color theme="1"/>
        <rFont val="Arial"/>
        <family val="2"/>
      </rPr>
      <t xml:space="preserve">Erläuterung: </t>
    </r>
    <r>
      <rPr>
        <sz val="10"/>
        <color theme="1"/>
        <rFont val="Arial"/>
        <family val="2"/>
      </rPr>
      <t>In diesem Blatt werden die Default Werte für Preisannahmen aufgeführt. Die hinterlegten Default Werte zu den Preisen können durch Handeingaben angepasst werden. Dies ist für die drei betrachteten Jahre 2020, 2025 und 2030 unterschiedlich möglich. 
Zudem wird der CO</t>
    </r>
    <r>
      <rPr>
        <vertAlign val="subscript"/>
        <sz val="10"/>
        <color theme="1"/>
        <rFont val="Arial"/>
        <family val="2"/>
      </rPr>
      <t>2</t>
    </r>
    <r>
      <rPr>
        <sz val="10"/>
        <color theme="1"/>
        <rFont val="Arial"/>
        <family val="2"/>
      </rPr>
      <t>-Preis je Scope dargestellt, da der CO</t>
    </r>
    <r>
      <rPr>
        <vertAlign val="subscript"/>
        <sz val="10"/>
        <color theme="1"/>
        <rFont val="Arial"/>
        <family val="2"/>
      </rPr>
      <t>2</t>
    </r>
    <r>
      <rPr>
        <sz val="10"/>
        <color theme="1"/>
        <rFont val="Arial"/>
        <family val="2"/>
      </rPr>
      <t>-Preis durch unterschiedliche Systeme geprägt sein kann (z. B. der Erdgaspreis im Werk in Scope 1 durch das nationale Emissionshandelssystem (nEHS) und die Scope 2 Emissionen Strombezug aus dem Europäischen Emissionshandel (EU ETS)).</t>
    </r>
  </si>
  <si>
    <t>Default Wert</t>
  </si>
  <si>
    <t>Erläuterungen:</t>
  </si>
  <si>
    <r>
      <rPr>
        <b/>
        <sz val="10.5"/>
        <color theme="1"/>
        <rFont val="Arial"/>
        <family val="2"/>
        <scheme val="minor"/>
      </rPr>
      <t>Erläuterungen:</t>
    </r>
    <r>
      <rPr>
        <sz val="10.5"/>
        <color theme="1"/>
        <rFont val="Arial"/>
        <family val="2"/>
        <scheme val="minor"/>
      </rPr>
      <t xml:space="preserve"> </t>
    </r>
  </si>
  <si>
    <t>Maßnahme 5: Produktion von eigenem regenerativen Strom, speziell Photovoltaik</t>
  </si>
  <si>
    <t>Maßnahme 6: Generell Energieeinsparmaßnahmen ohne Einfluss auf die Härtekammern</t>
  </si>
  <si>
    <r>
      <t>tCO</t>
    </r>
    <r>
      <rPr>
        <vertAlign val="subscript"/>
        <sz val="10"/>
        <color theme="1"/>
        <rFont val="Arial"/>
        <family val="2"/>
      </rPr>
      <t>2</t>
    </r>
    <r>
      <rPr>
        <sz val="10"/>
        <color theme="1"/>
        <rFont val="Arial"/>
        <family val="2"/>
      </rPr>
      <t>e/t</t>
    </r>
    <r>
      <rPr>
        <vertAlign val="subscript"/>
        <sz val="10"/>
        <color theme="1"/>
        <rFont val="Arial"/>
        <family val="2"/>
      </rPr>
      <t>Recyc.</t>
    </r>
  </si>
  <si>
    <t>Menge Recyclingmaterial</t>
  </si>
  <si>
    <t>Ersatzstoffe &amp; Recyclingmaterial</t>
  </si>
  <si>
    <t>Recyclingmaterial</t>
  </si>
  <si>
    <t>Menge Recyclingmaterial wird berechnet anhand "Anteiliger Einsatz"</t>
  </si>
  <si>
    <t>6)</t>
  </si>
  <si>
    <t>Weblink (Stand 18.10.2022)</t>
  </si>
  <si>
    <t>https://www-genesis.destatis.de/genesis/online?operation=abruftabelleBearbeiten&amp;levelindex=1&amp;levelid=1662640912503&amp;auswahloperation=abruftabelleAuspraegungAuswaehlen&amp;auswahlverzeichnis=ordnungsstruktur&amp;auswahlziel=werteabruf&amp;code=61243-0011&amp;auswahltext=&amp;werteabruf=starten#abreadcrumb</t>
  </si>
  <si>
    <t>https://de.statista.com/statistik/daten/studie/1692/umfrage/preis-fuer-einen-liter-leichtes-heizoel-monatsdurchschnittswerte/#professional</t>
  </si>
  <si>
    <t xml:space="preserve">Statista (2022): Durchschnittlicher Preis für leichtes Heizöl in Deutschland in den Monaten Januar 2020 bis November 2022 </t>
  </si>
  <si>
    <t>https://www-genesis.destatis.de/genesis/online?operation=abruftabelleBearbeiten&amp;levelindex=1&amp;levelid=1662640498524&amp;auswahloperation=abruftabelleAuspraegungAuswaehlen&amp;auswahlverzeichnis=ordnungsstruktur&amp;auswahlziel=werteabruf&amp;code=61243-0006&amp;auswahltext=&amp;werteabruf=starten#abreadcrumb</t>
  </si>
  <si>
    <t>Bischoff &amp; Ditze (2020): Handel von Herkunftsnachweisen, S. 14</t>
  </si>
  <si>
    <t>Rheingas (2022): Durchschnitt 2020 der Miettank Kunden Rheingas</t>
  </si>
  <si>
    <t>https://www.rheingas.de/fluessiggas/gastank/der-energietraeger-fluessiggas/umrechner</t>
  </si>
  <si>
    <t>Rheingas (2022): Umrechnung Flüssiggas - Die Umrechnung von Flüssiggas in verschiedene Einheiten</t>
  </si>
  <si>
    <r>
      <t xml:space="preserve">Umrechnungsfaktor: 7,111 l/kWh </t>
    </r>
    <r>
      <rPr>
        <sz val="10"/>
        <color theme="0" tint="-0.499984740745262"/>
        <rFont val="Arial"/>
        <family val="2"/>
        <scheme val="minor"/>
      </rPr>
      <t>(Quelle: Rheingas 2022 b)</t>
    </r>
  </si>
  <si>
    <t>Aufpreis von 2,50 €/MWh für die Herkunftsnachweise (Grünstrom)</t>
  </si>
  <si>
    <t>Statista (2022): Durchschnittlicher Preis für Dieselkraftstoff in Deutschland in den Jahren 1950 bis 2022</t>
  </si>
  <si>
    <t>https://de.statista.com/statistik/daten/studie/779/umfrage/durchschnittspreis-fuer-dieselkraftstoff-seit-dem-jahr-1950/</t>
  </si>
  <si>
    <t>Statistische Bundesamt (2022 a): GENESIS-Online: Erdgaspreise für Haushalte 2020</t>
  </si>
  <si>
    <t>Statistische Bundesamt (2022 b): GENESIS-Online: Strompreis für Nicht-Haushalte Durchschnitt 2020</t>
  </si>
  <si>
    <t>Statistisches Bundesamt (2022 a)</t>
  </si>
  <si>
    <t>Statistisches Bundesamt (2022 b)</t>
  </si>
  <si>
    <t>Statista (2022 a)</t>
  </si>
  <si>
    <t>Statista (2022 b)</t>
  </si>
  <si>
    <t>Rheingas (2022 a)</t>
  </si>
  <si>
    <t>Rheingas (2022 b)</t>
  </si>
  <si>
    <t>Intercontinental Exchange, Inc. (2020): EUA Futures DEC 2020; 01.01.2020 bis 14.12.2020</t>
  </si>
  <si>
    <t>Intercontinental Exchange, Inc. (2021): EUA Futures DEC 2021; 01.01.2021 bis 20.12.2021</t>
  </si>
  <si>
    <t>Intercontinental Exchange, Inc. (2022): EUA Futures DEC 2022; 01.01.2022 bis 07.11.2022</t>
  </si>
  <si>
    <t>https://www.theice.com/products/197/EUA-Futures/data?marketId=7182641</t>
  </si>
  <si>
    <t>BEHG</t>
  </si>
  <si>
    <t>Vogl, V., Åhman, M., Nilsson, L. J. (2018). Assessment of hydrogen direct reduction for fossil-free steelmaking. Journal of Cleaner Production, Vol. 203, pp. 736-745.</t>
  </si>
  <si>
    <t>https://reader.elsevier.com/reader/sd/pii/S0959652618326301?token=141CBDF6F88338E77A3D37AB4B08B4BBBBDD032E4E72E31BB7DB4EB5F3C4AC2DA5F87F2DC7E28FABE2C99C649C1A4806</t>
  </si>
  <si>
    <t>Zweites Gesetz zur Änderung des Brennstoffemissionshandelsgesetzes - Vom 9. November 2022</t>
  </si>
  <si>
    <t>https://www.gov.uk/government/collections/government-conversion-factors-for-company-reporting</t>
  </si>
  <si>
    <t>https://iinas.org/downloads/gemis-downloads/</t>
  </si>
  <si>
    <t>https://www.umweltbundesamt.de/publikationen/entwicklung-der-spezifischen-kohlendioxid-8</t>
  </si>
  <si>
    <t>EPD-VDZ-20220153-IAG1-DE</t>
  </si>
  <si>
    <t>EPD-VDZ-20210336-IAG1-DE</t>
  </si>
  <si>
    <t>Verein Deutscher Zementwerke e.V., Umweltprodukt-Deklaration, EPD-VDZ-20220153-IAG1-DE, 08.06.2022</t>
  </si>
  <si>
    <t>https://www.vdz-online.de/fileadmin/wissensportal/publikationen/umweltschutz/Portlandzement_CEM_I.pdf</t>
  </si>
  <si>
    <t>Verein Deutscher Zementwerke e.V., Umweltprodukt-Deklaration, EPD-VDZ-20210336-IAG1-DE, 25.05.2022</t>
  </si>
  <si>
    <t>https://www.vdz-online.de/fileadmin/wissensportal/publikationen/umweltschutz/Durchschnittlicher_Zement_D.pdf</t>
  </si>
  <si>
    <t>https://www.bafa.de/SharedDocs/Downloads/DE/Energie/eew_infoblatt_co2_faktoren_2021.pdf;jsessionid=B9BD68A926560CFF69991AF149A45574.1_cid381?__blob=publicationFile&amp;v=9</t>
  </si>
  <si>
    <t>https://eurocolour.org/media/eurocolour_flyer_carbon_footprint_05.2022.pdf</t>
  </si>
  <si>
    <t>https://ecoinvent.org/the-ecoinvent-database/</t>
  </si>
  <si>
    <t>https://www.probas.umweltbundesamt.de/php/prozessdetails.php?id=%7B0E0B2C9A-9043-11D3-B2C8-0080C8941B49%7D</t>
  </si>
  <si>
    <t>https://muster-epd.deutsche-bauchemie.de/fileadmin/user_upload/EFCA-model-EPD_plasticisers_superplasticisers_final_2026-12-15.pdf</t>
  </si>
  <si>
    <t>https://muster-epd.deutsche-bauchemie.de/fileadmin/user_upload/EFCA-model-EPD_air_entrainers_final_2026-12-15.pdf</t>
  </si>
  <si>
    <t>https://muster-epd.deutsche-bauchemie.de/fileadmin/user_upload/EFCA-model-EPD_retarders_final_2026-12-15.pdf</t>
  </si>
  <si>
    <t>https://muster-epd.deutsche-bauchemie.de/fileadmin/user_upload/EFCA-model-EPD_water-resisting_admixtures_final_2026-12-15.pdf</t>
  </si>
  <si>
    <t>Institut Bauen und Umwelt e.V. (IBU), Umweltprodukt-Deklaration, EPD-EFC-20210198-IBG1-EN, 16.12.2021</t>
  </si>
  <si>
    <t>Institut Bauen und Umwelt e. V. - EPD</t>
  </si>
  <si>
    <t>https://www.agora-energiewende.de/veroeffentlichungen/transformationskostenrechner-power-2-heat/</t>
  </si>
  <si>
    <t>DEHSt (2022)</t>
  </si>
  <si>
    <t>GEMIS 5.0</t>
  </si>
  <si>
    <t>UBA (2022)</t>
  </si>
  <si>
    <t>NettoWerte</t>
  </si>
  <si>
    <t>DEFRA (2021 a)</t>
  </si>
  <si>
    <t>DEFRA (2021 b)</t>
  </si>
  <si>
    <t>DEFRA (2021 c)</t>
  </si>
  <si>
    <t>DEFRA (2021 d)</t>
  </si>
  <si>
    <t>DEFRA (2021 e)</t>
  </si>
  <si>
    <t>GEMIS (2019)</t>
  </si>
  <si>
    <t>ProBas (2022 a)</t>
  </si>
  <si>
    <t>ProBas (2022 b)</t>
  </si>
  <si>
    <t>ProBas (2022 c)</t>
  </si>
  <si>
    <t>Eurocolour (2022)</t>
  </si>
  <si>
    <t>BAFA (2021 b)</t>
  </si>
  <si>
    <t>BAFA (2021 a)</t>
  </si>
  <si>
    <t>FutureCamp (2022)</t>
  </si>
  <si>
    <r>
      <rPr>
        <vertAlign val="superscript"/>
        <sz val="10"/>
        <color theme="1"/>
        <rFont val="Arial"/>
        <family val="2"/>
      </rPr>
      <t>1)</t>
    </r>
    <r>
      <rPr>
        <sz val="10"/>
        <color theme="1"/>
        <rFont val="Arial"/>
        <family val="2"/>
      </rPr>
      <t xml:space="preserve"> Emissionsfaktoren sind Nettowertangaben.</t>
    </r>
  </si>
  <si>
    <r>
      <rPr>
        <vertAlign val="superscript"/>
        <sz val="10"/>
        <color theme="1"/>
        <rFont val="Arial"/>
        <family val="2"/>
      </rPr>
      <t>2)</t>
    </r>
    <r>
      <rPr>
        <sz val="10"/>
        <color theme="1"/>
        <rFont val="Arial"/>
        <family val="2"/>
      </rPr>
      <t xml:space="preserve"> Im Musterwerk wird von Eigengewinnung ausgegangen, somit sind die Emissionen bereits beim Strom enthalten.</t>
    </r>
  </si>
  <si>
    <t>Ecoinvent (2022 b)</t>
  </si>
  <si>
    <t>Agora (2022)</t>
  </si>
  <si>
    <t>Agora Industrie, FutureCamp, Wuppertal Institut (2022): Power-2-Heat: Direkte Elektrifizierung von industrieller Prozesswärme - Rechner für die Abschätzung der Transformationskosten Modellversion 1.0, Berlin, 05.07.22</t>
  </si>
  <si>
    <t>Bundesamt für Wirtschaft und Ausfuhrkontrolle (BAFA); Informationsblatt CO2-Faktoren, Datum des Inkrafttreten 01.11.2021; Kies (Baukies) analog Sand (Bausand)</t>
  </si>
  <si>
    <t>Bundesamt für Wirtschaft und Ausfuhrkontrolle (BAFA); Informationsblatt CO2-Faktoren, Datum des Inkrafttreten 01.11.2021; Quarzsand</t>
  </si>
  <si>
    <t xml:space="preserve">Department for Environment, Food and Rural Affairs (Britische Regierung): Fuels, Gaseous Fuels,  Natural Gas, GCV (Gross calorific value) </t>
  </si>
  <si>
    <t xml:space="preserve">Department for Environment, Food and Rural Affairs (Britische Regierung): WTT Fuels, Gaseous Fuels,  Natural Gas, GCV (Gross calorific value) </t>
  </si>
  <si>
    <t>Department for Environment, Food and Rural Affairs (Britische Regierung): Fuels, Gaseous Fuels,  LPG, NCV (Net calorific value)</t>
  </si>
  <si>
    <t>Department for Environment, Food and Rural Affairs (Britische Regierung): WTT Fuels, Gaseous Fuels,  LPG, NCV (Net calorific value)</t>
  </si>
  <si>
    <t>Department for Environment, Food and Rural Affairs (Britische Regierung): Water treatment, cubic metres</t>
  </si>
  <si>
    <t>Deutsche Emissionshandelsstelle (DEHSt) im Umweltbundesamt (2022): Leitfaden zur Erstellung von Überwachungsplänen und Emissionsberichten für stationäre Anlagen - 4. Handelsperiode (2021–2030) des europäischen Emissionshandels</t>
  </si>
  <si>
    <t>https://www.dehst.de/SharedDocs/downloads/DE/stationaere_anlagen/2021-2030/Ueberwachungsplan-Emissionsbericht_Leitfaden.pdf?__blob=publicationFile&amp;v=2</t>
  </si>
  <si>
    <t>Ecoinvent 3.8: market for acrylic varnish, without water, in 87.5% solution state</t>
  </si>
  <si>
    <t>EPD Deutsche Bauchemie (2021)</t>
  </si>
  <si>
    <t>EPD-VDZ-20210336-IAG1-DE (2022)</t>
  </si>
  <si>
    <t>EPD-VDZ-20220153-IAG1-DE (2022)</t>
  </si>
  <si>
    <t xml:space="preserve">FutureCamp Climate GmbH (2022): Eigene Herleitung/Berechnung gemäß GHG PK-Vorgaben aus 
1) AGEB: Stromerzeugung nach Energieträgern 1990 - 2021 (Stand Dezember 2021); 
2) BDEW: Bruttostromerzeugung nach Energieträgern in D (Stand Nov 2021) 
3) AGEE, Sept 2021: Zeitreihen zur Entwicklung der erneuerbaren Energien in Deutschland; Excel, S. 6 Tabelle 3; 
4) GEMIS 5.0, aktualisierte Daten Feb. 2021, El-mix-DE-2020; 
5) UBA , Mai 2021: Entwicklung der spezifischen Kohlendioxidemissionen des deutschen Strommix 1990 - 2020, Tabelle 1, S. 10 sowie S. 16, Tab. 3 </t>
  </si>
  <si>
    <t xml:space="preserve">GEMIS von Internationale Institut für Nachhaltigkeitsanalysen und – strategien (IINAS): GEMIS 5.0, Diesel-Mix-DE-2020 (inkl. Biokraftstoffe); Umrechnung Einheiten gemäß Bundesamt für Wirtschaft und Ausfuhrkontrolle, Nov. 2019: Merkblatt zur Ermittlung des Gesamtenergieverbrauchs, Tab. S. 6 </t>
  </si>
  <si>
    <t>Probas (2022 a)</t>
  </si>
  <si>
    <t>Umweltbundesamt &amp; Internationale Institut für Nachhaltigkeitsanalysen und -strategien (IINAS) - "Prozessorientierte Basisdaten für Umweltmanagement-Instrumente (ProBas)":  Steine-ErdenCaCO3-Mehl-DE-2000</t>
  </si>
  <si>
    <t>Probas (2022 b)</t>
  </si>
  <si>
    <t>Umweltbundesamt &amp; Internationale Institut für Nachhaltigkeitsanalysen und -strategien (IINAS) - "Prozessorientierte Basisdaten für Umweltmanagement-Instrumente (ProBas)": MetallStahl-mix-DE-2020</t>
  </si>
  <si>
    <t>Probas (2022 c)</t>
  </si>
  <si>
    <t>Umweltbundesamt &amp; Internationale Institut für Nachhaltigkeitsanalysen und -strategien (IINAS) - "Prozessorientierte Basisdaten für Umweltmanagement-Instrumente (ProBas)": Papier-PappeKraftpapier</t>
  </si>
  <si>
    <t>Umweltbundesamt (2022): Entwicklung der spezifischen Treibhausgas-Emissionen des deutschen Strommix in den Jahren 1990 - 2021; Climate Change - 15/2022</t>
  </si>
  <si>
    <t xml:space="preserve">Zitierempfehlung: </t>
  </si>
  <si>
    <t xml:space="preserve">Wege zur klimaneutralen Betonsteinherstellung - Vermeidungskostenrechner </t>
  </si>
  <si>
    <r>
      <rPr>
        <vertAlign val="superscript"/>
        <sz val="10"/>
        <color theme="1"/>
        <rFont val="Arial"/>
        <family val="2"/>
      </rPr>
      <t>1)</t>
    </r>
    <r>
      <rPr>
        <sz val="10"/>
        <color theme="1"/>
        <rFont val="Arial"/>
        <family val="2"/>
      </rPr>
      <t xml:space="preserve"> Die Emissionsfaktoren werden in Nettoangaben vorgenommen.</t>
    </r>
  </si>
  <si>
    <r>
      <rPr>
        <vertAlign val="superscript"/>
        <sz val="10"/>
        <color theme="1"/>
        <rFont val="Arial"/>
        <family val="2"/>
      </rPr>
      <t>1)</t>
    </r>
    <r>
      <rPr>
        <sz val="10"/>
        <color theme="1"/>
        <rFont val="Arial"/>
        <family val="2"/>
      </rPr>
      <t xml:space="preserve"> Der Verbrauch der Elektrostapler ist nicht gesondert ausgewiesen. Der Verbrauch ist in „Elektrische Energie“ des Musterwerks enthalten.</t>
    </r>
  </si>
  <si>
    <t xml:space="preserve">Kontrolle Bestandteile </t>
  </si>
  <si>
    <t>Kontrolle Zusatzmittel</t>
  </si>
  <si>
    <t>Institut Bauen und Umwelt e.V. (IBU), Umweltprodukt-Deklaration, EPD-EFC-20210193-IBG1-EN, 16.12.2021</t>
  </si>
  <si>
    <t>Institut Bauen und Umwelt e.V. (IBU), Umweltprodukt-Deklaration, EPD-EFC-20210195-IBG1-EN, 16.12.2021</t>
  </si>
  <si>
    <t>Institut Bauen und Umwelt e.V. (IBU), Umweltprodukt-Deklaration, EPD-EFC-20210197-IBG1-EN, 16.12.2021</t>
  </si>
  <si>
    <r>
      <rPr>
        <b/>
        <u/>
        <sz val="10"/>
        <color theme="1"/>
        <rFont val="Arial"/>
        <family val="2"/>
      </rPr>
      <t>Hinweis:</t>
    </r>
    <r>
      <rPr>
        <sz val="10"/>
        <color theme="1"/>
        <rFont val="Arial"/>
        <family val="2"/>
      </rPr>
      <t xml:space="preserve"> Sollte ein Energieträger in Ihrem Werk nicht zum Einsatz kommen, muss bei Verbrauchswerten ohne Verbrauch zwingend eine "0" eingetragen werden.</t>
    </r>
  </si>
  <si>
    <t>Dyckerhoff GmbH (2021): Environmental Data Sheet Self-declaration based on Environdec c-PCR-001 Cement and building limes (EN 16908)</t>
  </si>
  <si>
    <t>Dyckerhoff GmbH (2021)</t>
  </si>
  <si>
    <t>Gabelstapler (4x)</t>
  </si>
  <si>
    <t>Ergebnisse Maßnahme 6</t>
  </si>
  <si>
    <t>Alternative Energieträger restliches Werk</t>
  </si>
  <si>
    <t>Emissionsfaktor (Scope 3) Recyclingmaterial</t>
  </si>
  <si>
    <t>Plastifizierer</t>
  </si>
  <si>
    <t>Luftporenbildner</t>
  </si>
  <si>
    <t>Stabilisierer</t>
  </si>
  <si>
    <t>Hydrophobierer</t>
  </si>
  <si>
    <t>EPD-Baumineral-021-DE</t>
  </si>
  <si>
    <t>Veränderung Zementeinsatz (ggü. Referenzjahr):</t>
  </si>
  <si>
    <t>Maßnahme 7: Rezepturänderung – Veränderung Materialeinsatz</t>
  </si>
  <si>
    <t>Anteilige Reduzierung durch Verwendung Recyclingmaterial (ggü. Referenzjahr):</t>
  </si>
  <si>
    <t>BauMineral GmbH</t>
  </si>
  <si>
    <t>BCS Öko-Garantie GmbH - Ecobility Experts</t>
  </si>
  <si>
    <t>https://www.baumineral.de/downloads/file/481/EPD-Baumineral-021-EFA-F%C3%BCller-HM.pdf</t>
  </si>
  <si>
    <t>Ecoinvent (2022)</t>
  </si>
  <si>
    <t>Tragen Sie z. B. die Zementsorte  oder den Ersatzstoff ein.</t>
  </si>
  <si>
    <t>Maßnahme 9: Einsatz von Recyclingmaterial und alternativen Materialien</t>
  </si>
  <si>
    <t>Hinweis: die weiteren Jahr sind Startjahr +5 und +10 (z. B. 2020, 2025, 2030)</t>
  </si>
  <si>
    <t>Emissionen Startbilanz - Referenzjahr</t>
  </si>
  <si>
    <t>Referenz 
Default Wert Rechner</t>
  </si>
  <si>
    <t>Handeingabe Referenz</t>
  </si>
  <si>
    <t xml:space="preserve"> Handeingabe</t>
  </si>
  <si>
    <t>Referenzjahr</t>
  </si>
  <si>
    <t>Hinweis: die Defaultwerte beziehen sich auf das Jahr 2020</t>
  </si>
  <si>
    <t>Hinweis: der Defaultwert für Strom bezieht sich auf eine Hochrechnung für das Jahr 2025</t>
  </si>
  <si>
    <t>Hinweis: der Defaultwert für Strom bezieht sich auf eine Hochrechnung für das Jahr 2030</t>
  </si>
  <si>
    <t>Anzahl Stapler Austausch</t>
  </si>
  <si>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2</t>
    </r>
    <r>
      <rPr>
        <sz val="10.5"/>
        <color theme="1"/>
        <rFont val="Arial"/>
        <family val="2"/>
        <scheme val="minor"/>
      </rPr>
      <t xml:space="preserve"> betrachtet den Austausch von Dieselstaplern durch effizientere Elektrostapler. Der Dieselbedarf je Stapler wird anhand der Anzahl an Dieselstapler im Werk und der Eingabe an Dieselbedarf für Stapler im Reiter "Referenzwerk" berechnet und kann nicht gesondert eingetragen werden.
Die </t>
    </r>
    <r>
      <rPr>
        <b/>
        <sz val="10.5"/>
        <color theme="1"/>
        <rFont val="Arial"/>
        <family val="2"/>
        <scheme val="minor"/>
      </rPr>
      <t>Umstellung der Dieselstapler</t>
    </r>
    <r>
      <rPr>
        <sz val="10.5"/>
        <color theme="1"/>
        <rFont val="Arial"/>
        <family val="2"/>
        <scheme val="minor"/>
      </rPr>
      <t xml:space="preserve"> bezieht sich auf den Referenzwert des Startjahres. Somit beinhaltet der Wert des Startjahres + 10 Jahre auch den Wert des Startjahres + 5 Jahre und ist nicht als zusätzlich anzusehen. 
</t>
    </r>
    <r>
      <rPr>
        <u/>
        <sz val="10.5"/>
        <color theme="1"/>
        <rFont val="Arial"/>
        <family val="2"/>
        <scheme val="minor"/>
      </rPr>
      <t>Beispiel:</t>
    </r>
    <r>
      <rPr>
        <sz val="10.5"/>
        <color theme="1"/>
        <rFont val="Arial"/>
        <family val="2"/>
        <scheme val="minor"/>
      </rPr>
      <t xml:space="preserve"> Im Startjahr + 5 Jahre werden bereits fünf Stapler ausgetauscht. Der Default Wert im Startjahr + 10 Jahre beträgt zehn. Somit werden im Startjahr + 10 Jahre noch einmal zusätzliche fünf Stapler ausgetauscht. Insgesamt sind somit zehn Stapler bis zum Startjahr + 10 Jahre gegenüber dem Referenzwert des Startjahres auf Elektroantrieb umgestellt.
</t>
    </r>
    <r>
      <rPr>
        <b/>
        <sz val="10.5"/>
        <color theme="1"/>
        <rFont val="Arial"/>
        <family val="2"/>
        <scheme val="minor"/>
      </rPr>
      <t>Anmerkung:</t>
    </r>
    <r>
      <rPr>
        <sz val="10.5"/>
        <color theme="1"/>
        <rFont val="Arial"/>
        <family val="2"/>
        <scheme val="minor"/>
      </rPr>
      <t xml:space="preserve"> Diese Maßnahme bezieht sich ausschließlich auf den Austausch von Dieselstaplern. Der Verbrauch von ggf. bereits vorhandenen Elektrostaplern ist nicht gesondert ausgewiesen. Dieser Verbrauch sollte im Reiter "Referenzwerk" im Wert „Elektrische Energie“ des Musterwerks angegeben werden bzw. enthalten sein.</t>
    </r>
  </si>
  <si>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3</t>
    </r>
    <r>
      <rPr>
        <sz val="10.5"/>
        <color theme="1"/>
        <rFont val="Arial"/>
        <family val="2"/>
        <scheme val="minor"/>
      </rPr>
      <t xml:space="preserve"> betrachtet den Austausch von Dieselstapler durch effizientere Dieselstapler. Der Bedarf an Diesel je Stapler wird anhand der Anzahl an Dieselstapler im Werk und der Eingabe an Dieselbedarf für Stapler im Reiter "Referenzwerk" berechnet und kann nicht gesondert eingetragen werden. 
Die</t>
    </r>
    <r>
      <rPr>
        <b/>
        <sz val="10.5"/>
        <color theme="1"/>
        <rFont val="Arial"/>
        <family val="2"/>
        <scheme val="minor"/>
      </rPr>
      <t xml:space="preserve"> Umstellung der Dieselstapler</t>
    </r>
    <r>
      <rPr>
        <sz val="10.5"/>
        <color theme="1"/>
        <rFont val="Arial"/>
        <family val="2"/>
        <scheme val="minor"/>
      </rPr>
      <t xml:space="preserve"> bezieht sich auf den Referenzwert des Startjahres. Somit beinhaltet der Wert im Startjahr + 10 Jahre auch den Wert des Startjahres + 5 Jahre und ist nicht als zusätzlich anzusehen. 
Beispiel: Im Startjahr + 5 Jahre werden bereits fünf Stapler ausgetauscht. Der Default Wert für das Startjahr + 10 Jahre beträgt zehn. Somit werden im Startjahr + 10 Jahre noch einmal zusätzliche fünf Stapler ausgetauscht. Insgesamt sind somit zehn Stapler bis zum Startjahr + 10 Jahre gegenüber dem Referenzwert des Startjahres auf Elektroantrieb umgestellt.
</t>
    </r>
    <r>
      <rPr>
        <b/>
        <sz val="10.5"/>
        <color theme="1"/>
        <rFont val="Arial"/>
        <family val="2"/>
        <scheme val="minor"/>
      </rPr>
      <t xml:space="preserve">Anmerkung: </t>
    </r>
    <r>
      <rPr>
        <sz val="10.5"/>
        <color theme="1"/>
        <rFont val="Arial"/>
        <family val="2"/>
        <scheme val="minor"/>
      </rPr>
      <t>Diese Maßnahme bezieht sich ausschließlich auf den Austausch von Dieselstaplern. Der Verbrauch von ggf. vorhandenen Elektrostaplern ist nicht gesondert ausgewiesen. Dieser Verbrauch sollte im Reiter "Referenzwerk" im Wert „Elektrische Energie“ des Musterwerks angegeben werden bzw. enthalten sein.</t>
    </r>
  </si>
  <si>
    <t>Reduktion Dieselbedarf gesamt</t>
  </si>
  <si>
    <t>CAPEX aus</t>
  </si>
  <si>
    <t>Weitere CAPEX</t>
  </si>
  <si>
    <t xml:space="preserve">Einmalige Kosten aus </t>
  </si>
  <si>
    <t>Einmalige Kosten aus</t>
  </si>
  <si>
    <t xml:space="preserve">CAPEX aus </t>
  </si>
  <si>
    <t xml:space="preserve">Weitere CAPEX </t>
  </si>
  <si>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8</t>
    </r>
    <r>
      <rPr>
        <sz val="10.5"/>
        <color theme="1"/>
        <rFont val="Arial"/>
        <family val="2"/>
        <scheme val="minor"/>
      </rPr>
      <t xml:space="preserve"> betrachtet eine Rezepturänderung, um die Scope 3 Emissionen zu reduzieren. Betrachtet wird der Einsatz / Austausch von Zement durch Einsatzstoffe mit geringerem Emissionsfaktor. Im Default Beispiel wird angenommen, dass die Zementsorte eins zu eins durch eine andere Sorte ausgetauscht werden, welche einen geringeren Emissionsfaktor besitzen als die jeweiligen Zementsorten (Startjahr + 5 Jahre um 5 % geringer ggü. dem Startjahr und bis Startjahr + 10 Jahre um 10 % geringer ggü. dem Referenzjahr). Zudem sind Platzhalter vorgesehen, um ggf. weitere benötigte Ersatzstoffe einzutragen. Hierbei müssen die benötigten Mengen für das betrachtete Werk und Produktionsmenge (siehe Reiter "Referenzwerk") und der Emissionsfaktor eingetragen werden.
Die </t>
    </r>
    <r>
      <rPr>
        <b/>
        <sz val="10.5"/>
        <color theme="1"/>
        <rFont val="Arial"/>
        <family val="2"/>
        <scheme val="minor"/>
      </rPr>
      <t>prozentuale Reduktion</t>
    </r>
    <r>
      <rPr>
        <sz val="10.5"/>
        <color theme="1"/>
        <rFont val="Arial"/>
        <family val="2"/>
        <scheme val="minor"/>
      </rPr>
      <t xml:space="preserve"> des Emissionsfaktors bezieht sich auf den Referenzwert des Startjahres. Somit beinhaltet der Wert des Startjahres + 10 Jahre auch den Wert des Startjahres + 5 Jahre und ist nicht als zusätzlich anzusehen. </t>
    </r>
  </si>
  <si>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9</t>
    </r>
    <r>
      <rPr>
        <sz val="10.5"/>
        <color theme="1"/>
        <rFont val="Arial"/>
        <family val="2"/>
        <scheme val="minor"/>
      </rPr>
      <t xml:space="preserve"> betrachtet die Reduktionsmöglichkeiten der Scope 3 Emissionen durch den Einsatz von Recyclingmaterial. 
Der</t>
    </r>
    <r>
      <rPr>
        <b/>
        <sz val="10.5"/>
        <color theme="1"/>
        <rFont val="Arial"/>
        <family val="2"/>
        <scheme val="minor"/>
      </rPr>
      <t xml:space="preserve"> prozentuale Anteil vom Recyclingmaterial</t>
    </r>
    <r>
      <rPr>
        <sz val="10.5"/>
        <color theme="1"/>
        <rFont val="Arial"/>
        <family val="2"/>
        <scheme val="minor"/>
      </rPr>
      <t xml:space="preserve"> bezieht sich auf den Referenzwert des Startjahres. Somit beinhaltet der Wert des Startjahres + 10 Jahre auch den Wert des Startjahrs + 5 Jahre und ist nicht als zusätzlich anzusehen. Dies muss auch bei den Handeingaben berücksichtigt werden.</t>
    </r>
  </si>
  <si>
    <t>in %, oder -&gt;</t>
  </si>
  <si>
    <t>in kg</t>
  </si>
  <si>
    <t>Jeweils 
auf Zusatzm. 
in %, 
oder -&gt;</t>
  </si>
  <si>
    <t>Johanna Lausen /Michael Gollinger</t>
  </si>
  <si>
    <t>Autor:innen:</t>
  </si>
  <si>
    <t>2.0</t>
  </si>
  <si>
    <t xml:space="preserve">Betonverband Straße, Landschaft, Garten e.V. (SLG) &amp; FutureCamp (2024): </t>
  </si>
  <si>
    <r>
      <t xml:space="preserve">Handeingabe Emissionsfaktoren - Scope 1 oder 2 
 </t>
    </r>
    <r>
      <rPr>
        <sz val="10"/>
        <color theme="1"/>
        <rFont val="Arial"/>
        <family val="2"/>
      </rPr>
      <t>(falls abweichende Emissionsfaktoren in Bilanzjahr)</t>
    </r>
  </si>
  <si>
    <r>
      <t xml:space="preserve">Handeingabe Emissionsfaktoren - Scope 3
 </t>
    </r>
    <r>
      <rPr>
        <sz val="10"/>
        <color theme="1"/>
        <rFont val="Arial"/>
        <family val="2"/>
      </rPr>
      <t>(falls abweichende Emissionsfaktoren in Bilanzjahr)</t>
    </r>
  </si>
  <si>
    <t>Emissionsquelle / Bilanzjahr (jeweils t CO2e - Scope 1-3)</t>
  </si>
  <si>
    <t xml:space="preserve">Vergleich Verbrauchswerte / Bilanzjahr </t>
  </si>
  <si>
    <r>
      <rPr>
        <b/>
        <u/>
        <sz val="10"/>
        <color theme="1"/>
        <rFont val="Arial"/>
        <family val="2"/>
      </rPr>
      <t>Hinweis:</t>
    </r>
    <r>
      <rPr>
        <sz val="10"/>
        <color theme="1"/>
        <rFont val="Arial"/>
        <family val="2"/>
      </rPr>
      <t xml:space="preserve"> Sollte ein Energieträger in Ihrem Werk nicht zum Einsatz kommen, muss bei Verbrauchswerten ohne Verbrauch zwingend eine "0" eingetragen werden. Wenn die Defaultwerte übernommen werden sollen, muss das Feld "Handeingabe" leer sein.</t>
    </r>
  </si>
  <si>
    <t>in %</t>
  </si>
  <si>
    <r>
      <rPr>
        <vertAlign val="superscript"/>
        <sz val="8"/>
        <color theme="1"/>
        <rFont val="Arial"/>
        <family val="2"/>
      </rPr>
      <t>1)</t>
    </r>
    <r>
      <rPr>
        <sz val="8"/>
        <color theme="1"/>
        <rFont val="Arial"/>
        <family val="2"/>
      </rPr>
      <t xml:space="preserve"> Im Musterwerk wird von Eigengewinnung ausgegangen, somit sind die Emissionen bereits beim Strom enthalten.</t>
    </r>
  </si>
  <si>
    <t>kg</t>
  </si>
  <si>
    <t>in t</t>
  </si>
  <si>
    <t>Jahr W</t>
  </si>
  <si>
    <t>Jahr X</t>
  </si>
  <si>
    <t>Jahr Y</t>
  </si>
  <si>
    <t>Jahr Z</t>
  </si>
  <si>
    <t>zurück zu Cockpit</t>
  </si>
  <si>
    <t>Investitionskosten im Jahr  "Bilanzjahr + 5 Jahre" bzw. "Bilanzjahr +10 Jahre"</t>
  </si>
  <si>
    <t>Investitionskosten im Jahr "Bilanzjahr + 5 Jahre" bzw. "Bilanzjahr +10 Jahre"</t>
  </si>
  <si>
    <t>CAPEX aus 'Bilanzjahr +5 Jahre'</t>
  </si>
  <si>
    <t>Weitere CAPEX 'Bilanzjahr +10 Jahre'</t>
  </si>
  <si>
    <t>Einmalige Kosten aus'Bilanzjahr +5 Jahre'</t>
  </si>
  <si>
    <t>Einmalige Kosten aus 'Bilanzjahr +10 Jahre'</t>
  </si>
  <si>
    <t>Bilanzjahr +10 Jahre</t>
  </si>
  <si>
    <t>Bilanzjahr +5 Jahre</t>
  </si>
  <si>
    <t>Härtekammern</t>
  </si>
  <si>
    <t>Muster Werk (ohne Härtekammern)</t>
  </si>
  <si>
    <t>Gabelstapler (4x) 1)</t>
  </si>
  <si>
    <t>€/tCO2</t>
  </si>
  <si>
    <t>CO2-Preis</t>
  </si>
  <si>
    <t>§ 10 Abs. 2 BEHG Novelle</t>
  </si>
  <si>
    <t>kWhHs</t>
  </si>
  <si>
    <t>Zement 1)</t>
  </si>
  <si>
    <t>Wasser 2)</t>
  </si>
  <si>
    <t>Zement - CEM I 1)</t>
  </si>
  <si>
    <t>Zement - CEM II 1)</t>
  </si>
  <si>
    <t>Weißzement 1)</t>
  </si>
  <si>
    <t>Rechner Kosten</t>
  </si>
  <si>
    <t>1) Die Scope 2 Emssionen betragen bei allen Grünstromarten null. Jedoch sind die Scope 3 Emissionen je nach erneuerbare Energienquelle unterschiedlich.</t>
  </si>
  <si>
    <t>CO2 Kosten Scope 1</t>
  </si>
  <si>
    <t>CO2 Kosten Scope 2</t>
  </si>
  <si>
    <t>CO2 Kosten Scope 3</t>
  </si>
  <si>
    <t xml:space="preserve">1) Z. B. Mehrkosten bei Wartung, Instandhaltung, Personal, etc. </t>
  </si>
  <si>
    <t>2) Z. B. für zusätzlichen Brandschutz, etc.</t>
  </si>
  <si>
    <t>1) Z. B. Mehrkosten bei Wartung, Instandhaltung, Personal, etc. Dies kann in der Realität sehr unterschiedlich ausfallen, je nach umgesetzter Maßnahme.</t>
  </si>
  <si>
    <t>Bentötigte Ersatzstoffe2) :</t>
  </si>
  <si>
    <t>t CO2e</t>
  </si>
  <si>
    <t>Rohstoffe (ohne Farben und Zusatzmittel)</t>
  </si>
  <si>
    <t>Bilanzjahr</t>
  </si>
  <si>
    <t>Weiterer Zusatzstoff 1</t>
  </si>
  <si>
    <t>Weiterer Zusatzstoff 2</t>
  </si>
  <si>
    <t>Hinweis: Defaultwert = Flugasche</t>
  </si>
  <si>
    <t>Hinweis: Defaultwert = Quarzsteinmehl</t>
  </si>
  <si>
    <t>Hinweis: Defaultwert = Kalksteinmehl</t>
  </si>
  <si>
    <t>Weiterer Zuschlagstoff 1</t>
  </si>
  <si>
    <t>Weiterer Zuschlagstoff 2</t>
  </si>
  <si>
    <t>Veränderung Ersatzstoffe (ggü. Referenzjahr):</t>
  </si>
  <si>
    <r>
      <t>Investitionskosten</t>
    </r>
    <r>
      <rPr>
        <b/>
        <vertAlign val="superscript"/>
        <sz val="10"/>
        <color theme="1"/>
        <rFont val="Arial"/>
        <family val="2"/>
      </rPr>
      <t>3)</t>
    </r>
    <r>
      <rPr>
        <b/>
        <sz val="10"/>
        <color theme="1"/>
        <rFont val="Arial"/>
        <family val="2"/>
      </rPr>
      <t xml:space="preserve"> im Jahr 2025 bzw. 2030</t>
    </r>
  </si>
  <si>
    <r>
      <t>Weiterer Ersatzsstoff 1</t>
    </r>
    <r>
      <rPr>
        <vertAlign val="superscript"/>
        <sz val="10"/>
        <color theme="1"/>
        <rFont val="Arial"/>
        <family val="2"/>
      </rPr>
      <t xml:space="preserve"> 2)</t>
    </r>
  </si>
  <si>
    <r>
      <t xml:space="preserve">Weiterer Ersatzstoff 2 </t>
    </r>
    <r>
      <rPr>
        <vertAlign val="superscript"/>
        <sz val="10"/>
        <color theme="1"/>
        <rFont val="Arial"/>
        <family val="2"/>
      </rPr>
      <t>2)</t>
    </r>
  </si>
  <si>
    <r>
      <t xml:space="preserve">Zusätzliche jährl. Kosten </t>
    </r>
    <r>
      <rPr>
        <b/>
        <vertAlign val="superscript"/>
        <sz val="10"/>
        <color theme="1"/>
        <rFont val="Arial"/>
        <family val="2"/>
      </rPr>
      <t>4)</t>
    </r>
  </si>
  <si>
    <r>
      <t xml:space="preserve">Einmalige Kosten </t>
    </r>
    <r>
      <rPr>
        <b/>
        <vertAlign val="superscript"/>
        <sz val="10"/>
        <color theme="1"/>
        <rFont val="Arial"/>
        <family val="2"/>
      </rPr>
      <t>5)</t>
    </r>
  </si>
  <si>
    <r>
      <t>Investitionskosten</t>
    </r>
    <r>
      <rPr>
        <b/>
        <vertAlign val="superscript"/>
        <sz val="10"/>
        <color theme="1"/>
        <rFont val="Arial"/>
        <family val="2"/>
      </rPr>
      <t>4</t>
    </r>
    <r>
      <rPr>
        <b/>
        <sz val="10"/>
        <color theme="1"/>
        <rFont val="Arial"/>
        <family val="2"/>
      </rPr>
      <t>) im jeweiligen Jahr</t>
    </r>
  </si>
  <si>
    <r>
      <t xml:space="preserve">Zusätzliche jährl. Kosten </t>
    </r>
    <r>
      <rPr>
        <b/>
        <vertAlign val="superscript"/>
        <sz val="10"/>
        <color theme="1"/>
        <rFont val="Arial"/>
        <family val="2"/>
      </rPr>
      <t>5)</t>
    </r>
  </si>
  <si>
    <r>
      <t xml:space="preserve">Einmalige Kosten </t>
    </r>
    <r>
      <rPr>
        <b/>
        <vertAlign val="superscript"/>
        <sz val="10"/>
        <color theme="1"/>
        <rFont val="Arial"/>
        <family val="2"/>
      </rPr>
      <t>6)</t>
    </r>
  </si>
  <si>
    <r>
      <t>Benötigte Ersatzstoffe</t>
    </r>
    <r>
      <rPr>
        <b/>
        <vertAlign val="superscript"/>
        <sz val="10"/>
        <color theme="1"/>
        <rFont val="Arial"/>
        <family val="2"/>
      </rPr>
      <t>2</t>
    </r>
    <r>
      <rPr>
        <b/>
        <sz val="10"/>
        <color theme="1"/>
        <rFont val="Arial"/>
        <family val="2"/>
      </rPr>
      <t>) und Recyclingmaterial:</t>
    </r>
  </si>
  <si>
    <r>
      <t>Menge Recyclingmaterial</t>
    </r>
    <r>
      <rPr>
        <vertAlign val="superscript"/>
        <sz val="10"/>
        <color theme="1"/>
        <rFont val="Arial"/>
        <family val="2"/>
      </rPr>
      <t>3)</t>
    </r>
  </si>
  <si>
    <r>
      <t>Einmalige Kosten</t>
    </r>
    <r>
      <rPr>
        <b/>
        <vertAlign val="superscript"/>
        <sz val="10"/>
        <color theme="1"/>
        <rFont val="Arial"/>
        <family val="2"/>
      </rPr>
      <t xml:space="preserve"> 5)</t>
    </r>
  </si>
  <si>
    <r>
      <t xml:space="preserve">Einmalige Kosten </t>
    </r>
    <r>
      <rPr>
        <b/>
        <vertAlign val="superscript"/>
        <sz val="10"/>
        <color theme="1"/>
        <rFont val="Arial"/>
        <family val="2"/>
      </rPr>
      <t>2</t>
    </r>
    <r>
      <rPr>
        <b/>
        <sz val="10"/>
        <color theme="1"/>
        <rFont val="Arial"/>
        <family val="2"/>
      </rPr>
      <t>)</t>
    </r>
  </si>
  <si>
    <r>
      <t>Auswahl Grünstrom-Quelle</t>
    </r>
    <r>
      <rPr>
        <b/>
        <vertAlign val="superscript"/>
        <sz val="10"/>
        <color theme="1"/>
        <rFont val="Arial"/>
        <family val="2"/>
      </rPr>
      <t xml:space="preserve">1) </t>
    </r>
    <r>
      <rPr>
        <b/>
        <sz val="10"/>
        <color theme="1"/>
        <rFont val="Arial"/>
        <family val="2"/>
      </rPr>
      <t xml:space="preserve">
für 2025 und 2030</t>
    </r>
  </si>
  <si>
    <r>
      <t xml:space="preserve">Weiterer Ersatzsstoff 1 </t>
    </r>
    <r>
      <rPr>
        <b/>
        <vertAlign val="superscript"/>
        <sz val="10"/>
        <color theme="1"/>
        <rFont val="Arial"/>
        <family val="2"/>
      </rPr>
      <t>2)</t>
    </r>
  </si>
  <si>
    <r>
      <t xml:space="preserve">Weiterer Ersatzstoff 2 </t>
    </r>
    <r>
      <rPr>
        <b/>
        <vertAlign val="superscript"/>
        <sz val="10"/>
        <color theme="1"/>
        <rFont val="Arial"/>
        <family val="2"/>
      </rPr>
      <t>2)</t>
    </r>
  </si>
  <si>
    <t>Elektrische Energie (Default = deutscher Strommix)</t>
  </si>
  <si>
    <t>Maßnahme 4: Grünstrom-Einkauf durch z. B. Power Purchase Agreement (PPA) oder Herkunftsnachweise (HKN)</t>
  </si>
  <si>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 xml:space="preserve">Maßnahme 4 </t>
    </r>
    <r>
      <rPr>
        <sz val="10.5"/>
        <color theme="1"/>
        <rFont val="Arial"/>
        <family val="2"/>
        <scheme val="minor"/>
      </rPr>
      <t>umfasst die Umstellung des Strombezugs vom deutschen Strommix auf 100 % Grünstrombezug. Der Energiebedarf wird bei dieser Maßnahme nicht beeinflusst. Bei dieser Maßnahme kann Grünstrom z. B. direkt über einen Vertrag mit einem Erzeuger von erneuerbarem Strom beschaffen werden (Power Purchse Agreement - PPA) oder über den Stromlieferanten mit Hilfe von Herkunftsnachweisen (HKN). Somit fallen keine Investitions- oder sonstigen Kosten an. Die zusätzlichen Kosten werden über den Grünstrompreis abgebildet.
Der hinterlegte Default Wert ist Grünstrommix.</t>
    </r>
  </si>
  <si>
    <t xml:space="preserve">Selbsterzeugte Strommenge durch eigene regenerative Stromerzeugungs-Anlage </t>
  </si>
  <si>
    <t>Alternativer Energieträger / ggf. Eigenerzeugung</t>
  </si>
  <si>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1</t>
    </r>
    <r>
      <rPr>
        <sz val="10.5"/>
        <color theme="1"/>
        <rFont val="Arial"/>
        <family val="2"/>
        <scheme val="minor"/>
      </rPr>
      <t xml:space="preserve"> bewertet die Reduktion von Scope 1 bzw. Scope 2 Emission im Werk durch die Reduktion oder die Vermeidung vom Einsatz fossiler Energieträger für die Härtekammern.
Die </t>
    </r>
    <r>
      <rPr>
        <b/>
        <sz val="10.5"/>
        <color theme="1"/>
        <rFont val="Arial"/>
        <family val="2"/>
        <scheme val="minor"/>
      </rPr>
      <t xml:space="preserve">prozentuale Reduktion </t>
    </r>
    <r>
      <rPr>
        <sz val="10.5"/>
        <color theme="1"/>
        <rFont val="Arial"/>
        <family val="2"/>
        <scheme val="minor"/>
      </rPr>
      <t xml:space="preserve">bezieht sich auf den Referenzwert aus dem Startjahr. Somit beinhaltet der Wert für das Startjahr + 10 Jahr auch den Wert für das Startjahr +5 Jahre und ist nicht als zusätzlich anzusehen. 
</t>
    </r>
    <r>
      <rPr>
        <u/>
        <sz val="10.5"/>
        <color theme="1"/>
        <rFont val="Arial"/>
        <family val="2"/>
        <scheme val="minor"/>
      </rPr>
      <t>Beispiel (Default Wert):</t>
    </r>
    <r>
      <rPr>
        <sz val="10.5"/>
        <color theme="1"/>
        <rFont val="Arial"/>
        <family val="2"/>
        <scheme val="minor"/>
      </rPr>
      <t xml:space="preserve"> Im Startjahr + 5 Jahre werden bereits 30% der Energie eingespart. Da der Default Wert für das Startjahr +10 Jahre immer noch 30% beträgt, sind keine weiteren Einsparungen realisiert worden. 
Die Berechnung der im Ergebnis ausgewiesenen </t>
    </r>
    <r>
      <rPr>
        <b/>
        <sz val="10.5"/>
        <color theme="1"/>
        <rFont val="Arial"/>
        <family val="2"/>
        <scheme val="minor"/>
      </rPr>
      <t>Investitionskosten</t>
    </r>
    <r>
      <rPr>
        <sz val="10.5"/>
        <color theme="1"/>
        <rFont val="Arial"/>
        <family val="2"/>
        <scheme val="minor"/>
      </rPr>
      <t xml:space="preserve"> erfolgt, für die dargestellten Jahre, über den Investitionsbetrag, den Abschreibungszeitraum (Dauer) und den Zinssatz.</t>
    </r>
  </si>
  <si>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5</t>
    </r>
    <r>
      <rPr>
        <sz val="10.5"/>
        <color theme="1"/>
        <rFont val="Arial"/>
        <family val="2"/>
        <scheme val="minor"/>
      </rPr>
      <t xml:space="preserve"> umfasst die Installation einer eigenen erneuerbaren Stromerzeugungsanlage. Im betrachtetem Default Fall wird insbesondere die Installation einer Photovoltaikanlage bewertet. Hier betrachtet ist eine Anlage, die rund 100.000 kWh pro Jahr erzeugt. Dies entspricht einer Anlage mit einer Leistung von rund 110 Kilowatt-Peak bei der durchschnittlichen Sonneneinstrahlung in Deutschland. 
Dieses Tabellenblatt ist jedoch nicht auf Photovoltaik begrenzt, sondern kann auch für andere regenerative Erzeugungsanlagen genutzt werden. Dies kann dann im Kommentarfeld hinterlegt werden. 
Die </t>
    </r>
    <r>
      <rPr>
        <b/>
        <sz val="10.5"/>
        <color theme="1"/>
        <rFont val="Arial"/>
        <family val="2"/>
        <scheme val="minor"/>
      </rPr>
      <t>angegebene selbsterzeugte Strommenge</t>
    </r>
    <r>
      <rPr>
        <sz val="10.5"/>
        <color theme="1"/>
        <rFont val="Arial"/>
        <family val="2"/>
        <scheme val="minor"/>
      </rPr>
      <t xml:space="preserve"> bezieht sich auf das jeweilige Jahr. Im Startjahr + 5 Jahre werden bereits mit der neuen PV-Anlage 100.000 kWh Strom erzeugt. Es wird im Default Fall keine weitere Anlage installiert oder die bestehende ausgeweitet. Somit beträgt auch das Startjahr + 10 Jahre die selbsterzeugte Strommenge 100.000 kWh.  
Die Berechnung der im Ergebnis ausgewiesenen Investitionskosten erfolgt, für die dargestellten Jahre, über den Investitionsbetrag, den Abschreibungszeitraum (Dauer) und den Zinssatz.</t>
    </r>
  </si>
  <si>
    <r>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t>
    </r>
    <r>
      <rPr>
        <b/>
        <sz val="10.5"/>
        <color theme="1"/>
        <rFont val="Arial"/>
        <family val="2"/>
        <scheme val="minor"/>
      </rPr>
      <t>Maßnahme 6</t>
    </r>
    <r>
      <rPr>
        <sz val="10.5"/>
        <color theme="1"/>
        <rFont val="Arial"/>
        <family val="2"/>
        <scheme val="minor"/>
      </rPr>
      <t xml:space="preserve"> kann eine Vielzahl von Maßnahmen umfassen. Einige Beispiele sind: 
   - Energieeffizienzmaßnahmen
   - Modernisierung und Neuanschaffung von Produktionsanlagen
   - Effizienzsteigerung energieintensiver Druckluft- und Hydrauliktechnik
   - Abwärmenutzung und Energierückgewinnung.
Da die Maßnahmen sowie das zu realisierende Potenzial im jeweilig betrachteten Unternehmen sehr unterschiedlich ausfallen können, sind die Default Werte eher als Platzhalter zu verstehen. 
Die </t>
    </r>
    <r>
      <rPr>
        <b/>
        <sz val="10.5"/>
        <color theme="1"/>
        <rFont val="Arial"/>
        <family val="2"/>
        <scheme val="minor"/>
      </rPr>
      <t>prozentuale Reduktion</t>
    </r>
    <r>
      <rPr>
        <sz val="10.5"/>
        <color theme="1"/>
        <rFont val="Arial"/>
        <family val="2"/>
        <scheme val="minor"/>
      </rPr>
      <t xml:space="preserve"> bezieht sich auf den Referenzwert des Startjahres. Somit beinhaltet der Wert des Startjahres + 10 Jahre auch den Wert des Startjahres + 5 Jahre und ist nicht als zusätzlich anzusehen. 
Beispiel (Default Wert): Im Startjahr + 5 Jahre werden bereits 5 % der Energie eingespart. Da der Default Wert im Startjahr + 10 Jahre immer noch 5 % beträgt, sind keine weiteren Einsparungen realisiert worden. 
Die Berechnung der im Ergebnis ausgewiesenen Investitionskosten erfolgt, für die dargestellten Jahre, über den Investitionsbetrag, den Abschreibungszeitraum (Dauer) und den Zinssatz.
</t>
    </r>
    <r>
      <rPr>
        <b/>
        <u/>
        <sz val="10.5"/>
        <color theme="1"/>
        <rFont val="Arial"/>
        <family val="2"/>
        <scheme val="minor"/>
      </rPr>
      <t>Anmerkung:</t>
    </r>
    <r>
      <rPr>
        <sz val="10.5"/>
        <color theme="1"/>
        <rFont val="Arial"/>
        <family val="2"/>
        <scheme val="minor"/>
      </rPr>
      <t xml:space="preserve"> Der hinterlegte Default Wert für den Energieträger ist der Strombedarf des Werks (ohne Härtekammer). Sollten Effizienzmaßnahmen für andere Energieträger durchgeführt werden, muss dies erst ausgewählt werden. Eine Abbildung von Effizienzmaßnahmen für mehrere Energieträger gleichzeitig, ist mit diesem Rechner nicht abbildbar. </t>
    </r>
  </si>
  <si>
    <t>Alternative Energieträger / ggf. Eigenerzeugung Härtekammer</t>
  </si>
  <si>
    <t>Alternative Energieträger / ggf. Eigenerzeugung restliches Werk</t>
  </si>
  <si>
    <t>Vermeidungskostenrechner: Plattenfertiger</t>
  </si>
  <si>
    <t>Plattenfertiger; Modellversion 2.0, München, 04.11.2024</t>
  </si>
  <si>
    <t xml:space="preserve">In diesem Blatt werden die zentralen Ergebnisse in verschiedenen Tabellen und Diagrammen visualisiert. In den blau hinterlegten Feldern können relevante Parameter für die Berechnung angepasst werden. Die dargestellten Elemente in den Diagrammen können mithilfe der Häkchen neben den Tabellen variiert werden. 
Maßnahme 7 betrachtet eine Rezepturänderung. Konkret wird im Default Fall die Reduzierung vom Zementeinsatz (CEM I, CEM II und Weißzement und falls vorhanden auch eine weitere Zementsorte) betrachtet. Um diesen zu reduzieren, wird zudem angenommen, dass ein Mehrverbrauch von Quarzsteinmehl und Kalksteinmehl erforderlich ist. Weitere, ggf. im Tabellenblatt "Referenz Plattenfertiger" indivdiuell eingegebene Weitere Zusatzstoffe (1 und 2) sind im Defaultwert mit "0" angegeben. Zudem besteht im Eingabefeld die Möglichkeit zwei weitere Ersatzstoffe einzutragen und zu berücksichtigen. Da diese Stoffe im Referenzfall (Defaultwerte Startjahr) nicht berücksichtigt sind, müssen diese Eingaben in Tonnen erfolgen und nicht in Prozent, wie die bereits vorhandenen Stoffe. 
Die prozentuale Reduktion und auch der Mehrverbrauch von Materialien bezieht sich auf den Referenzwert des Startjahres. Somit beinhaltet der Wert des Startjahres + 10 Jahre auch den Wert des Startjahres + 5 Jahre und ist nicht als zusätzlich anzusehen. </t>
  </si>
  <si>
    <t xml:space="preserve"> Plattenfertiger - THG-Bilanz für weiteres Jahr (Eingaben in diesem Tabellenblatt werden nicht für die Berechnung der Maßnahmen verwendet)</t>
  </si>
  <si>
    <t>Plattenfertiger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</si>
</sst>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_-"/>
    <numFmt numFmtId="165" formatCode="0.000000"/>
    <numFmt numFmtId="166" formatCode="0.0%"/>
    <numFmt numFmtId="167" formatCode="0.0000"/>
    <numFmt numFmtId="168" formatCode="#,##0.0"/>
    <numFmt numFmtId="169" formatCode="00000"/>
    <numFmt numFmtId="170" formatCode="0.0"/>
    <numFmt numFmtId="171" formatCode="0.000"/>
    <numFmt numFmtId="172" formatCode="#,##0\ &quot;€&quot;"/>
    <numFmt numFmtId="173" formatCode="#,##0.000"/>
    <numFmt numFmtId="174" formatCode="#,##0.00000"/>
    <numFmt numFmtId="175" formatCode="#,##0.0000"/>
  </numFmts>
  <fonts count="87" x14ac:knownFonts="1">
    <font>
      <sz val="11"/>
      <color theme="1"/>
      <name val="Arial"/>
      <family val="2"/>
      <scheme val="minor"/>
    </font>
    <font>
      <sz val="10"/>
      <color theme="1"/>
      <name val="Arial"/>
      <family val="2"/>
    </font>
    <font>
      <sz val="11"/>
      <color theme="1"/>
      <name val="Arial"/>
      <family val="2"/>
      <scheme val="minor"/>
    </font>
    <font>
      <u/>
      <sz val="10"/>
      <color theme="10"/>
      <name val="Arial"/>
      <family val="2"/>
    </font>
    <font>
      <b/>
      <sz val="10"/>
      <color theme="1"/>
      <name val="Arial"/>
      <family val="2"/>
    </font>
    <font>
      <sz val="11"/>
      <name val="Arial"/>
      <family val="2"/>
    </font>
    <font>
      <sz val="9"/>
      <name val="Arial"/>
      <family val="2"/>
    </font>
    <font>
      <sz val="9"/>
      <color theme="1"/>
      <name val="Arial"/>
      <family val="2"/>
    </font>
    <font>
      <b/>
      <u/>
      <sz val="14"/>
      <color theme="0"/>
      <name val="Arial"/>
      <family val="2"/>
    </font>
    <font>
      <b/>
      <u/>
      <sz val="9"/>
      <name val="Arial"/>
      <family val="2"/>
    </font>
    <font>
      <b/>
      <sz val="9"/>
      <name val="Arial"/>
      <family val="2"/>
    </font>
    <font>
      <sz val="10"/>
      <color rgb="FF323232"/>
      <name val="Arial"/>
      <family val="2"/>
    </font>
    <font>
      <sz val="10"/>
      <name val="Arial"/>
      <family val="2"/>
    </font>
    <font>
      <i/>
      <sz val="10"/>
      <color theme="0" tint="-0.499984740745262"/>
      <name val="Arial"/>
      <family val="2"/>
    </font>
    <font>
      <sz val="11"/>
      <color theme="1"/>
      <name val="Arial"/>
      <family val="2"/>
    </font>
    <font>
      <sz val="26"/>
      <color rgb="FFFF0000"/>
      <name val="Arial"/>
      <family val="2"/>
    </font>
    <font>
      <b/>
      <sz val="11"/>
      <color theme="1"/>
      <name val="Arial"/>
      <family val="2"/>
    </font>
    <font>
      <b/>
      <sz val="10"/>
      <name val="Arial"/>
      <family val="2"/>
    </font>
    <font>
      <b/>
      <vertAlign val="subscript"/>
      <sz val="9"/>
      <name val="Arial"/>
      <family val="2"/>
    </font>
    <font>
      <b/>
      <sz val="14"/>
      <color rgb="FF617494"/>
      <name val="Arial"/>
      <family val="2"/>
    </font>
    <font>
      <b/>
      <sz val="12"/>
      <name val="Arial"/>
      <family val="2"/>
    </font>
    <font>
      <sz val="26"/>
      <color theme="6"/>
      <name val="Arial"/>
      <family val="2"/>
    </font>
    <font>
      <sz val="8"/>
      <name val="Arial"/>
      <family val="2"/>
      <scheme val="minor"/>
    </font>
    <font>
      <i/>
      <sz val="10"/>
      <color theme="1"/>
      <name val="Arial"/>
      <family val="2"/>
    </font>
    <font>
      <b/>
      <sz val="18"/>
      <color rgb="FFFFC000"/>
      <name val="Arial"/>
      <family val="2"/>
    </font>
    <font>
      <u/>
      <sz val="11"/>
      <color theme="10"/>
      <name val="Arial"/>
      <family val="2"/>
      <scheme val="minor"/>
    </font>
    <font>
      <vertAlign val="subscript"/>
      <sz val="10"/>
      <color theme="1"/>
      <name val="Arial"/>
      <family val="2"/>
    </font>
    <font>
      <b/>
      <vertAlign val="subscript"/>
      <sz val="10"/>
      <color theme="1"/>
      <name val="Arial"/>
      <family val="2"/>
    </font>
    <font>
      <sz val="10"/>
      <color rgb="FF617494"/>
      <name val="Arial"/>
      <family val="2"/>
      <scheme val="minor"/>
    </font>
    <font>
      <b/>
      <sz val="15"/>
      <color indexed="56"/>
      <name val="Calibri"/>
      <family val="2"/>
    </font>
    <font>
      <b/>
      <sz val="10"/>
      <color rgb="FF617494"/>
      <name val="Calibri"/>
      <family val="2"/>
    </font>
    <font>
      <sz val="10"/>
      <color theme="1"/>
      <name val="Arial"/>
      <family val="2"/>
      <scheme val="minor"/>
    </font>
    <font>
      <b/>
      <sz val="10"/>
      <color indexed="56"/>
      <name val="Calibri"/>
      <family val="2"/>
    </font>
    <font>
      <sz val="11"/>
      <color rgb="FF617494"/>
      <name val="Arial"/>
      <family val="2"/>
      <scheme val="minor"/>
    </font>
    <font>
      <b/>
      <sz val="11"/>
      <color rgb="FF617494"/>
      <name val="Calibri"/>
      <family val="2"/>
    </font>
    <font>
      <sz val="10"/>
      <color rgb="FFFF0000"/>
      <name val="Arial"/>
      <family val="2"/>
      <scheme val="minor"/>
    </font>
    <font>
      <sz val="10"/>
      <name val="Arial"/>
      <family val="2"/>
      <scheme val="minor"/>
    </font>
    <font>
      <u/>
      <sz val="10"/>
      <name val="Arial"/>
      <family val="2"/>
    </font>
    <font>
      <b/>
      <sz val="10"/>
      <color rgb="FFFF0000"/>
      <name val="Arial"/>
      <family val="2"/>
    </font>
    <font>
      <u/>
      <sz val="10"/>
      <name val="Arial"/>
      <family val="2"/>
      <scheme val="minor"/>
    </font>
    <font>
      <u/>
      <sz val="10"/>
      <color rgb="FFFF0000"/>
      <name val="Arial"/>
      <family val="2"/>
      <scheme val="minor"/>
    </font>
    <font>
      <u/>
      <sz val="10"/>
      <color theme="10"/>
      <name val="Arial"/>
      <family val="2"/>
      <scheme val="minor"/>
    </font>
    <font>
      <sz val="10"/>
      <color theme="1" tint="0.499984740745262"/>
      <name val="Arial"/>
      <family val="2"/>
    </font>
    <font>
      <b/>
      <sz val="14"/>
      <color rgb="FF00549F"/>
      <name val="Calibri"/>
      <family val="2"/>
    </font>
    <font>
      <b/>
      <sz val="10"/>
      <color rgb="FF00549F"/>
      <name val="Calibri"/>
      <family val="2"/>
    </font>
    <font>
      <b/>
      <sz val="11"/>
      <color rgb="FF00549F"/>
      <name val="Calibri"/>
      <family val="2"/>
    </font>
    <font>
      <sz val="8"/>
      <name val="Arial"/>
      <family val="2"/>
    </font>
    <font>
      <i/>
      <vertAlign val="subscript"/>
      <sz val="10"/>
      <color theme="1"/>
      <name val="Arial"/>
      <family val="2"/>
    </font>
    <font>
      <b/>
      <sz val="12"/>
      <color theme="1"/>
      <name val="Arial"/>
      <family val="2"/>
    </font>
    <font>
      <sz val="10"/>
      <color theme="1" tint="9.9978637043366805E-2"/>
      <name val="Arial"/>
      <family val="2"/>
    </font>
    <font>
      <b/>
      <sz val="11"/>
      <name val="Arial"/>
      <family val="2"/>
    </font>
    <font>
      <vertAlign val="superscript"/>
      <sz val="10"/>
      <color theme="1"/>
      <name val="Arial"/>
      <family val="2"/>
    </font>
    <font>
      <sz val="9"/>
      <color theme="1" tint="0.249977111117893"/>
      <name val="Arial"/>
      <family val="2"/>
    </font>
    <font>
      <vertAlign val="superscript"/>
      <sz val="9"/>
      <color theme="1" tint="0.249977111117893"/>
      <name val="Arial"/>
      <family val="2"/>
    </font>
    <font>
      <sz val="10"/>
      <color theme="3" tint="9.9978637043366805E-2"/>
      <name val="Arial"/>
      <family val="2"/>
    </font>
    <font>
      <sz val="10"/>
      <color theme="0" tint="-0.499984740745262"/>
      <name val="Arial"/>
      <family val="2"/>
    </font>
    <font>
      <b/>
      <vertAlign val="superscript"/>
      <sz val="10"/>
      <color theme="1"/>
      <name val="Arial"/>
      <family val="2"/>
    </font>
    <font>
      <b/>
      <vertAlign val="subscript"/>
      <sz val="10"/>
      <name val="Arial"/>
      <family val="2"/>
    </font>
    <font>
      <vertAlign val="subscript"/>
      <sz val="10"/>
      <name val="Arial"/>
      <family val="2"/>
    </font>
    <font>
      <b/>
      <sz val="12"/>
      <color rgb="FF00549F"/>
      <name val="Arial"/>
      <family val="2"/>
    </font>
    <font>
      <b/>
      <sz val="14"/>
      <color rgb="FF00549F"/>
      <name val="Arial"/>
      <family val="2"/>
    </font>
    <font>
      <sz val="12"/>
      <color theme="1"/>
      <name val="Arial"/>
      <family val="2"/>
    </font>
    <font>
      <b/>
      <u/>
      <sz val="11"/>
      <color theme="1"/>
      <name val="Arial"/>
      <family val="2"/>
    </font>
    <font>
      <b/>
      <sz val="14"/>
      <color theme="1"/>
      <name val="Arial"/>
      <family val="2"/>
    </font>
    <font>
      <sz val="14"/>
      <color theme="1"/>
      <name val="Arial"/>
      <family val="2"/>
    </font>
    <font>
      <b/>
      <u/>
      <sz val="14"/>
      <color rgb="FF00549F"/>
      <name val="Arial"/>
      <family val="2"/>
    </font>
    <font>
      <b/>
      <sz val="11"/>
      <color rgb="FF00549F"/>
      <name val="Arial"/>
      <family val="2"/>
    </font>
    <font>
      <b/>
      <sz val="14"/>
      <color theme="6"/>
      <name val="Arial"/>
      <family val="2"/>
    </font>
    <font>
      <vertAlign val="superscript"/>
      <sz val="8"/>
      <color theme="1" tint="0.249977111117893"/>
      <name val="Arial"/>
      <family val="2"/>
    </font>
    <font>
      <b/>
      <sz val="11"/>
      <color theme="7"/>
      <name val="Arial"/>
      <family val="2"/>
    </font>
    <font>
      <b/>
      <sz val="12"/>
      <color theme="7"/>
      <name val="Arial"/>
      <family val="2"/>
    </font>
    <font>
      <sz val="10.5"/>
      <color theme="1"/>
      <name val="Arial"/>
      <family val="2"/>
      <scheme val="minor"/>
    </font>
    <font>
      <b/>
      <sz val="10.5"/>
      <color theme="1"/>
      <name val="Arial"/>
      <family val="2"/>
      <scheme val="minor"/>
    </font>
    <font>
      <u/>
      <sz val="10.5"/>
      <color theme="1"/>
      <name val="Arial"/>
      <family val="2"/>
      <scheme val="minor"/>
    </font>
    <font>
      <b/>
      <u/>
      <sz val="10.5"/>
      <color theme="1"/>
      <name val="Arial"/>
      <family val="2"/>
      <scheme val="minor"/>
    </font>
    <font>
      <sz val="10"/>
      <color theme="0" tint="-0.499984740745262"/>
      <name val="Arial"/>
      <family val="2"/>
      <scheme val="minor"/>
    </font>
    <font>
      <sz val="10"/>
      <color rgb="FFFF0000"/>
      <name val="Arial"/>
      <family val="2"/>
    </font>
    <font>
      <b/>
      <u/>
      <sz val="10"/>
      <color theme="1"/>
      <name val="Arial"/>
      <family val="2"/>
    </font>
    <font>
      <i/>
      <sz val="8"/>
      <color theme="1"/>
      <name val="Arial"/>
      <family val="2"/>
    </font>
    <font>
      <sz val="8"/>
      <color theme="1"/>
      <name val="Arial"/>
      <family val="2"/>
    </font>
    <font>
      <vertAlign val="superscript"/>
      <sz val="8"/>
      <color theme="1"/>
      <name val="Arial"/>
      <family val="2"/>
    </font>
    <font>
      <sz val="10"/>
      <color theme="0" tint="-0.34998626667073579"/>
      <name val="Arial"/>
      <family val="2"/>
    </font>
    <font>
      <b/>
      <sz val="10"/>
      <color theme="2" tint="-4.9989318521683403E-2"/>
      <name val="Arial"/>
      <family val="2"/>
    </font>
    <font>
      <u/>
      <sz val="8"/>
      <color theme="2" tint="-4.9989318521683403E-2"/>
      <name val="Arial"/>
      <family val="2"/>
      <scheme val="minor"/>
    </font>
    <font>
      <sz val="9"/>
      <color rgb="FFFF0000"/>
      <name val="Arial"/>
      <family val="2"/>
    </font>
    <font>
      <u/>
      <sz val="9"/>
      <color theme="0"/>
      <name val="Arial"/>
      <family val="2"/>
      <scheme val="minor"/>
    </font>
    <font>
      <b/>
      <sz val="16"/>
      <color rgb="FF00549F"/>
      <name val="Arial"/>
      <family val="2"/>
    </font>
  </fonts>
  <fills count="2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5"/>
        <bgColor indexed="64"/>
      </patternFill>
    </fill>
    <fill>
      <patternFill patternType="solid">
        <fgColor rgb="FF00549F"/>
        <bgColor indexed="64"/>
      </patternFill>
    </fill>
    <fill>
      <patternFill patternType="solid">
        <fgColor theme="6"/>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theme="1" tint="0.89999084444715716"/>
        <bgColor indexed="64"/>
      </patternFill>
    </fill>
    <fill>
      <patternFill patternType="solid">
        <fgColor theme="8" tint="0.79998168889431442"/>
        <bgColor indexed="64"/>
      </patternFill>
    </fill>
    <fill>
      <patternFill patternType="solid">
        <fgColor theme="3" tint="0.749992370372631"/>
        <bgColor indexed="64"/>
      </patternFill>
    </fill>
    <fill>
      <patternFill patternType="solid">
        <fgColor theme="1" tint="0.749992370372631"/>
        <bgColor indexed="64"/>
      </patternFill>
    </fill>
    <fill>
      <patternFill patternType="solid">
        <fgColor rgb="FFFFFFFF"/>
        <bgColor indexed="64"/>
      </patternFill>
    </fill>
    <fill>
      <patternFill patternType="solid">
        <fgColor theme="8"/>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2F2F2"/>
        <bgColor rgb="FF000000"/>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double">
        <color indexed="64"/>
      </bottom>
      <diagonal/>
    </border>
    <border>
      <left/>
      <right/>
      <top/>
      <bottom style="thick">
        <color indexed="62"/>
      </bottom>
      <diagonal/>
    </border>
    <border>
      <left/>
      <right/>
      <top style="thin">
        <color rgb="FF617494"/>
      </top>
      <bottom/>
      <diagonal/>
    </border>
    <border>
      <left/>
      <right/>
      <top style="thin">
        <color indexed="64"/>
      </top>
      <bottom style="thin">
        <color indexed="64"/>
      </bottom>
      <diagonal/>
    </border>
    <border>
      <left/>
      <right/>
      <top/>
      <bottom style="thin">
        <color rgb="FF00549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2" fillId="0" borderId="0"/>
    <xf numFmtId="0" fontId="3"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2" fillId="0" borderId="0"/>
    <xf numFmtId="0" fontId="25" fillId="0" borderId="0" applyNumberFormat="0" applyFill="0" applyBorder="0" applyAlignment="0" applyProtection="0"/>
    <xf numFmtId="0" fontId="29" fillId="0" borderId="10" applyNumberFormat="0" applyFill="0" applyAlignment="0" applyProtection="0"/>
  </cellStyleXfs>
  <cellXfs count="491">
    <xf numFmtId="0" fontId="0" fillId="0" borderId="0" xfId="0"/>
    <xf numFmtId="0" fontId="1" fillId="0" borderId="0" xfId="0" applyFont="1"/>
    <xf numFmtId="0" fontId="1" fillId="5" borderId="0" xfId="0" applyFont="1" applyFill="1"/>
    <xf numFmtId="0" fontId="1" fillId="3" borderId="0" xfId="0" applyFont="1" applyFill="1"/>
    <xf numFmtId="14" fontId="1" fillId="3" borderId="0" xfId="0" applyNumberFormat="1" applyFont="1" applyFill="1" applyAlignment="1">
      <alignment horizontal="left"/>
    </xf>
    <xf numFmtId="0" fontId="1" fillId="3" borderId="0" xfId="0" applyFont="1" applyFill="1" applyAlignment="1">
      <alignment horizontal="left"/>
    </xf>
    <xf numFmtId="0" fontId="1" fillId="6" borderId="0" xfId="0" applyFont="1" applyFill="1"/>
    <xf numFmtId="0" fontId="14" fillId="3" borderId="0" xfId="0" applyFont="1" applyFill="1"/>
    <xf numFmtId="0" fontId="4" fillId="3" borderId="0" xfId="0" applyFont="1" applyFill="1"/>
    <xf numFmtId="3" fontId="1" fillId="3" borderId="0" xfId="0" applyNumberFormat="1" applyFont="1" applyFill="1"/>
    <xf numFmtId="168" fontId="1" fillId="3" borderId="0" xfId="0" applyNumberFormat="1" applyFont="1" applyFill="1"/>
    <xf numFmtId="0" fontId="4" fillId="3" borderId="0" xfId="0" applyFont="1" applyFill="1" applyAlignment="1">
      <alignment wrapText="1"/>
    </xf>
    <xf numFmtId="0" fontId="4" fillId="3" borderId="0" xfId="0" applyFont="1" applyFill="1" applyAlignment="1">
      <alignment vertical="center" wrapText="1"/>
    </xf>
    <xf numFmtId="0" fontId="4" fillId="3" borderId="0" xfId="0" applyFont="1" applyFill="1" applyAlignment="1">
      <alignment horizontal="right"/>
    </xf>
    <xf numFmtId="0" fontId="1" fillId="3" borderId="0" xfId="0" applyFont="1" applyFill="1" applyAlignment="1">
      <alignment vertical="center" wrapText="1"/>
    </xf>
    <xf numFmtId="0" fontId="1" fillId="3" borderId="0" xfId="0" applyFont="1" applyFill="1" applyAlignment="1">
      <alignment vertical="center"/>
    </xf>
    <xf numFmtId="4" fontId="1" fillId="3" borderId="0" xfId="0" applyNumberFormat="1" applyFont="1" applyFill="1"/>
    <xf numFmtId="0" fontId="12" fillId="8" borderId="0" xfId="0" applyFont="1" applyFill="1"/>
    <xf numFmtId="0" fontId="12" fillId="8" borderId="0" xfId="0" applyFont="1" applyFill="1" applyAlignment="1">
      <alignment vertical="center"/>
    </xf>
    <xf numFmtId="171" fontId="12" fillId="8" borderId="0" xfId="0" applyNumberFormat="1" applyFont="1" applyFill="1"/>
    <xf numFmtId="1" fontId="12" fillId="8" borderId="0" xfId="0" applyNumberFormat="1" applyFont="1" applyFill="1"/>
    <xf numFmtId="0" fontId="17" fillId="8" borderId="0" xfId="0" applyFont="1" applyFill="1"/>
    <xf numFmtId="0" fontId="20" fillId="8" borderId="0" xfId="0" applyFont="1" applyFill="1"/>
    <xf numFmtId="0" fontId="16" fillId="3" borderId="3" xfId="0" applyFont="1" applyFill="1" applyBorder="1"/>
    <xf numFmtId="0" fontId="1" fillId="3" borderId="3" xfId="0" applyFont="1" applyFill="1" applyBorder="1"/>
    <xf numFmtId="0" fontId="1" fillId="9" borderId="0" xfId="0" applyFont="1" applyFill="1"/>
    <xf numFmtId="3" fontId="1" fillId="9" borderId="0" xfId="0" applyNumberFormat="1" applyFont="1" applyFill="1"/>
    <xf numFmtId="0" fontId="4" fillId="3" borderId="4" xfId="0" applyFont="1" applyFill="1" applyBorder="1"/>
    <xf numFmtId="3" fontId="4" fillId="3" borderId="4" xfId="0" applyNumberFormat="1" applyFont="1" applyFill="1" applyBorder="1"/>
    <xf numFmtId="0" fontId="4" fillId="9" borderId="0" xfId="0" applyFont="1" applyFill="1"/>
    <xf numFmtId="170" fontId="12" fillId="8" borderId="0" xfId="0" applyNumberFormat="1" applyFont="1" applyFill="1"/>
    <xf numFmtId="0" fontId="23" fillId="3" borderId="0" xfId="0" applyFont="1" applyFill="1"/>
    <xf numFmtId="168" fontId="1" fillId="9" borderId="0" xfId="0" applyNumberFormat="1" applyFont="1" applyFill="1"/>
    <xf numFmtId="168" fontId="4" fillId="3" borderId="4" xfId="0" applyNumberFormat="1" applyFont="1" applyFill="1" applyBorder="1"/>
    <xf numFmtId="0" fontId="1" fillId="3" borderId="8" xfId="0" applyFont="1" applyFill="1" applyBorder="1"/>
    <xf numFmtId="0" fontId="4" fillId="3" borderId="8" xfId="0" applyFont="1" applyFill="1" applyBorder="1"/>
    <xf numFmtId="0" fontId="12" fillId="8" borderId="1" xfId="0" applyFont="1" applyFill="1" applyBorder="1" applyAlignment="1">
      <alignment vertical="center"/>
    </xf>
    <xf numFmtId="1" fontId="12" fillId="8" borderId="1" xfId="0" applyNumberFormat="1" applyFont="1" applyFill="1" applyBorder="1"/>
    <xf numFmtId="170" fontId="12" fillId="8" borderId="1" xfId="0" applyNumberFormat="1" applyFont="1" applyFill="1" applyBorder="1"/>
    <xf numFmtId="0" fontId="12" fillId="8" borderId="1" xfId="0" applyFont="1" applyFill="1" applyBorder="1" applyAlignment="1">
      <alignment horizontal="right" vertical="center" wrapText="1"/>
    </xf>
    <xf numFmtId="0" fontId="12" fillId="8" borderId="1" xfId="0" applyFont="1" applyFill="1" applyBorder="1" applyAlignment="1">
      <alignment horizontal="right" vertical="center"/>
    </xf>
    <xf numFmtId="3" fontId="12" fillId="8" borderId="1" xfId="0" applyNumberFormat="1" applyFont="1" applyFill="1" applyBorder="1"/>
    <xf numFmtId="1" fontId="1" fillId="6" borderId="0" xfId="0" applyNumberFormat="1" applyFont="1" applyFill="1"/>
    <xf numFmtId="1" fontId="12" fillId="9" borderId="1" xfId="0" applyNumberFormat="1" applyFont="1" applyFill="1" applyBorder="1"/>
    <xf numFmtId="0" fontId="1" fillId="9" borderId="0" xfId="0" applyFont="1" applyFill="1" applyAlignment="1">
      <alignment vertical="center"/>
    </xf>
    <xf numFmtId="0" fontId="16" fillId="3" borderId="8" xfId="0" applyFont="1" applyFill="1" applyBorder="1"/>
    <xf numFmtId="0" fontId="16" fillId="3" borderId="8" xfId="0" applyFont="1" applyFill="1" applyBorder="1" applyAlignment="1">
      <alignment wrapText="1"/>
    </xf>
    <xf numFmtId="0" fontId="4" fillId="3" borderId="3" xfId="0" applyFont="1" applyFill="1" applyBorder="1" applyAlignment="1">
      <alignment horizontal="right" vertical="center"/>
    </xf>
    <xf numFmtId="0" fontId="1" fillId="3" borderId="3" xfId="0" applyFont="1" applyFill="1" applyBorder="1" applyAlignment="1">
      <alignment vertical="center" wrapText="1"/>
    </xf>
    <xf numFmtId="0" fontId="4" fillId="3" borderId="3" xfId="0" applyFont="1" applyFill="1" applyBorder="1" applyAlignment="1">
      <alignment vertical="center" wrapText="1"/>
    </xf>
    <xf numFmtId="0" fontId="23" fillId="3" borderId="3" xfId="0" applyFont="1" applyFill="1" applyBorder="1"/>
    <xf numFmtId="172" fontId="23" fillId="3" borderId="0" xfId="0" applyNumberFormat="1" applyFont="1" applyFill="1"/>
    <xf numFmtId="172" fontId="23" fillId="3" borderId="3" xfId="0" applyNumberFormat="1" applyFont="1" applyFill="1" applyBorder="1"/>
    <xf numFmtId="172" fontId="1" fillId="3" borderId="3" xfId="0" applyNumberFormat="1" applyFont="1" applyFill="1" applyBorder="1"/>
    <xf numFmtId="172" fontId="4" fillId="3" borderId="0" xfId="0" applyNumberFormat="1" applyFont="1" applyFill="1"/>
    <xf numFmtId="172" fontId="4" fillId="3" borderId="4" xfId="0" applyNumberFormat="1" applyFont="1" applyFill="1" applyBorder="1"/>
    <xf numFmtId="0" fontId="4" fillId="9" borderId="12" xfId="0" applyFont="1" applyFill="1" applyBorder="1"/>
    <xf numFmtId="172" fontId="4" fillId="9" borderId="12" xfId="0" applyNumberFormat="1" applyFont="1" applyFill="1" applyBorder="1"/>
    <xf numFmtId="0" fontId="4" fillId="3" borderId="3" xfId="0" applyFont="1" applyFill="1" applyBorder="1"/>
    <xf numFmtId="0" fontId="4" fillId="3" borderId="3" xfId="0" applyFont="1" applyFill="1" applyBorder="1" applyAlignment="1">
      <alignment horizontal="right"/>
    </xf>
    <xf numFmtId="172" fontId="4" fillId="3" borderId="3" xfId="0" applyNumberFormat="1" applyFont="1" applyFill="1" applyBorder="1"/>
    <xf numFmtId="0" fontId="48" fillId="3" borderId="0" xfId="0" applyFont="1" applyFill="1"/>
    <xf numFmtId="0" fontId="49" fillId="3" borderId="0" xfId="0" applyFont="1" applyFill="1"/>
    <xf numFmtId="9" fontId="49" fillId="3" borderId="0" xfId="4" applyFont="1" applyFill="1"/>
    <xf numFmtId="0" fontId="50" fillId="8" borderId="0" xfId="0" applyFont="1" applyFill="1"/>
    <xf numFmtId="0" fontId="52" fillId="3" borderId="0" xfId="0" applyFont="1" applyFill="1"/>
    <xf numFmtId="3" fontId="12" fillId="8" borderId="0" xfId="0" applyNumberFormat="1" applyFont="1" applyFill="1"/>
    <xf numFmtId="0" fontId="17" fillId="8" borderId="4" xfId="0" applyFont="1" applyFill="1" applyBorder="1"/>
    <xf numFmtId="1" fontId="17" fillId="8" borderId="4" xfId="0" applyNumberFormat="1" applyFont="1" applyFill="1" applyBorder="1"/>
    <xf numFmtId="0" fontId="17" fillId="11" borderId="0" xfId="0" applyFont="1" applyFill="1"/>
    <xf numFmtId="0" fontId="12" fillId="11" borderId="0" xfId="0" applyFont="1" applyFill="1"/>
    <xf numFmtId="1" fontId="17" fillId="11" borderId="1" xfId="0" applyNumberFormat="1" applyFont="1" applyFill="1" applyBorder="1"/>
    <xf numFmtId="0" fontId="4" fillId="6" borderId="0" xfId="0" applyFont="1" applyFill="1"/>
    <xf numFmtId="170" fontId="17" fillId="8" borderId="0" xfId="0" applyNumberFormat="1" applyFont="1" applyFill="1"/>
    <xf numFmtId="1" fontId="17" fillId="8" borderId="1" xfId="0" applyNumberFormat="1" applyFont="1" applyFill="1" applyBorder="1"/>
    <xf numFmtId="1" fontId="17" fillId="9" borderId="1" xfId="0" applyNumberFormat="1" applyFont="1" applyFill="1" applyBorder="1"/>
    <xf numFmtId="0" fontId="17" fillId="12" borderId="0" xfId="0" applyFont="1" applyFill="1"/>
    <xf numFmtId="1" fontId="17" fillId="12" borderId="1" xfId="0" applyNumberFormat="1" applyFont="1" applyFill="1" applyBorder="1"/>
    <xf numFmtId="0" fontId="4" fillId="3" borderId="0" xfId="0" applyFont="1" applyFill="1" applyAlignment="1">
      <alignment vertical="center"/>
    </xf>
    <xf numFmtId="3" fontId="1" fillId="3" borderId="0" xfId="0" applyNumberFormat="1" applyFont="1" applyFill="1" applyAlignment="1">
      <alignment vertical="center"/>
    </xf>
    <xf numFmtId="4" fontId="1" fillId="3" borderId="0" xfId="0" applyNumberFormat="1" applyFont="1" applyFill="1" applyAlignment="1">
      <alignment vertical="center"/>
    </xf>
    <xf numFmtId="168" fontId="1" fillId="3" borderId="0" xfId="0" applyNumberFormat="1" applyFont="1" applyFill="1" applyAlignment="1">
      <alignment vertical="center"/>
    </xf>
    <xf numFmtId="3" fontId="4" fillId="3" borderId="0" xfId="0" applyNumberFormat="1" applyFont="1" applyFill="1"/>
    <xf numFmtId="0" fontId="49" fillId="3" borderId="0" xfId="0" applyFont="1" applyFill="1" applyAlignment="1">
      <alignment wrapText="1"/>
    </xf>
    <xf numFmtId="0" fontId="49" fillId="3" borderId="0" xfId="0" applyFont="1" applyFill="1" applyAlignment="1">
      <alignment horizontal="left" vertical="top" wrapText="1"/>
    </xf>
    <xf numFmtId="0" fontId="59" fillId="3" borderId="0" xfId="0" applyFont="1" applyFill="1"/>
    <xf numFmtId="0" fontId="61" fillId="3" borderId="0" xfId="0" applyFont="1" applyFill="1"/>
    <xf numFmtId="0" fontId="59" fillId="3" borderId="13" xfId="0" applyFont="1" applyFill="1" applyBorder="1"/>
    <xf numFmtId="0" fontId="1" fillId="3" borderId="13" xfId="0" applyFont="1" applyFill="1" applyBorder="1"/>
    <xf numFmtId="0" fontId="1" fillId="13" borderId="0" xfId="0" applyFont="1" applyFill="1"/>
    <xf numFmtId="0" fontId="60" fillId="13" borderId="0" xfId="0" applyFont="1" applyFill="1"/>
    <xf numFmtId="0" fontId="62" fillId="3" borderId="0" xfId="0" applyFont="1" applyFill="1"/>
    <xf numFmtId="0" fontId="62" fillId="3" borderId="0" xfId="0" applyFont="1" applyFill="1" applyAlignment="1">
      <alignment horizontal="right"/>
    </xf>
    <xf numFmtId="0" fontId="31" fillId="0" borderId="0" xfId="0" applyFont="1" applyAlignment="1">
      <alignment vertical="center" wrapText="1"/>
    </xf>
    <xf numFmtId="0" fontId="63" fillId="3" borderId="0" xfId="0" applyFont="1" applyFill="1"/>
    <xf numFmtId="0" fontId="64" fillId="3" borderId="0" xfId="0" applyFont="1" applyFill="1"/>
    <xf numFmtId="0" fontId="65" fillId="3" borderId="0" xfId="0" applyFont="1" applyFill="1"/>
    <xf numFmtId="173" fontId="1" fillId="9" borderId="0" xfId="0" applyNumberFormat="1" applyFont="1" applyFill="1"/>
    <xf numFmtId="173" fontId="1" fillId="3" borderId="0" xfId="0" applyNumberFormat="1" applyFont="1" applyFill="1"/>
    <xf numFmtId="173" fontId="4" fillId="3" borderId="4" xfId="0" applyNumberFormat="1" applyFont="1" applyFill="1" applyBorder="1"/>
    <xf numFmtId="1" fontId="1" fillId="0" borderId="0" xfId="0" applyNumberFormat="1" applyFont="1"/>
    <xf numFmtId="0" fontId="4" fillId="2" borderId="0" xfId="0" applyFont="1" applyFill="1" applyAlignment="1">
      <alignment horizontal="right"/>
    </xf>
    <xf numFmtId="0" fontId="1" fillId="4" borderId="0" xfId="0" applyFont="1" applyFill="1"/>
    <xf numFmtId="0" fontId="71" fillId="3" borderId="0" xfId="0" applyFont="1" applyFill="1" applyAlignment="1">
      <alignment vertical="center" wrapText="1"/>
    </xf>
    <xf numFmtId="0" fontId="1" fillId="2" borderId="18" xfId="0" applyFont="1" applyFill="1" applyBorder="1"/>
    <xf numFmtId="172" fontId="1" fillId="2" borderId="18" xfId="0" applyNumberFormat="1" applyFont="1" applyFill="1" applyBorder="1"/>
    <xf numFmtId="0" fontId="1" fillId="2" borderId="19" xfId="0" applyFont="1" applyFill="1" applyBorder="1"/>
    <xf numFmtId="172" fontId="1" fillId="2" borderId="19" xfId="0" applyNumberFormat="1" applyFont="1" applyFill="1" applyBorder="1"/>
    <xf numFmtId="0" fontId="72" fillId="3" borderId="0" xfId="0" applyFont="1" applyFill="1" applyAlignment="1">
      <alignment vertical="center" wrapText="1"/>
    </xf>
    <xf numFmtId="166" fontId="1" fillId="3" borderId="0" xfId="4" applyNumberFormat="1" applyFont="1" applyFill="1" applyProtection="1"/>
    <xf numFmtId="3" fontId="1" fillId="7" borderId="1" xfId="0" applyNumberFormat="1" applyFont="1" applyFill="1" applyBorder="1" applyProtection="1">
      <protection locked="0"/>
    </xf>
    <xf numFmtId="9" fontId="1" fillId="3" borderId="0" xfId="4" applyFont="1" applyFill="1" applyProtection="1"/>
    <xf numFmtId="9" fontId="49" fillId="3" borderId="0" xfId="4" applyFont="1" applyFill="1" applyProtection="1"/>
    <xf numFmtId="1" fontId="1" fillId="7" borderId="1" xfId="0" applyNumberFormat="1" applyFont="1" applyFill="1" applyBorder="1" applyAlignment="1" applyProtection="1">
      <alignment vertical="center"/>
      <protection locked="0"/>
    </xf>
    <xf numFmtId="0" fontId="1" fillId="3" borderId="0" xfId="0" applyFont="1" applyFill="1" applyAlignment="1">
      <alignment horizontal="center" wrapText="1"/>
    </xf>
    <xf numFmtId="0" fontId="4" fillId="3" borderId="0" xfId="0" applyFont="1" applyFill="1" applyAlignment="1">
      <alignment horizontal="center" vertical="center"/>
    </xf>
    <xf numFmtId="0" fontId="1" fillId="3" borderId="0" xfId="0" applyFont="1" applyFill="1" applyAlignment="1">
      <alignment wrapText="1"/>
    </xf>
    <xf numFmtId="0" fontId="4" fillId="3" borderId="3" xfId="0" applyFont="1" applyFill="1" applyBorder="1" applyAlignment="1">
      <alignment vertical="center"/>
    </xf>
    <xf numFmtId="0" fontId="1" fillId="2" borderId="0" xfId="0" applyFont="1" applyFill="1"/>
    <xf numFmtId="0" fontId="1" fillId="16" borderId="1" xfId="0" applyFont="1" applyFill="1" applyBorder="1" applyProtection="1">
      <protection locked="0"/>
    </xf>
    <xf numFmtId="166" fontId="1" fillId="7" borderId="1" xfId="0" applyNumberFormat="1" applyFont="1" applyFill="1" applyBorder="1" applyProtection="1">
      <protection locked="0"/>
    </xf>
    <xf numFmtId="0" fontId="4" fillId="3" borderId="0" xfId="0" applyFont="1" applyFill="1" applyAlignment="1">
      <alignment horizontal="center" wrapText="1"/>
    </xf>
    <xf numFmtId="2" fontId="1" fillId="3" borderId="0" xfId="0" applyNumberFormat="1" applyFont="1" applyFill="1"/>
    <xf numFmtId="2" fontId="1" fillId="3" borderId="0" xfId="0" quotePrefix="1" applyNumberFormat="1" applyFont="1" applyFill="1" applyAlignment="1">
      <alignment horizontal="right" indent="1"/>
    </xf>
    <xf numFmtId="0" fontId="1" fillId="5" borderId="0" xfId="0" applyFont="1" applyFill="1" applyAlignment="1">
      <alignment horizontal="center" wrapText="1"/>
    </xf>
    <xf numFmtId="4" fontId="1" fillId="7" borderId="1" xfId="0" applyNumberFormat="1" applyFont="1" applyFill="1" applyBorder="1" applyProtection="1">
      <protection locked="0"/>
    </xf>
    <xf numFmtId="0" fontId="1" fillId="5" borderId="0" xfId="0" applyFont="1" applyFill="1" applyAlignment="1">
      <alignment horizontal="left" vertical="top"/>
    </xf>
    <xf numFmtId="0" fontId="1" fillId="3" borderId="0" xfId="0" applyFont="1" applyFill="1" applyAlignment="1">
      <alignment horizontal="left" vertical="top"/>
    </xf>
    <xf numFmtId="0" fontId="1" fillId="3" borderId="0" xfId="0" applyFont="1" applyFill="1" applyAlignment="1">
      <alignment horizontal="left" vertical="top" wrapText="1"/>
    </xf>
    <xf numFmtId="0" fontId="1" fillId="3" borderId="0" xfId="0" applyFont="1" applyFill="1" applyAlignment="1">
      <alignment horizontal="right" vertical="top"/>
    </xf>
    <xf numFmtId="0" fontId="19" fillId="3" borderId="0" xfId="0" applyFont="1" applyFill="1" applyAlignment="1">
      <alignment horizontal="left" vertical="top" wrapText="1"/>
    </xf>
    <xf numFmtId="0" fontId="4" fillId="5" borderId="0" xfId="0" applyFont="1" applyFill="1"/>
    <xf numFmtId="0" fontId="4" fillId="9" borderId="0" xfId="0" applyFont="1" applyFill="1" applyAlignment="1">
      <alignment vertical="center"/>
    </xf>
    <xf numFmtId="0" fontId="12" fillId="9" borderId="0" xfId="0" applyFont="1" applyFill="1" applyAlignment="1">
      <alignment horizontal="left" vertical="center" wrapText="1"/>
    </xf>
    <xf numFmtId="0" fontId="12" fillId="9" borderId="0" xfId="0" applyFont="1" applyFill="1" applyAlignment="1">
      <alignment horizontal="right" vertical="center" wrapText="1"/>
    </xf>
    <xf numFmtId="0" fontId="4" fillId="4" borderId="0" xfId="0" applyFont="1" applyFill="1" applyAlignment="1">
      <alignment vertical="center"/>
    </xf>
    <xf numFmtId="2" fontId="4" fillId="4" borderId="0" xfId="0" applyNumberFormat="1" applyFont="1" applyFill="1" applyAlignment="1">
      <alignment vertical="center"/>
    </xf>
    <xf numFmtId="0" fontId="12" fillId="3" borderId="0" xfId="0" applyFont="1" applyFill="1" applyAlignment="1">
      <alignment horizontal="left" vertical="center" wrapText="1"/>
    </xf>
    <xf numFmtId="0" fontId="12" fillId="3" borderId="0" xfId="0" applyFont="1" applyFill="1" applyAlignment="1">
      <alignment horizontal="right" vertical="center" wrapText="1"/>
    </xf>
    <xf numFmtId="1" fontId="17" fillId="16" borderId="0" xfId="0" applyNumberFormat="1" applyFont="1" applyFill="1" applyAlignment="1">
      <alignment horizontal="right" vertical="center"/>
    </xf>
    <xf numFmtId="2" fontId="17" fillId="16" borderId="0" xfId="0" applyNumberFormat="1" applyFont="1" applyFill="1" applyAlignment="1">
      <alignment vertical="center"/>
    </xf>
    <xf numFmtId="1" fontId="4" fillId="4" borderId="0" xfId="0" applyNumberFormat="1" applyFont="1" applyFill="1" applyAlignment="1">
      <alignment vertical="center"/>
    </xf>
    <xf numFmtId="170" fontId="4" fillId="16" borderId="0" xfId="0" applyNumberFormat="1" applyFont="1" applyFill="1" applyAlignment="1">
      <alignment horizontal="right" vertical="center"/>
    </xf>
    <xf numFmtId="0" fontId="4" fillId="16" borderId="0" xfId="0" applyFont="1" applyFill="1" applyAlignment="1">
      <alignment vertical="center"/>
    </xf>
    <xf numFmtId="170" fontId="4" fillId="4" borderId="0" xfId="0" applyNumberFormat="1" applyFont="1" applyFill="1" applyAlignment="1">
      <alignment horizontal="right" vertical="center"/>
    </xf>
    <xf numFmtId="2" fontId="4" fillId="16" borderId="0" xfId="0" applyNumberFormat="1" applyFont="1" applyFill="1" applyAlignment="1">
      <alignment horizontal="right" vertical="center"/>
    </xf>
    <xf numFmtId="0" fontId="17" fillId="4" borderId="0" xfId="0" applyFont="1" applyFill="1" applyAlignment="1">
      <alignment vertical="center"/>
    </xf>
    <xf numFmtId="2" fontId="1" fillId="5" borderId="0" xfId="0" applyNumberFormat="1" applyFont="1" applyFill="1"/>
    <xf numFmtId="0" fontId="12" fillId="9" borderId="0" xfId="0" applyFont="1" applyFill="1" applyAlignment="1">
      <alignment vertical="center"/>
    </xf>
    <xf numFmtId="0" fontId="12" fillId="9" borderId="0" xfId="0" applyFont="1" applyFill="1" applyAlignment="1">
      <alignment horizontal="right" vertical="center"/>
    </xf>
    <xf numFmtId="49" fontId="12" fillId="9" borderId="0" xfId="0" applyNumberFormat="1" applyFont="1" applyFill="1" applyAlignment="1">
      <alignment horizontal="right" vertical="center"/>
    </xf>
    <xf numFmtId="0" fontId="1" fillId="9" borderId="0" xfId="0" applyFont="1" applyFill="1" applyAlignment="1">
      <alignment horizontal="right" vertical="center"/>
    </xf>
    <xf numFmtId="0" fontId="1" fillId="3" borderId="8" xfId="0" applyFont="1" applyFill="1" applyBorder="1" applyAlignment="1">
      <alignment vertical="center"/>
    </xf>
    <xf numFmtId="0" fontId="1" fillId="3" borderId="8" xfId="0" applyFont="1" applyFill="1" applyBorder="1" applyAlignment="1">
      <alignment horizontal="right" vertical="center"/>
    </xf>
    <xf numFmtId="0" fontId="1" fillId="4" borderId="8" xfId="0" applyFont="1" applyFill="1" applyBorder="1" applyAlignment="1">
      <alignment vertical="center"/>
    </xf>
    <xf numFmtId="0" fontId="4" fillId="3" borderId="0" xfId="0" applyFont="1" applyFill="1" applyAlignment="1">
      <alignment horizontal="right" vertical="center"/>
    </xf>
    <xf numFmtId="0" fontId="1" fillId="3" borderId="3" xfId="0" applyFont="1" applyFill="1" applyBorder="1" applyAlignment="1">
      <alignment vertical="center"/>
    </xf>
    <xf numFmtId="0" fontId="11" fillId="3" borderId="0" xfId="0" applyFont="1" applyFill="1" applyAlignment="1">
      <alignment vertical="center"/>
    </xf>
    <xf numFmtId="0" fontId="1" fillId="3" borderId="0" xfId="0" applyFont="1" applyFill="1" applyAlignment="1">
      <alignment horizontal="right" vertical="center"/>
    </xf>
    <xf numFmtId="0" fontId="1" fillId="4" borderId="0" xfId="0" applyFont="1" applyFill="1" applyAlignment="1">
      <alignment vertical="center"/>
    </xf>
    <xf numFmtId="0" fontId="12" fillId="3" borderId="3" xfId="0" applyFont="1" applyFill="1" applyBorder="1" applyAlignment="1">
      <alignment vertical="center"/>
    </xf>
    <xf numFmtId="0" fontId="1" fillId="3" borderId="3" xfId="0" applyFont="1" applyFill="1" applyBorder="1" applyAlignment="1">
      <alignment horizontal="right" vertical="center"/>
    </xf>
    <xf numFmtId="0" fontId="1" fillId="4" borderId="3" xfId="0" applyFont="1" applyFill="1" applyBorder="1" applyAlignment="1">
      <alignment vertical="center"/>
    </xf>
    <xf numFmtId="0" fontId="1" fillId="3" borderId="0" xfId="0" applyFont="1" applyFill="1" applyAlignment="1">
      <alignment horizontal="right"/>
    </xf>
    <xf numFmtId="0" fontId="1" fillId="5" borderId="0" xfId="0" applyFont="1" applyFill="1" applyAlignment="1">
      <alignment horizontal="right"/>
    </xf>
    <xf numFmtId="0" fontId="14" fillId="5" borderId="0" xfId="0" applyFont="1" applyFill="1"/>
    <xf numFmtId="0" fontId="24" fillId="5" borderId="0" xfId="0" applyFont="1" applyFill="1"/>
    <xf numFmtId="0" fontId="7" fillId="3" borderId="0" xfId="0" applyFont="1" applyFill="1" applyAlignment="1">
      <alignment vertical="center"/>
    </xf>
    <xf numFmtId="0" fontId="15" fillId="3" borderId="0" xfId="0" applyFont="1" applyFill="1"/>
    <xf numFmtId="0" fontId="6" fillId="3" borderId="0" xfId="0" applyFont="1" applyFill="1" applyAlignment="1">
      <alignment vertical="center"/>
    </xf>
    <xf numFmtId="0" fontId="21" fillId="3" borderId="0" xfId="0" applyFont="1" applyFill="1"/>
    <xf numFmtId="0" fontId="9" fillId="3" borderId="0" xfId="0" applyFont="1" applyFill="1" applyAlignment="1">
      <alignment vertical="center"/>
    </xf>
    <xf numFmtId="0" fontId="8" fillId="3" borderId="0" xfId="0" applyFont="1" applyFill="1" applyAlignment="1">
      <alignment horizontal="left" vertical="center"/>
    </xf>
    <xf numFmtId="0" fontId="9" fillId="3" borderId="0" xfId="0" applyFont="1" applyFill="1" applyAlignment="1">
      <alignment horizontal="left" vertical="center"/>
    </xf>
    <xf numFmtId="0" fontId="10" fillId="3" borderId="0" xfId="0" applyFont="1" applyFill="1" applyAlignment="1">
      <alignment vertical="center"/>
    </xf>
    <xf numFmtId="0" fontId="17" fillId="3" borderId="0" xfId="0" applyFont="1" applyFill="1" applyAlignment="1">
      <alignment horizontal="center" vertical="center"/>
    </xf>
    <xf numFmtId="0" fontId="17" fillId="3" borderId="0" xfId="0" applyFont="1" applyFill="1" applyAlignment="1">
      <alignment vertical="center" wrapText="1"/>
    </xf>
    <xf numFmtId="0" fontId="17" fillId="3" borderId="0" xfId="0" applyFont="1" applyFill="1" applyAlignment="1">
      <alignment horizontal="left" vertical="center"/>
    </xf>
    <xf numFmtId="165" fontId="1" fillId="3" borderId="0" xfId="0" applyNumberFormat="1" applyFont="1" applyFill="1"/>
    <xf numFmtId="165" fontId="1" fillId="3" borderId="0" xfId="0" applyNumberFormat="1" applyFont="1" applyFill="1" applyAlignment="1">
      <alignment horizontal="right"/>
    </xf>
    <xf numFmtId="0" fontId="11" fillId="3" borderId="0" xfId="0" applyFont="1" applyFill="1" applyAlignment="1">
      <alignment horizontal="left" vertical="center" wrapText="1" readingOrder="1"/>
    </xf>
    <xf numFmtId="165" fontId="4" fillId="3" borderId="0" xfId="0" applyNumberFormat="1" applyFont="1" applyFill="1"/>
    <xf numFmtId="0" fontId="11" fillId="3" borderId="0" xfId="0" applyFont="1" applyFill="1" applyAlignment="1">
      <alignment horizontal="right" vertical="center" wrapText="1" readingOrder="1"/>
    </xf>
    <xf numFmtId="165" fontId="12" fillId="3" borderId="0" xfId="0" applyNumberFormat="1" applyFont="1" applyFill="1" applyAlignment="1">
      <alignment horizontal="right" vertical="center"/>
    </xf>
    <xf numFmtId="0" fontId="13" fillId="3" borderId="0" xfId="0" applyFont="1" applyFill="1"/>
    <xf numFmtId="165" fontId="13" fillId="3" borderId="0" xfId="0" applyNumberFormat="1" applyFont="1" applyFill="1"/>
    <xf numFmtId="0" fontId="13" fillId="3" borderId="0" xfId="0" applyFont="1" applyFill="1" applyAlignment="1">
      <alignment horizontal="right"/>
    </xf>
    <xf numFmtId="165" fontId="49" fillId="3" borderId="0" xfId="0" applyNumberFormat="1" applyFont="1" applyFill="1"/>
    <xf numFmtId="0" fontId="49" fillId="5" borderId="0" xfId="0" applyFont="1" applyFill="1"/>
    <xf numFmtId="0" fontId="49" fillId="3" borderId="0" xfId="0" applyFont="1" applyFill="1" applyAlignment="1">
      <alignment horizontal="right"/>
    </xf>
    <xf numFmtId="0" fontId="14" fillId="3" borderId="0" xfId="0" applyFont="1" applyFill="1" applyAlignment="1">
      <alignment horizontal="right"/>
    </xf>
    <xf numFmtId="165" fontId="1" fillId="3" borderId="8" xfId="0" applyNumberFormat="1" applyFont="1" applyFill="1" applyBorder="1"/>
    <xf numFmtId="0" fontId="10" fillId="5" borderId="0" xfId="0" applyFont="1" applyFill="1" applyAlignment="1">
      <alignment horizontal="center" vertical="center"/>
    </xf>
    <xf numFmtId="0" fontId="16" fillId="5" borderId="0" xfId="0" applyFont="1" applyFill="1"/>
    <xf numFmtId="165" fontId="10" fillId="5" borderId="0" xfId="0" applyNumberFormat="1" applyFont="1" applyFill="1" applyAlignment="1">
      <alignment horizontal="center" vertical="center"/>
    </xf>
    <xf numFmtId="164" fontId="14" fillId="5" borderId="0" xfId="3" applyNumberFormat="1" applyFont="1" applyFill="1" applyBorder="1" applyProtection="1"/>
    <xf numFmtId="0" fontId="14" fillId="5" borderId="0" xfId="0" applyFont="1" applyFill="1" applyAlignment="1">
      <alignment horizontal="center" vertical="center"/>
    </xf>
    <xf numFmtId="165" fontId="14" fillId="5" borderId="0" xfId="0" applyNumberFormat="1" applyFont="1" applyFill="1"/>
    <xf numFmtId="165" fontId="14" fillId="5" borderId="0" xfId="0" applyNumberFormat="1" applyFont="1" applyFill="1" applyAlignment="1">
      <alignment vertical="center" wrapText="1"/>
    </xf>
    <xf numFmtId="165" fontId="12" fillId="5" borderId="0" xfId="0" applyNumberFormat="1" applyFont="1" applyFill="1" applyAlignment="1">
      <alignment horizontal="right" vertical="center"/>
    </xf>
    <xf numFmtId="165" fontId="5" fillId="5" borderId="0" xfId="0" applyNumberFormat="1" applyFont="1" applyFill="1"/>
    <xf numFmtId="0" fontId="12" fillId="5" borderId="0" xfId="0" applyFont="1" applyFill="1" applyAlignment="1">
      <alignment vertical="center"/>
    </xf>
    <xf numFmtId="165" fontId="5" fillId="5" borderId="0" xfId="0" applyNumberFormat="1" applyFont="1" applyFill="1" applyAlignment="1">
      <alignment vertical="center" wrapText="1"/>
    </xf>
    <xf numFmtId="0" fontId="4" fillId="5" borderId="0" xfId="0" applyFont="1" applyFill="1" applyAlignment="1">
      <alignment wrapText="1"/>
    </xf>
    <xf numFmtId="0" fontId="1" fillId="5" borderId="0" xfId="0" applyFont="1" applyFill="1" applyAlignment="1">
      <alignment wrapText="1"/>
    </xf>
    <xf numFmtId="0" fontId="1" fillId="5" borderId="0" xfId="0" quotePrefix="1" applyFont="1" applyFill="1"/>
    <xf numFmtId="165" fontId="1" fillId="7" borderId="1" xfId="0" applyNumberFormat="1" applyFont="1" applyFill="1" applyBorder="1" applyProtection="1">
      <protection locked="0"/>
    </xf>
    <xf numFmtId="165" fontId="49" fillId="7" borderId="1" xfId="0" applyNumberFormat="1" applyFont="1" applyFill="1" applyBorder="1" applyProtection="1">
      <protection locked="0"/>
    </xf>
    <xf numFmtId="0" fontId="16" fillId="3" borderId="0" xfId="0" applyFont="1" applyFill="1"/>
    <xf numFmtId="0" fontId="4" fillId="3" borderId="1" xfId="0" applyFont="1" applyFill="1" applyBorder="1"/>
    <xf numFmtId="0" fontId="9" fillId="3" borderId="5" xfId="0" applyFont="1" applyFill="1" applyBorder="1" applyAlignment="1">
      <alignment vertical="center"/>
    </xf>
    <xf numFmtId="0" fontId="9" fillId="3" borderId="6" xfId="0" applyFont="1" applyFill="1" applyBorder="1" applyAlignment="1">
      <alignment vertical="center"/>
    </xf>
    <xf numFmtId="0" fontId="1" fillId="3" borderId="16" xfId="0" applyFont="1" applyFill="1" applyBorder="1"/>
    <xf numFmtId="0" fontId="1" fillId="3" borderId="12" xfId="0" applyFont="1" applyFill="1" applyBorder="1"/>
    <xf numFmtId="0" fontId="1" fillId="3" borderId="17" xfId="0" applyFont="1" applyFill="1" applyBorder="1"/>
    <xf numFmtId="0" fontId="1" fillId="3" borderId="1" xfId="0" applyFont="1" applyFill="1" applyBorder="1"/>
    <xf numFmtId="0" fontId="9" fillId="3" borderId="5" xfId="0" applyFont="1" applyFill="1" applyBorder="1" applyAlignment="1">
      <alignment horizontal="center" vertical="center"/>
    </xf>
    <xf numFmtId="0" fontId="9" fillId="3" borderId="0" xfId="0" applyFont="1" applyFill="1" applyAlignment="1">
      <alignment horizontal="center" vertical="center"/>
    </xf>
    <xf numFmtId="0" fontId="9" fillId="3" borderId="6" xfId="0" applyFont="1" applyFill="1" applyBorder="1" applyAlignment="1">
      <alignment horizontal="center" vertical="center"/>
    </xf>
    <xf numFmtId="0" fontId="1" fillId="3" borderId="14" xfId="0" applyFont="1" applyFill="1" applyBorder="1"/>
    <xf numFmtId="0" fontId="1" fillId="3" borderId="15" xfId="0" applyFont="1" applyFill="1" applyBorder="1"/>
    <xf numFmtId="0" fontId="1" fillId="3" borderId="5" xfId="0" applyFont="1" applyFill="1" applyBorder="1"/>
    <xf numFmtId="0" fontId="1" fillId="3" borderId="6" xfId="0" applyFont="1" applyFill="1" applyBorder="1"/>
    <xf numFmtId="0" fontId="1" fillId="3" borderId="20" xfId="0" quotePrefix="1" applyFont="1" applyFill="1" applyBorder="1"/>
    <xf numFmtId="165" fontId="1" fillId="3" borderId="5" xfId="0" applyNumberFormat="1" applyFont="1" applyFill="1" applyBorder="1" applyAlignment="1">
      <alignment horizontal="center"/>
    </xf>
    <xf numFmtId="165" fontId="1" fillId="3" borderId="0" xfId="0" applyNumberFormat="1" applyFont="1" applyFill="1" applyAlignment="1">
      <alignment horizontal="center"/>
    </xf>
    <xf numFmtId="165" fontId="1" fillId="3" borderId="6" xfId="0" applyNumberFormat="1" applyFont="1" applyFill="1" applyBorder="1" applyAlignment="1">
      <alignment horizontal="center"/>
    </xf>
    <xf numFmtId="0" fontId="1" fillId="3" borderId="0" xfId="0" applyFont="1" applyFill="1" applyAlignment="1">
      <alignment horizontal="center"/>
    </xf>
    <xf numFmtId="165" fontId="1" fillId="3" borderId="5" xfId="0" quotePrefix="1" applyNumberFormat="1" applyFont="1" applyFill="1" applyBorder="1" applyAlignment="1">
      <alignment horizontal="center"/>
    </xf>
    <xf numFmtId="165" fontId="1" fillId="3" borderId="0" xfId="0" quotePrefix="1" applyNumberFormat="1" applyFont="1" applyFill="1" applyAlignment="1">
      <alignment horizontal="center"/>
    </xf>
    <xf numFmtId="165" fontId="1" fillId="3" borderId="6" xfId="0" quotePrefix="1" applyNumberFormat="1" applyFont="1" applyFill="1" applyBorder="1" applyAlignment="1">
      <alignment horizontal="center"/>
    </xf>
    <xf numFmtId="0" fontId="1" fillId="3" borderId="0" xfId="0" quotePrefix="1" applyFont="1" applyFill="1"/>
    <xf numFmtId="165" fontId="12" fillId="3" borderId="0" xfId="0" applyNumberFormat="1" applyFont="1" applyFill="1" applyAlignment="1">
      <alignment horizontal="center" vertical="center"/>
    </xf>
    <xf numFmtId="165" fontId="12" fillId="3" borderId="6" xfId="0" applyNumberFormat="1" applyFont="1" applyFill="1" applyBorder="1" applyAlignment="1">
      <alignment horizontal="center" vertical="center"/>
    </xf>
    <xf numFmtId="165" fontId="12" fillId="3" borderId="5" xfId="0" applyNumberFormat="1" applyFont="1" applyFill="1" applyBorder="1" applyAlignment="1">
      <alignment horizontal="center" vertical="center"/>
    </xf>
    <xf numFmtId="0" fontId="1" fillId="3" borderId="20" xfId="0" applyFont="1" applyFill="1" applyBorder="1"/>
    <xf numFmtId="0" fontId="1" fillId="3" borderId="5" xfId="0" applyFont="1" applyFill="1" applyBorder="1" applyAlignment="1">
      <alignment horizontal="center"/>
    </xf>
    <xf numFmtId="0" fontId="1" fillId="3" borderId="6" xfId="0" applyFont="1" applyFill="1" applyBorder="1" applyAlignment="1">
      <alignment horizontal="center"/>
    </xf>
    <xf numFmtId="0" fontId="13" fillId="3" borderId="5" xfId="0" applyFont="1" applyFill="1" applyBorder="1" applyAlignment="1">
      <alignment horizontal="center"/>
    </xf>
    <xf numFmtId="0" fontId="13" fillId="3" borderId="0" xfId="0" applyFont="1" applyFill="1" applyAlignment="1">
      <alignment horizontal="center"/>
    </xf>
    <xf numFmtId="0" fontId="13" fillId="3" borderId="6" xfId="0" applyFont="1" applyFill="1" applyBorder="1" applyAlignment="1">
      <alignment horizontal="center"/>
    </xf>
    <xf numFmtId="165" fontId="55" fillId="3" borderId="0" xfId="0" applyNumberFormat="1" applyFont="1" applyFill="1"/>
    <xf numFmtId="0" fontId="54" fillId="3" borderId="0" xfId="0" applyFont="1" applyFill="1"/>
    <xf numFmtId="165" fontId="54" fillId="3" borderId="5" xfId="0" quotePrefix="1" applyNumberFormat="1" applyFont="1" applyFill="1" applyBorder="1" applyAlignment="1">
      <alignment horizontal="center"/>
    </xf>
    <xf numFmtId="165" fontId="54" fillId="3" borderId="0" xfId="0" quotePrefix="1" applyNumberFormat="1" applyFont="1" applyFill="1" applyAlignment="1">
      <alignment horizontal="center"/>
    </xf>
    <xf numFmtId="165" fontId="54" fillId="3" borderId="6" xfId="0" quotePrefix="1" applyNumberFormat="1" applyFont="1" applyFill="1" applyBorder="1" applyAlignment="1">
      <alignment horizontal="center"/>
    </xf>
    <xf numFmtId="0" fontId="54" fillId="3" borderId="0" xfId="0" applyFont="1" applyFill="1" applyAlignment="1">
      <alignment horizontal="center"/>
    </xf>
    <xf numFmtId="0" fontId="54" fillId="3" borderId="5" xfId="0" applyFont="1" applyFill="1" applyBorder="1" applyAlignment="1">
      <alignment horizontal="center"/>
    </xf>
    <xf numFmtId="0" fontId="54" fillId="3" borderId="6" xfId="0" applyFont="1" applyFill="1" applyBorder="1" applyAlignment="1">
      <alignment horizontal="center"/>
    </xf>
    <xf numFmtId="165" fontId="13" fillId="3" borderId="5" xfId="0" applyNumberFormat="1" applyFont="1" applyFill="1" applyBorder="1" applyAlignment="1">
      <alignment horizontal="center"/>
    </xf>
    <xf numFmtId="165" fontId="13" fillId="3" borderId="6" xfId="0" applyNumberFormat="1" applyFont="1" applyFill="1" applyBorder="1" applyAlignment="1">
      <alignment horizontal="center"/>
    </xf>
    <xf numFmtId="171" fontId="1" fillId="3" borderId="5" xfId="0" applyNumberFormat="1" applyFont="1" applyFill="1" applyBorder="1" applyAlignment="1">
      <alignment horizontal="center"/>
    </xf>
    <xf numFmtId="171" fontId="1" fillId="3" borderId="0" xfId="0" applyNumberFormat="1" applyFont="1" applyFill="1" applyAlignment="1">
      <alignment horizontal="center"/>
    </xf>
    <xf numFmtId="171" fontId="1" fillId="3" borderId="6" xfId="0" applyNumberFormat="1" applyFont="1" applyFill="1" applyBorder="1" applyAlignment="1">
      <alignment horizontal="center"/>
    </xf>
    <xf numFmtId="0" fontId="6" fillId="3" borderId="6" xfId="0" applyFont="1" applyFill="1" applyBorder="1" applyAlignment="1">
      <alignment horizontal="center" vertical="center"/>
    </xf>
    <xf numFmtId="165" fontId="12" fillId="3" borderId="0" xfId="0" applyNumberFormat="1" applyFont="1" applyFill="1" applyAlignment="1">
      <alignment vertical="center"/>
    </xf>
    <xf numFmtId="165" fontId="12" fillId="3" borderId="6" xfId="0" applyNumberFormat="1" applyFont="1" applyFill="1" applyBorder="1" applyAlignment="1">
      <alignment horizontal="left" vertical="center"/>
    </xf>
    <xf numFmtId="165" fontId="12" fillId="3" borderId="6" xfId="0" applyNumberFormat="1" applyFont="1" applyFill="1" applyBorder="1" applyAlignment="1">
      <alignment horizontal="left" vertical="center" wrapText="1"/>
    </xf>
    <xf numFmtId="165" fontId="1" fillId="3" borderId="7" xfId="0" quotePrefix="1" applyNumberFormat="1" applyFont="1" applyFill="1" applyBorder="1" applyAlignment="1">
      <alignment horizontal="center"/>
    </xf>
    <xf numFmtId="165" fontId="1" fillId="3" borderId="3" xfId="0" quotePrefix="1" applyNumberFormat="1" applyFont="1" applyFill="1" applyBorder="1" applyAlignment="1">
      <alignment horizontal="center"/>
    </xf>
    <xf numFmtId="165" fontId="1" fillId="3" borderId="2" xfId="0" quotePrefix="1" applyNumberFormat="1" applyFont="1" applyFill="1" applyBorder="1" applyAlignment="1">
      <alignment horizontal="center"/>
    </xf>
    <xf numFmtId="171" fontId="1" fillId="3" borderId="7" xfId="0" applyNumberFormat="1" applyFont="1" applyFill="1" applyBorder="1" applyAlignment="1">
      <alignment horizontal="center"/>
    </xf>
    <xf numFmtId="171" fontId="1" fillId="3" borderId="3" xfId="0" applyNumberFormat="1" applyFont="1" applyFill="1" applyBorder="1" applyAlignment="1">
      <alignment horizontal="center"/>
    </xf>
    <xf numFmtId="171" fontId="1" fillId="3" borderId="2" xfId="0" applyNumberFormat="1" applyFont="1" applyFill="1" applyBorder="1" applyAlignment="1">
      <alignment horizontal="center"/>
    </xf>
    <xf numFmtId="0" fontId="1" fillId="3" borderId="7" xfId="0" applyFont="1" applyFill="1" applyBorder="1" applyAlignment="1">
      <alignment horizontal="center"/>
    </xf>
    <xf numFmtId="0" fontId="1" fillId="3" borderId="3" xfId="0" applyFont="1" applyFill="1" applyBorder="1" applyAlignment="1">
      <alignment horizontal="center"/>
    </xf>
    <xf numFmtId="0" fontId="6" fillId="3" borderId="2" xfId="0" applyFont="1" applyFill="1" applyBorder="1" applyAlignment="1">
      <alignment horizontal="center" vertical="center"/>
    </xf>
    <xf numFmtId="0" fontId="1" fillId="3" borderId="7" xfId="0" applyFont="1" applyFill="1" applyBorder="1"/>
    <xf numFmtId="165" fontId="12" fillId="3" borderId="2" xfId="0" applyNumberFormat="1" applyFont="1" applyFill="1" applyBorder="1" applyAlignment="1">
      <alignment horizontal="left" vertical="center"/>
    </xf>
    <xf numFmtId="0" fontId="1" fillId="3" borderId="21" xfId="0" quotePrefix="1" applyFont="1" applyFill="1" applyBorder="1"/>
    <xf numFmtId="171" fontId="1" fillId="3" borderId="0" xfId="0" applyNumberFormat="1" applyFont="1" applyFill="1"/>
    <xf numFmtId="171" fontId="46" fillId="5" borderId="0" xfId="0" applyNumberFormat="1" applyFont="1" applyFill="1" applyAlignment="1">
      <alignment vertical="center"/>
    </xf>
    <xf numFmtId="3" fontId="1" fillId="7" borderId="1" xfId="0" applyNumberFormat="1" applyFont="1" applyFill="1" applyBorder="1" applyAlignment="1" applyProtection="1">
      <alignment vertical="center"/>
      <protection locked="0"/>
    </xf>
    <xf numFmtId="170" fontId="1" fillId="7" borderId="1" xfId="0" applyNumberFormat="1" applyFont="1" applyFill="1" applyBorder="1" applyAlignment="1" applyProtection="1">
      <alignment vertical="center"/>
      <protection locked="0"/>
    </xf>
    <xf numFmtId="0" fontId="12" fillId="14" borderId="0" xfId="0" applyFont="1" applyFill="1"/>
    <xf numFmtId="0" fontId="12" fillId="9" borderId="0" xfId="0" applyFont="1" applyFill="1"/>
    <xf numFmtId="0" fontId="12" fillId="15" borderId="0" xfId="0" applyFont="1" applyFill="1"/>
    <xf numFmtId="0" fontId="31" fillId="3" borderId="0" xfId="0" applyFont="1" applyFill="1" applyAlignment="1">
      <alignment vertical="center" wrapText="1"/>
    </xf>
    <xf numFmtId="170" fontId="12" fillId="14" borderId="1" xfId="0" applyNumberFormat="1" applyFont="1" applyFill="1" applyBorder="1"/>
    <xf numFmtId="0" fontId="12" fillId="10" borderId="1" xfId="0" applyFont="1" applyFill="1" applyBorder="1"/>
    <xf numFmtId="11" fontId="12" fillId="10" borderId="1" xfId="0" applyNumberFormat="1" applyFont="1" applyFill="1" applyBorder="1"/>
    <xf numFmtId="1" fontId="12" fillId="8" borderId="1" xfId="0" applyNumberFormat="1" applyFont="1" applyFill="1" applyBorder="1" applyAlignment="1">
      <alignment vertical="center"/>
    </xf>
    <xf numFmtId="11" fontId="12" fillId="8" borderId="1" xfId="0" applyNumberFormat="1" applyFont="1" applyFill="1" applyBorder="1" applyAlignment="1">
      <alignment vertical="center"/>
    </xf>
    <xf numFmtId="3" fontId="12" fillId="10" borderId="1" xfId="0" applyNumberFormat="1" applyFont="1" applyFill="1" applyBorder="1"/>
    <xf numFmtId="0" fontId="12" fillId="10" borderId="0" xfId="0" applyFont="1" applyFill="1"/>
    <xf numFmtId="0" fontId="66" fillId="3" borderId="0" xfId="0" quotePrefix="1" applyFont="1" applyFill="1" applyAlignment="1">
      <alignment horizontal="left" vertical="top" wrapText="1"/>
    </xf>
    <xf numFmtId="0" fontId="4" fillId="3" borderId="0" xfId="0" applyFont="1" applyFill="1" applyAlignment="1">
      <alignment horizontal="left" wrapText="1"/>
    </xf>
    <xf numFmtId="2" fontId="12" fillId="8" borderId="1" xfId="0" applyNumberFormat="1" applyFont="1" applyFill="1" applyBorder="1"/>
    <xf numFmtId="2" fontId="12" fillId="8" borderId="0" xfId="0" applyNumberFormat="1" applyFont="1" applyFill="1"/>
    <xf numFmtId="3" fontId="1" fillId="3" borderId="0" xfId="0" quotePrefix="1" applyNumberFormat="1" applyFont="1" applyFill="1" applyAlignment="1">
      <alignment horizontal="right" vertical="center"/>
    </xf>
    <xf numFmtId="0" fontId="68" fillId="3" borderId="0" xfId="0" applyFont="1" applyFill="1" applyAlignment="1">
      <alignment horizontal="right" vertical="top"/>
    </xf>
    <xf numFmtId="0" fontId="52" fillId="3" borderId="0" xfId="0" applyFont="1" applyFill="1" applyAlignment="1">
      <alignment horizontal="left"/>
    </xf>
    <xf numFmtId="171" fontId="1" fillId="7" borderId="1" xfId="0" applyNumberFormat="1" applyFont="1" applyFill="1" applyBorder="1" applyAlignment="1" applyProtection="1">
      <alignment vertical="center"/>
      <protection locked="0"/>
    </xf>
    <xf numFmtId="3" fontId="1" fillId="0" borderId="0" xfId="0" applyNumberFormat="1" applyFont="1" applyAlignment="1">
      <alignment vertical="center"/>
    </xf>
    <xf numFmtId="174" fontId="1" fillId="3" borderId="0" xfId="0" quotePrefix="1" applyNumberFormat="1" applyFont="1" applyFill="1" applyAlignment="1">
      <alignment horizontal="right" vertical="center"/>
    </xf>
    <xf numFmtId="0" fontId="12" fillId="8" borderId="1" xfId="0" applyFont="1" applyFill="1" applyBorder="1"/>
    <xf numFmtId="0" fontId="28" fillId="5" borderId="0" xfId="0" applyFont="1" applyFill="1" applyAlignment="1">
      <alignment horizontal="left" vertical="top"/>
    </xf>
    <xf numFmtId="0" fontId="30" fillId="5" borderId="0" xfId="7" applyFont="1" applyFill="1" applyBorder="1" applyAlignment="1" applyProtection="1">
      <alignment horizontal="left" vertical="top"/>
    </xf>
    <xf numFmtId="0" fontId="28" fillId="3" borderId="0" xfId="0" applyFont="1" applyFill="1" applyAlignment="1">
      <alignment horizontal="left" vertical="top"/>
    </xf>
    <xf numFmtId="0" fontId="30" fillId="3" borderId="0" xfId="7" applyFont="1" applyFill="1" applyBorder="1" applyAlignment="1" applyProtection="1">
      <alignment horizontal="left" vertical="top"/>
    </xf>
    <xf numFmtId="0" fontId="43" fillId="3" borderId="0" xfId="7" applyFont="1" applyFill="1" applyBorder="1" applyAlignment="1" applyProtection="1">
      <alignment horizontal="left" vertical="top"/>
    </xf>
    <xf numFmtId="0" fontId="44" fillId="3" borderId="0" xfId="7" applyFont="1" applyFill="1" applyBorder="1" applyAlignment="1" applyProtection="1">
      <alignment horizontal="left" vertical="top"/>
    </xf>
    <xf numFmtId="0" fontId="31" fillId="3" borderId="0" xfId="0" applyFont="1" applyFill="1" applyAlignment="1">
      <alignment horizontal="left" vertical="top"/>
    </xf>
    <xf numFmtId="0" fontId="32" fillId="3" borderId="0" xfId="7" applyFont="1" applyFill="1" applyBorder="1" applyAlignment="1" applyProtection="1">
      <alignment horizontal="left" vertical="top"/>
    </xf>
    <xf numFmtId="0" fontId="31" fillId="5" borderId="0" xfId="0" applyFont="1" applyFill="1" applyAlignment="1">
      <alignment horizontal="left" vertical="top"/>
    </xf>
    <xf numFmtId="0" fontId="33" fillId="3" borderId="0" xfId="0" applyFont="1" applyFill="1" applyAlignment="1">
      <alignment horizontal="left" vertical="top"/>
    </xf>
    <xf numFmtId="0" fontId="45" fillId="3" borderId="0" xfId="7" applyFont="1" applyFill="1" applyBorder="1" applyAlignment="1" applyProtection="1">
      <alignment horizontal="left" vertical="top"/>
    </xf>
    <xf numFmtId="0" fontId="34" fillId="3" borderId="0" xfId="7" applyFont="1" applyFill="1" applyBorder="1" applyAlignment="1" applyProtection="1">
      <alignment horizontal="left" vertical="top"/>
    </xf>
    <xf numFmtId="0" fontId="33" fillId="5" borderId="0" xfId="0" applyFont="1" applyFill="1" applyAlignment="1">
      <alignment horizontal="left" vertical="top"/>
    </xf>
    <xf numFmtId="0" fontId="32" fillId="2" borderId="11" xfId="7" applyFont="1" applyFill="1" applyBorder="1" applyAlignment="1" applyProtection="1">
      <alignment horizontal="left" vertical="top"/>
    </xf>
    <xf numFmtId="0" fontId="36" fillId="3" borderId="0" xfId="0" applyFont="1" applyFill="1" applyAlignment="1">
      <alignment horizontal="left" vertical="top"/>
    </xf>
    <xf numFmtId="0" fontId="36" fillId="3" borderId="0" xfId="0" applyFont="1" applyFill="1" applyAlignment="1">
      <alignment horizontal="left" vertical="top" wrapText="1"/>
    </xf>
    <xf numFmtId="0" fontId="41" fillId="3" borderId="0" xfId="6" applyFont="1" applyFill="1" applyAlignment="1" applyProtection="1">
      <alignment horizontal="left" vertical="top"/>
    </xf>
    <xf numFmtId="0" fontId="36" fillId="5" borderId="0" xfId="0" applyFont="1" applyFill="1" applyAlignment="1">
      <alignment horizontal="left" vertical="top"/>
    </xf>
    <xf numFmtId="0" fontId="35" fillId="3" borderId="0" xfId="0" applyFont="1" applyFill="1" applyAlignment="1">
      <alignment horizontal="left" vertical="top"/>
    </xf>
    <xf numFmtId="0" fontId="39" fillId="3" borderId="0" xfId="6" applyFont="1" applyFill="1" applyAlignment="1" applyProtection="1">
      <alignment horizontal="left" vertical="top" wrapText="1"/>
    </xf>
    <xf numFmtId="0" fontId="35" fillId="5" borderId="0" xfId="0" applyFont="1" applyFill="1" applyAlignment="1">
      <alignment horizontal="left" vertical="top"/>
    </xf>
    <xf numFmtId="0" fontId="38" fillId="5" borderId="0" xfId="0" applyFont="1" applyFill="1" applyAlignment="1">
      <alignment horizontal="left" vertical="top"/>
    </xf>
    <xf numFmtId="0" fontId="31" fillId="3" borderId="0" xfId="0" applyFont="1" applyFill="1" applyAlignment="1">
      <alignment horizontal="left" vertical="top" wrapText="1"/>
    </xf>
    <xf numFmtId="0" fontId="36" fillId="3" borderId="0" xfId="0" applyFont="1" applyFill="1" applyAlignment="1">
      <alignment vertical="top" wrapText="1"/>
    </xf>
    <xf numFmtId="0" fontId="39" fillId="3" borderId="0" xfId="6" applyFont="1" applyFill="1" applyAlignment="1" applyProtection="1">
      <alignment horizontal="left" vertical="top"/>
    </xf>
    <xf numFmtId="0" fontId="25" fillId="3" borderId="0" xfId="6" applyFill="1" applyAlignment="1" applyProtection="1">
      <alignment horizontal="left" vertical="top" wrapText="1"/>
    </xf>
    <xf numFmtId="0" fontId="36" fillId="5" borderId="0" xfId="0" applyFont="1" applyFill="1" applyAlignment="1">
      <alignment horizontal="left" vertical="top" wrapText="1"/>
    </xf>
    <xf numFmtId="0" fontId="40" fillId="3" borderId="0" xfId="6" applyFont="1" applyFill="1" applyAlignment="1" applyProtection="1">
      <alignment horizontal="left" vertical="top"/>
    </xf>
    <xf numFmtId="0" fontId="37" fillId="3" borderId="0" xfId="6" applyFont="1" applyFill="1" applyAlignment="1" applyProtection="1">
      <alignment vertical="top"/>
    </xf>
    <xf numFmtId="0" fontId="12" fillId="5" borderId="0" xfId="0" applyFont="1" applyFill="1" applyAlignment="1">
      <alignment horizontal="left" vertical="top"/>
    </xf>
    <xf numFmtId="0" fontId="39" fillId="3" borderId="0" xfId="6" applyFont="1" applyFill="1" applyAlignment="1" applyProtection="1">
      <alignment vertical="top"/>
    </xf>
    <xf numFmtId="0" fontId="36" fillId="3" borderId="0" xfId="0" applyFont="1" applyFill="1" applyAlignment="1">
      <alignment wrapText="1"/>
    </xf>
    <xf numFmtId="0" fontId="25" fillId="3" borderId="0" xfId="6" applyFill="1" applyAlignment="1" applyProtection="1">
      <alignment horizontal="left" vertical="top"/>
    </xf>
    <xf numFmtId="0" fontId="4" fillId="5" borderId="0" xfId="0" applyFont="1" applyFill="1" applyAlignment="1">
      <alignment horizontal="left" vertical="top"/>
    </xf>
    <xf numFmtId="0" fontId="42" fillId="5" borderId="0" xfId="0" applyFont="1" applyFill="1" applyAlignment="1">
      <alignment horizontal="left" vertical="top"/>
    </xf>
    <xf numFmtId="0" fontId="1" fillId="3" borderId="6" xfId="0" applyFont="1" applyFill="1" applyBorder="1" applyAlignment="1">
      <alignment wrapText="1"/>
    </xf>
    <xf numFmtId="0" fontId="70" fillId="3" borderId="0" xfId="0" applyFont="1" applyFill="1"/>
    <xf numFmtId="0" fontId="69" fillId="3" borderId="0" xfId="0" applyFont="1" applyFill="1"/>
    <xf numFmtId="0" fontId="4" fillId="2" borderId="0" xfId="0" applyFont="1" applyFill="1" applyAlignment="1">
      <alignment horizontal="center" vertical="center"/>
    </xf>
    <xf numFmtId="3" fontId="1" fillId="2" borderId="0" xfId="0" applyNumberFormat="1" applyFont="1" applyFill="1"/>
    <xf numFmtId="0" fontId="1" fillId="3" borderId="3" xfId="0" applyFont="1" applyFill="1" applyBorder="1" applyAlignment="1">
      <alignment wrapText="1"/>
    </xf>
    <xf numFmtId="0" fontId="4" fillId="2" borderId="3" xfId="0" applyFont="1" applyFill="1" applyBorder="1" applyAlignment="1">
      <alignment horizontal="right" vertical="center" wrapText="1"/>
    </xf>
    <xf numFmtId="0" fontId="4" fillId="2" borderId="3" xfId="0" applyFont="1" applyFill="1" applyBorder="1" applyAlignment="1">
      <alignment vertical="center" wrapText="1"/>
    </xf>
    <xf numFmtId="0" fontId="4" fillId="3" borderId="3" xfId="0" applyFont="1" applyFill="1" applyBorder="1" applyAlignment="1">
      <alignment horizontal="center" vertical="center" wrapText="1"/>
    </xf>
    <xf numFmtId="0" fontId="1" fillId="6" borderId="0" xfId="0" applyFont="1" applyFill="1" applyAlignment="1">
      <alignment wrapText="1"/>
    </xf>
    <xf numFmtId="0" fontId="4" fillId="3" borderId="3" xfId="0" applyFont="1" applyFill="1" applyBorder="1" applyAlignment="1">
      <alignment horizontal="right" vertical="center" wrapText="1"/>
    </xf>
    <xf numFmtId="0" fontId="4" fillId="2" borderId="0" xfId="0" applyFont="1" applyFill="1" applyAlignment="1">
      <alignment horizontal="right" vertical="center" wrapText="1"/>
    </xf>
    <xf numFmtId="0" fontId="4" fillId="2" borderId="0" xfId="0" applyFont="1" applyFill="1" applyAlignment="1">
      <alignment vertical="center" wrapText="1"/>
    </xf>
    <xf numFmtId="0" fontId="4" fillId="3" borderId="0" xfId="0" applyFont="1" applyFill="1" applyAlignment="1">
      <alignment horizontal="center" vertical="center" wrapText="1"/>
    </xf>
    <xf numFmtId="0" fontId="4" fillId="2" borderId="0" xfId="0" applyFont="1" applyFill="1"/>
    <xf numFmtId="3" fontId="4" fillId="2" borderId="0" xfId="0" applyNumberFormat="1" applyFont="1" applyFill="1" applyAlignment="1">
      <alignment vertical="center"/>
    </xf>
    <xf numFmtId="0" fontId="4" fillId="2" borderId="0" xfId="0" applyFont="1" applyFill="1" applyAlignment="1">
      <alignment vertical="center"/>
    </xf>
    <xf numFmtId="169" fontId="1" fillId="3" borderId="0" xfId="0" applyNumberFormat="1" applyFont="1" applyFill="1" applyAlignment="1">
      <alignment vertical="center" textRotation="90"/>
    </xf>
    <xf numFmtId="0" fontId="4" fillId="2" borderId="8" xfId="0" applyFont="1" applyFill="1" applyBorder="1"/>
    <xf numFmtId="0" fontId="1" fillId="2" borderId="8" xfId="0" applyFont="1" applyFill="1" applyBorder="1"/>
    <xf numFmtId="168" fontId="4" fillId="2" borderId="8" xfId="0" applyNumberFormat="1" applyFont="1" applyFill="1" applyBorder="1"/>
    <xf numFmtId="166" fontId="1" fillId="3" borderId="0" xfId="0" applyNumberFormat="1" applyFont="1" applyFill="1"/>
    <xf numFmtId="0" fontId="1" fillId="2" borderId="9" xfId="0" applyFont="1" applyFill="1" applyBorder="1"/>
    <xf numFmtId="167" fontId="4" fillId="2" borderId="9" xfId="0" applyNumberFormat="1" applyFont="1" applyFill="1" applyBorder="1"/>
    <xf numFmtId="0" fontId="4" fillId="2" borderId="9" xfId="0" applyFont="1" applyFill="1" applyBorder="1"/>
    <xf numFmtId="166" fontId="1" fillId="6" borderId="0" xfId="0" applyNumberFormat="1" applyFont="1" applyFill="1"/>
    <xf numFmtId="0" fontId="4" fillId="2" borderId="0" xfId="0" applyFont="1" applyFill="1" applyAlignment="1">
      <alignment wrapText="1"/>
    </xf>
    <xf numFmtId="166" fontId="1" fillId="2" borderId="0" xfId="4" applyNumberFormat="1" applyFont="1" applyFill="1" applyAlignment="1" applyProtection="1">
      <alignment vertical="center"/>
    </xf>
    <xf numFmtId="0" fontId="1" fillId="2" borderId="0" xfId="0" applyFont="1" applyFill="1" applyAlignment="1">
      <alignment vertical="center" wrapText="1"/>
    </xf>
    <xf numFmtId="166" fontId="1" fillId="7" borderId="1" xfId="0" applyNumberFormat="1" applyFont="1" applyFill="1" applyBorder="1" applyAlignment="1" applyProtection="1">
      <alignment vertical="center"/>
      <protection locked="0"/>
    </xf>
    <xf numFmtId="0" fontId="1" fillId="16" borderId="1" xfId="0" applyFont="1" applyFill="1" applyBorder="1" applyAlignment="1" applyProtection="1">
      <alignment vertical="center"/>
      <protection locked="0"/>
    </xf>
    <xf numFmtId="3" fontId="1" fillId="2" borderId="0" xfId="0" applyNumberFormat="1" applyFont="1" applyFill="1" applyAlignment="1">
      <alignment vertical="center"/>
    </xf>
    <xf numFmtId="0" fontId="1" fillId="2" borderId="0" xfId="0" applyFont="1" applyFill="1" applyAlignment="1">
      <alignment vertical="center"/>
    </xf>
    <xf numFmtId="3" fontId="23" fillId="3" borderId="0" xfId="0" applyNumberFormat="1" applyFont="1" applyFill="1" applyAlignment="1">
      <alignment vertical="center"/>
    </xf>
    <xf numFmtId="0" fontId="23" fillId="3" borderId="0" xfId="0" applyFont="1" applyFill="1" applyAlignment="1">
      <alignment vertical="center"/>
    </xf>
    <xf numFmtId="3" fontId="4" fillId="3" borderId="0" xfId="0" applyNumberFormat="1" applyFont="1" applyFill="1" applyAlignment="1">
      <alignment vertical="center"/>
    </xf>
    <xf numFmtId="168" fontId="4" fillId="2" borderId="0" xfId="0" applyNumberFormat="1" applyFont="1" applyFill="1" applyAlignment="1">
      <alignment vertical="center"/>
    </xf>
    <xf numFmtId="168" fontId="4" fillId="3" borderId="0" xfId="0" applyNumberFormat="1" applyFont="1" applyFill="1" applyAlignment="1">
      <alignment vertical="center"/>
    </xf>
    <xf numFmtId="4" fontId="4" fillId="2" borderId="0" xfId="0" applyNumberFormat="1" applyFont="1" applyFill="1" applyAlignment="1">
      <alignment vertical="center"/>
    </xf>
    <xf numFmtId="0" fontId="4" fillId="3" borderId="4" xfId="0" applyFont="1" applyFill="1" applyBorder="1" applyAlignment="1">
      <alignment vertical="center"/>
    </xf>
    <xf numFmtId="4" fontId="4" fillId="3" borderId="4" xfId="0" applyNumberFormat="1" applyFont="1" applyFill="1" applyBorder="1" applyAlignment="1">
      <alignment vertical="center"/>
    </xf>
    <xf numFmtId="0" fontId="1" fillId="6" borderId="0" xfId="0" applyFont="1" applyFill="1" applyAlignment="1">
      <alignment vertical="center"/>
    </xf>
    <xf numFmtId="166" fontId="1" fillId="3" borderId="0" xfId="4" applyNumberFormat="1" applyFont="1" applyFill="1" applyAlignment="1" applyProtection="1">
      <alignment vertical="center"/>
    </xf>
    <xf numFmtId="0" fontId="1" fillId="3" borderId="0" xfId="0" applyFont="1" applyFill="1" applyProtection="1">
      <protection locked="0"/>
    </xf>
    <xf numFmtId="0" fontId="4" fillId="2" borderId="0" xfId="0" applyFont="1" applyFill="1" applyAlignment="1">
      <alignment horizontal="left" wrapText="1"/>
    </xf>
    <xf numFmtId="168" fontId="23" fillId="3" borderId="0" xfId="0" applyNumberFormat="1" applyFont="1" applyFill="1" applyAlignment="1">
      <alignment vertical="center"/>
    </xf>
    <xf numFmtId="14" fontId="1" fillId="7" borderId="1" xfId="0" applyNumberFormat="1" applyFont="1" applyFill="1" applyBorder="1" applyAlignment="1" applyProtection="1">
      <alignment horizontal="left"/>
      <protection locked="0"/>
    </xf>
    <xf numFmtId="0" fontId="4" fillId="2" borderId="0" xfId="0" applyFont="1" applyFill="1" applyAlignment="1">
      <alignment horizontal="center"/>
    </xf>
    <xf numFmtId="0" fontId="77" fillId="2" borderId="0" xfId="0" applyFont="1" applyFill="1" applyAlignment="1">
      <alignment horizontal="center"/>
    </xf>
    <xf numFmtId="0" fontId="1" fillId="7" borderId="1" xfId="0" applyFont="1" applyFill="1" applyBorder="1" applyAlignment="1" applyProtection="1">
      <alignment horizontal="left"/>
      <protection locked="0"/>
    </xf>
    <xf numFmtId="0" fontId="78" fillId="3" borderId="0" xfId="0" applyFont="1" applyFill="1"/>
    <xf numFmtId="0" fontId="69" fillId="3" borderId="0" xfId="0" applyFont="1" applyFill="1" applyAlignment="1">
      <alignment horizontal="left"/>
    </xf>
    <xf numFmtId="0" fontId="21" fillId="3" borderId="0" xfId="0" applyFont="1" applyFill="1" applyAlignment="1">
      <alignment horizontal="left"/>
    </xf>
    <xf numFmtId="0" fontId="79" fillId="3" borderId="0" xfId="0" applyFont="1" applyFill="1"/>
    <xf numFmtId="168" fontId="1" fillId="7" borderId="1" xfId="0" applyNumberFormat="1" applyFont="1" applyFill="1" applyBorder="1" applyProtection="1">
      <protection locked="0"/>
    </xf>
    <xf numFmtId="0" fontId="62" fillId="3" borderId="0" xfId="0" applyFont="1" applyFill="1" applyAlignment="1">
      <alignment horizontal="left"/>
    </xf>
    <xf numFmtId="0" fontId="1" fillId="5" borderId="0" xfId="0" applyFont="1" applyFill="1" applyProtection="1">
      <protection locked="0"/>
    </xf>
    <xf numFmtId="0" fontId="4" fillId="7" borderId="1" xfId="0" applyFont="1" applyFill="1" applyBorder="1" applyAlignment="1" applyProtection="1">
      <alignment horizontal="left"/>
      <protection locked="0"/>
    </xf>
    <xf numFmtId="175" fontId="1" fillId="7" borderId="1" xfId="0" applyNumberFormat="1" applyFont="1" applyFill="1" applyBorder="1" applyProtection="1">
      <protection locked="0"/>
    </xf>
    <xf numFmtId="0" fontId="4" fillId="2" borderId="3" xfId="0" applyFont="1" applyFill="1" applyBorder="1" applyAlignment="1">
      <alignment horizontal="center" vertical="center" wrapText="1"/>
    </xf>
    <xf numFmtId="3" fontId="1" fillId="2" borderId="0" xfId="0" applyNumberFormat="1" applyFont="1" applyFill="1" applyAlignment="1">
      <alignment horizontal="center"/>
    </xf>
    <xf numFmtId="0" fontId="4" fillId="3" borderId="0" xfId="0" applyFont="1" applyFill="1" applyAlignment="1">
      <alignment horizontal="left"/>
    </xf>
    <xf numFmtId="0" fontId="4" fillId="2" borderId="14" xfId="0" applyFont="1" applyFill="1" applyBorder="1"/>
    <xf numFmtId="3" fontId="4" fillId="2" borderId="8" xfId="0" applyNumberFormat="1" applyFont="1" applyFill="1" applyBorder="1" applyAlignment="1">
      <alignment vertical="center"/>
    </xf>
    <xf numFmtId="3" fontId="4" fillId="2" borderId="15" xfId="0" applyNumberFormat="1" applyFont="1" applyFill="1" applyBorder="1" applyAlignment="1">
      <alignment vertical="center"/>
    </xf>
    <xf numFmtId="3" fontId="1" fillId="3" borderId="6" xfId="0" applyNumberFormat="1" applyFont="1" applyFill="1" applyBorder="1" applyAlignment="1">
      <alignment vertical="center"/>
    </xf>
    <xf numFmtId="0" fontId="23" fillId="3" borderId="5" xfId="0" applyFont="1" applyFill="1" applyBorder="1"/>
    <xf numFmtId="3" fontId="23" fillId="3" borderId="6" xfId="0" applyNumberFormat="1" applyFont="1" applyFill="1" applyBorder="1" applyAlignment="1">
      <alignment vertical="center"/>
    </xf>
    <xf numFmtId="0" fontId="4" fillId="2" borderId="5" xfId="0" applyFont="1" applyFill="1" applyBorder="1"/>
    <xf numFmtId="3" fontId="4" fillId="2" borderId="6" xfId="0" applyNumberFormat="1" applyFont="1" applyFill="1" applyBorder="1" applyAlignment="1">
      <alignment vertical="center"/>
    </xf>
    <xf numFmtId="0" fontId="4" fillId="2" borderId="5" xfId="0" applyFont="1" applyFill="1" applyBorder="1" applyAlignment="1">
      <alignment horizontal="left" wrapText="1"/>
    </xf>
    <xf numFmtId="0" fontId="4" fillId="3" borderId="5" xfId="0" applyFont="1" applyFill="1" applyBorder="1"/>
    <xf numFmtId="3" fontId="4" fillId="3" borderId="6" xfId="0" applyNumberFormat="1" applyFont="1" applyFill="1" applyBorder="1" applyAlignment="1">
      <alignment vertical="center"/>
    </xf>
    <xf numFmtId="0" fontId="1" fillId="3" borderId="5" xfId="0" applyFont="1" applyFill="1" applyBorder="1" applyAlignment="1">
      <alignment vertical="center" wrapText="1"/>
    </xf>
    <xf numFmtId="0" fontId="1" fillId="3" borderId="5" xfId="0" applyFont="1" applyFill="1" applyBorder="1" applyAlignment="1">
      <alignment vertical="center"/>
    </xf>
    <xf numFmtId="0" fontId="4" fillId="3" borderId="5" xfId="0" applyFont="1" applyFill="1" applyBorder="1" applyAlignment="1">
      <alignment vertical="center"/>
    </xf>
    <xf numFmtId="0" fontId="4" fillId="2" borderId="5" xfId="0" applyFont="1" applyFill="1" applyBorder="1" applyAlignment="1">
      <alignment wrapText="1"/>
    </xf>
    <xf numFmtId="3" fontId="1" fillId="3" borderId="6" xfId="0" applyNumberFormat="1" applyFont="1" applyFill="1" applyBorder="1"/>
    <xf numFmtId="166" fontId="1" fillId="2" borderId="0" xfId="4" applyNumberFormat="1" applyFont="1" applyFill="1"/>
    <xf numFmtId="166" fontId="1" fillId="2" borderId="0" xfId="4" applyNumberFormat="1" applyFont="1" applyFill="1" applyAlignment="1">
      <alignment vertical="center"/>
    </xf>
    <xf numFmtId="0" fontId="81" fillId="0" borderId="0" xfId="0" applyFont="1" applyAlignment="1">
      <alignment horizontal="center"/>
    </xf>
    <xf numFmtId="3" fontId="82" fillId="2" borderId="6" xfId="0" applyNumberFormat="1" applyFont="1" applyFill="1" applyBorder="1" applyAlignment="1">
      <alignment vertical="center"/>
    </xf>
    <xf numFmtId="0" fontId="4" fillId="2" borderId="16" xfId="0" applyFont="1" applyFill="1" applyBorder="1"/>
    <xf numFmtId="0" fontId="4" fillId="2" borderId="12" xfId="0" applyFont="1" applyFill="1" applyBorder="1"/>
    <xf numFmtId="168" fontId="4" fillId="2" borderId="12" xfId="0" applyNumberFormat="1" applyFont="1" applyFill="1" applyBorder="1"/>
    <xf numFmtId="168" fontId="4" fillId="2" borderId="17" xfId="0" applyNumberFormat="1" applyFont="1" applyFill="1" applyBorder="1"/>
    <xf numFmtId="0" fontId="79" fillId="6" borderId="0" xfId="0" applyFont="1" applyFill="1"/>
    <xf numFmtId="0" fontId="83" fillId="6" borderId="0" xfId="6" applyFont="1" applyFill="1" applyAlignment="1"/>
    <xf numFmtId="169" fontId="4" fillId="3" borderId="0" xfId="0" applyNumberFormat="1" applyFont="1" applyFill="1" applyAlignment="1">
      <alignment vertical="center" textRotation="90"/>
    </xf>
    <xf numFmtId="0" fontId="4" fillId="3" borderId="0" xfId="0" applyFont="1" applyFill="1" applyAlignment="1">
      <alignment horizontal="left" vertical="center" wrapText="1" readingOrder="1"/>
    </xf>
    <xf numFmtId="0" fontId="4" fillId="9" borderId="0" xfId="0" applyFont="1" applyFill="1" applyAlignment="1">
      <alignment horizontal="left" vertical="center" wrapText="1"/>
    </xf>
    <xf numFmtId="168" fontId="1" fillId="6" borderId="0" xfId="0" applyNumberFormat="1" applyFont="1" applyFill="1"/>
    <xf numFmtId="165" fontId="49" fillId="5" borderId="0" xfId="0" applyNumberFormat="1" applyFont="1" applyFill="1"/>
    <xf numFmtId="3" fontId="1" fillId="3" borderId="0" xfId="0" applyNumberFormat="1" applyFont="1" applyFill="1" applyAlignment="1">
      <alignment vertical="center" wrapText="1"/>
    </xf>
    <xf numFmtId="0" fontId="83" fillId="6" borderId="0" xfId="6" applyFont="1" applyFill="1" applyProtection="1">
      <protection locked="0"/>
    </xf>
    <xf numFmtId="0" fontId="1" fillId="6" borderId="0" xfId="0" applyFont="1" applyFill="1" applyProtection="1">
      <protection locked="0"/>
    </xf>
    <xf numFmtId="166" fontId="1" fillId="2" borderId="0" xfId="0" applyNumberFormat="1" applyFont="1" applyFill="1" applyAlignment="1">
      <alignment vertical="center"/>
    </xf>
    <xf numFmtId="0" fontId="83" fillId="6" borderId="0" xfId="6" applyFont="1" applyFill="1" applyAlignment="1" applyProtection="1">
      <protection locked="0"/>
    </xf>
    <xf numFmtId="166" fontId="1" fillId="7" borderId="1" xfId="0" applyNumberFormat="1" applyFont="1" applyFill="1" applyBorder="1" applyAlignment="1" applyProtection="1">
      <alignment horizontal="right" vertical="center"/>
      <protection locked="0"/>
    </xf>
    <xf numFmtId="0" fontId="12" fillId="3" borderId="0" xfId="0" applyFont="1" applyFill="1"/>
    <xf numFmtId="0" fontId="1" fillId="5" borderId="0" xfId="0" applyFont="1" applyFill="1" applyAlignment="1">
      <alignment vertical="center"/>
    </xf>
    <xf numFmtId="168" fontId="1" fillId="5" borderId="0" xfId="0" applyNumberFormat="1" applyFont="1" applyFill="1"/>
    <xf numFmtId="4" fontId="1" fillId="5" borderId="0" xfId="0" applyNumberFormat="1" applyFont="1" applyFill="1"/>
    <xf numFmtId="0" fontId="1" fillId="5" borderId="0" xfId="0" applyFont="1" applyFill="1" applyAlignment="1">
      <alignment vertical="center" wrapText="1"/>
    </xf>
    <xf numFmtId="0" fontId="79" fillId="5" borderId="0" xfId="0" applyFont="1" applyFill="1"/>
    <xf numFmtId="0" fontId="85" fillId="5" borderId="0" xfId="6" applyFont="1" applyFill="1" applyProtection="1">
      <protection locked="0"/>
    </xf>
    <xf numFmtId="0" fontId="4" fillId="2" borderId="15" xfId="0" applyFont="1" applyFill="1" applyBorder="1"/>
    <xf numFmtId="0" fontId="1" fillId="0" borderId="5" xfId="0" applyFont="1" applyBorder="1"/>
    <xf numFmtId="0" fontId="81" fillId="0" borderId="6" xfId="0" applyFont="1" applyBorder="1" applyAlignment="1">
      <alignment horizontal="center"/>
    </xf>
    <xf numFmtId="3" fontId="4" fillId="3" borderId="0" xfId="0" applyNumberFormat="1" applyFont="1" applyFill="1" applyAlignment="1">
      <alignment vertical="center" wrapText="1"/>
    </xf>
    <xf numFmtId="3" fontId="82" fillId="2" borderId="0" xfId="0" applyNumberFormat="1" applyFont="1" applyFill="1" applyAlignment="1">
      <alignment vertical="center"/>
    </xf>
    <xf numFmtId="0" fontId="79" fillId="3" borderId="7" xfId="0" applyFont="1" applyFill="1" applyBorder="1"/>
    <xf numFmtId="0" fontId="1" fillId="3" borderId="2" xfId="0" applyFont="1" applyFill="1" applyBorder="1"/>
    <xf numFmtId="3" fontId="1" fillId="5" borderId="0" xfId="0" applyNumberFormat="1" applyFont="1" applyFill="1"/>
    <xf numFmtId="3" fontId="11" fillId="17" borderId="0" xfId="0" applyNumberFormat="1" applyFont="1" applyFill="1"/>
    <xf numFmtId="0" fontId="11" fillId="17" borderId="0" xfId="0" applyFont="1" applyFill="1"/>
    <xf numFmtId="166" fontId="11" fillId="17" borderId="0" xfId="4" applyNumberFormat="1" applyFont="1" applyFill="1" applyBorder="1" applyProtection="1"/>
    <xf numFmtId="0" fontId="1" fillId="0" borderId="0" xfId="0" applyFont="1" applyProtection="1">
      <protection locked="0"/>
    </xf>
    <xf numFmtId="0" fontId="86" fillId="13" borderId="0" xfId="0" applyFont="1" applyFill="1" applyAlignment="1">
      <alignment vertical="center"/>
    </xf>
    <xf numFmtId="1" fontId="12" fillId="18" borderId="1" xfId="0" applyNumberFormat="1" applyFont="1" applyFill="1" applyBorder="1"/>
    <xf numFmtId="1" fontId="12" fillId="18" borderId="0" xfId="0" applyNumberFormat="1" applyFont="1" applyFill="1"/>
    <xf numFmtId="0" fontId="12" fillId="18" borderId="0" xfId="0" applyFont="1" applyFill="1"/>
    <xf numFmtId="1" fontId="12" fillId="19" borderId="1" xfId="0" applyNumberFormat="1" applyFont="1" applyFill="1" applyBorder="1"/>
    <xf numFmtId="1" fontId="12" fillId="20" borderId="1" xfId="0" applyNumberFormat="1" applyFont="1" applyFill="1" applyBorder="1"/>
    <xf numFmtId="1" fontId="12" fillId="21" borderId="1" xfId="0" applyNumberFormat="1" applyFont="1" applyFill="1" applyBorder="1"/>
    <xf numFmtId="1" fontId="17" fillId="21" borderId="1" xfId="0" applyNumberFormat="1" applyFont="1" applyFill="1" applyBorder="1"/>
    <xf numFmtId="0" fontId="12" fillId="19" borderId="0" xfId="0" applyFont="1" applyFill="1"/>
    <xf numFmtId="0" fontId="51" fillId="3" borderId="0" xfId="0" applyFont="1" applyFill="1"/>
    <xf numFmtId="0" fontId="1" fillId="3" borderId="5" xfId="0" applyFont="1" applyFill="1" applyBorder="1" applyAlignment="1">
      <alignment wrapText="1"/>
    </xf>
    <xf numFmtId="165" fontId="1" fillId="3" borderId="0" xfId="0" applyNumberFormat="1" applyFont="1" applyFill="1" applyAlignment="1">
      <alignment vertical="center"/>
    </xf>
    <xf numFmtId="165" fontId="1" fillId="3" borderId="0" xfId="0" applyNumberFormat="1" applyFont="1" applyFill="1" applyAlignment="1">
      <alignment horizontal="right" vertical="center"/>
    </xf>
    <xf numFmtId="165" fontId="1" fillId="7" borderId="1" xfId="0" applyNumberFormat="1" applyFont="1" applyFill="1" applyBorder="1" applyAlignment="1" applyProtection="1">
      <alignment vertical="center"/>
      <protection locked="0"/>
    </xf>
    <xf numFmtId="175" fontId="1" fillId="7" borderId="1" xfId="0" applyNumberFormat="1" applyFont="1" applyFill="1" applyBorder="1" applyAlignment="1" applyProtection="1">
      <alignment vertical="center"/>
      <protection locked="0"/>
    </xf>
    <xf numFmtId="0" fontId="76" fillId="3" borderId="0" xfId="0" applyFont="1" applyFill="1" applyAlignment="1">
      <alignment vertical="center"/>
    </xf>
    <xf numFmtId="9" fontId="1" fillId="2" borderId="0" xfId="4" quotePrefix="1" applyFont="1" applyFill="1" applyAlignment="1" applyProtection="1">
      <alignment horizontal="right" vertical="center"/>
    </xf>
    <xf numFmtId="166" fontId="4" fillId="2" borderId="0" xfId="4" applyNumberFormat="1" applyFont="1" applyFill="1" applyAlignment="1" applyProtection="1">
      <alignment vertical="center"/>
    </xf>
    <xf numFmtId="0" fontId="1" fillId="3" borderId="0" xfId="0" applyFont="1" applyFill="1" applyAlignment="1">
      <alignment horizontal="left" wrapText="1"/>
    </xf>
    <xf numFmtId="0" fontId="1" fillId="3" borderId="5" xfId="0" applyFont="1" applyFill="1" applyBorder="1" applyAlignment="1">
      <alignment horizontal="left" vertical="center" wrapText="1"/>
    </xf>
    <xf numFmtId="0" fontId="84" fillId="3" borderId="0" xfId="0" applyFont="1" applyFill="1" applyAlignment="1">
      <alignment horizontal="center" wrapText="1"/>
    </xf>
    <xf numFmtId="0" fontId="67" fillId="3" borderId="0" xfId="0" applyFont="1" applyFill="1" applyAlignment="1">
      <alignment horizontal="left" vertical="top" wrapText="1"/>
    </xf>
    <xf numFmtId="0" fontId="1" fillId="3" borderId="0" xfId="0" applyFont="1" applyFill="1" applyAlignment="1">
      <alignment horizontal="left" vertical="center" wrapText="1"/>
    </xf>
    <xf numFmtId="0" fontId="4" fillId="4" borderId="0" xfId="0" applyFont="1" applyFill="1" applyAlignment="1">
      <alignment horizontal="center" wrapText="1"/>
    </xf>
    <xf numFmtId="0" fontId="4" fillId="4" borderId="3" xfId="0" applyFont="1" applyFill="1" applyBorder="1" applyAlignment="1">
      <alignment horizontal="center"/>
    </xf>
    <xf numFmtId="0" fontId="4" fillId="4" borderId="3" xfId="0" applyFont="1" applyFill="1" applyBorder="1" applyAlignment="1">
      <alignment horizontal="center" vertical="center" wrapText="1"/>
    </xf>
    <xf numFmtId="0" fontId="1" fillId="3" borderId="0" xfId="0" applyFont="1" applyFill="1" applyAlignment="1">
      <alignment horizontal="left" vertical="top" wrapText="1"/>
    </xf>
    <xf numFmtId="0" fontId="17" fillId="3" borderId="1" xfId="0" applyFont="1" applyFill="1" applyBorder="1" applyAlignment="1">
      <alignment horizontal="center" vertical="center"/>
    </xf>
    <xf numFmtId="165" fontId="17" fillId="3" borderId="1" xfId="0" applyNumberFormat="1" applyFont="1" applyFill="1" applyBorder="1" applyAlignment="1">
      <alignment horizontal="center" vertical="center"/>
    </xf>
    <xf numFmtId="0" fontId="4" fillId="3" borderId="16" xfId="0" applyFont="1" applyFill="1" applyBorder="1" applyAlignment="1">
      <alignment horizontal="center"/>
    </xf>
    <xf numFmtId="0" fontId="4" fillId="3" borderId="12" xfId="0" applyFont="1" applyFill="1" applyBorder="1" applyAlignment="1">
      <alignment horizontal="center"/>
    </xf>
    <xf numFmtId="0" fontId="4" fillId="3" borderId="17" xfId="0" applyFont="1" applyFill="1" applyBorder="1" applyAlignment="1">
      <alignment horizontal="center"/>
    </xf>
    <xf numFmtId="0" fontId="71" fillId="3" borderId="0" xfId="0" applyFont="1" applyFill="1" applyAlignment="1">
      <alignment horizontal="left" vertical="center" wrapText="1"/>
    </xf>
    <xf numFmtId="0" fontId="4" fillId="2" borderId="0" xfId="0" applyFont="1" applyFill="1" applyAlignment="1">
      <alignment horizontal="center"/>
    </xf>
    <xf numFmtId="0" fontId="1" fillId="3" borderId="0" xfId="0" applyFont="1" applyFill="1" applyAlignment="1">
      <alignment horizontal="center" wrapText="1"/>
    </xf>
    <xf numFmtId="0" fontId="7" fillId="3" borderId="0" xfId="0" applyFont="1" applyFill="1" applyAlignment="1">
      <alignment horizontal="center" wrapText="1"/>
    </xf>
    <xf numFmtId="0" fontId="66" fillId="3" borderId="0" xfId="0" quotePrefix="1" applyFont="1" applyFill="1" applyAlignment="1">
      <alignment horizontal="left" vertical="top" wrapText="1"/>
    </xf>
    <xf numFmtId="0" fontId="1" fillId="2" borderId="0" xfId="0" applyFont="1" applyFill="1" applyAlignment="1">
      <alignment horizontal="center" wrapText="1"/>
    </xf>
    <xf numFmtId="0" fontId="52" fillId="0" borderId="0" xfId="0" applyFont="1" applyAlignment="1">
      <alignment horizontal="left" wrapText="1"/>
    </xf>
    <xf numFmtId="0" fontId="52" fillId="3" borderId="0" xfId="0" applyFont="1" applyFill="1" applyAlignment="1">
      <alignment horizontal="left" vertical="top" wrapText="1"/>
    </xf>
    <xf numFmtId="0" fontId="52" fillId="3" borderId="0" xfId="0" applyFont="1" applyFill="1" applyAlignment="1">
      <alignment horizontal="left" wrapText="1"/>
    </xf>
    <xf numFmtId="0" fontId="52" fillId="3" borderId="0" xfId="0" applyFont="1" applyFill="1" applyAlignment="1">
      <alignment horizontal="left"/>
    </xf>
  </cellXfs>
  <cellStyles count="8">
    <cellStyle name="Hyperlink 3" xfId="2" xr:uid="{FE43FF12-309F-466A-8B9F-99FCC9F1A3D3}"/>
    <cellStyle name="Komma" xfId="3" builtinId="3"/>
    <cellStyle name="Link" xfId="6" builtinId="8"/>
    <cellStyle name="Prozent" xfId="4" builtinId="5"/>
    <cellStyle name="Standard" xfId="0" builtinId="0"/>
    <cellStyle name="Standard 3" xfId="5" xr:uid="{56347E7B-D837-4409-A3F4-6159F0A359B8}"/>
    <cellStyle name="Standard 9" xfId="1" xr:uid="{05F2A7A9-12E8-4B72-B552-3E61B166FDA8}"/>
    <cellStyle name="Überschrift 1 2" xfId="7" xr:uid="{28F6B9AA-AAEE-4A71-859D-B02611E693F0}"/>
  </cellStyles>
  <dxfs count="1">
    <dxf>
      <fill>
        <patternFill>
          <bgColor theme="0" tint="-4.9989318521683403E-2"/>
        </patternFill>
      </fill>
    </dxf>
  </dxfs>
  <tableStyles count="0" defaultTableStyle="TableStyleMedium2" defaultPivotStyle="PivotStyleMedium9"/>
  <colors>
    <mruColors>
      <color rgb="FF00549F"/>
      <color rgb="FFF3F3F3"/>
      <color rgb="FFC198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60096179655635E-2"/>
          <c:y val="2.3906545088394321E-2"/>
          <c:w val="0.9164476829880307"/>
          <c:h val="0.74624699756382551"/>
        </c:manualLayout>
      </c:layout>
      <c:barChart>
        <c:barDir val="col"/>
        <c:grouping val="stacked"/>
        <c:varyColors val="0"/>
        <c:ser>
          <c:idx val="0"/>
          <c:order val="0"/>
          <c:tx>
            <c:strRef>
              <c:f>'Vergleich Bilanzjahre'!$K$4</c:f>
              <c:strCache>
                <c:ptCount val="1"/>
                <c:pt idx="0">
                  <c:v>Energieträger gesamt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Bilanzjahre'!$M$4:$Q$4</c:f>
              <c:numCache>
                <c:formatCode>#,##0</c:formatCode>
                <c:ptCount val="5"/>
                <c:pt idx="0">
                  <c:v>308.11408852</c:v>
                </c:pt>
                <c:pt idx="1">
                  <c:v>308.11408852</c:v>
                </c:pt>
                <c:pt idx="2">
                  <c:v>308.11408852</c:v>
                </c:pt>
                <c:pt idx="3">
                  <c:v>308.11408852</c:v>
                </c:pt>
                <c:pt idx="4">
                  <c:v>308.11408852</c:v>
                </c:pt>
              </c:numCache>
            </c:numRef>
          </c:val>
          <c:extLst>
            <c:ext xmlns:c16="http://schemas.microsoft.com/office/drawing/2014/chart" uri="{C3380CC4-5D6E-409C-BE32-E72D297353CC}">
              <c16:uniqueId val="{00000000-2E96-431B-B8B0-FA1AD091AC84}"/>
            </c:ext>
          </c:extLst>
        </c:ser>
        <c:ser>
          <c:idx val="1"/>
          <c:order val="1"/>
          <c:tx>
            <c:strRef>
              <c:f>'Vergleich Bilanzjahre'!$K$20</c:f>
              <c:strCache>
                <c:ptCount val="1"/>
                <c:pt idx="0">
                  <c:v>Transport gesamt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Bilanzjahre'!$M$20:$Q$20</c:f>
              <c:numCache>
                <c:formatCode>#,##0</c:formatCode>
                <c:ptCount val="5"/>
                <c:pt idx="0">
                  <c:v>469.15642799999995</c:v>
                </c:pt>
                <c:pt idx="1">
                  <c:v>469.15642799999995</c:v>
                </c:pt>
                <c:pt idx="2">
                  <c:v>469.15642799999995</c:v>
                </c:pt>
                <c:pt idx="3">
                  <c:v>469.15642799999995</c:v>
                </c:pt>
                <c:pt idx="4">
                  <c:v>469.15642799999995</c:v>
                </c:pt>
              </c:numCache>
            </c:numRef>
          </c:val>
          <c:extLst>
            <c:ext xmlns:c16="http://schemas.microsoft.com/office/drawing/2014/chart" uri="{C3380CC4-5D6E-409C-BE32-E72D297353CC}">
              <c16:uniqueId val="{00000001-2E96-431B-B8B0-FA1AD091AC84}"/>
            </c:ext>
          </c:extLst>
        </c:ser>
        <c:ser>
          <c:idx val="2"/>
          <c:order val="2"/>
          <c:tx>
            <c:strRef>
              <c:f>'Vergleich Bilanzjahre'!$K$24</c:f>
              <c:strCache>
                <c:ptCount val="1"/>
                <c:pt idx="0">
                  <c:v>Zement Gesamt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Bilanzjahre'!$M$24:$Q$24</c:f>
              <c:numCache>
                <c:formatCode>#,##0</c:formatCode>
                <c:ptCount val="5"/>
                <c:pt idx="0">
                  <c:v>4548.5439999999999</c:v>
                </c:pt>
                <c:pt idx="1">
                  <c:v>4548.5439999999999</c:v>
                </c:pt>
                <c:pt idx="2">
                  <c:v>4548.5439999999999</c:v>
                </c:pt>
                <c:pt idx="3">
                  <c:v>4548.5439999999999</c:v>
                </c:pt>
                <c:pt idx="4">
                  <c:v>4548.5439999999999</c:v>
                </c:pt>
              </c:numCache>
            </c:numRef>
          </c:val>
          <c:extLst>
            <c:ext xmlns:c16="http://schemas.microsoft.com/office/drawing/2014/chart" uri="{C3380CC4-5D6E-409C-BE32-E72D297353CC}">
              <c16:uniqueId val="{00000002-2E96-431B-B8B0-FA1AD091AC84}"/>
            </c:ext>
          </c:extLst>
        </c:ser>
        <c:ser>
          <c:idx val="3"/>
          <c:order val="3"/>
          <c:tx>
            <c:strRef>
              <c:f>'Vergleich Bilanzjahre'!$K$30</c:f>
              <c:strCache>
                <c:ptCount val="1"/>
                <c:pt idx="0">
                  <c:v>Gesteinskörnungen (Zuschlagsstoffe)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Bilanzjahre'!$M$30:$Q$30</c:f>
              <c:numCache>
                <c:formatCode>#,##0</c:formatCode>
                <c:ptCount val="5"/>
                <c:pt idx="0">
                  <c:v>129.59200000000001</c:v>
                </c:pt>
                <c:pt idx="1">
                  <c:v>129.59200000000001</c:v>
                </c:pt>
                <c:pt idx="2">
                  <c:v>129.59200000000001</c:v>
                </c:pt>
                <c:pt idx="3">
                  <c:v>129.59200000000001</c:v>
                </c:pt>
                <c:pt idx="4">
                  <c:v>129.59200000000001</c:v>
                </c:pt>
              </c:numCache>
            </c:numRef>
          </c:val>
          <c:extLst>
            <c:ext xmlns:c16="http://schemas.microsoft.com/office/drawing/2014/chart" uri="{C3380CC4-5D6E-409C-BE32-E72D297353CC}">
              <c16:uniqueId val="{00000003-2E96-431B-B8B0-FA1AD091AC84}"/>
            </c:ext>
          </c:extLst>
        </c:ser>
        <c:ser>
          <c:idx val="4"/>
          <c:order val="4"/>
          <c:tx>
            <c:strRef>
              <c:f>'Vergleich Bilanzjahre'!$K$30</c:f>
              <c:strCache>
                <c:ptCount val="1"/>
                <c:pt idx="0">
                  <c:v>Gesteinskörnungen (Zuschlagsstoffe)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Bilanzjahre'!$M$30:$Q$30</c:f>
              <c:numCache>
                <c:formatCode>#,##0</c:formatCode>
                <c:ptCount val="5"/>
                <c:pt idx="0">
                  <c:v>129.59200000000001</c:v>
                </c:pt>
                <c:pt idx="1">
                  <c:v>129.59200000000001</c:v>
                </c:pt>
                <c:pt idx="2">
                  <c:v>129.59200000000001</c:v>
                </c:pt>
                <c:pt idx="3">
                  <c:v>129.59200000000001</c:v>
                </c:pt>
                <c:pt idx="4">
                  <c:v>129.59200000000001</c:v>
                </c:pt>
              </c:numCache>
            </c:numRef>
          </c:val>
          <c:extLst>
            <c:ext xmlns:c16="http://schemas.microsoft.com/office/drawing/2014/chart" uri="{C3380CC4-5D6E-409C-BE32-E72D297353CC}">
              <c16:uniqueId val="{00000004-2E96-431B-B8B0-FA1AD091AC84}"/>
            </c:ext>
          </c:extLst>
        </c:ser>
        <c:ser>
          <c:idx val="5"/>
          <c:order val="5"/>
          <c:tx>
            <c:strRef>
              <c:f>'Vergleich Bilanzjahre'!$K$37</c:f>
              <c:strCache>
                <c:ptCount val="1"/>
                <c:pt idx="0">
                  <c:v>Farben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Bilanzjahre'!$M$37:$Q$37</c:f>
              <c:numCache>
                <c:formatCode>#,##0</c:formatCode>
                <c:ptCount val="5"/>
                <c:pt idx="0">
                  <c:v>208</c:v>
                </c:pt>
                <c:pt idx="1">
                  <c:v>208</c:v>
                </c:pt>
                <c:pt idx="2">
                  <c:v>208</c:v>
                </c:pt>
                <c:pt idx="3">
                  <c:v>208</c:v>
                </c:pt>
                <c:pt idx="4">
                  <c:v>208</c:v>
                </c:pt>
              </c:numCache>
            </c:numRef>
          </c:val>
          <c:extLst>
            <c:ext xmlns:c16="http://schemas.microsoft.com/office/drawing/2014/chart" uri="{C3380CC4-5D6E-409C-BE32-E72D297353CC}">
              <c16:uniqueId val="{00000005-2E96-431B-B8B0-FA1AD091AC84}"/>
            </c:ext>
          </c:extLst>
        </c:ser>
        <c:ser>
          <c:idx val="6"/>
          <c:order val="6"/>
          <c:tx>
            <c:strRef>
              <c:f>'Vergleich Bilanzjahre'!$K$39</c:f>
              <c:strCache>
                <c:ptCount val="1"/>
                <c:pt idx="0">
                  <c:v>Zusatzstoffe (Füllstoffe)</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Bilanzjahre'!$M$39:$Q$39</c:f>
              <c:numCache>
                <c:formatCode>#,##0</c:formatCode>
                <c:ptCount val="5"/>
                <c:pt idx="0">
                  <c:v>81.003999999999991</c:v>
                </c:pt>
                <c:pt idx="1">
                  <c:v>81.003999999999991</c:v>
                </c:pt>
                <c:pt idx="2">
                  <c:v>81.003999999999991</c:v>
                </c:pt>
                <c:pt idx="3">
                  <c:v>81.003999999999991</c:v>
                </c:pt>
                <c:pt idx="4">
                  <c:v>81.003999999999991</c:v>
                </c:pt>
              </c:numCache>
            </c:numRef>
          </c:val>
          <c:extLst>
            <c:ext xmlns:c16="http://schemas.microsoft.com/office/drawing/2014/chart" uri="{C3380CC4-5D6E-409C-BE32-E72D297353CC}">
              <c16:uniqueId val="{00000006-2E96-431B-B8B0-FA1AD091AC84}"/>
            </c:ext>
          </c:extLst>
        </c:ser>
        <c:ser>
          <c:idx val="7"/>
          <c:order val="7"/>
          <c:tx>
            <c:strRef>
              <c:f>'Vergleich Bilanzjahre'!$K$46</c:f>
              <c:strCache>
                <c:ptCount val="1"/>
                <c:pt idx="0">
                  <c:v>Zusatzmittel</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Bilanzjahre'!$M$46:$Q$46</c:f>
              <c:numCache>
                <c:formatCode>#,##0</c:formatCode>
                <c:ptCount val="5"/>
                <c:pt idx="0">
                  <c:v>148.44746134951595</c:v>
                </c:pt>
                <c:pt idx="1">
                  <c:v>148.44746134951595</c:v>
                </c:pt>
                <c:pt idx="2">
                  <c:v>148.44746134951595</c:v>
                </c:pt>
                <c:pt idx="3">
                  <c:v>148.44746134951595</c:v>
                </c:pt>
                <c:pt idx="4">
                  <c:v>148.44746134951595</c:v>
                </c:pt>
              </c:numCache>
            </c:numRef>
          </c:val>
          <c:extLst>
            <c:ext xmlns:c16="http://schemas.microsoft.com/office/drawing/2014/chart" uri="{C3380CC4-5D6E-409C-BE32-E72D297353CC}">
              <c16:uniqueId val="{00000007-2E96-431B-B8B0-FA1AD091AC84}"/>
            </c:ext>
          </c:extLst>
        </c:ser>
        <c:ser>
          <c:idx val="8"/>
          <c:order val="8"/>
          <c:tx>
            <c:strRef>
              <c:f>'Vergleich Bilanzjahre'!$K$55</c:f>
              <c:strCache>
                <c:ptCount val="1"/>
                <c:pt idx="0">
                  <c:v>Oberflächenschutzsysteme</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Bilanzjahre'!$M$55:$Q$55</c:f>
              <c:numCache>
                <c:formatCode>#,##0</c:formatCode>
                <c:ptCount val="5"/>
                <c:pt idx="0">
                  <c:v>80.47999999999999</c:v>
                </c:pt>
                <c:pt idx="1">
                  <c:v>80.47999999999999</c:v>
                </c:pt>
                <c:pt idx="2">
                  <c:v>80.47999999999999</c:v>
                </c:pt>
                <c:pt idx="3">
                  <c:v>80.47999999999999</c:v>
                </c:pt>
                <c:pt idx="4">
                  <c:v>80.47999999999999</c:v>
                </c:pt>
              </c:numCache>
            </c:numRef>
          </c:val>
          <c:extLst>
            <c:ext xmlns:c16="http://schemas.microsoft.com/office/drawing/2014/chart" uri="{C3380CC4-5D6E-409C-BE32-E72D297353CC}">
              <c16:uniqueId val="{00000008-2E96-431B-B8B0-FA1AD091AC84}"/>
            </c:ext>
          </c:extLst>
        </c:ser>
        <c:ser>
          <c:idx val="9"/>
          <c:order val="9"/>
          <c:tx>
            <c:strRef>
              <c:f>'Vergleich Bilanzjahre'!$K$60</c:f>
              <c:strCache>
                <c:ptCount val="1"/>
                <c:pt idx="0">
                  <c:v>Oberflächenbearbeitung (vor/nach Erhärtung)</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Bilanzjahre'!$M$60:$Q$60</c:f>
              <c:numCache>
                <c:formatCode>#,##0</c:formatCode>
                <c:ptCount val="5"/>
                <c:pt idx="0">
                  <c:v>60</c:v>
                </c:pt>
                <c:pt idx="1">
                  <c:v>60</c:v>
                </c:pt>
                <c:pt idx="2">
                  <c:v>60</c:v>
                </c:pt>
                <c:pt idx="3">
                  <c:v>60</c:v>
                </c:pt>
                <c:pt idx="4">
                  <c:v>60</c:v>
                </c:pt>
              </c:numCache>
            </c:numRef>
          </c:val>
          <c:extLst>
            <c:ext xmlns:c16="http://schemas.microsoft.com/office/drawing/2014/chart" uri="{C3380CC4-5D6E-409C-BE32-E72D297353CC}">
              <c16:uniqueId val="{00000009-2E96-431B-B8B0-FA1AD091AC84}"/>
            </c:ext>
          </c:extLst>
        </c:ser>
        <c:ser>
          <c:idx val="10"/>
          <c:order val="10"/>
          <c:tx>
            <c:strRef>
              <c:f>'Vergleich Bilanzjahre'!$K$65</c:f>
              <c:strCache>
                <c:ptCount val="1"/>
                <c:pt idx="0">
                  <c:v>Verpackungsmaterial</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Bilanzjahre'!$M$2:$Q$2</c:f>
              <c:numCache>
                <c:formatCode>General</c:formatCode>
                <c:ptCount val="5"/>
                <c:pt idx="0">
                  <c:v>0</c:v>
                </c:pt>
                <c:pt idx="1">
                  <c:v>0</c:v>
                </c:pt>
                <c:pt idx="2">
                  <c:v>0</c:v>
                </c:pt>
                <c:pt idx="3">
                  <c:v>0</c:v>
                </c:pt>
                <c:pt idx="4">
                  <c:v>0</c:v>
                </c:pt>
              </c:numCache>
            </c:numRef>
          </c:cat>
          <c:val>
            <c:numRef>
              <c:f>'Vergleich Bilanzjahre'!$M$65:$Q$65</c:f>
              <c:numCache>
                <c:formatCode>#,##0</c:formatCode>
                <c:ptCount val="5"/>
                <c:pt idx="0">
                  <c:v>64.48</c:v>
                </c:pt>
                <c:pt idx="1">
                  <c:v>64.48</c:v>
                </c:pt>
                <c:pt idx="2">
                  <c:v>64.48</c:v>
                </c:pt>
                <c:pt idx="3">
                  <c:v>64.48</c:v>
                </c:pt>
                <c:pt idx="4">
                  <c:v>64.48</c:v>
                </c:pt>
              </c:numCache>
            </c:numRef>
          </c:val>
          <c:extLst>
            <c:ext xmlns:c16="http://schemas.microsoft.com/office/drawing/2014/chart" uri="{C3380CC4-5D6E-409C-BE32-E72D297353CC}">
              <c16:uniqueId val="{0000000A-2E96-431B-B8B0-FA1AD091AC84}"/>
            </c:ext>
          </c:extLst>
        </c:ser>
        <c:dLbls>
          <c:dLblPos val="ctr"/>
          <c:showLegendKey val="0"/>
          <c:showVal val="1"/>
          <c:showCatName val="0"/>
          <c:showSerName val="0"/>
          <c:showPercent val="0"/>
          <c:showBubbleSize val="0"/>
        </c:dLbls>
        <c:gapWidth val="150"/>
        <c:overlap val="100"/>
        <c:axId val="803255760"/>
        <c:axId val="803255400"/>
      </c:barChart>
      <c:catAx>
        <c:axId val="80325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03255400"/>
        <c:crosses val="autoZero"/>
        <c:auto val="1"/>
        <c:lblAlgn val="ctr"/>
        <c:lblOffset val="100"/>
        <c:noMultiLvlLbl val="0"/>
      </c:catAx>
      <c:valAx>
        <c:axId val="803255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i="0" u="none" strike="noStrike" kern="1200" baseline="0">
                    <a:solidFill>
                      <a:srgbClr val="323232">
                        <a:lumMod val="65000"/>
                        <a:lumOff val="35000"/>
                      </a:srgbClr>
                    </a:solidFill>
                  </a:rPr>
                  <a:t>Emissionen [tCO</a:t>
                </a:r>
                <a:r>
                  <a:rPr lang="en-GB" sz="1000" b="1" i="0" u="none" strike="noStrike" kern="1200" baseline="-25000">
                    <a:solidFill>
                      <a:srgbClr val="323232">
                        <a:lumMod val="65000"/>
                        <a:lumOff val="35000"/>
                      </a:srgbClr>
                    </a:solidFill>
                  </a:rPr>
                  <a:t>2</a:t>
                </a:r>
                <a:r>
                  <a:rPr lang="en-GB" sz="1000" b="1" i="0" u="none" strike="noStrike" kern="1200" baseline="0">
                    <a:solidFill>
                      <a:srgbClr val="323232">
                        <a:lumMod val="65000"/>
                        <a:lumOff val="35000"/>
                      </a:srgbClr>
                    </a:solidFill>
                  </a:rPr>
                  <a: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03255760"/>
        <c:crosses val="autoZero"/>
        <c:crossBetween val="between"/>
      </c:valAx>
      <c:spPr>
        <a:pattFill prst="ltDnDiag">
          <a:fgClr>
            <a:schemeClr val="accent1"/>
          </a:fgClr>
          <a:bgClr>
            <a:schemeClr val="bg1"/>
          </a:bgClr>
        </a:pattFill>
        <a:ln>
          <a:solidFill>
            <a:schemeClr val="accent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'M2 Fuhrpark'!$Z$82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20-411D-AECD-C3BA2EC15F14}"/>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20-411D-AECD-C3BA2EC15F14}"/>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20-411D-AECD-C3BA2EC15F1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Fuhrpark'!$AA$82:$AC$82</c:f>
              <c:numCache>
                <c:formatCode>#,##0</c:formatCode>
                <c:ptCount val="3"/>
                <c:pt idx="0">
                  <c:v>41.281733459999998</c:v>
                </c:pt>
                <c:pt idx="1">
                  <c:v>33.493691337510647</c:v>
                </c:pt>
                <c:pt idx="2">
                  <c:v>21.601201256046664</c:v>
                </c:pt>
              </c:numCache>
            </c:numRef>
          </c:val>
          <c:extLst>
            <c:ext xmlns:c16="http://schemas.microsoft.com/office/drawing/2014/chart" uri="{C3380CC4-5D6E-409C-BE32-E72D297353CC}">
              <c16:uniqueId val="{00000003-8A20-411D-AECD-C3BA2EC15F14}"/>
            </c:ext>
          </c:extLst>
        </c:ser>
        <c:ser>
          <c:idx val="1"/>
          <c:order val="1"/>
          <c:tx>
            <c:strRef>
              <c:f>'M2 Fuhrpark'!$Z$83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20-411D-AECD-C3BA2EC15F14}"/>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20-411D-AECD-C3BA2EC15F14}"/>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20-411D-AECD-C3BA2EC15F1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Fuhrpark'!$AA$83:$AC$83</c:f>
              <c:numCache>
                <c:formatCode>#,##0</c:formatCode>
                <c:ptCount val="3"/>
                <c:pt idx="0">
                  <c:v>469.15642799999995</c:v>
                </c:pt>
                <c:pt idx="1">
                  <c:v>469.15642799999995</c:v>
                </c:pt>
                <c:pt idx="2">
                  <c:v>469.15642799999995</c:v>
                </c:pt>
              </c:numCache>
            </c:numRef>
          </c:val>
          <c:extLst>
            <c:ext xmlns:c16="http://schemas.microsoft.com/office/drawing/2014/chart" uri="{C3380CC4-5D6E-409C-BE32-E72D297353CC}">
              <c16:uniqueId val="{00000007-8A20-411D-AECD-C3BA2EC15F14}"/>
            </c:ext>
          </c:extLst>
        </c:ser>
        <c:ser>
          <c:idx val="2"/>
          <c:order val="2"/>
          <c:tx>
            <c:strRef>
              <c:f>'M2 Fuhrpark'!$Z$84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Fuhrpark'!$AA$84:$AC$84</c:f>
              <c:numCache>
                <c:formatCode>#,##0</c:formatCode>
                <c:ptCount val="3"/>
                <c:pt idx="0">
                  <c:v>4548.5439999999999</c:v>
                </c:pt>
                <c:pt idx="1">
                  <c:v>4548.5439999999999</c:v>
                </c:pt>
                <c:pt idx="2">
                  <c:v>4548.5439999999999</c:v>
                </c:pt>
              </c:numCache>
            </c:numRef>
          </c:val>
          <c:extLst>
            <c:ext xmlns:c16="http://schemas.microsoft.com/office/drawing/2014/chart" uri="{C3380CC4-5D6E-409C-BE32-E72D297353CC}">
              <c16:uniqueId val="{00000008-8A20-411D-AECD-C3BA2EC15F14}"/>
            </c:ext>
          </c:extLst>
        </c:ser>
        <c:ser>
          <c:idx val="3"/>
          <c:order val="3"/>
          <c:tx>
            <c:strRef>
              <c:f>'M2 Fuhrpark'!$Z$85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20-411D-AECD-C3BA2EC15F14}"/>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20-411D-AECD-C3BA2EC15F14}"/>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20-411D-AECD-C3BA2EC15F1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Fuhrpark'!$AA$85:$AC$85</c:f>
              <c:numCache>
                <c:formatCode>#,##0</c:formatCode>
                <c:ptCount val="3"/>
                <c:pt idx="0">
                  <c:v>129.59200000000001</c:v>
                </c:pt>
                <c:pt idx="1">
                  <c:v>129.59200000000001</c:v>
                </c:pt>
                <c:pt idx="2">
                  <c:v>129.59200000000001</c:v>
                </c:pt>
              </c:numCache>
            </c:numRef>
          </c:val>
          <c:extLst>
            <c:ext xmlns:c16="http://schemas.microsoft.com/office/drawing/2014/chart" uri="{C3380CC4-5D6E-409C-BE32-E72D297353CC}">
              <c16:uniqueId val="{0000000C-8A20-411D-AECD-C3BA2EC15F14}"/>
            </c:ext>
          </c:extLst>
        </c:ser>
        <c:ser>
          <c:idx val="4"/>
          <c:order val="4"/>
          <c:tx>
            <c:strRef>
              <c:f>'M2 Fuhrpark'!$Z$86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Fuhrpark'!$AA$86:$AC$86</c:f>
              <c:numCache>
                <c:formatCode>#,##0</c:formatCode>
                <c:ptCount val="3"/>
                <c:pt idx="0">
                  <c:v>208</c:v>
                </c:pt>
                <c:pt idx="1">
                  <c:v>208</c:v>
                </c:pt>
                <c:pt idx="2">
                  <c:v>208</c:v>
                </c:pt>
              </c:numCache>
            </c:numRef>
          </c:val>
          <c:extLst>
            <c:ext xmlns:c16="http://schemas.microsoft.com/office/drawing/2014/chart" uri="{C3380CC4-5D6E-409C-BE32-E72D297353CC}">
              <c16:uniqueId val="{0000000D-8A20-411D-AECD-C3BA2EC15F14}"/>
            </c:ext>
          </c:extLst>
        </c:ser>
        <c:ser>
          <c:idx val="5"/>
          <c:order val="5"/>
          <c:tx>
            <c:strRef>
              <c:f>'M2 Fuhrpark'!$Z$87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Fuhrpark'!$AA$87:$AC$87</c:f>
              <c:numCache>
                <c:formatCode>#,##0</c:formatCode>
                <c:ptCount val="3"/>
                <c:pt idx="0">
                  <c:v>81.003999999999991</c:v>
                </c:pt>
                <c:pt idx="1">
                  <c:v>81.003999999999991</c:v>
                </c:pt>
                <c:pt idx="2">
                  <c:v>81.003999999999991</c:v>
                </c:pt>
              </c:numCache>
            </c:numRef>
          </c:val>
          <c:extLst>
            <c:ext xmlns:c16="http://schemas.microsoft.com/office/drawing/2014/chart" uri="{C3380CC4-5D6E-409C-BE32-E72D297353CC}">
              <c16:uniqueId val="{0000000E-8A20-411D-AECD-C3BA2EC15F14}"/>
            </c:ext>
          </c:extLst>
        </c:ser>
        <c:ser>
          <c:idx val="6"/>
          <c:order val="6"/>
          <c:tx>
            <c:strRef>
              <c:f>'M2 Fuhrpark'!$Z$88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20-411D-AECD-C3BA2EC15F14}"/>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20-411D-AECD-C3BA2EC15F14}"/>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20-411D-AECD-C3BA2EC15F1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Fuhrpark'!$AA$88:$AC$88</c:f>
              <c:numCache>
                <c:formatCode>#,##0</c:formatCode>
                <c:ptCount val="3"/>
                <c:pt idx="0">
                  <c:v>148.44746134951595</c:v>
                </c:pt>
                <c:pt idx="1">
                  <c:v>148.44746134951595</c:v>
                </c:pt>
                <c:pt idx="2">
                  <c:v>148.44746134951595</c:v>
                </c:pt>
              </c:numCache>
            </c:numRef>
          </c:val>
          <c:extLst>
            <c:ext xmlns:c16="http://schemas.microsoft.com/office/drawing/2014/chart" uri="{C3380CC4-5D6E-409C-BE32-E72D297353CC}">
              <c16:uniqueId val="{00000012-8A20-411D-AECD-C3BA2EC15F14}"/>
            </c:ext>
          </c:extLst>
        </c:ser>
        <c:ser>
          <c:idx val="7"/>
          <c:order val="7"/>
          <c:tx>
            <c:strRef>
              <c:f>'M2 Fuhrpark'!$Z$89</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Fuhrpark'!$AA$89:$AC$89</c:f>
              <c:numCache>
                <c:formatCode>#,##0</c:formatCode>
                <c:ptCount val="3"/>
                <c:pt idx="0">
                  <c:v>#N/A</c:v>
                </c:pt>
                <c:pt idx="1">
                  <c:v>#N/A</c:v>
                </c:pt>
                <c:pt idx="2">
                  <c:v>#N/A</c:v>
                </c:pt>
              </c:numCache>
            </c:numRef>
          </c:val>
          <c:extLst>
            <c:ext xmlns:c16="http://schemas.microsoft.com/office/drawing/2014/chart" uri="{C3380CC4-5D6E-409C-BE32-E72D297353CC}">
              <c16:uniqueId val="{00000013-8A20-411D-AECD-C3BA2EC15F14}"/>
            </c:ext>
          </c:extLst>
        </c:ser>
        <c:ser>
          <c:idx val="8"/>
          <c:order val="8"/>
          <c:tx>
            <c:strRef>
              <c:f>'M2 Fuhrpark'!$Z$90</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Fuhrpark'!$AA$90:$AC$90</c:f>
              <c:numCache>
                <c:formatCode>#,##0</c:formatCode>
                <c:ptCount val="3"/>
                <c:pt idx="0">
                  <c:v>#N/A</c:v>
                </c:pt>
                <c:pt idx="1">
                  <c:v>#N/A</c:v>
                </c:pt>
                <c:pt idx="2">
                  <c:v>#N/A</c:v>
                </c:pt>
              </c:numCache>
            </c:numRef>
          </c:val>
          <c:extLst>
            <c:ext xmlns:c16="http://schemas.microsoft.com/office/drawing/2014/chart" uri="{C3380CC4-5D6E-409C-BE32-E72D297353CC}">
              <c16:uniqueId val="{00000014-8A20-411D-AECD-C3BA2EC15F14}"/>
            </c:ext>
          </c:extLst>
        </c:ser>
        <c:ser>
          <c:idx val="9"/>
          <c:order val="9"/>
          <c:tx>
            <c:strRef>
              <c:f>'M2 Fuhrpark'!$Z$91</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Fuhrpark'!$AA$91:$AC$91</c:f>
              <c:numCache>
                <c:formatCode>#,##0</c:formatCode>
                <c:ptCount val="3"/>
                <c:pt idx="0">
                  <c:v>#N/A</c:v>
                </c:pt>
                <c:pt idx="1">
                  <c:v>#N/A</c:v>
                </c:pt>
                <c:pt idx="2">
                  <c:v>#N/A</c:v>
                </c:pt>
              </c:numCache>
            </c:numRef>
          </c:val>
          <c:extLst>
            <c:ext xmlns:c16="http://schemas.microsoft.com/office/drawing/2014/chart" uri="{C3380CC4-5D6E-409C-BE32-E72D297353CC}">
              <c16:uniqueId val="{00000015-8A20-411D-AECD-C3BA2EC15F14}"/>
            </c:ext>
          </c:extLst>
        </c:ser>
        <c:ser>
          <c:idx val="10"/>
          <c:order val="10"/>
          <c:tx>
            <c:strRef>
              <c:f>'M2 Fuhrpark'!$Z$92</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A20-411D-AECD-C3BA2EC15F14}"/>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A20-411D-AECD-C3BA2EC15F14}"/>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A20-411D-AECD-C3BA2EC15F1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Fuhrpark'!$AA$50:$AC$51</c:f>
              <c:multiLvlStrCache>
                <c:ptCount val="3"/>
                <c:lvl>
                  <c:pt idx="0">
                    <c:v>Referenz</c:v>
                  </c:pt>
                </c:lvl>
                <c:lvl>
                  <c:pt idx="0">
                    <c:v>0</c:v>
                  </c:pt>
                  <c:pt idx="1">
                    <c:v>5</c:v>
                  </c:pt>
                  <c:pt idx="2">
                    <c:v>10</c:v>
                  </c:pt>
                </c:lvl>
              </c:multiLvlStrCache>
            </c:multiLvlStrRef>
          </c:cat>
          <c:val>
            <c:numRef>
              <c:f>'M2 Fuhrpark'!$AA$92:$AC$92</c:f>
              <c:numCache>
                <c:formatCode>#,##0</c:formatCode>
                <c:ptCount val="3"/>
                <c:pt idx="0">
                  <c:v>64.48</c:v>
                </c:pt>
                <c:pt idx="1">
                  <c:v>64.48</c:v>
                </c:pt>
                <c:pt idx="2">
                  <c:v>64.48</c:v>
                </c:pt>
              </c:numCache>
            </c:numRef>
          </c:val>
          <c:extLst>
            <c:ext xmlns:c16="http://schemas.microsoft.com/office/drawing/2014/chart" uri="{C3380CC4-5D6E-409C-BE32-E72D297353CC}">
              <c16:uniqueId val="{00000019-8A20-411D-AECD-C3BA2EC15F14}"/>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'M3 Effizienz Stapler'!$Q$81</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4D-4947-A84A-B43126C1C4A0}"/>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4D-4947-A84A-B43126C1C4A0}"/>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4D-4947-A84A-B43126C1C4A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Stapler'!$R$81:$T$81</c:f>
              <c:numCache>
                <c:formatCode>#,##0.0</c:formatCode>
                <c:ptCount val="3"/>
                <c:pt idx="0">
                  <c:v>43.0426</c:v>
                </c:pt>
                <c:pt idx="1">
                  <c:v>43.0426</c:v>
                </c:pt>
                <c:pt idx="2">
                  <c:v>43.0426</c:v>
                </c:pt>
              </c:numCache>
            </c:numRef>
          </c:val>
          <c:extLst>
            <c:ext xmlns:c16="http://schemas.microsoft.com/office/drawing/2014/chart" uri="{C3380CC4-5D6E-409C-BE32-E72D297353CC}">
              <c16:uniqueId val="{00000003-AA4D-4947-A84A-B43126C1C4A0}"/>
            </c:ext>
          </c:extLst>
        </c:ser>
        <c:ser>
          <c:idx val="1"/>
          <c:order val="1"/>
          <c:tx>
            <c:strRef>
              <c:f>'M3 Effizienz Stapler'!$Q$82</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4D-4947-A84A-B43126C1C4A0}"/>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4D-4947-A84A-B43126C1C4A0}"/>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4D-4947-A84A-B43126C1C4A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Stapler'!$R$82:$T$82</c:f>
              <c:numCache>
                <c:formatCode>#,##0.0</c:formatCode>
                <c:ptCount val="3"/>
                <c:pt idx="0">
                  <c:v>16.005600000000001</c:v>
                </c:pt>
                <c:pt idx="1">
                  <c:v>16.005600000000001</c:v>
                </c:pt>
                <c:pt idx="2">
                  <c:v>16.005600000000001</c:v>
                </c:pt>
              </c:numCache>
            </c:numRef>
          </c:val>
          <c:extLst>
            <c:ext xmlns:c16="http://schemas.microsoft.com/office/drawing/2014/chart" uri="{C3380CC4-5D6E-409C-BE32-E72D297353CC}">
              <c16:uniqueId val="{00000007-AA4D-4947-A84A-B43126C1C4A0}"/>
            </c:ext>
          </c:extLst>
        </c:ser>
        <c:ser>
          <c:idx val="2"/>
          <c:order val="2"/>
          <c:tx>
            <c:strRef>
              <c:f>'M3 Effizienz Stapler'!$Q$83</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Stapler'!$R$83:$T$83</c:f>
              <c:numCache>
                <c:formatCode>#,##0.0</c:formatCode>
                <c:ptCount val="3"/>
                <c:pt idx="0">
                  <c:v>171.9</c:v>
                </c:pt>
                <c:pt idx="1">
                  <c:v>124.8924470887134</c:v>
                </c:pt>
                <c:pt idx="2">
                  <c:v>61.552554846110553</c:v>
                </c:pt>
              </c:numCache>
            </c:numRef>
          </c:val>
          <c:extLst>
            <c:ext xmlns:c16="http://schemas.microsoft.com/office/drawing/2014/chart" uri="{C3380CC4-5D6E-409C-BE32-E72D297353CC}">
              <c16:uniqueId val="{00000008-AA4D-4947-A84A-B43126C1C4A0}"/>
            </c:ext>
          </c:extLst>
        </c:ser>
        <c:ser>
          <c:idx val="3"/>
          <c:order val="3"/>
          <c:tx>
            <c:strRef>
              <c:f>'M3 Effizienz Stapler'!$Q$87</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Stapler'!$R$87:$T$87</c:f>
              <c:numCache>
                <c:formatCode>#,##0.0</c:formatCode>
                <c:ptCount val="3"/>
                <c:pt idx="0">
                  <c:v>35.884155059999998</c:v>
                </c:pt>
                <c:pt idx="1">
                  <c:v>34.422208001999998</c:v>
                </c:pt>
                <c:pt idx="2">
                  <c:v>32.960260943999998</c:v>
                </c:pt>
              </c:numCache>
            </c:numRef>
          </c:val>
          <c:extLst>
            <c:ext xmlns:c16="http://schemas.microsoft.com/office/drawing/2014/chart" uri="{C3380CC4-5D6E-409C-BE32-E72D297353CC}">
              <c16:uniqueId val="{00000009-AA4D-4947-A84A-B43126C1C4A0}"/>
            </c:ext>
          </c:extLst>
        </c:ser>
        <c:ser>
          <c:idx val="4"/>
          <c:order val="4"/>
          <c:tx>
            <c:strRef>
              <c:f>'M3 Effizienz Stapler'!$Q$84</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'M3 Effizienz Stapler'!$R$84:$T$84</c:f>
              <c:numCache>
                <c:formatCode>#,##0.0</c:formatCode>
                <c:ptCount val="3"/>
                <c:pt idx="0">
                  <c:v>0</c:v>
                </c:pt>
                <c:pt idx="1">
                  <c:v>0</c:v>
                </c:pt>
                <c:pt idx="2">
                  <c:v>0</c:v>
                </c:pt>
              </c:numCache>
            </c:numRef>
          </c:val>
          <c:extLst>
            <c:ext xmlns:c16="http://schemas.microsoft.com/office/drawing/2014/chart" uri="{C3380CC4-5D6E-409C-BE32-E72D297353CC}">
              <c16:uniqueId val="{0000000A-AA4D-4947-A84A-B43126C1C4A0}"/>
            </c:ext>
          </c:extLst>
        </c:ser>
        <c:ser>
          <c:idx val="5"/>
          <c:order val="5"/>
          <c:tx>
            <c:strRef>
              <c:f>'M3 Effizienz Stapler'!$Q$85</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'M3 Effizienz Stapler'!$R$85:$T$85</c:f>
              <c:numCache>
                <c:formatCode>#,##0.0</c:formatCode>
                <c:ptCount val="3"/>
                <c:pt idx="0">
                  <c:v>0</c:v>
                </c:pt>
                <c:pt idx="1">
                  <c:v>0</c:v>
                </c:pt>
                <c:pt idx="2">
                  <c:v>0</c:v>
                </c:pt>
              </c:numCache>
            </c:numRef>
          </c:val>
          <c:extLst>
            <c:ext xmlns:c16="http://schemas.microsoft.com/office/drawing/2014/chart" uri="{C3380CC4-5D6E-409C-BE32-E72D297353CC}">
              <c16:uniqueId val="{0000000B-AA4D-4947-A84A-B43126C1C4A0}"/>
            </c:ext>
          </c:extLst>
        </c:ser>
        <c:ser>
          <c:idx val="6"/>
          <c:order val="6"/>
          <c:tx>
            <c:strRef>
              <c:f>'M3 Effizienz Stapler'!$Q$86</c:f>
              <c:strCache>
                <c:ptCount val="1"/>
                <c:pt idx="0">
                  <c:v>Alternativer Energieträger restliches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'M3 Effizienz Stapler'!$R$86:$T$86</c:f>
              <c:numCache>
                <c:formatCode>#,##0.0</c:formatCode>
                <c:ptCount val="3"/>
                <c:pt idx="0">
                  <c:v>0</c:v>
                </c:pt>
                <c:pt idx="1">
                  <c:v>0</c:v>
                </c:pt>
                <c:pt idx="2">
                  <c:v>0</c:v>
                </c:pt>
              </c:numCache>
            </c:numRef>
          </c:val>
          <c:extLst>
            <c:ext xmlns:c16="http://schemas.microsoft.com/office/drawing/2014/chart" uri="{C3380CC4-5D6E-409C-BE32-E72D297353CC}">
              <c16:uniqueId val="{0000000C-AA4D-4947-A84A-B43126C1C4A0}"/>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'M3 Effizienz Stapler'!$Z$44</c:f>
              <c:strCache>
                <c:ptCount val="1"/>
                <c:pt idx="0">
                  <c:v>Scope 3</c:v>
                </c:pt>
              </c:strCache>
            </c:strRef>
          </c:tx>
          <c:spPr>
            <a:solidFill>
              <a:schemeClr val="accent3"/>
            </a:solidFill>
            <a:ln>
              <a:noFill/>
            </a:ln>
            <a:effectLst/>
          </c:spPr>
          <c:invertIfNegative val="0"/>
          <c:cat>
            <c:multiLvlStrRef>
              <c:f>'M3 Effizienz Stapler'!$AA$40:$AC$41</c:f>
              <c:multiLvlStrCache>
                <c:ptCount val="3"/>
                <c:lvl>
                  <c:pt idx="0">
                    <c:v>Referenz</c:v>
                  </c:pt>
                </c:lvl>
                <c:lvl>
                  <c:pt idx="0">
                    <c:v>0</c:v>
                  </c:pt>
                  <c:pt idx="1">
                    <c:v>5</c:v>
                  </c:pt>
                  <c:pt idx="2">
                    <c:v>10</c:v>
                  </c:pt>
                </c:lvl>
              </c:multiLvlStrCache>
            </c:multiLvlStrRef>
          </c:cat>
          <c:val>
            <c:numRef>
              <c:f>'M3 Effizienz Stapler'!$AA$44:$AC$44</c:f>
              <c:numCache>
                <c:formatCode>#,##0</c:formatCode>
                <c:ptCount val="3"/>
                <c:pt idx="0">
                  <c:v>5831.5296228095176</c:v>
                </c:pt>
                <c:pt idx="1">
                  <c:v>5744.0611300424298</c:v>
                </c:pt>
                <c:pt idx="2">
                  <c:v>5734.5174076351468</c:v>
                </c:pt>
              </c:numCache>
            </c:numRef>
          </c:val>
          <c:extLst>
            <c:ext xmlns:c16="http://schemas.microsoft.com/office/drawing/2014/chart" uri="{C3380CC4-5D6E-409C-BE32-E72D297353CC}">
              <c16:uniqueId val="{00000000-49BE-4EB4-9B87-67E14505E979}"/>
            </c:ext>
          </c:extLst>
        </c:ser>
        <c:ser>
          <c:idx val="1"/>
          <c:order val="1"/>
          <c:tx>
            <c:strRef>
              <c:f>'M3 Effizienz Stapler'!$Z$43</c:f>
              <c:strCache>
                <c:ptCount val="1"/>
                <c:pt idx="0">
                  <c:v>Scope 2</c:v>
                </c:pt>
              </c:strCache>
            </c:strRef>
          </c:tx>
          <c:spPr>
            <a:solidFill>
              <a:schemeClr val="accent2"/>
            </a:solidFill>
            <a:ln>
              <a:noFill/>
            </a:ln>
            <a:effectLst/>
          </c:spPr>
          <c:invertIfNegative val="0"/>
          <c:cat>
            <c:multiLvlStrRef>
              <c:f>'M3 Effizienz Stapler'!$AA$40:$AC$41</c:f>
              <c:multiLvlStrCache>
                <c:ptCount val="3"/>
                <c:lvl>
                  <c:pt idx="0">
                    <c:v>Referenz</c:v>
                  </c:pt>
                </c:lvl>
                <c:lvl>
                  <c:pt idx="0">
                    <c:v>0</c:v>
                  </c:pt>
                  <c:pt idx="1">
                    <c:v>5</c:v>
                  </c:pt>
                  <c:pt idx="2">
                    <c:v>10</c:v>
                  </c:pt>
                </c:lvl>
              </c:multiLvlStrCache>
            </c:multiLvlStrRef>
          </c:cat>
          <c:val>
            <c:numRef>
              <c:f>'M3 Effizienz Stapler'!$AA$43:$AC$43</c:f>
              <c:numCache>
                <c:formatCode>#,##0</c:formatCode>
                <c:ptCount val="3"/>
                <c:pt idx="0">
                  <c:v>171.9</c:v>
                </c:pt>
                <c:pt idx="1">
                  <c:v>124.8924470887134</c:v>
                </c:pt>
                <c:pt idx="2">
                  <c:v>61.552554846110553</c:v>
                </c:pt>
              </c:numCache>
            </c:numRef>
          </c:val>
          <c:extLst>
            <c:ext xmlns:c16="http://schemas.microsoft.com/office/drawing/2014/chart" uri="{C3380CC4-5D6E-409C-BE32-E72D297353CC}">
              <c16:uniqueId val="{00000001-49BE-4EB4-9B87-67E14505E979}"/>
            </c:ext>
          </c:extLst>
        </c:ser>
        <c:ser>
          <c:idx val="0"/>
          <c:order val="2"/>
          <c:tx>
            <c:strRef>
              <c:f>'M3 Effizienz Stapler'!$Z$42</c:f>
              <c:strCache>
                <c:ptCount val="1"/>
                <c:pt idx="0">
                  <c:v>Scope 1 </c:v>
                </c:pt>
              </c:strCache>
            </c:strRef>
          </c:tx>
          <c:spPr>
            <a:solidFill>
              <a:schemeClr val="accent1"/>
            </a:solidFill>
            <a:ln>
              <a:noFill/>
            </a:ln>
            <a:effectLst/>
          </c:spPr>
          <c:invertIfNegative val="0"/>
          <c:cat>
            <c:multiLvlStrRef>
              <c:f>'M3 Effizienz Stapler'!$AA$40:$AC$41</c:f>
              <c:multiLvlStrCache>
                <c:ptCount val="3"/>
                <c:lvl>
                  <c:pt idx="0">
                    <c:v>Referenz</c:v>
                  </c:pt>
                </c:lvl>
                <c:lvl>
                  <c:pt idx="0">
                    <c:v>0</c:v>
                  </c:pt>
                  <c:pt idx="1">
                    <c:v>5</c:v>
                  </c:pt>
                  <c:pt idx="2">
                    <c:v>10</c:v>
                  </c:pt>
                </c:lvl>
              </c:multiLvlStrCache>
            </c:multiLvlStrRef>
          </c:cat>
          <c:val>
            <c:numRef>
              <c:f>'M3 Effizienz Stapler'!$AA$42:$AC$42</c:f>
              <c:numCache>
                <c:formatCode>#,##0</c:formatCode>
                <c:ptCount val="3"/>
                <c:pt idx="0">
                  <c:v>94.932355060000006</c:v>
                </c:pt>
                <c:pt idx="1">
                  <c:v>93.470408001999999</c:v>
                </c:pt>
                <c:pt idx="2">
                  <c:v>92.008460943999992</c:v>
                </c:pt>
              </c:numCache>
            </c:numRef>
          </c:val>
          <c:extLst>
            <c:ext xmlns:c16="http://schemas.microsoft.com/office/drawing/2014/chart" uri="{C3380CC4-5D6E-409C-BE32-E72D297353CC}">
              <c16:uniqueId val="{00000002-49BE-4EB4-9B87-67E14505E979}"/>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'M3 Effizienz Stapler'!$AI$81</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Stapler'!$AJ$81:$AL$81</c:f>
              <c:numCache>
                <c:formatCode>#,##0\ "€"</c:formatCode>
                <c:ptCount val="3"/>
                <c:pt idx="0">
                  <c:v>109669</c:v>
                </c:pt>
                <c:pt idx="1">
                  <c:v>109050.8</c:v>
                </c:pt>
                <c:pt idx="2">
                  <c:v>108432.6</c:v>
                </c:pt>
              </c:numCache>
            </c:numRef>
          </c:val>
          <c:extLst>
            <c:ext xmlns:c16="http://schemas.microsoft.com/office/drawing/2014/chart" uri="{C3380CC4-5D6E-409C-BE32-E72D297353CC}">
              <c16:uniqueId val="{00000000-2352-4A26-9186-C05DCC14CDEE}"/>
            </c:ext>
          </c:extLst>
        </c:ser>
        <c:ser>
          <c:idx val="1"/>
          <c:order val="1"/>
          <c:tx>
            <c:strRef>
              <c:f>'M3 Effizienz Stapler'!$AI$89</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52-4A26-9186-C05DCC14CDE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Stapler'!$AJ$89:$AL$89</c:f>
              <c:numCache>
                <c:formatCode>#,##0\ "€"</c:formatCode>
                <c:ptCount val="3"/>
                <c:pt idx="0">
                  <c:v>0</c:v>
                </c:pt>
                <c:pt idx="1">
                  <c:v>28800</c:v>
                </c:pt>
                <c:pt idx="2">
                  <c:v>57600</c:v>
                </c:pt>
              </c:numCache>
            </c:numRef>
          </c:val>
          <c:extLst>
            <c:ext xmlns:c16="http://schemas.microsoft.com/office/drawing/2014/chart" uri="{C3380CC4-5D6E-409C-BE32-E72D297353CC}">
              <c16:uniqueId val="{00000002-2352-4A26-9186-C05DCC14CDEE}"/>
            </c:ext>
          </c:extLst>
        </c:ser>
        <c:ser>
          <c:idx val="2"/>
          <c:order val="2"/>
          <c:tx>
            <c:strRef>
              <c:f>'M3 Effizienz Stapler'!$AI$90</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Stapler'!$AJ$90:$AL$90</c:f>
              <c:numCache>
                <c:formatCode>#,##0\ "€"</c:formatCode>
                <c:ptCount val="3"/>
                <c:pt idx="0">
                  <c:v>0</c:v>
                </c:pt>
                <c:pt idx="1">
                  <c:v>0</c:v>
                </c:pt>
                <c:pt idx="2">
                  <c:v>0</c:v>
                </c:pt>
              </c:numCache>
            </c:numRef>
          </c:val>
          <c:extLst>
            <c:ext xmlns:c16="http://schemas.microsoft.com/office/drawing/2014/chart" uri="{C3380CC4-5D6E-409C-BE32-E72D297353CC}">
              <c16:uniqueId val="{00000003-2352-4A26-9186-C05DCC14CDEE}"/>
            </c:ext>
          </c:extLst>
        </c:ser>
        <c:ser>
          <c:idx val="3"/>
          <c:order val="3"/>
          <c:tx>
            <c:strRef>
              <c:f>'M3 Effizienz Stapler'!$AI$91</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Stapler'!$R$40:$T$41</c:f>
              <c:multiLvlStrCache>
                <c:ptCount val="3"/>
                <c:lvl>
                  <c:pt idx="0">
                    <c:v>Referenz</c:v>
                  </c:pt>
                </c:lvl>
                <c:lvl>
                  <c:pt idx="0">
                    <c:v>0</c:v>
                  </c:pt>
                  <c:pt idx="1">
                    <c:v>5</c:v>
                  </c:pt>
                  <c:pt idx="2">
                    <c:v>10</c:v>
                  </c:pt>
                </c:lvl>
              </c:multiLvlStrCache>
            </c:multiLvlStrRef>
          </c:cat>
          <c:val>
            <c:numRef>
              <c:f>'M3 Effizienz Stapler'!$AJ$91:$AL$91</c:f>
              <c:numCache>
                <c:formatCode>#,##0\ "€"</c:formatCode>
                <c:ptCount val="3"/>
                <c:pt idx="0">
                  <c:v>0</c:v>
                </c:pt>
                <c:pt idx="1">
                  <c:v>0</c:v>
                </c:pt>
                <c:pt idx="2">
                  <c:v>0</c:v>
                </c:pt>
              </c:numCache>
            </c:numRef>
          </c:val>
          <c:extLst>
            <c:ext xmlns:c16="http://schemas.microsoft.com/office/drawing/2014/chart" uri="{C3380CC4-5D6E-409C-BE32-E72D297353CC}">
              <c16:uniqueId val="{00000004-2352-4A26-9186-C05DCC14CDEE}"/>
            </c:ext>
          </c:extLst>
        </c:ser>
        <c:ser>
          <c:idx val="4"/>
          <c:order val="4"/>
          <c:tx>
            <c:strRef>
              <c:f>'M3 Effizienz Stapler'!$AI$92</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'M3 Effizienz Stapler'!$AJ$92:$AL$92</c:f>
              <c:numCache>
                <c:formatCode>#,##0\ "€"</c:formatCode>
                <c:ptCount val="3"/>
                <c:pt idx="0">
                  <c:v>152459.04944673795</c:v>
                </c:pt>
                <c:pt idx="1">
                  <c:v>268309.07933099143</c:v>
                </c:pt>
                <c:pt idx="2">
                  <c:v>471046.27387402061</c:v>
                </c:pt>
              </c:numCache>
            </c:numRef>
          </c:val>
          <c:extLst>
            <c:ext xmlns:c16="http://schemas.microsoft.com/office/drawing/2014/chart" uri="{C3380CC4-5D6E-409C-BE32-E72D297353CC}">
              <c16:uniqueId val="{00000005-2352-4A26-9186-C05DCC14CDEE}"/>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'M3 Effizienz Stapler'!$Z$81</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B7-4D30-9BBD-8538E7014E42}"/>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B7-4D30-9BBD-8538E7014E42}"/>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B7-4D30-9BBD-8538E7014E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Stapler'!$AA$81:$AC$81</c:f>
              <c:numCache>
                <c:formatCode>#,##0</c:formatCode>
                <c:ptCount val="3"/>
                <c:pt idx="0">
                  <c:v>41.281733459999998</c:v>
                </c:pt>
                <c:pt idx="1">
                  <c:v>34.132280692910868</c:v>
                </c:pt>
                <c:pt idx="2">
                  <c:v>24.588558285628775</c:v>
                </c:pt>
              </c:numCache>
            </c:numRef>
          </c:val>
          <c:extLst>
            <c:ext xmlns:c16="http://schemas.microsoft.com/office/drawing/2014/chart" uri="{C3380CC4-5D6E-409C-BE32-E72D297353CC}">
              <c16:uniqueId val="{00000003-37B7-4D30-9BBD-8538E7014E42}"/>
            </c:ext>
          </c:extLst>
        </c:ser>
        <c:ser>
          <c:idx val="1"/>
          <c:order val="1"/>
          <c:tx>
            <c:strRef>
              <c:f>'M3 Effizienz Stapler'!$Z$82</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B7-4D30-9BBD-8538E7014E42}"/>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7B7-4D30-9BBD-8538E7014E42}"/>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7B7-4D30-9BBD-8538E7014E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Stapler'!$AA$82:$AC$82</c:f>
              <c:numCache>
                <c:formatCode>#,##0</c:formatCode>
                <c:ptCount val="3"/>
                <c:pt idx="0">
                  <c:v>469.15642799999995</c:v>
                </c:pt>
                <c:pt idx="1">
                  <c:v>469.15642799999995</c:v>
                </c:pt>
                <c:pt idx="2">
                  <c:v>469.15642799999995</c:v>
                </c:pt>
              </c:numCache>
            </c:numRef>
          </c:val>
          <c:extLst>
            <c:ext xmlns:c16="http://schemas.microsoft.com/office/drawing/2014/chart" uri="{C3380CC4-5D6E-409C-BE32-E72D297353CC}">
              <c16:uniqueId val="{00000007-37B7-4D30-9BBD-8538E7014E42}"/>
            </c:ext>
          </c:extLst>
        </c:ser>
        <c:ser>
          <c:idx val="2"/>
          <c:order val="2"/>
          <c:tx>
            <c:strRef>
              <c:f>'M3 Effizienz Stapler'!$Z$83</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Stapler'!$AA$83:$AC$83</c:f>
              <c:numCache>
                <c:formatCode>#,##0</c:formatCode>
                <c:ptCount val="3"/>
                <c:pt idx="0">
                  <c:v>4548.5439999999999</c:v>
                </c:pt>
                <c:pt idx="1">
                  <c:v>4548.5439999999999</c:v>
                </c:pt>
                <c:pt idx="2">
                  <c:v>4548.5439999999999</c:v>
                </c:pt>
              </c:numCache>
            </c:numRef>
          </c:val>
          <c:extLst>
            <c:ext xmlns:c16="http://schemas.microsoft.com/office/drawing/2014/chart" uri="{C3380CC4-5D6E-409C-BE32-E72D297353CC}">
              <c16:uniqueId val="{00000008-37B7-4D30-9BBD-8538E7014E42}"/>
            </c:ext>
          </c:extLst>
        </c:ser>
        <c:ser>
          <c:idx val="3"/>
          <c:order val="3"/>
          <c:tx>
            <c:strRef>
              <c:f>'M3 Effizienz Stapler'!$Z$84</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7B7-4D30-9BBD-8538E7014E42}"/>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7B7-4D30-9BBD-8538E7014E42}"/>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7B7-4D30-9BBD-8538E7014E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Stapler'!$AA$84:$AC$84</c:f>
              <c:numCache>
                <c:formatCode>#,##0</c:formatCode>
                <c:ptCount val="3"/>
                <c:pt idx="0">
                  <c:v>129.59200000000001</c:v>
                </c:pt>
                <c:pt idx="1">
                  <c:v>129.59200000000001</c:v>
                </c:pt>
                <c:pt idx="2">
                  <c:v>129.59200000000001</c:v>
                </c:pt>
              </c:numCache>
            </c:numRef>
          </c:val>
          <c:extLst>
            <c:ext xmlns:c16="http://schemas.microsoft.com/office/drawing/2014/chart" uri="{C3380CC4-5D6E-409C-BE32-E72D297353CC}">
              <c16:uniqueId val="{0000000C-37B7-4D30-9BBD-8538E7014E42}"/>
            </c:ext>
          </c:extLst>
        </c:ser>
        <c:ser>
          <c:idx val="4"/>
          <c:order val="4"/>
          <c:tx>
            <c:strRef>
              <c:f>'M3 Effizienz Stapler'!$Z$85</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Stapler'!$AA$85:$AC$85</c:f>
              <c:numCache>
                <c:formatCode>#,##0</c:formatCode>
                <c:ptCount val="3"/>
                <c:pt idx="0">
                  <c:v>208</c:v>
                </c:pt>
                <c:pt idx="1">
                  <c:v>208</c:v>
                </c:pt>
                <c:pt idx="2">
                  <c:v>208</c:v>
                </c:pt>
              </c:numCache>
            </c:numRef>
          </c:val>
          <c:extLst>
            <c:ext xmlns:c16="http://schemas.microsoft.com/office/drawing/2014/chart" uri="{C3380CC4-5D6E-409C-BE32-E72D297353CC}">
              <c16:uniqueId val="{0000000D-37B7-4D30-9BBD-8538E7014E42}"/>
            </c:ext>
          </c:extLst>
        </c:ser>
        <c:ser>
          <c:idx val="5"/>
          <c:order val="5"/>
          <c:tx>
            <c:strRef>
              <c:f>'M3 Effizienz Stapler'!$Z$86</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Stapler'!$AA$86:$AC$86</c:f>
              <c:numCache>
                <c:formatCode>#,##0</c:formatCode>
                <c:ptCount val="3"/>
                <c:pt idx="0">
                  <c:v>81.003999999999991</c:v>
                </c:pt>
                <c:pt idx="1">
                  <c:v>81.003999999999991</c:v>
                </c:pt>
                <c:pt idx="2">
                  <c:v>81.003999999999991</c:v>
                </c:pt>
              </c:numCache>
            </c:numRef>
          </c:val>
          <c:extLst>
            <c:ext xmlns:c16="http://schemas.microsoft.com/office/drawing/2014/chart" uri="{C3380CC4-5D6E-409C-BE32-E72D297353CC}">
              <c16:uniqueId val="{0000000E-37B7-4D30-9BBD-8538E7014E42}"/>
            </c:ext>
          </c:extLst>
        </c:ser>
        <c:ser>
          <c:idx val="6"/>
          <c:order val="6"/>
          <c:tx>
            <c:strRef>
              <c:f>'M3 Effizienz Stapler'!$Z$87</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7B7-4D30-9BBD-8538E7014E42}"/>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7B7-4D30-9BBD-8538E7014E42}"/>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7B7-4D30-9BBD-8538E7014E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Stapler'!$AA$87:$AC$87</c:f>
              <c:numCache>
                <c:formatCode>#,##0</c:formatCode>
                <c:ptCount val="3"/>
                <c:pt idx="0">
                  <c:v>148.44746134951595</c:v>
                </c:pt>
                <c:pt idx="1">
                  <c:v>148.44746134951595</c:v>
                </c:pt>
                <c:pt idx="2">
                  <c:v>148.44746134951595</c:v>
                </c:pt>
              </c:numCache>
            </c:numRef>
          </c:val>
          <c:extLst>
            <c:ext xmlns:c16="http://schemas.microsoft.com/office/drawing/2014/chart" uri="{C3380CC4-5D6E-409C-BE32-E72D297353CC}">
              <c16:uniqueId val="{00000012-37B7-4D30-9BBD-8538E7014E42}"/>
            </c:ext>
          </c:extLst>
        </c:ser>
        <c:ser>
          <c:idx val="7"/>
          <c:order val="7"/>
          <c:tx>
            <c:strRef>
              <c:f>'M3 Effizienz Stapler'!$Z$88</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Stapler'!$AA$88:$AC$88</c:f>
              <c:numCache>
                <c:formatCode>#,##0</c:formatCode>
                <c:ptCount val="3"/>
                <c:pt idx="0">
                  <c:v>#N/A</c:v>
                </c:pt>
                <c:pt idx="1">
                  <c:v>#N/A</c:v>
                </c:pt>
                <c:pt idx="2">
                  <c:v>#N/A</c:v>
                </c:pt>
              </c:numCache>
            </c:numRef>
          </c:val>
          <c:extLst>
            <c:ext xmlns:c16="http://schemas.microsoft.com/office/drawing/2014/chart" uri="{C3380CC4-5D6E-409C-BE32-E72D297353CC}">
              <c16:uniqueId val="{00000013-37B7-4D30-9BBD-8538E7014E42}"/>
            </c:ext>
          </c:extLst>
        </c:ser>
        <c:ser>
          <c:idx val="8"/>
          <c:order val="8"/>
          <c:tx>
            <c:strRef>
              <c:f>'M3 Effizienz Stapler'!$Z$89</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Stapler'!$AA$89:$AC$89</c:f>
              <c:numCache>
                <c:formatCode>#,##0</c:formatCode>
                <c:ptCount val="3"/>
                <c:pt idx="0">
                  <c:v>#N/A</c:v>
                </c:pt>
                <c:pt idx="1">
                  <c:v>#N/A</c:v>
                </c:pt>
                <c:pt idx="2">
                  <c:v>#N/A</c:v>
                </c:pt>
              </c:numCache>
            </c:numRef>
          </c:val>
          <c:extLst>
            <c:ext xmlns:c16="http://schemas.microsoft.com/office/drawing/2014/chart" uri="{C3380CC4-5D6E-409C-BE32-E72D297353CC}">
              <c16:uniqueId val="{00000014-37B7-4D30-9BBD-8538E7014E42}"/>
            </c:ext>
          </c:extLst>
        </c:ser>
        <c:ser>
          <c:idx val="9"/>
          <c:order val="9"/>
          <c:tx>
            <c:strRef>
              <c:f>'M3 Effizienz Stapler'!$Z$90</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Stapler'!$AA$90:$AC$90</c:f>
              <c:numCache>
                <c:formatCode>#,##0</c:formatCode>
                <c:ptCount val="3"/>
                <c:pt idx="0">
                  <c:v>#N/A</c:v>
                </c:pt>
                <c:pt idx="1">
                  <c:v>#N/A</c:v>
                </c:pt>
                <c:pt idx="2">
                  <c:v>#N/A</c:v>
                </c:pt>
              </c:numCache>
            </c:numRef>
          </c:val>
          <c:extLst>
            <c:ext xmlns:c16="http://schemas.microsoft.com/office/drawing/2014/chart" uri="{C3380CC4-5D6E-409C-BE32-E72D297353CC}">
              <c16:uniqueId val="{00000015-37B7-4D30-9BBD-8538E7014E42}"/>
            </c:ext>
          </c:extLst>
        </c:ser>
        <c:ser>
          <c:idx val="10"/>
          <c:order val="10"/>
          <c:tx>
            <c:strRef>
              <c:f>'M3 Effizienz Stapler'!$Z$91</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B7-4D30-9BBD-8538E7014E42}"/>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B7-4D30-9BBD-8538E7014E42}"/>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7B7-4D30-9BBD-8538E7014E4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'M3 Effizienz Stapler'!$AA$49:$AC$50</c:f>
              <c:multiLvlStrCache>
                <c:ptCount val="3"/>
                <c:lvl>
                  <c:pt idx="0">
                    <c:v>Referenz</c:v>
                  </c:pt>
                </c:lvl>
                <c:lvl>
                  <c:pt idx="0">
                    <c:v>0</c:v>
                  </c:pt>
                  <c:pt idx="1">
                    <c:v>5</c:v>
                  </c:pt>
                  <c:pt idx="2">
                    <c:v>10</c:v>
                  </c:pt>
                </c:lvl>
              </c:multiLvlStrCache>
            </c:multiLvlStrRef>
          </c:cat>
          <c:val>
            <c:numRef>
              <c:f>'M3 Effizienz Stapler'!$AA$91:$AC$91</c:f>
              <c:numCache>
                <c:formatCode>#,##0</c:formatCode>
                <c:ptCount val="3"/>
                <c:pt idx="0">
                  <c:v>64.48</c:v>
                </c:pt>
                <c:pt idx="1">
                  <c:v>64.48</c:v>
                </c:pt>
                <c:pt idx="2">
                  <c:v>64.48</c:v>
                </c:pt>
              </c:numCache>
            </c:numRef>
          </c:val>
          <c:extLst>
            <c:ext xmlns:c16="http://schemas.microsoft.com/office/drawing/2014/chart" uri="{C3380CC4-5D6E-409C-BE32-E72D297353CC}">
              <c16:uniqueId val="{00000019-37B7-4D30-9BBD-8538E7014E42}"/>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'M4 Grünstrom'!$Q$82</c:f>
              <c:strCache>
                <c:ptCount val="1"/>
                <c:pt idx="0">
                  <c:v>Erdgas</c:v>
                </c:pt>
              </c:strCache>
            </c:strRef>
          </c:tx>
          <c:spPr>
            <a:solidFill>
              <a:schemeClr val="accent1"/>
            </a:solidFill>
            <a:ln>
              <a:noFill/>
            </a:ln>
            <a:effectLst/>
          </c:spPr>
          <c:invertIfNegative val="0"/>
          <c:dLbls>
            <c:dLbl>
              <c:idx val="0"/>
              <c:layout>
                <c:manualLayout>
                  <c:x val="0.10998151069172327"/>
                  <c:y val="-1.448483597348943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353-477A-82D7-7DABFCD49317}"/>
                </c:ext>
              </c:extLst>
            </c:dLbl>
            <c:dLbl>
              <c:idx val="1"/>
              <c:layout>
                <c:manualLayout>
                  <c:x val="0.10976730470956175"/>
                  <c:y val="-5.8796282686046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353-477A-82D7-7DABFCD49317}"/>
                </c:ext>
              </c:extLst>
            </c:dLbl>
            <c:dLbl>
              <c:idx val="2"/>
              <c:layout>
                <c:manualLayout>
                  <c:x val="0.1133867122645153"/>
                  <c:y val="-1.7681477388546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353-477A-82D7-7DABFCD493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Grünstrom'!$R$82:$T$82</c:f>
              <c:numCache>
                <c:formatCode>#,##0.0</c:formatCode>
                <c:ptCount val="3"/>
                <c:pt idx="0">
                  <c:v>43.0426</c:v>
                </c:pt>
                <c:pt idx="1">
                  <c:v>43.0426</c:v>
                </c:pt>
                <c:pt idx="2">
                  <c:v>43.0426</c:v>
                </c:pt>
              </c:numCache>
            </c:numRef>
          </c:val>
          <c:extLst>
            <c:ext xmlns:c16="http://schemas.microsoft.com/office/drawing/2014/chart" uri="{C3380CC4-5D6E-409C-BE32-E72D297353CC}">
              <c16:uniqueId val="{00000003-A353-477A-82D7-7DABFCD49317}"/>
            </c:ext>
          </c:extLst>
        </c:ser>
        <c:ser>
          <c:idx val="1"/>
          <c:order val="1"/>
          <c:tx>
            <c:strRef>
              <c:f>'M4 Grünstrom'!$Q$83</c:f>
              <c:strCache>
                <c:ptCount val="1"/>
                <c:pt idx="0">
                  <c:v>Heizöl</c:v>
                </c:pt>
              </c:strCache>
            </c:strRef>
          </c:tx>
          <c:spPr>
            <a:solidFill>
              <a:schemeClr val="accent2"/>
            </a:solidFill>
            <a:ln>
              <a:noFill/>
            </a:ln>
            <a:effectLst/>
          </c:spPr>
          <c:invertIfNegative val="0"/>
          <c:dLbls>
            <c:dLbl>
              <c:idx val="0"/>
              <c:layout>
                <c:manualLayout>
                  <c:x val="0.10987155839399175"/>
                  <c:y val="-5.044532316581487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53-477A-82D7-7DABFCD49317}"/>
                </c:ext>
              </c:extLst>
            </c:dLbl>
            <c:dLbl>
              <c:idx val="1"/>
              <c:layout>
                <c:manualLayout>
                  <c:x val="0.10965672679383666"/>
                  <c:y val="-4.76340167513851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53-477A-82D7-7DABFCD49317}"/>
                </c:ext>
              </c:extLst>
            </c:dLbl>
            <c:dLbl>
              <c:idx val="2"/>
              <c:layout>
                <c:manualLayout>
                  <c:x val="0.11349602065165454"/>
                  <c:y val="-5.36413394937607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53-477A-82D7-7DABFCD493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Grünstrom'!$R$83:$T$83</c:f>
              <c:numCache>
                <c:formatCode>#,##0.0</c:formatCode>
                <c:ptCount val="3"/>
                <c:pt idx="0">
                  <c:v>16.005600000000001</c:v>
                </c:pt>
                <c:pt idx="1">
                  <c:v>16.005600000000001</c:v>
                </c:pt>
                <c:pt idx="2">
                  <c:v>16.005600000000001</c:v>
                </c:pt>
              </c:numCache>
            </c:numRef>
          </c:val>
          <c:extLst>
            <c:ext xmlns:c16="http://schemas.microsoft.com/office/drawing/2014/chart" uri="{C3380CC4-5D6E-409C-BE32-E72D297353CC}">
              <c16:uniqueId val="{00000007-A353-477A-82D7-7DABFCD49317}"/>
            </c:ext>
          </c:extLst>
        </c:ser>
        <c:ser>
          <c:idx val="2"/>
          <c:order val="2"/>
          <c:tx>
            <c:strRef>
              <c:f>'M4 Grünstrom'!$Q$84</c:f>
              <c:strCache>
                <c:ptCount val="1"/>
                <c:pt idx="0">
                  <c:v>Strom</c:v>
                </c:pt>
              </c:strCache>
            </c:strRef>
          </c:tx>
          <c:spPr>
            <a:solidFill>
              <a:schemeClr val="accent3"/>
            </a:solidFill>
            <a:ln>
              <a:noFill/>
            </a:ln>
            <a:effectLst/>
          </c:spPr>
          <c:invertIfNegative val="0"/>
          <c:dLbls>
            <c:dLbl>
              <c:idx val="1"/>
              <c:layout>
                <c:manualLayout>
                  <c:x val="0.11003457138501997"/>
                  <c:y val="-9.4074052297673086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353-477A-82D7-7DABFCD49317}"/>
                </c:ext>
              </c:extLst>
            </c:dLbl>
            <c:dLbl>
              <c:idx val="2"/>
              <c:layout>
                <c:manualLayout>
                  <c:x val="0.11376451564838445"/>
                  <c:y val="-9.9953580092588895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353-477A-82D7-7DABFCD493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Grünstrom'!$R$84:$T$84</c:f>
              <c:numCache>
                <c:formatCode>#,##0.0</c:formatCode>
                <c:ptCount val="3"/>
                <c:pt idx="0">
                  <c:v>171.9</c:v>
                </c:pt>
                <c:pt idx="1">
                  <c:v>0</c:v>
                </c:pt>
                <c:pt idx="2">
                  <c:v>0</c:v>
                </c:pt>
              </c:numCache>
            </c:numRef>
          </c:val>
          <c:extLst>
            <c:ext xmlns:c16="http://schemas.microsoft.com/office/drawing/2014/chart" uri="{C3380CC4-5D6E-409C-BE32-E72D297353CC}">
              <c16:uniqueId val="{0000000A-A353-477A-82D7-7DABFCD49317}"/>
            </c:ext>
          </c:extLst>
        </c:ser>
        <c:ser>
          <c:idx val="3"/>
          <c:order val="3"/>
          <c:tx>
            <c:strRef>
              <c:f>'M4 Grünstrom'!$Q$88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Grünstrom'!$R$88:$T$88</c:f>
              <c:numCache>
                <c:formatCode>#,##0.0</c:formatCode>
                <c:ptCount val="3"/>
                <c:pt idx="0">
                  <c:v>35.884155059999998</c:v>
                </c:pt>
                <c:pt idx="1">
                  <c:v>35.884155059999998</c:v>
                </c:pt>
                <c:pt idx="2">
                  <c:v>35.884155059999998</c:v>
                </c:pt>
              </c:numCache>
            </c:numRef>
          </c:val>
          <c:extLst>
            <c:ext xmlns:c16="http://schemas.microsoft.com/office/drawing/2014/chart" uri="{C3380CC4-5D6E-409C-BE32-E72D297353CC}">
              <c16:uniqueId val="{0000000B-A353-477A-82D7-7DABFCD49317}"/>
            </c:ext>
          </c:extLst>
        </c:ser>
        <c:ser>
          <c:idx val="4"/>
          <c:order val="4"/>
          <c:tx>
            <c:strRef>
              <c:f>'M4 Grünstrom'!$Q$85</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'M4 Grünstrom'!$R$85:$T$85</c:f>
              <c:numCache>
                <c:formatCode>#,##0.0</c:formatCode>
                <c:ptCount val="3"/>
                <c:pt idx="0">
                  <c:v>0</c:v>
                </c:pt>
                <c:pt idx="1">
                  <c:v>0</c:v>
                </c:pt>
                <c:pt idx="2">
                  <c:v>0</c:v>
                </c:pt>
              </c:numCache>
            </c:numRef>
          </c:val>
          <c:extLst>
            <c:ext xmlns:c16="http://schemas.microsoft.com/office/drawing/2014/chart" uri="{C3380CC4-5D6E-409C-BE32-E72D297353CC}">
              <c16:uniqueId val="{0000000C-A353-477A-82D7-7DABFCD49317}"/>
            </c:ext>
          </c:extLst>
        </c:ser>
        <c:ser>
          <c:idx val="5"/>
          <c:order val="5"/>
          <c:tx>
            <c:strRef>
              <c:f>'M4 Grünstrom'!$Q$86</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'M4 Grünstrom'!$R$86:$T$86</c:f>
              <c:numCache>
                <c:formatCode>#,##0.0</c:formatCode>
                <c:ptCount val="3"/>
                <c:pt idx="0">
                  <c:v>0</c:v>
                </c:pt>
                <c:pt idx="1">
                  <c:v>0</c:v>
                </c:pt>
                <c:pt idx="2">
                  <c:v>0</c:v>
                </c:pt>
              </c:numCache>
            </c:numRef>
          </c:val>
          <c:extLst>
            <c:ext xmlns:c16="http://schemas.microsoft.com/office/drawing/2014/chart" uri="{C3380CC4-5D6E-409C-BE32-E72D297353CC}">
              <c16:uniqueId val="{0000000D-A353-477A-82D7-7DABFCD49317}"/>
            </c:ext>
          </c:extLst>
        </c:ser>
        <c:ser>
          <c:idx val="6"/>
          <c:order val="6"/>
          <c:tx>
            <c:strRef>
              <c:f>'M4 Grünstrom'!$Q$87</c:f>
              <c:strCache>
                <c:ptCount val="1"/>
                <c:pt idx="0">
                  <c:v>Alternativer Energieträger restliches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'M4 Grünstrom'!$R$87:$T$87</c:f>
              <c:numCache>
                <c:formatCode>#,##0.0</c:formatCode>
                <c:ptCount val="3"/>
                <c:pt idx="0">
                  <c:v>0</c:v>
                </c:pt>
                <c:pt idx="1">
                  <c:v>0</c:v>
                </c:pt>
                <c:pt idx="2">
                  <c:v>0</c:v>
                </c:pt>
              </c:numCache>
            </c:numRef>
          </c:val>
          <c:extLst>
            <c:ext xmlns:c16="http://schemas.microsoft.com/office/drawing/2014/chart" uri="{C3380CC4-5D6E-409C-BE32-E72D297353CC}">
              <c16:uniqueId val="{0000000E-A353-477A-82D7-7DABFCD49317}"/>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'M4 Grünstrom'!$Z$45</c:f>
              <c:strCache>
                <c:ptCount val="1"/>
                <c:pt idx="0">
                  <c:v>Scope 3</c:v>
                </c:pt>
              </c:strCache>
            </c:strRef>
          </c:tx>
          <c:spPr>
            <a:solidFill>
              <a:schemeClr val="accent3"/>
            </a:solidFill>
            <a:ln>
              <a:noFill/>
            </a:ln>
            <a:effectLst/>
          </c:spPr>
          <c:invertIfNegative val="0"/>
          <c:cat>
            <c:multiLvlStrRef>
              <c:f>'M4 Grünstrom'!$AA$41:$AC$42</c:f>
              <c:multiLvlStrCache>
                <c:ptCount val="3"/>
                <c:lvl>
                  <c:pt idx="0">
                    <c:v>Referenz</c:v>
                  </c:pt>
                </c:lvl>
                <c:lvl>
                  <c:pt idx="0">
                    <c:v>0</c:v>
                  </c:pt>
                  <c:pt idx="1">
                    <c:v>5</c:v>
                  </c:pt>
                  <c:pt idx="2">
                    <c:v>10</c:v>
                  </c:pt>
                </c:lvl>
              </c:multiLvlStrCache>
            </c:multiLvlStrRef>
          </c:cat>
          <c:val>
            <c:numRef>
              <c:f>'M4 Grünstrom'!$AA$45:$AC$45</c:f>
              <c:numCache>
                <c:formatCode>#,##0</c:formatCode>
                <c:ptCount val="3"/>
                <c:pt idx="0">
                  <c:v>5831.5296228095176</c:v>
                </c:pt>
                <c:pt idx="1">
                  <c:v>5744.366082809518</c:v>
                </c:pt>
                <c:pt idx="2">
                  <c:v>5744.366082809518</c:v>
                </c:pt>
              </c:numCache>
            </c:numRef>
          </c:val>
          <c:extLst>
            <c:ext xmlns:c16="http://schemas.microsoft.com/office/drawing/2014/chart" uri="{C3380CC4-5D6E-409C-BE32-E72D297353CC}">
              <c16:uniqueId val="{00000000-2FE8-4C12-A94D-258D9DA52C34}"/>
            </c:ext>
          </c:extLst>
        </c:ser>
        <c:ser>
          <c:idx val="1"/>
          <c:order val="1"/>
          <c:tx>
            <c:strRef>
              <c:f>'M4 Grünstrom'!$Z$44</c:f>
              <c:strCache>
                <c:ptCount val="1"/>
                <c:pt idx="0">
                  <c:v>Scope 2</c:v>
                </c:pt>
              </c:strCache>
            </c:strRef>
          </c:tx>
          <c:spPr>
            <a:solidFill>
              <a:schemeClr val="accent2"/>
            </a:solidFill>
            <a:ln>
              <a:noFill/>
            </a:ln>
            <a:effectLst/>
          </c:spPr>
          <c:invertIfNegative val="0"/>
          <c:cat>
            <c:multiLvlStrRef>
              <c:f>'M4 Grünstrom'!$AA$41:$AC$42</c:f>
              <c:multiLvlStrCache>
                <c:ptCount val="3"/>
                <c:lvl>
                  <c:pt idx="0">
                    <c:v>Referenz</c:v>
                  </c:pt>
                </c:lvl>
                <c:lvl>
                  <c:pt idx="0">
                    <c:v>0</c:v>
                  </c:pt>
                  <c:pt idx="1">
                    <c:v>5</c:v>
                  </c:pt>
                  <c:pt idx="2">
                    <c:v>10</c:v>
                  </c:pt>
                </c:lvl>
              </c:multiLvlStrCache>
            </c:multiLvlStrRef>
          </c:cat>
          <c:val>
            <c:numRef>
              <c:f>'M4 Grünstrom'!$AA$44:$AC$44</c:f>
              <c:numCache>
                <c:formatCode>#,##0</c:formatCode>
                <c:ptCount val="3"/>
                <c:pt idx="0">
                  <c:v>171.9</c:v>
                </c:pt>
                <c:pt idx="1">
                  <c:v>0</c:v>
                </c:pt>
                <c:pt idx="2">
                  <c:v>0</c:v>
                </c:pt>
              </c:numCache>
            </c:numRef>
          </c:val>
          <c:extLst>
            <c:ext xmlns:c16="http://schemas.microsoft.com/office/drawing/2014/chart" uri="{C3380CC4-5D6E-409C-BE32-E72D297353CC}">
              <c16:uniqueId val="{00000001-2FE8-4C12-A94D-258D9DA52C34}"/>
            </c:ext>
          </c:extLst>
        </c:ser>
        <c:ser>
          <c:idx val="0"/>
          <c:order val="2"/>
          <c:tx>
            <c:strRef>
              <c:f>'M4 Grünstrom'!$Z$43</c:f>
              <c:strCache>
                <c:ptCount val="1"/>
                <c:pt idx="0">
                  <c:v>Scope 1 </c:v>
                </c:pt>
              </c:strCache>
            </c:strRef>
          </c:tx>
          <c:spPr>
            <a:solidFill>
              <a:schemeClr val="accent1"/>
            </a:solidFill>
            <a:ln>
              <a:noFill/>
            </a:ln>
            <a:effectLst/>
          </c:spPr>
          <c:invertIfNegative val="0"/>
          <c:cat>
            <c:multiLvlStrRef>
              <c:f>'M4 Grünstrom'!$AA$41:$AC$42</c:f>
              <c:multiLvlStrCache>
                <c:ptCount val="3"/>
                <c:lvl>
                  <c:pt idx="0">
                    <c:v>Referenz</c:v>
                  </c:pt>
                </c:lvl>
                <c:lvl>
                  <c:pt idx="0">
                    <c:v>0</c:v>
                  </c:pt>
                  <c:pt idx="1">
                    <c:v>5</c:v>
                  </c:pt>
                  <c:pt idx="2">
                    <c:v>10</c:v>
                  </c:pt>
                </c:lvl>
              </c:multiLvlStrCache>
            </c:multiLvlStrRef>
          </c:cat>
          <c:val>
            <c:numRef>
              <c:f>'M4 Grünstrom'!$AA$43:$AC$43</c:f>
              <c:numCache>
                <c:formatCode>#,##0</c:formatCode>
                <c:ptCount val="3"/>
                <c:pt idx="0">
                  <c:v>94.932355060000006</c:v>
                </c:pt>
                <c:pt idx="1">
                  <c:v>94.932355060000006</c:v>
                </c:pt>
                <c:pt idx="2">
                  <c:v>94.932355060000006</c:v>
                </c:pt>
              </c:numCache>
            </c:numRef>
          </c:val>
          <c:extLst>
            <c:ext xmlns:c16="http://schemas.microsoft.com/office/drawing/2014/chart" uri="{C3380CC4-5D6E-409C-BE32-E72D297353CC}">
              <c16:uniqueId val="{00000002-2FE8-4C12-A94D-258D9DA52C34}"/>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'M4 Grünstrom'!$AH$82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Grünstrom'!$AI$82:$AK$82</c:f>
              <c:numCache>
                <c:formatCode>#,##0\ "€"</c:formatCode>
                <c:ptCount val="3"/>
                <c:pt idx="0">
                  <c:v>109669</c:v>
                </c:pt>
                <c:pt idx="1">
                  <c:v>110794</c:v>
                </c:pt>
                <c:pt idx="2">
                  <c:v>110794</c:v>
                </c:pt>
              </c:numCache>
            </c:numRef>
          </c:val>
          <c:extLst>
            <c:ext xmlns:c16="http://schemas.microsoft.com/office/drawing/2014/chart" uri="{C3380CC4-5D6E-409C-BE32-E72D297353CC}">
              <c16:uniqueId val="{00000000-D69A-4D29-9C27-5EEF634416EA}"/>
            </c:ext>
          </c:extLst>
        </c:ser>
        <c:ser>
          <c:idx val="1"/>
          <c:order val="1"/>
          <c:tx>
            <c:strRef>
              <c:f>'M4 Grünstrom'!$AH$90</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9A-4D29-9C27-5EEF634416EA}"/>
                </c:ext>
              </c:extLst>
            </c:dLbl>
            <c:dLbl>
              <c:idx val="1"/>
              <c:layout>
                <c:manualLayout>
                  <c:x val="8.1715825846082682E-2"/>
                  <c:y val="-3.062375033396767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9A-4D29-9C27-5EEF634416EA}"/>
                </c:ext>
              </c:extLst>
            </c:dLbl>
            <c:dLbl>
              <c:idx val="2"/>
              <c:layout>
                <c:manualLayout>
                  <c:x val="8.361619388901477E-2"/>
                  <c:y val="-3.062375033396767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9A-4D29-9C27-5EEF634416E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Grünstrom'!$AI$90:$AK$90</c:f>
              <c:numCache>
                <c:formatCode>#,##0\ "€"</c:formatCode>
                <c:ptCount val="3"/>
                <c:pt idx="0">
                  <c:v>0</c:v>
                </c:pt>
                <c:pt idx="1">
                  <c:v>0</c:v>
                </c:pt>
                <c:pt idx="2">
                  <c:v>0</c:v>
                </c:pt>
              </c:numCache>
            </c:numRef>
          </c:val>
          <c:extLst>
            <c:ext xmlns:c16="http://schemas.microsoft.com/office/drawing/2014/chart" uri="{C3380CC4-5D6E-409C-BE32-E72D297353CC}">
              <c16:uniqueId val="{00000004-D69A-4D29-9C27-5EEF634416EA}"/>
            </c:ext>
          </c:extLst>
        </c:ser>
        <c:ser>
          <c:idx val="2"/>
          <c:order val="2"/>
          <c:tx>
            <c:strRef>
              <c:f>'M4 Grünstrom'!$AH$91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Grünstrom'!$AI$91:$AK$91</c:f>
              <c:numCache>
                <c:formatCode>#,##0\ "€"</c:formatCode>
                <c:ptCount val="3"/>
                <c:pt idx="0">
                  <c:v>0</c:v>
                </c:pt>
                <c:pt idx="1">
                  <c:v>0</c:v>
                </c:pt>
                <c:pt idx="2">
                  <c:v>0</c:v>
                </c:pt>
              </c:numCache>
            </c:numRef>
          </c:val>
          <c:extLst>
            <c:ext xmlns:c16="http://schemas.microsoft.com/office/drawing/2014/chart" uri="{C3380CC4-5D6E-409C-BE32-E72D297353CC}">
              <c16:uniqueId val="{00000005-D69A-4D29-9C27-5EEF634416EA}"/>
            </c:ext>
          </c:extLst>
        </c:ser>
        <c:ser>
          <c:idx val="3"/>
          <c:order val="3"/>
          <c:tx>
            <c:strRef>
              <c:f>'M4 Grünstrom'!$AH$92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Grünstrom'!$R$41:$T$42</c:f>
              <c:multiLvlStrCache>
                <c:ptCount val="3"/>
                <c:lvl>
                  <c:pt idx="0">
                    <c:v>Referenz</c:v>
                  </c:pt>
                </c:lvl>
                <c:lvl>
                  <c:pt idx="0">
                    <c:v>0</c:v>
                  </c:pt>
                  <c:pt idx="1">
                    <c:v>5</c:v>
                  </c:pt>
                  <c:pt idx="2">
                    <c:v>10</c:v>
                  </c:pt>
                </c:lvl>
              </c:multiLvlStrCache>
            </c:multiLvlStrRef>
          </c:cat>
          <c:val>
            <c:numRef>
              <c:f>'M4 Grünstrom'!$AI$92:$AK$92</c:f>
              <c:numCache>
                <c:formatCode>#,##0\ "€"</c:formatCode>
                <c:ptCount val="3"/>
                <c:pt idx="0">
                  <c:v>0</c:v>
                </c:pt>
                <c:pt idx="1">
                  <c:v>0</c:v>
                </c:pt>
                <c:pt idx="2">
                  <c:v>0</c:v>
                </c:pt>
              </c:numCache>
            </c:numRef>
          </c:val>
          <c:extLst>
            <c:ext xmlns:c16="http://schemas.microsoft.com/office/drawing/2014/chart" uri="{C3380CC4-5D6E-409C-BE32-E72D297353CC}">
              <c16:uniqueId val="{00000006-D69A-4D29-9C27-5EEF634416EA}"/>
            </c:ext>
          </c:extLst>
        </c:ser>
        <c:ser>
          <c:idx val="4"/>
          <c:order val="4"/>
          <c:tx>
            <c:strRef>
              <c:f>'M4 Grünstrom'!$AH$93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'M4 Grünstrom'!$AI$93:$AK$93</c:f>
              <c:numCache>
                <c:formatCode>#,##0\ "€"</c:formatCode>
                <c:ptCount val="3"/>
                <c:pt idx="0">
                  <c:v>152459.04944673795</c:v>
                </c:pt>
                <c:pt idx="1">
                  <c:v>262768.4297041283</c:v>
                </c:pt>
                <c:pt idx="2">
                  <c:v>467143.8750295614</c:v>
                </c:pt>
              </c:numCache>
            </c:numRef>
          </c:val>
          <c:extLst>
            <c:ext xmlns:c16="http://schemas.microsoft.com/office/drawing/2014/chart" uri="{C3380CC4-5D6E-409C-BE32-E72D297353CC}">
              <c16:uniqueId val="{00000007-D69A-4D29-9C27-5EEF634416EA}"/>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'M4 Grünstrom'!$Z$82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8E-4A8F-913F-10F40CC9A58C}"/>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8E-4A8F-913F-10F40CC9A58C}"/>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E-4A8F-913F-10F40CC9A5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Grünstrom'!$AA$82:$AC$82</c:f>
              <c:numCache>
                <c:formatCode>#,##0</c:formatCode>
                <c:ptCount val="3"/>
                <c:pt idx="0">
                  <c:v>41.281733459999998</c:v>
                </c:pt>
                <c:pt idx="1">
                  <c:v>34.437233460000002</c:v>
                </c:pt>
                <c:pt idx="2">
                  <c:v>34.437233460000002</c:v>
                </c:pt>
              </c:numCache>
            </c:numRef>
          </c:val>
          <c:extLst>
            <c:ext xmlns:c16="http://schemas.microsoft.com/office/drawing/2014/chart" uri="{C3380CC4-5D6E-409C-BE32-E72D297353CC}">
              <c16:uniqueId val="{00000003-5B8E-4A8F-913F-10F40CC9A58C}"/>
            </c:ext>
          </c:extLst>
        </c:ser>
        <c:ser>
          <c:idx val="1"/>
          <c:order val="1"/>
          <c:tx>
            <c:strRef>
              <c:f>'M4 Grünstrom'!$Z$83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8E-4A8F-913F-10F40CC9A58C}"/>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8E-4A8F-913F-10F40CC9A58C}"/>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8E-4A8F-913F-10F40CC9A5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Grünstrom'!$AA$83:$AC$83</c:f>
              <c:numCache>
                <c:formatCode>#,##0</c:formatCode>
                <c:ptCount val="3"/>
                <c:pt idx="0">
                  <c:v>469.15642799999995</c:v>
                </c:pt>
                <c:pt idx="1">
                  <c:v>469.15642799999995</c:v>
                </c:pt>
                <c:pt idx="2">
                  <c:v>469.15642799999995</c:v>
                </c:pt>
              </c:numCache>
            </c:numRef>
          </c:val>
          <c:extLst>
            <c:ext xmlns:c16="http://schemas.microsoft.com/office/drawing/2014/chart" uri="{C3380CC4-5D6E-409C-BE32-E72D297353CC}">
              <c16:uniqueId val="{00000007-5B8E-4A8F-913F-10F40CC9A58C}"/>
            </c:ext>
          </c:extLst>
        </c:ser>
        <c:ser>
          <c:idx val="2"/>
          <c:order val="2"/>
          <c:tx>
            <c:strRef>
              <c:f>'M4 Grünstrom'!$Z$84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Grünstrom'!$AA$84:$AC$84</c:f>
              <c:numCache>
                <c:formatCode>#,##0</c:formatCode>
                <c:ptCount val="3"/>
                <c:pt idx="0">
                  <c:v>4548.5439999999999</c:v>
                </c:pt>
                <c:pt idx="1">
                  <c:v>4548.5439999999999</c:v>
                </c:pt>
                <c:pt idx="2">
                  <c:v>4548.5439999999999</c:v>
                </c:pt>
              </c:numCache>
            </c:numRef>
          </c:val>
          <c:extLst>
            <c:ext xmlns:c16="http://schemas.microsoft.com/office/drawing/2014/chart" uri="{C3380CC4-5D6E-409C-BE32-E72D297353CC}">
              <c16:uniqueId val="{00000008-5B8E-4A8F-913F-10F40CC9A58C}"/>
            </c:ext>
          </c:extLst>
        </c:ser>
        <c:ser>
          <c:idx val="3"/>
          <c:order val="3"/>
          <c:tx>
            <c:strRef>
              <c:f>'M4 Grünstrom'!$Z$85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8E-4A8F-913F-10F40CC9A58C}"/>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8E-4A8F-913F-10F40CC9A58C}"/>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8E-4A8F-913F-10F40CC9A5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Grünstrom'!$AA$85:$AC$85</c:f>
              <c:numCache>
                <c:formatCode>#,##0</c:formatCode>
                <c:ptCount val="3"/>
                <c:pt idx="0">
                  <c:v>129.59200000000001</c:v>
                </c:pt>
                <c:pt idx="1">
                  <c:v>129.59200000000001</c:v>
                </c:pt>
                <c:pt idx="2">
                  <c:v>129.59200000000001</c:v>
                </c:pt>
              </c:numCache>
            </c:numRef>
          </c:val>
          <c:extLst>
            <c:ext xmlns:c16="http://schemas.microsoft.com/office/drawing/2014/chart" uri="{C3380CC4-5D6E-409C-BE32-E72D297353CC}">
              <c16:uniqueId val="{0000000C-5B8E-4A8F-913F-10F40CC9A58C}"/>
            </c:ext>
          </c:extLst>
        </c:ser>
        <c:ser>
          <c:idx val="4"/>
          <c:order val="4"/>
          <c:tx>
            <c:strRef>
              <c:f>'M4 Grünstrom'!$Z$86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Grünstrom'!$AA$86:$AC$86</c:f>
              <c:numCache>
                <c:formatCode>#,##0</c:formatCode>
                <c:ptCount val="3"/>
                <c:pt idx="0">
                  <c:v>208</c:v>
                </c:pt>
                <c:pt idx="1">
                  <c:v>208</c:v>
                </c:pt>
                <c:pt idx="2">
                  <c:v>208</c:v>
                </c:pt>
              </c:numCache>
            </c:numRef>
          </c:val>
          <c:extLst>
            <c:ext xmlns:c16="http://schemas.microsoft.com/office/drawing/2014/chart" uri="{C3380CC4-5D6E-409C-BE32-E72D297353CC}">
              <c16:uniqueId val="{0000000D-5B8E-4A8F-913F-10F40CC9A58C}"/>
            </c:ext>
          </c:extLst>
        </c:ser>
        <c:ser>
          <c:idx val="5"/>
          <c:order val="5"/>
          <c:tx>
            <c:strRef>
              <c:f>'M4 Grünstrom'!$Z$87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Grünstrom'!$AA$87:$AC$87</c:f>
              <c:numCache>
                <c:formatCode>#,##0</c:formatCode>
                <c:ptCount val="3"/>
                <c:pt idx="0">
                  <c:v>81.003999999999991</c:v>
                </c:pt>
                <c:pt idx="1">
                  <c:v>81.003999999999991</c:v>
                </c:pt>
                <c:pt idx="2">
                  <c:v>81.003999999999991</c:v>
                </c:pt>
              </c:numCache>
            </c:numRef>
          </c:val>
          <c:extLst>
            <c:ext xmlns:c16="http://schemas.microsoft.com/office/drawing/2014/chart" uri="{C3380CC4-5D6E-409C-BE32-E72D297353CC}">
              <c16:uniqueId val="{0000000E-5B8E-4A8F-913F-10F40CC9A58C}"/>
            </c:ext>
          </c:extLst>
        </c:ser>
        <c:ser>
          <c:idx val="6"/>
          <c:order val="6"/>
          <c:tx>
            <c:strRef>
              <c:f>'M4 Grünstrom'!$Z$88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8E-4A8F-913F-10F40CC9A58C}"/>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8E-4A8F-913F-10F40CC9A58C}"/>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8E-4A8F-913F-10F40CC9A5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Grünstrom'!$AA$88:$AC$88</c:f>
              <c:numCache>
                <c:formatCode>#,##0</c:formatCode>
                <c:ptCount val="3"/>
                <c:pt idx="0">
                  <c:v>148.44746134951595</c:v>
                </c:pt>
                <c:pt idx="1">
                  <c:v>148.44746134951595</c:v>
                </c:pt>
                <c:pt idx="2">
                  <c:v>148.44746134951595</c:v>
                </c:pt>
              </c:numCache>
            </c:numRef>
          </c:val>
          <c:extLst>
            <c:ext xmlns:c16="http://schemas.microsoft.com/office/drawing/2014/chart" uri="{C3380CC4-5D6E-409C-BE32-E72D297353CC}">
              <c16:uniqueId val="{00000012-5B8E-4A8F-913F-10F40CC9A58C}"/>
            </c:ext>
          </c:extLst>
        </c:ser>
        <c:ser>
          <c:idx val="7"/>
          <c:order val="7"/>
          <c:tx>
            <c:strRef>
              <c:f>'M4 Grünstrom'!$Z$89</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Grünstrom'!$AA$89:$AC$89</c:f>
              <c:numCache>
                <c:formatCode>#,##0</c:formatCode>
                <c:ptCount val="3"/>
                <c:pt idx="0">
                  <c:v>#N/A</c:v>
                </c:pt>
                <c:pt idx="1">
                  <c:v>#N/A</c:v>
                </c:pt>
                <c:pt idx="2">
                  <c:v>#N/A</c:v>
                </c:pt>
              </c:numCache>
            </c:numRef>
          </c:val>
          <c:extLst>
            <c:ext xmlns:c16="http://schemas.microsoft.com/office/drawing/2014/chart" uri="{C3380CC4-5D6E-409C-BE32-E72D297353CC}">
              <c16:uniqueId val="{00000013-5B8E-4A8F-913F-10F40CC9A58C}"/>
            </c:ext>
          </c:extLst>
        </c:ser>
        <c:ser>
          <c:idx val="8"/>
          <c:order val="8"/>
          <c:tx>
            <c:strRef>
              <c:f>'M4 Grünstrom'!$Z$90</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Grünstrom'!$AA$90:$AC$90</c:f>
              <c:numCache>
                <c:formatCode>#,##0</c:formatCode>
                <c:ptCount val="3"/>
                <c:pt idx="0">
                  <c:v>#N/A</c:v>
                </c:pt>
                <c:pt idx="1">
                  <c:v>#N/A</c:v>
                </c:pt>
                <c:pt idx="2">
                  <c:v>#N/A</c:v>
                </c:pt>
              </c:numCache>
            </c:numRef>
          </c:val>
          <c:extLst>
            <c:ext xmlns:c16="http://schemas.microsoft.com/office/drawing/2014/chart" uri="{C3380CC4-5D6E-409C-BE32-E72D297353CC}">
              <c16:uniqueId val="{00000014-5B8E-4A8F-913F-10F40CC9A58C}"/>
            </c:ext>
          </c:extLst>
        </c:ser>
        <c:ser>
          <c:idx val="9"/>
          <c:order val="9"/>
          <c:tx>
            <c:strRef>
              <c:f>'M4 Grünstrom'!$Z$91</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Grünstrom'!$AA$91:$AC$91</c:f>
              <c:numCache>
                <c:formatCode>#,##0</c:formatCode>
                <c:ptCount val="3"/>
                <c:pt idx="0">
                  <c:v>#N/A</c:v>
                </c:pt>
                <c:pt idx="1">
                  <c:v>#N/A</c:v>
                </c:pt>
                <c:pt idx="2">
                  <c:v>#N/A</c:v>
                </c:pt>
              </c:numCache>
            </c:numRef>
          </c:val>
          <c:extLst>
            <c:ext xmlns:c16="http://schemas.microsoft.com/office/drawing/2014/chart" uri="{C3380CC4-5D6E-409C-BE32-E72D297353CC}">
              <c16:uniqueId val="{00000015-5B8E-4A8F-913F-10F40CC9A58C}"/>
            </c:ext>
          </c:extLst>
        </c:ser>
        <c:ser>
          <c:idx val="10"/>
          <c:order val="10"/>
          <c:tx>
            <c:strRef>
              <c:f>'M4 Grünstrom'!$Z$92</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8E-4A8F-913F-10F40CC9A58C}"/>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8E-4A8F-913F-10F40CC9A58C}"/>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8E-4A8F-913F-10F40CC9A58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'M4 Grünstrom'!$AA$50:$AC$51</c:f>
              <c:multiLvlStrCache>
                <c:ptCount val="3"/>
                <c:lvl>
                  <c:pt idx="0">
                    <c:v>Referenz</c:v>
                  </c:pt>
                </c:lvl>
                <c:lvl>
                  <c:pt idx="0">
                    <c:v>0</c:v>
                  </c:pt>
                  <c:pt idx="1">
                    <c:v>5</c:v>
                  </c:pt>
                  <c:pt idx="2">
                    <c:v>10</c:v>
                  </c:pt>
                </c:lvl>
              </c:multiLvlStrCache>
            </c:multiLvlStrRef>
          </c:cat>
          <c:val>
            <c:numRef>
              <c:f>'M4 Grünstrom'!$AA$92:$AC$92</c:f>
              <c:numCache>
                <c:formatCode>#,##0</c:formatCode>
                <c:ptCount val="3"/>
                <c:pt idx="0">
                  <c:v>64.48</c:v>
                </c:pt>
                <c:pt idx="1">
                  <c:v>64.48</c:v>
                </c:pt>
                <c:pt idx="2">
                  <c:v>64.48</c:v>
                </c:pt>
              </c:numCache>
            </c:numRef>
          </c:val>
          <c:extLst>
            <c:ext xmlns:c16="http://schemas.microsoft.com/office/drawing/2014/chart" uri="{C3380CC4-5D6E-409C-BE32-E72D297353CC}">
              <c16:uniqueId val="{00000019-5B8E-4A8F-913F-10F40CC9A58C}"/>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'M5 PV-Anlage'!$Q$82</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B93-41EE-9E91-5C74B67107F9}"/>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93-41EE-9E91-5C74B67107F9}"/>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B93-41EE-9E91-5C74B67107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PV-Anlage'!$R$82:$T$82</c:f>
              <c:numCache>
                <c:formatCode>#,##0.0</c:formatCode>
                <c:ptCount val="3"/>
                <c:pt idx="0">
                  <c:v>43.0426</c:v>
                </c:pt>
                <c:pt idx="1">
                  <c:v>43.0426</c:v>
                </c:pt>
                <c:pt idx="2">
                  <c:v>43.0426</c:v>
                </c:pt>
              </c:numCache>
            </c:numRef>
          </c:val>
          <c:extLst>
            <c:ext xmlns:c16="http://schemas.microsoft.com/office/drawing/2014/chart" uri="{C3380CC4-5D6E-409C-BE32-E72D297353CC}">
              <c16:uniqueId val="{00000003-4B93-41EE-9E91-5C74B67107F9}"/>
            </c:ext>
          </c:extLst>
        </c:ser>
        <c:ser>
          <c:idx val="1"/>
          <c:order val="1"/>
          <c:tx>
            <c:strRef>
              <c:f>'M5 PV-Anlage'!$Q$83</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B93-41EE-9E91-5C74B67107F9}"/>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B93-41EE-9E91-5C74B67107F9}"/>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B93-41EE-9E91-5C74B67107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PV-Anlage'!$R$83:$T$83</c:f>
              <c:numCache>
                <c:formatCode>#,##0.0</c:formatCode>
                <c:ptCount val="3"/>
                <c:pt idx="0">
                  <c:v>16.005600000000001</c:v>
                </c:pt>
                <c:pt idx="1">
                  <c:v>16.005600000000001</c:v>
                </c:pt>
                <c:pt idx="2">
                  <c:v>16.005600000000001</c:v>
                </c:pt>
              </c:numCache>
            </c:numRef>
          </c:val>
          <c:extLst>
            <c:ext xmlns:c16="http://schemas.microsoft.com/office/drawing/2014/chart" uri="{C3380CC4-5D6E-409C-BE32-E72D297353CC}">
              <c16:uniqueId val="{00000007-4B93-41EE-9E91-5C74B67107F9}"/>
            </c:ext>
          </c:extLst>
        </c:ser>
        <c:ser>
          <c:idx val="2"/>
          <c:order val="2"/>
          <c:tx>
            <c:strRef>
              <c:f>'M5 PV-Anlage'!$Q$84</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PV-Anlage'!$R$84:$T$84</c:f>
              <c:numCache>
                <c:formatCode>#,##0.0</c:formatCode>
                <c:ptCount val="3"/>
                <c:pt idx="0">
                  <c:v>171.9</c:v>
                </c:pt>
                <c:pt idx="1">
                  <c:v>97.138569957888194</c:v>
                </c:pt>
                <c:pt idx="2">
                  <c:v>47.874209324752655</c:v>
                </c:pt>
              </c:numCache>
            </c:numRef>
          </c:val>
          <c:extLst>
            <c:ext xmlns:c16="http://schemas.microsoft.com/office/drawing/2014/chart" uri="{C3380CC4-5D6E-409C-BE32-E72D297353CC}">
              <c16:uniqueId val="{00000008-4B93-41EE-9E91-5C74B67107F9}"/>
            </c:ext>
          </c:extLst>
        </c:ser>
        <c:ser>
          <c:idx val="3"/>
          <c:order val="3"/>
          <c:tx>
            <c:strRef>
              <c:f>'M5 PV-Anlage'!$Q$88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PV-Anlage'!$R$88:$T$88</c:f>
              <c:numCache>
                <c:formatCode>#,##0.0</c:formatCode>
                <c:ptCount val="3"/>
                <c:pt idx="0">
                  <c:v>35.884155059999998</c:v>
                </c:pt>
                <c:pt idx="1">
                  <c:v>35.884155059999998</c:v>
                </c:pt>
                <c:pt idx="2">
                  <c:v>35.884155059999998</c:v>
                </c:pt>
              </c:numCache>
            </c:numRef>
          </c:val>
          <c:extLst>
            <c:ext xmlns:c16="http://schemas.microsoft.com/office/drawing/2014/chart" uri="{C3380CC4-5D6E-409C-BE32-E72D297353CC}">
              <c16:uniqueId val="{00000009-4B93-41EE-9E91-5C74B67107F9}"/>
            </c:ext>
          </c:extLst>
        </c:ser>
        <c:ser>
          <c:idx val="4"/>
          <c:order val="4"/>
          <c:tx>
            <c:strRef>
              <c:f>'M5 PV-Anlage'!$Q$85</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'M5 PV-Anlage'!$R$85:$T$85</c:f>
              <c:numCache>
                <c:formatCode>#,##0.0</c:formatCode>
                <c:ptCount val="3"/>
                <c:pt idx="0">
                  <c:v>0</c:v>
                </c:pt>
                <c:pt idx="1">
                  <c:v>0</c:v>
                </c:pt>
                <c:pt idx="2">
                  <c:v>0</c:v>
                </c:pt>
              </c:numCache>
            </c:numRef>
          </c:val>
          <c:extLst>
            <c:ext xmlns:c16="http://schemas.microsoft.com/office/drawing/2014/chart" uri="{C3380CC4-5D6E-409C-BE32-E72D297353CC}">
              <c16:uniqueId val="{0000000A-4B93-41EE-9E91-5C74B67107F9}"/>
            </c:ext>
          </c:extLst>
        </c:ser>
        <c:ser>
          <c:idx val="5"/>
          <c:order val="5"/>
          <c:tx>
            <c:strRef>
              <c:f>'M5 PV-Anlage'!$Q$86</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'M5 PV-Anlage'!$R$86:$T$86</c:f>
              <c:numCache>
                <c:formatCode>#,##0.0</c:formatCode>
                <c:ptCount val="3"/>
                <c:pt idx="0">
                  <c:v>0</c:v>
                </c:pt>
                <c:pt idx="1">
                  <c:v>0</c:v>
                </c:pt>
                <c:pt idx="2">
                  <c:v>0</c:v>
                </c:pt>
              </c:numCache>
            </c:numRef>
          </c:val>
          <c:extLst>
            <c:ext xmlns:c16="http://schemas.microsoft.com/office/drawing/2014/chart" uri="{C3380CC4-5D6E-409C-BE32-E72D297353CC}">
              <c16:uniqueId val="{0000000B-4B93-41EE-9E91-5C74B67107F9}"/>
            </c:ext>
          </c:extLst>
        </c:ser>
        <c:ser>
          <c:idx val="6"/>
          <c:order val="6"/>
          <c:tx>
            <c:strRef>
              <c:f>'M5 PV-Anlage'!$Q$87</c:f>
              <c:strCache>
                <c:ptCount val="1"/>
                <c:pt idx="0">
                  <c:v>Alternativer Energieträger restliches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'M5 PV-Anlage'!$R$87:$T$87</c:f>
              <c:numCache>
                <c:formatCode>#,##0.0</c:formatCode>
                <c:ptCount val="3"/>
                <c:pt idx="0">
                  <c:v>0</c:v>
                </c:pt>
                <c:pt idx="1">
                  <c:v>0</c:v>
                </c:pt>
                <c:pt idx="2">
                  <c:v>0</c:v>
                </c:pt>
              </c:numCache>
            </c:numRef>
          </c:val>
          <c:extLst>
            <c:ext xmlns:c16="http://schemas.microsoft.com/office/drawing/2014/chart" uri="{C3380CC4-5D6E-409C-BE32-E72D297353CC}">
              <c16:uniqueId val="{0000000C-4B93-41EE-9E91-5C74B67107F9}"/>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760096179655635E-2"/>
          <c:y val="2.3906545088394321E-2"/>
          <c:w val="0.9164476829880307"/>
          <c:h val="0.74624699756382551"/>
        </c:manualLayout>
      </c:layout>
      <c:barChart>
        <c:barDir val="col"/>
        <c:grouping val="stacked"/>
        <c:varyColors val="0"/>
        <c:ser>
          <c:idx val="0"/>
          <c:order val="0"/>
          <c:tx>
            <c:strRef>
              <c:f>'Vergleich Bilanzjahre'!$B$25</c:f>
              <c:strCache>
                <c:ptCount val="1"/>
                <c:pt idx="0">
                  <c:v>Zement - CEM 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Bilanzjahre'!$D$25:$H$25</c:f>
              <c:numCache>
                <c:formatCode>#,##0</c:formatCode>
                <c:ptCount val="5"/>
                <c:pt idx="0">
                  <c:v>1820</c:v>
                </c:pt>
                <c:pt idx="1">
                  <c:v>1820</c:v>
                </c:pt>
                <c:pt idx="2">
                  <c:v>1820</c:v>
                </c:pt>
                <c:pt idx="3">
                  <c:v>1820</c:v>
                </c:pt>
                <c:pt idx="4">
                  <c:v>1820</c:v>
                </c:pt>
              </c:numCache>
            </c:numRef>
          </c:val>
          <c:extLst>
            <c:ext xmlns:c16="http://schemas.microsoft.com/office/drawing/2014/chart" uri="{C3380CC4-5D6E-409C-BE32-E72D297353CC}">
              <c16:uniqueId val="{0000000B-9634-4D34-B73E-AFF7B930CBB6}"/>
            </c:ext>
          </c:extLst>
        </c:ser>
        <c:ser>
          <c:idx val="1"/>
          <c:order val="1"/>
          <c:tx>
            <c:strRef>
              <c:f>'Vergleich Bilanzjahre'!$B$26</c:f>
              <c:strCache>
                <c:ptCount val="1"/>
                <c:pt idx="0">
                  <c:v>Zement - CEM II</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Bilanzjahre'!$D$26:$H$26</c:f>
              <c:numCache>
                <c:formatCode>#,##0</c:formatCode>
                <c:ptCount val="5"/>
                <c:pt idx="0">
                  <c:v>4368</c:v>
                </c:pt>
                <c:pt idx="1">
                  <c:v>4368</c:v>
                </c:pt>
                <c:pt idx="2">
                  <c:v>4368</c:v>
                </c:pt>
                <c:pt idx="3">
                  <c:v>4368</c:v>
                </c:pt>
                <c:pt idx="4">
                  <c:v>4368</c:v>
                </c:pt>
              </c:numCache>
            </c:numRef>
          </c:val>
          <c:extLst>
            <c:ext xmlns:c16="http://schemas.microsoft.com/office/drawing/2014/chart" uri="{C3380CC4-5D6E-409C-BE32-E72D297353CC}">
              <c16:uniqueId val="{0000000C-9634-4D34-B73E-AFF7B930CBB6}"/>
            </c:ext>
          </c:extLst>
        </c:ser>
        <c:ser>
          <c:idx val="2"/>
          <c:order val="2"/>
          <c:tx>
            <c:strRef>
              <c:f>'Vergleich Bilanzjahre'!$B$27</c:f>
              <c:strCache>
                <c:ptCount val="1"/>
                <c:pt idx="0">
                  <c:v>Weißzement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Bilanzjahre'!$D$27:$H$27</c:f>
              <c:numCache>
                <c:formatCode>#,##0</c:formatCode>
                <c:ptCount val="5"/>
                <c:pt idx="0">
                  <c:v>1092</c:v>
                </c:pt>
                <c:pt idx="1">
                  <c:v>1092</c:v>
                </c:pt>
                <c:pt idx="2">
                  <c:v>1092</c:v>
                </c:pt>
                <c:pt idx="3">
                  <c:v>1092</c:v>
                </c:pt>
                <c:pt idx="4">
                  <c:v>1092</c:v>
                </c:pt>
              </c:numCache>
            </c:numRef>
          </c:val>
          <c:extLst>
            <c:ext xmlns:c16="http://schemas.microsoft.com/office/drawing/2014/chart" uri="{C3380CC4-5D6E-409C-BE32-E72D297353CC}">
              <c16:uniqueId val="{0000000D-9634-4D34-B73E-AFF7B930CBB6}"/>
            </c:ext>
          </c:extLst>
        </c:ser>
        <c:ser>
          <c:idx val="3"/>
          <c:order val="3"/>
          <c:tx>
            <c:strRef>
              <c:f>'Vergleich Bilanzjahre'!$B$28</c:f>
              <c:strCache>
                <c:ptCount val="1"/>
                <c:pt idx="0">
                  <c:v>Weitere Zementsorte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Bilanzjahre'!$D$28:$H$28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E-9634-4D34-B73E-AFF7B930CBB6}"/>
            </c:ext>
          </c:extLst>
        </c:ser>
        <c:ser>
          <c:idx val="4"/>
          <c:order val="4"/>
          <c:tx>
            <c:strRef>
              <c:f>'Vergleich Bilanzjahre'!$B$31</c:f>
              <c:strCache>
                <c:ptCount val="1"/>
                <c:pt idx="0">
                  <c:v>Sand, Kies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Bilanzjahre'!$D$31:$H$31</c:f>
              <c:numCache>
                <c:formatCode>#,##0</c:formatCode>
                <c:ptCount val="5"/>
                <c:pt idx="0">
                  <c:v>26720</c:v>
                </c:pt>
                <c:pt idx="1">
                  <c:v>26720</c:v>
                </c:pt>
                <c:pt idx="2">
                  <c:v>26720</c:v>
                </c:pt>
                <c:pt idx="3">
                  <c:v>26720</c:v>
                </c:pt>
                <c:pt idx="4">
                  <c:v>26720</c:v>
                </c:pt>
              </c:numCache>
            </c:numRef>
          </c:val>
          <c:extLst>
            <c:ext xmlns:c16="http://schemas.microsoft.com/office/drawing/2014/chart" uri="{C3380CC4-5D6E-409C-BE32-E72D297353CC}">
              <c16:uniqueId val="{0000000F-9634-4D34-B73E-AFF7B930CBB6}"/>
            </c:ext>
          </c:extLst>
        </c:ser>
        <c:ser>
          <c:idx val="5"/>
          <c:order val="5"/>
          <c:tx>
            <c:strRef>
              <c:f>'Vergleich Bilanzjahre'!$B$32</c:f>
              <c:strCache>
                <c:ptCount val="1"/>
                <c:pt idx="0">
                  <c:v>Brechsand, Splitt</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Bilanzjahre'!$D$32:$H$32</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0-9634-4D34-B73E-AFF7B930CBB6}"/>
            </c:ext>
          </c:extLst>
        </c:ser>
        <c:ser>
          <c:idx val="6"/>
          <c:order val="6"/>
          <c:tx>
            <c:strRef>
              <c:f>'Vergleich Bilanzjahre'!$B$33</c:f>
              <c:strCache>
                <c:ptCount val="1"/>
                <c:pt idx="0">
                  <c:v>RC-Material (Sand, Splitt)</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Bilanzjahre'!$D$33:$H$33</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1-9634-4D34-B73E-AFF7B930CBB6}"/>
            </c:ext>
          </c:extLst>
        </c:ser>
        <c:ser>
          <c:idx val="7"/>
          <c:order val="7"/>
          <c:tx>
            <c:strRef>
              <c:f>'Vergleich Bilanzjahre'!$B$40</c:f>
              <c:strCache>
                <c:ptCount val="1"/>
                <c:pt idx="0">
                  <c:v>Flugasche</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Bilanzjahre'!$D$40:$H$40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2-9634-4D34-B73E-AFF7B930CBB6}"/>
            </c:ext>
          </c:extLst>
        </c:ser>
        <c:ser>
          <c:idx val="8"/>
          <c:order val="8"/>
          <c:tx>
            <c:strRef>
              <c:f>'Vergleich Bilanzjahre'!$B$41</c:f>
              <c:strCache>
                <c:ptCount val="1"/>
                <c:pt idx="0">
                  <c:v>Quarzsteinmehl</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Bilanzjahre'!$D$41:$H$41</c:f>
              <c:numCache>
                <c:formatCode>#,##0</c:formatCode>
                <c:ptCount val="5"/>
                <c:pt idx="0">
                  <c:v>200</c:v>
                </c:pt>
                <c:pt idx="1">
                  <c:v>200</c:v>
                </c:pt>
                <c:pt idx="2">
                  <c:v>200</c:v>
                </c:pt>
                <c:pt idx="3">
                  <c:v>200</c:v>
                </c:pt>
                <c:pt idx="4">
                  <c:v>200</c:v>
                </c:pt>
              </c:numCache>
            </c:numRef>
          </c:val>
          <c:extLst>
            <c:ext xmlns:c16="http://schemas.microsoft.com/office/drawing/2014/chart" uri="{C3380CC4-5D6E-409C-BE32-E72D297353CC}">
              <c16:uniqueId val="{00000013-9634-4D34-B73E-AFF7B930CBB6}"/>
            </c:ext>
          </c:extLst>
        </c:ser>
        <c:ser>
          <c:idx val="9"/>
          <c:order val="9"/>
          <c:tx>
            <c:strRef>
              <c:f>'Vergleich Bilanzjahre'!$B$42</c:f>
              <c:strCache>
                <c:ptCount val="1"/>
                <c:pt idx="0">
                  <c:v>Kalksteinmehl</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'Vergleich Bilanzjahre'!$D$2:$H$2</c:f>
              <c:numCache>
                <c:formatCode>General</c:formatCode>
                <c:ptCount val="5"/>
                <c:pt idx="0">
                  <c:v>0</c:v>
                </c:pt>
                <c:pt idx="1">
                  <c:v>0</c:v>
                </c:pt>
                <c:pt idx="2">
                  <c:v>0</c:v>
                </c:pt>
                <c:pt idx="3">
                  <c:v>0</c:v>
                </c:pt>
                <c:pt idx="4">
                  <c:v>0</c:v>
                </c:pt>
              </c:numCache>
            </c:numRef>
          </c:cat>
          <c:val>
            <c:numRef>
              <c:f>'Vergleich Bilanzjahre'!$D$42:$H$42</c:f>
              <c:numCache>
                <c:formatCode>#,##0</c:formatCode>
                <c:ptCount val="5"/>
                <c:pt idx="0">
                  <c:v>1600</c:v>
                </c:pt>
                <c:pt idx="1">
                  <c:v>1600</c:v>
                </c:pt>
                <c:pt idx="2">
                  <c:v>1600</c:v>
                </c:pt>
                <c:pt idx="3">
                  <c:v>1600</c:v>
                </c:pt>
                <c:pt idx="4">
                  <c:v>1600</c:v>
                </c:pt>
              </c:numCache>
            </c:numRef>
          </c:val>
          <c:extLst>
            <c:ext xmlns:c16="http://schemas.microsoft.com/office/drawing/2014/chart" uri="{C3380CC4-5D6E-409C-BE32-E72D297353CC}">
              <c16:uniqueId val="{00000014-9634-4D34-B73E-AFF7B930CBB6}"/>
            </c:ext>
          </c:extLst>
        </c:ser>
        <c:dLbls>
          <c:dLblPos val="ctr"/>
          <c:showLegendKey val="0"/>
          <c:showVal val="1"/>
          <c:showCatName val="0"/>
          <c:showSerName val="0"/>
          <c:showPercent val="0"/>
          <c:showBubbleSize val="0"/>
        </c:dLbls>
        <c:gapWidth val="150"/>
        <c:overlap val="100"/>
        <c:axId val="803255760"/>
        <c:axId val="803255400"/>
      </c:barChart>
      <c:catAx>
        <c:axId val="80325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03255400"/>
        <c:crosses val="autoZero"/>
        <c:auto val="1"/>
        <c:lblAlgn val="ctr"/>
        <c:lblOffset val="100"/>
        <c:noMultiLvlLbl val="0"/>
      </c:catAx>
      <c:valAx>
        <c:axId val="803255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1" i="0" u="none" strike="noStrike" kern="1200" baseline="0">
                    <a:solidFill>
                      <a:srgbClr val="323232">
                        <a:lumMod val="65000"/>
                        <a:lumOff val="35000"/>
                      </a:srgbClr>
                    </a:solidFill>
                  </a:rPr>
                  <a:t>Masse [t]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03255760"/>
        <c:crosses val="autoZero"/>
        <c:crossBetween val="between"/>
      </c:valAx>
      <c:spPr>
        <a:pattFill prst="ltDnDiag">
          <a:fgClr>
            <a:schemeClr val="accent1"/>
          </a:fgClr>
          <a:bgClr>
            <a:schemeClr val="bg1"/>
          </a:bgClr>
        </a:pattFill>
        <a:ln>
          <a:solidFill>
            <a:schemeClr val="accent1"/>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de-D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'M5 PV-Anlage'!$Z$45</c:f>
              <c:strCache>
                <c:ptCount val="1"/>
                <c:pt idx="0">
                  <c:v>Scope 3</c:v>
                </c:pt>
              </c:strCache>
            </c:strRef>
          </c:tx>
          <c:spPr>
            <a:solidFill>
              <a:schemeClr val="accent3"/>
            </a:solidFill>
            <a:ln>
              <a:noFill/>
            </a:ln>
            <a:effectLst/>
          </c:spPr>
          <c:invertIfNegative val="0"/>
          <c:cat>
            <c:multiLvlStrRef>
              <c:f>'M5 PV-Anlage'!$AA$41:$AC$42</c:f>
              <c:multiLvlStrCache>
                <c:ptCount val="3"/>
                <c:lvl>
                  <c:pt idx="0">
                    <c:v>Referenz</c:v>
                  </c:pt>
                </c:lvl>
                <c:lvl>
                  <c:pt idx="0">
                    <c:v>0</c:v>
                  </c:pt>
                  <c:pt idx="1">
                    <c:v>5</c:v>
                  </c:pt>
                  <c:pt idx="2">
                    <c:v>10</c:v>
                  </c:pt>
                </c:lvl>
              </c:multiLvlStrCache>
            </c:multiLvlStrRef>
          </c:cat>
          <c:val>
            <c:numRef>
              <c:f>'M5 PV-Anlage'!$AA$45:$AC$45</c:f>
              <c:numCache>
                <c:formatCode>#,##0</c:formatCode>
                <c:ptCount val="3"/>
                <c:pt idx="0">
                  <c:v>5831.5296228095176</c:v>
                </c:pt>
                <c:pt idx="1">
                  <c:v>5745.822192018004</c:v>
                </c:pt>
                <c:pt idx="2">
                  <c:v>5738.6001915063407</c:v>
                </c:pt>
              </c:numCache>
            </c:numRef>
          </c:val>
          <c:extLst>
            <c:ext xmlns:c16="http://schemas.microsoft.com/office/drawing/2014/chart" uri="{C3380CC4-5D6E-409C-BE32-E72D297353CC}">
              <c16:uniqueId val="{00000000-3D4B-4375-8B1B-4ED489209B8C}"/>
            </c:ext>
          </c:extLst>
        </c:ser>
        <c:ser>
          <c:idx val="1"/>
          <c:order val="1"/>
          <c:tx>
            <c:strRef>
              <c:f>'M5 PV-Anlage'!$Z$44</c:f>
              <c:strCache>
                <c:ptCount val="1"/>
                <c:pt idx="0">
                  <c:v>Scope 2</c:v>
                </c:pt>
              </c:strCache>
            </c:strRef>
          </c:tx>
          <c:spPr>
            <a:solidFill>
              <a:schemeClr val="accent2"/>
            </a:solidFill>
            <a:ln>
              <a:noFill/>
            </a:ln>
            <a:effectLst/>
          </c:spPr>
          <c:invertIfNegative val="0"/>
          <c:cat>
            <c:multiLvlStrRef>
              <c:f>'M5 PV-Anlage'!$AA$41:$AC$42</c:f>
              <c:multiLvlStrCache>
                <c:ptCount val="3"/>
                <c:lvl>
                  <c:pt idx="0">
                    <c:v>Referenz</c:v>
                  </c:pt>
                </c:lvl>
                <c:lvl>
                  <c:pt idx="0">
                    <c:v>0</c:v>
                  </c:pt>
                  <c:pt idx="1">
                    <c:v>5</c:v>
                  </c:pt>
                  <c:pt idx="2">
                    <c:v>10</c:v>
                  </c:pt>
                </c:lvl>
              </c:multiLvlStrCache>
            </c:multiLvlStrRef>
          </c:cat>
          <c:val>
            <c:numRef>
              <c:f>'M5 PV-Anlage'!$AA$44:$AC$44</c:f>
              <c:numCache>
                <c:formatCode>#,##0</c:formatCode>
                <c:ptCount val="3"/>
                <c:pt idx="0">
                  <c:v>171.9</c:v>
                </c:pt>
                <c:pt idx="1">
                  <c:v>97.138569957888194</c:v>
                </c:pt>
                <c:pt idx="2">
                  <c:v>47.874209324752655</c:v>
                </c:pt>
              </c:numCache>
            </c:numRef>
          </c:val>
          <c:extLst>
            <c:ext xmlns:c16="http://schemas.microsoft.com/office/drawing/2014/chart" uri="{C3380CC4-5D6E-409C-BE32-E72D297353CC}">
              <c16:uniqueId val="{00000001-3D4B-4375-8B1B-4ED489209B8C}"/>
            </c:ext>
          </c:extLst>
        </c:ser>
        <c:ser>
          <c:idx val="0"/>
          <c:order val="2"/>
          <c:tx>
            <c:strRef>
              <c:f>'M5 PV-Anlage'!$Z$43</c:f>
              <c:strCache>
                <c:ptCount val="1"/>
                <c:pt idx="0">
                  <c:v>Scope 1 </c:v>
                </c:pt>
              </c:strCache>
            </c:strRef>
          </c:tx>
          <c:spPr>
            <a:solidFill>
              <a:schemeClr val="accent1"/>
            </a:solidFill>
            <a:ln>
              <a:noFill/>
            </a:ln>
            <a:effectLst/>
          </c:spPr>
          <c:invertIfNegative val="0"/>
          <c:cat>
            <c:multiLvlStrRef>
              <c:f>'M5 PV-Anlage'!$AA$41:$AC$42</c:f>
              <c:multiLvlStrCache>
                <c:ptCount val="3"/>
                <c:lvl>
                  <c:pt idx="0">
                    <c:v>Referenz</c:v>
                  </c:pt>
                </c:lvl>
                <c:lvl>
                  <c:pt idx="0">
                    <c:v>0</c:v>
                  </c:pt>
                  <c:pt idx="1">
                    <c:v>5</c:v>
                  </c:pt>
                  <c:pt idx="2">
                    <c:v>10</c:v>
                  </c:pt>
                </c:lvl>
              </c:multiLvlStrCache>
            </c:multiLvlStrRef>
          </c:cat>
          <c:val>
            <c:numRef>
              <c:f>'M5 PV-Anlage'!$AA$43:$AC$43</c:f>
              <c:numCache>
                <c:formatCode>#,##0</c:formatCode>
                <c:ptCount val="3"/>
                <c:pt idx="0">
                  <c:v>94.932355060000006</c:v>
                </c:pt>
                <c:pt idx="1">
                  <c:v>94.932355060000006</c:v>
                </c:pt>
                <c:pt idx="2">
                  <c:v>94.932355060000006</c:v>
                </c:pt>
              </c:numCache>
            </c:numRef>
          </c:val>
          <c:extLst>
            <c:ext xmlns:c16="http://schemas.microsoft.com/office/drawing/2014/chart" uri="{C3380CC4-5D6E-409C-BE32-E72D297353CC}">
              <c16:uniqueId val="{00000002-3D4B-4375-8B1B-4ED489209B8C}"/>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'M5 PV-Anlage'!$AI$82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PV-Anlage'!$AJ$82:$AL$82</c:f>
              <c:numCache>
                <c:formatCode>#,##0\ "€"</c:formatCode>
                <c:ptCount val="3"/>
                <c:pt idx="0">
                  <c:v>109669</c:v>
                </c:pt>
                <c:pt idx="1">
                  <c:v>92469</c:v>
                </c:pt>
                <c:pt idx="2">
                  <c:v>92469</c:v>
                </c:pt>
              </c:numCache>
            </c:numRef>
          </c:val>
          <c:extLst>
            <c:ext xmlns:c16="http://schemas.microsoft.com/office/drawing/2014/chart" uri="{C3380CC4-5D6E-409C-BE32-E72D297353CC}">
              <c16:uniqueId val="{00000000-B6F1-4EA4-96B1-621F86AEB781}"/>
            </c:ext>
          </c:extLst>
        </c:ser>
        <c:ser>
          <c:idx val="1"/>
          <c:order val="1"/>
          <c:tx>
            <c:strRef>
              <c:f>'M5 PV-Anlage'!$AI$90</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F1-4EA4-96B1-621F86AEB781}"/>
                </c:ext>
              </c:extLst>
            </c:dLbl>
            <c:dLbl>
              <c:idx val="1"/>
              <c:layout>
                <c:manualLayout>
                  <c:x val="0.10261987431833655"/>
                  <c:y val="-4.2873240129449215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F1-4EA4-96B1-621F86AEB781}"/>
                </c:ext>
              </c:extLst>
            </c:dLbl>
            <c:dLbl>
              <c:idx val="2"/>
              <c:layout>
                <c:manualLayout>
                  <c:x val="9.8819138232472167E-2"/>
                  <c:y val="-3.9810865834488555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F1-4EA4-96B1-621F86AEB7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PV-Anlage'!$AJ$90:$AL$90</c:f>
              <c:numCache>
                <c:formatCode>#,##0\ "€"</c:formatCode>
                <c:ptCount val="3"/>
                <c:pt idx="0">
                  <c:v>0</c:v>
                </c:pt>
                <c:pt idx="1">
                  <c:v>36000</c:v>
                </c:pt>
                <c:pt idx="2">
                  <c:v>36000</c:v>
                </c:pt>
              </c:numCache>
            </c:numRef>
          </c:val>
          <c:extLst>
            <c:ext xmlns:c16="http://schemas.microsoft.com/office/drawing/2014/chart" uri="{C3380CC4-5D6E-409C-BE32-E72D297353CC}">
              <c16:uniqueId val="{00000004-B6F1-4EA4-96B1-621F86AEB781}"/>
            </c:ext>
          </c:extLst>
        </c:ser>
        <c:ser>
          <c:idx val="2"/>
          <c:order val="2"/>
          <c:tx>
            <c:strRef>
              <c:f>'M5 PV-Anlage'!$AI$91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PV-Anlage'!$AJ$91:$AL$91</c:f>
              <c:numCache>
                <c:formatCode>#,##0\ "€"</c:formatCode>
                <c:ptCount val="3"/>
                <c:pt idx="0">
                  <c:v>0</c:v>
                </c:pt>
                <c:pt idx="1">
                  <c:v>1000</c:v>
                </c:pt>
                <c:pt idx="2">
                  <c:v>1000</c:v>
                </c:pt>
              </c:numCache>
            </c:numRef>
          </c:val>
          <c:extLst>
            <c:ext xmlns:c16="http://schemas.microsoft.com/office/drawing/2014/chart" uri="{C3380CC4-5D6E-409C-BE32-E72D297353CC}">
              <c16:uniqueId val="{00000005-B6F1-4EA4-96B1-621F86AEB781}"/>
            </c:ext>
          </c:extLst>
        </c:ser>
        <c:ser>
          <c:idx val="3"/>
          <c:order val="3"/>
          <c:tx>
            <c:strRef>
              <c:f>'M5 PV-Anlage'!$AI$92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PV-Anlage'!$R$41:$T$42</c:f>
              <c:multiLvlStrCache>
                <c:ptCount val="3"/>
                <c:lvl>
                  <c:pt idx="0">
                    <c:v>Referenz</c:v>
                  </c:pt>
                </c:lvl>
                <c:lvl>
                  <c:pt idx="0">
                    <c:v>0</c:v>
                  </c:pt>
                  <c:pt idx="1">
                    <c:v>5</c:v>
                  </c:pt>
                  <c:pt idx="2">
                    <c:v>10</c:v>
                  </c:pt>
                </c:lvl>
              </c:multiLvlStrCache>
            </c:multiLvlStrRef>
          </c:cat>
          <c:val>
            <c:numRef>
              <c:f>'M5 PV-Anlage'!$AJ$92:$AL$92</c:f>
              <c:numCache>
                <c:formatCode>#,##0\ "€"</c:formatCode>
                <c:ptCount val="3"/>
                <c:pt idx="0">
                  <c:v>0</c:v>
                </c:pt>
                <c:pt idx="1">
                  <c:v>0</c:v>
                </c:pt>
                <c:pt idx="2">
                  <c:v>0</c:v>
                </c:pt>
              </c:numCache>
            </c:numRef>
          </c:val>
          <c:extLst>
            <c:ext xmlns:c16="http://schemas.microsoft.com/office/drawing/2014/chart" uri="{C3380CC4-5D6E-409C-BE32-E72D297353CC}">
              <c16:uniqueId val="{00000006-B6F1-4EA4-96B1-621F86AEB781}"/>
            </c:ext>
          </c:extLst>
        </c:ser>
        <c:ser>
          <c:idx val="4"/>
          <c:order val="4"/>
          <c:tx>
            <c:strRef>
              <c:f>'M5 PV-Anlage'!$AI$93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'M5 PV-Anlage'!$AJ$93:$AL$93</c:f>
              <c:numCache>
                <c:formatCode>#,##0\ "€"</c:formatCode>
                <c:ptCount val="3"/>
                <c:pt idx="0">
                  <c:v>152459.04944673795</c:v>
                </c:pt>
                <c:pt idx="1">
                  <c:v>267205.19026661513</c:v>
                </c:pt>
                <c:pt idx="2">
                  <c:v>470512.54047128744</c:v>
                </c:pt>
              </c:numCache>
            </c:numRef>
          </c:val>
          <c:extLst>
            <c:ext xmlns:c16="http://schemas.microsoft.com/office/drawing/2014/chart" uri="{C3380CC4-5D6E-409C-BE32-E72D297353CC}">
              <c16:uniqueId val="{00000007-B6F1-4EA4-96B1-621F86AEB781}"/>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'M5 PV-Anlage'!$Z$82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F5-456C-AD1E-FDD5F08C32CC}"/>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F5-456C-AD1E-FDD5F08C32CC}"/>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F5-456C-AD1E-FDD5F08C32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PV-Anlage'!$AA$82:$AC$82</c:f>
              <c:numCache>
                <c:formatCode>#,##0</c:formatCode>
                <c:ptCount val="3"/>
                <c:pt idx="0">
                  <c:v>41.281733459999998</c:v>
                </c:pt>
                <c:pt idx="1">
                  <c:v>35.893342668486227</c:v>
                </c:pt>
                <c:pt idx="2">
                  <c:v>28.671342156822377</c:v>
                </c:pt>
              </c:numCache>
            </c:numRef>
          </c:val>
          <c:extLst>
            <c:ext xmlns:c16="http://schemas.microsoft.com/office/drawing/2014/chart" uri="{C3380CC4-5D6E-409C-BE32-E72D297353CC}">
              <c16:uniqueId val="{00000003-BCF5-456C-AD1E-FDD5F08C32CC}"/>
            </c:ext>
          </c:extLst>
        </c:ser>
        <c:ser>
          <c:idx val="1"/>
          <c:order val="1"/>
          <c:tx>
            <c:strRef>
              <c:f>'M5 PV-Anlage'!$Z$83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F5-456C-AD1E-FDD5F08C32CC}"/>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F5-456C-AD1E-FDD5F08C32CC}"/>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F5-456C-AD1E-FDD5F08C32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PV-Anlage'!$AA$83:$AC$83</c:f>
              <c:numCache>
                <c:formatCode>#,##0</c:formatCode>
                <c:ptCount val="3"/>
                <c:pt idx="0">
                  <c:v>469.15642799999995</c:v>
                </c:pt>
                <c:pt idx="1">
                  <c:v>469.15642799999995</c:v>
                </c:pt>
                <c:pt idx="2">
                  <c:v>469.15642799999995</c:v>
                </c:pt>
              </c:numCache>
            </c:numRef>
          </c:val>
          <c:extLst>
            <c:ext xmlns:c16="http://schemas.microsoft.com/office/drawing/2014/chart" uri="{C3380CC4-5D6E-409C-BE32-E72D297353CC}">
              <c16:uniqueId val="{00000007-BCF5-456C-AD1E-FDD5F08C32CC}"/>
            </c:ext>
          </c:extLst>
        </c:ser>
        <c:ser>
          <c:idx val="2"/>
          <c:order val="2"/>
          <c:tx>
            <c:strRef>
              <c:f>'M5 PV-Anlage'!$Z$84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PV-Anlage'!$AA$84:$AC$84</c:f>
              <c:numCache>
                <c:formatCode>#,##0</c:formatCode>
                <c:ptCount val="3"/>
                <c:pt idx="0">
                  <c:v>4548.5439999999999</c:v>
                </c:pt>
                <c:pt idx="1">
                  <c:v>4548.5439999999999</c:v>
                </c:pt>
                <c:pt idx="2">
                  <c:v>4548.5439999999999</c:v>
                </c:pt>
              </c:numCache>
            </c:numRef>
          </c:val>
          <c:extLst>
            <c:ext xmlns:c16="http://schemas.microsoft.com/office/drawing/2014/chart" uri="{C3380CC4-5D6E-409C-BE32-E72D297353CC}">
              <c16:uniqueId val="{00000008-BCF5-456C-AD1E-FDD5F08C32CC}"/>
            </c:ext>
          </c:extLst>
        </c:ser>
        <c:ser>
          <c:idx val="3"/>
          <c:order val="3"/>
          <c:tx>
            <c:strRef>
              <c:f>'M5 PV-Anlage'!$Z$85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F5-456C-AD1E-FDD5F08C32CC}"/>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CF5-456C-AD1E-FDD5F08C32CC}"/>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CF5-456C-AD1E-FDD5F08C32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PV-Anlage'!$AA$85:$AC$85</c:f>
              <c:numCache>
                <c:formatCode>#,##0</c:formatCode>
                <c:ptCount val="3"/>
                <c:pt idx="0">
                  <c:v>129.59200000000001</c:v>
                </c:pt>
                <c:pt idx="1">
                  <c:v>129.59200000000001</c:v>
                </c:pt>
                <c:pt idx="2">
                  <c:v>129.59200000000001</c:v>
                </c:pt>
              </c:numCache>
            </c:numRef>
          </c:val>
          <c:extLst>
            <c:ext xmlns:c16="http://schemas.microsoft.com/office/drawing/2014/chart" uri="{C3380CC4-5D6E-409C-BE32-E72D297353CC}">
              <c16:uniqueId val="{0000000C-BCF5-456C-AD1E-FDD5F08C32CC}"/>
            </c:ext>
          </c:extLst>
        </c:ser>
        <c:ser>
          <c:idx val="4"/>
          <c:order val="4"/>
          <c:tx>
            <c:strRef>
              <c:f>'M5 PV-Anlage'!$Z$86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PV-Anlage'!$AA$86:$AC$86</c:f>
              <c:numCache>
                <c:formatCode>#,##0</c:formatCode>
                <c:ptCount val="3"/>
                <c:pt idx="0">
                  <c:v>208</c:v>
                </c:pt>
                <c:pt idx="1">
                  <c:v>208</c:v>
                </c:pt>
                <c:pt idx="2">
                  <c:v>208</c:v>
                </c:pt>
              </c:numCache>
            </c:numRef>
          </c:val>
          <c:extLst>
            <c:ext xmlns:c16="http://schemas.microsoft.com/office/drawing/2014/chart" uri="{C3380CC4-5D6E-409C-BE32-E72D297353CC}">
              <c16:uniqueId val="{0000000D-BCF5-456C-AD1E-FDD5F08C32CC}"/>
            </c:ext>
          </c:extLst>
        </c:ser>
        <c:ser>
          <c:idx val="5"/>
          <c:order val="5"/>
          <c:tx>
            <c:strRef>
              <c:f>'M5 PV-Anlage'!$Z$87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PV-Anlage'!$AA$87:$AC$87</c:f>
              <c:numCache>
                <c:formatCode>#,##0</c:formatCode>
                <c:ptCount val="3"/>
                <c:pt idx="0">
                  <c:v>81.003999999999991</c:v>
                </c:pt>
                <c:pt idx="1">
                  <c:v>81.003999999999991</c:v>
                </c:pt>
                <c:pt idx="2">
                  <c:v>81.003999999999991</c:v>
                </c:pt>
              </c:numCache>
            </c:numRef>
          </c:val>
          <c:extLst>
            <c:ext xmlns:c16="http://schemas.microsoft.com/office/drawing/2014/chart" uri="{C3380CC4-5D6E-409C-BE32-E72D297353CC}">
              <c16:uniqueId val="{0000000E-BCF5-456C-AD1E-FDD5F08C32CC}"/>
            </c:ext>
          </c:extLst>
        </c:ser>
        <c:ser>
          <c:idx val="6"/>
          <c:order val="6"/>
          <c:tx>
            <c:strRef>
              <c:f>'M5 PV-Anlage'!$Z$88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CF5-456C-AD1E-FDD5F08C32CC}"/>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CF5-456C-AD1E-FDD5F08C32CC}"/>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CF5-456C-AD1E-FDD5F08C32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PV-Anlage'!$AA$88:$AC$88</c:f>
              <c:numCache>
                <c:formatCode>#,##0</c:formatCode>
                <c:ptCount val="3"/>
                <c:pt idx="0">
                  <c:v>148.44746134951595</c:v>
                </c:pt>
                <c:pt idx="1">
                  <c:v>148.44746134951595</c:v>
                </c:pt>
                <c:pt idx="2">
                  <c:v>148.44746134951595</c:v>
                </c:pt>
              </c:numCache>
            </c:numRef>
          </c:val>
          <c:extLst>
            <c:ext xmlns:c16="http://schemas.microsoft.com/office/drawing/2014/chart" uri="{C3380CC4-5D6E-409C-BE32-E72D297353CC}">
              <c16:uniqueId val="{00000012-BCF5-456C-AD1E-FDD5F08C32CC}"/>
            </c:ext>
          </c:extLst>
        </c:ser>
        <c:ser>
          <c:idx val="7"/>
          <c:order val="7"/>
          <c:tx>
            <c:strRef>
              <c:f>'M5 PV-Anlage'!$Z$89</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PV-Anlage'!$AA$89:$AC$89</c:f>
              <c:numCache>
                <c:formatCode>#,##0</c:formatCode>
                <c:ptCount val="3"/>
                <c:pt idx="0">
                  <c:v>#N/A</c:v>
                </c:pt>
                <c:pt idx="1">
                  <c:v>#N/A</c:v>
                </c:pt>
                <c:pt idx="2">
                  <c:v>#N/A</c:v>
                </c:pt>
              </c:numCache>
            </c:numRef>
          </c:val>
          <c:extLst>
            <c:ext xmlns:c16="http://schemas.microsoft.com/office/drawing/2014/chart" uri="{C3380CC4-5D6E-409C-BE32-E72D297353CC}">
              <c16:uniqueId val="{00000013-BCF5-456C-AD1E-FDD5F08C32CC}"/>
            </c:ext>
          </c:extLst>
        </c:ser>
        <c:ser>
          <c:idx val="8"/>
          <c:order val="8"/>
          <c:tx>
            <c:strRef>
              <c:f>'M5 PV-Anlage'!$Z$90</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PV-Anlage'!$AA$90:$AC$90</c:f>
              <c:numCache>
                <c:formatCode>#,##0</c:formatCode>
                <c:ptCount val="3"/>
                <c:pt idx="0">
                  <c:v>#N/A</c:v>
                </c:pt>
                <c:pt idx="1">
                  <c:v>#N/A</c:v>
                </c:pt>
                <c:pt idx="2">
                  <c:v>#N/A</c:v>
                </c:pt>
              </c:numCache>
            </c:numRef>
          </c:val>
          <c:extLst>
            <c:ext xmlns:c16="http://schemas.microsoft.com/office/drawing/2014/chart" uri="{C3380CC4-5D6E-409C-BE32-E72D297353CC}">
              <c16:uniqueId val="{00000014-BCF5-456C-AD1E-FDD5F08C32CC}"/>
            </c:ext>
          </c:extLst>
        </c:ser>
        <c:ser>
          <c:idx val="9"/>
          <c:order val="9"/>
          <c:tx>
            <c:strRef>
              <c:f>'M5 PV-Anlage'!$Z$91</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PV-Anlage'!$AA$91:$AC$91</c:f>
              <c:numCache>
                <c:formatCode>#,##0</c:formatCode>
                <c:ptCount val="3"/>
                <c:pt idx="0">
                  <c:v>#N/A</c:v>
                </c:pt>
                <c:pt idx="1">
                  <c:v>#N/A</c:v>
                </c:pt>
                <c:pt idx="2">
                  <c:v>#N/A</c:v>
                </c:pt>
              </c:numCache>
            </c:numRef>
          </c:val>
          <c:extLst>
            <c:ext xmlns:c16="http://schemas.microsoft.com/office/drawing/2014/chart" uri="{C3380CC4-5D6E-409C-BE32-E72D297353CC}">
              <c16:uniqueId val="{00000015-BCF5-456C-AD1E-FDD5F08C32CC}"/>
            </c:ext>
          </c:extLst>
        </c:ser>
        <c:ser>
          <c:idx val="10"/>
          <c:order val="10"/>
          <c:tx>
            <c:strRef>
              <c:f>'M5 PV-Anlage'!$Z$92</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CF5-456C-AD1E-FDD5F08C32CC}"/>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CF5-456C-AD1E-FDD5F08C32CC}"/>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CF5-456C-AD1E-FDD5F08C32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'M5 PV-Anlage'!$AA$50:$AC$51</c:f>
              <c:multiLvlStrCache>
                <c:ptCount val="3"/>
                <c:lvl>
                  <c:pt idx="0">
                    <c:v>Referenz</c:v>
                  </c:pt>
                </c:lvl>
                <c:lvl>
                  <c:pt idx="0">
                    <c:v>0</c:v>
                  </c:pt>
                  <c:pt idx="1">
                    <c:v>5</c:v>
                  </c:pt>
                  <c:pt idx="2">
                    <c:v>10</c:v>
                  </c:pt>
                </c:lvl>
              </c:multiLvlStrCache>
            </c:multiLvlStrRef>
          </c:cat>
          <c:val>
            <c:numRef>
              <c:f>'M5 PV-Anlage'!$AA$92:$AC$92</c:f>
              <c:numCache>
                <c:formatCode>#,##0</c:formatCode>
                <c:ptCount val="3"/>
                <c:pt idx="0">
                  <c:v>64.48</c:v>
                </c:pt>
                <c:pt idx="1">
                  <c:v>64.48</c:v>
                </c:pt>
                <c:pt idx="2">
                  <c:v>64.48</c:v>
                </c:pt>
              </c:numCache>
            </c:numRef>
          </c:val>
          <c:extLst>
            <c:ext xmlns:c16="http://schemas.microsoft.com/office/drawing/2014/chart" uri="{C3380CC4-5D6E-409C-BE32-E72D297353CC}">
              <c16:uniqueId val="{00000019-BCF5-456C-AD1E-FDD5F08C32CC}"/>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'M6 allgemeine Effizienz'!$Q$82</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77-4F9D-AEA5-B8BDF1191F91}"/>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977-4F9D-AEA5-B8BDF1191F91}"/>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977-4F9D-AEA5-B8BDF1191F9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Effizienz'!$R$82:$T$82</c:f>
              <c:numCache>
                <c:formatCode>#,##0.0</c:formatCode>
                <c:ptCount val="3"/>
                <c:pt idx="0">
                  <c:v>43.0426</c:v>
                </c:pt>
                <c:pt idx="1">
                  <c:v>43.0426</c:v>
                </c:pt>
                <c:pt idx="2">
                  <c:v>43.0426</c:v>
                </c:pt>
              </c:numCache>
            </c:numRef>
          </c:val>
          <c:extLst>
            <c:ext xmlns:c16="http://schemas.microsoft.com/office/drawing/2014/chart" uri="{C3380CC4-5D6E-409C-BE32-E72D297353CC}">
              <c16:uniqueId val="{00000003-A977-4F9D-AEA5-B8BDF1191F91}"/>
            </c:ext>
          </c:extLst>
        </c:ser>
        <c:ser>
          <c:idx val="1"/>
          <c:order val="1"/>
          <c:tx>
            <c:strRef>
              <c:f>'M6 allgemeine Effizienz'!$Q$83</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977-4F9D-AEA5-B8BDF1191F91}"/>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77-4F9D-AEA5-B8BDF1191F91}"/>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977-4F9D-AEA5-B8BDF1191F9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Effizienz'!$R$83:$T$83</c:f>
              <c:numCache>
                <c:formatCode>#,##0.0</c:formatCode>
                <c:ptCount val="3"/>
                <c:pt idx="0">
                  <c:v>16.005600000000001</c:v>
                </c:pt>
                <c:pt idx="1">
                  <c:v>16.005600000000001</c:v>
                </c:pt>
                <c:pt idx="2">
                  <c:v>16.005600000000001</c:v>
                </c:pt>
              </c:numCache>
            </c:numRef>
          </c:val>
          <c:extLst>
            <c:ext xmlns:c16="http://schemas.microsoft.com/office/drawing/2014/chart" uri="{C3380CC4-5D6E-409C-BE32-E72D297353CC}">
              <c16:uniqueId val="{00000007-A977-4F9D-AEA5-B8BDF1191F91}"/>
            </c:ext>
          </c:extLst>
        </c:ser>
        <c:ser>
          <c:idx val="2"/>
          <c:order val="2"/>
          <c:tx>
            <c:strRef>
              <c:f>'M6 allgemeine Effizienz'!$Q$84</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Effizienz'!$R$84:$T$84</c:f>
              <c:numCache>
                <c:formatCode>#,##0.0</c:formatCode>
                <c:ptCount val="3"/>
                <c:pt idx="0">
                  <c:v>171.9</c:v>
                </c:pt>
                <c:pt idx="1">
                  <c:v>119.27228696972129</c:v>
                </c:pt>
                <c:pt idx="2">
                  <c:v>58.782689878035576</c:v>
                </c:pt>
              </c:numCache>
            </c:numRef>
          </c:val>
          <c:extLst>
            <c:ext xmlns:c16="http://schemas.microsoft.com/office/drawing/2014/chart" uri="{C3380CC4-5D6E-409C-BE32-E72D297353CC}">
              <c16:uniqueId val="{00000008-A977-4F9D-AEA5-B8BDF1191F91}"/>
            </c:ext>
          </c:extLst>
        </c:ser>
        <c:ser>
          <c:idx val="3"/>
          <c:order val="3"/>
          <c:tx>
            <c:strRef>
              <c:f>'M6 allgemeine Effizienz'!$Q$88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Effizienz'!$R$88:$T$88</c:f>
              <c:numCache>
                <c:formatCode>#,##0.0</c:formatCode>
                <c:ptCount val="3"/>
                <c:pt idx="0">
                  <c:v>35.884155059999998</c:v>
                </c:pt>
                <c:pt idx="1">
                  <c:v>35.884155059999998</c:v>
                </c:pt>
                <c:pt idx="2">
                  <c:v>35.884155059999998</c:v>
                </c:pt>
              </c:numCache>
            </c:numRef>
          </c:val>
          <c:extLst>
            <c:ext xmlns:c16="http://schemas.microsoft.com/office/drawing/2014/chart" uri="{C3380CC4-5D6E-409C-BE32-E72D297353CC}">
              <c16:uniqueId val="{00000009-A977-4F9D-AEA5-B8BDF1191F91}"/>
            </c:ext>
          </c:extLst>
        </c:ser>
        <c:ser>
          <c:idx val="4"/>
          <c:order val="4"/>
          <c:tx>
            <c:strRef>
              <c:f>'M6 allgemeine Effizienz'!$Q$85</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'M6 allgemeine Effizienz'!$R$85:$T$85</c:f>
              <c:numCache>
                <c:formatCode>#,##0.0</c:formatCode>
                <c:ptCount val="3"/>
                <c:pt idx="0">
                  <c:v>0</c:v>
                </c:pt>
                <c:pt idx="1">
                  <c:v>0</c:v>
                </c:pt>
                <c:pt idx="2">
                  <c:v>0</c:v>
                </c:pt>
              </c:numCache>
            </c:numRef>
          </c:val>
          <c:extLst>
            <c:ext xmlns:c16="http://schemas.microsoft.com/office/drawing/2014/chart" uri="{C3380CC4-5D6E-409C-BE32-E72D297353CC}">
              <c16:uniqueId val="{0000000A-A977-4F9D-AEA5-B8BDF1191F91}"/>
            </c:ext>
          </c:extLst>
        </c:ser>
        <c:ser>
          <c:idx val="5"/>
          <c:order val="5"/>
          <c:tx>
            <c:strRef>
              <c:f>'M6 allgemeine Effizienz'!$Q$86</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'M6 allgemeine Effizienz'!$R$86:$T$86</c:f>
              <c:numCache>
                <c:formatCode>#,##0.0</c:formatCode>
                <c:ptCount val="3"/>
                <c:pt idx="0">
                  <c:v>0</c:v>
                </c:pt>
                <c:pt idx="1">
                  <c:v>0</c:v>
                </c:pt>
                <c:pt idx="2">
                  <c:v>0</c:v>
                </c:pt>
              </c:numCache>
            </c:numRef>
          </c:val>
          <c:extLst>
            <c:ext xmlns:c16="http://schemas.microsoft.com/office/drawing/2014/chart" uri="{C3380CC4-5D6E-409C-BE32-E72D297353CC}">
              <c16:uniqueId val="{0000000B-A977-4F9D-AEA5-B8BDF1191F91}"/>
            </c:ext>
          </c:extLst>
        </c:ser>
        <c:ser>
          <c:idx val="6"/>
          <c:order val="6"/>
          <c:tx>
            <c:strRef>
              <c:f>'M6 allgemeine Effizienz'!$Q$87</c:f>
              <c:strCache>
                <c:ptCount val="1"/>
                <c:pt idx="0">
                  <c:v>Alternativer Energieträger restliche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'M6 allgemeine Effizienz'!$R$87:$T$87</c:f>
              <c:numCache>
                <c:formatCode>#,##0.0</c:formatCode>
                <c:ptCount val="3"/>
                <c:pt idx="0">
                  <c:v>0</c:v>
                </c:pt>
                <c:pt idx="1">
                  <c:v>0</c:v>
                </c:pt>
                <c:pt idx="2">
                  <c:v>0</c:v>
                </c:pt>
              </c:numCache>
            </c:numRef>
          </c:val>
          <c:extLst>
            <c:ext xmlns:c16="http://schemas.microsoft.com/office/drawing/2014/chart" uri="{C3380CC4-5D6E-409C-BE32-E72D297353CC}">
              <c16:uniqueId val="{0000000C-A977-4F9D-AEA5-B8BDF1191F91}"/>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'M6 allgemeine Effizienz'!$Z$45</c:f>
              <c:strCache>
                <c:ptCount val="1"/>
                <c:pt idx="0">
                  <c:v>Scope 3</c:v>
                </c:pt>
              </c:strCache>
            </c:strRef>
          </c:tx>
          <c:spPr>
            <a:solidFill>
              <a:schemeClr val="accent3"/>
            </a:solidFill>
            <a:ln>
              <a:noFill/>
            </a:ln>
            <a:effectLst/>
          </c:spPr>
          <c:invertIfNegative val="0"/>
          <c:cat>
            <c:multiLvlStrRef>
              <c:f>'M6 allgemeine Effizienz'!$AA$41:$AC$42</c:f>
              <c:multiLvlStrCache>
                <c:ptCount val="3"/>
                <c:lvl>
                  <c:pt idx="0">
                    <c:v>Referenz</c:v>
                  </c:pt>
                </c:lvl>
                <c:lvl>
                  <c:pt idx="0">
                    <c:v>0</c:v>
                  </c:pt>
                  <c:pt idx="1">
                    <c:v>5</c:v>
                  </c:pt>
                  <c:pt idx="2">
                    <c:v>10</c:v>
                  </c:pt>
                </c:lvl>
              </c:multiLvlStrCache>
            </c:multiLvlStrRef>
          </c:cat>
          <c:val>
            <c:numRef>
              <c:f>'M6 allgemeine Effizienz'!$AA$45:$AC$45</c:f>
              <c:numCache>
                <c:formatCode>#,##0</c:formatCode>
                <c:ptCount val="3"/>
                <c:pt idx="0">
                  <c:v>5831.5296228095176</c:v>
                </c:pt>
                <c:pt idx="1">
                  <c:v>5743.4955254019387</c:v>
                </c:pt>
                <c:pt idx="2">
                  <c:v>5734.6279404879733</c:v>
                </c:pt>
              </c:numCache>
            </c:numRef>
          </c:val>
          <c:extLst>
            <c:ext xmlns:c16="http://schemas.microsoft.com/office/drawing/2014/chart" uri="{C3380CC4-5D6E-409C-BE32-E72D297353CC}">
              <c16:uniqueId val="{00000000-AA0C-4A65-BA1B-2E6A35211598}"/>
            </c:ext>
          </c:extLst>
        </c:ser>
        <c:ser>
          <c:idx val="1"/>
          <c:order val="1"/>
          <c:tx>
            <c:strRef>
              <c:f>'M6 allgemeine Effizienz'!$Z$44</c:f>
              <c:strCache>
                <c:ptCount val="1"/>
                <c:pt idx="0">
                  <c:v>Scope 2</c:v>
                </c:pt>
              </c:strCache>
            </c:strRef>
          </c:tx>
          <c:spPr>
            <a:solidFill>
              <a:schemeClr val="accent2"/>
            </a:solidFill>
            <a:ln>
              <a:noFill/>
            </a:ln>
            <a:effectLst/>
          </c:spPr>
          <c:invertIfNegative val="0"/>
          <c:cat>
            <c:multiLvlStrRef>
              <c:f>'M6 allgemeine Effizienz'!$AA$41:$AC$42</c:f>
              <c:multiLvlStrCache>
                <c:ptCount val="3"/>
                <c:lvl>
                  <c:pt idx="0">
                    <c:v>Referenz</c:v>
                  </c:pt>
                </c:lvl>
                <c:lvl>
                  <c:pt idx="0">
                    <c:v>0</c:v>
                  </c:pt>
                  <c:pt idx="1">
                    <c:v>5</c:v>
                  </c:pt>
                  <c:pt idx="2">
                    <c:v>10</c:v>
                  </c:pt>
                </c:lvl>
              </c:multiLvlStrCache>
            </c:multiLvlStrRef>
          </c:cat>
          <c:val>
            <c:numRef>
              <c:f>'M6 allgemeine Effizienz'!$AA$44:$AC$44</c:f>
              <c:numCache>
                <c:formatCode>#,##0</c:formatCode>
                <c:ptCount val="3"/>
                <c:pt idx="0">
                  <c:v>171.9</c:v>
                </c:pt>
                <c:pt idx="1">
                  <c:v>119.27228696972129</c:v>
                </c:pt>
                <c:pt idx="2">
                  <c:v>58.782689878035576</c:v>
                </c:pt>
              </c:numCache>
            </c:numRef>
          </c:val>
          <c:extLst>
            <c:ext xmlns:c16="http://schemas.microsoft.com/office/drawing/2014/chart" uri="{C3380CC4-5D6E-409C-BE32-E72D297353CC}">
              <c16:uniqueId val="{00000001-AA0C-4A65-BA1B-2E6A35211598}"/>
            </c:ext>
          </c:extLst>
        </c:ser>
        <c:ser>
          <c:idx val="0"/>
          <c:order val="2"/>
          <c:tx>
            <c:strRef>
              <c:f>'M6 allgemeine Effizienz'!$Z$43</c:f>
              <c:strCache>
                <c:ptCount val="1"/>
                <c:pt idx="0">
                  <c:v>Scope 1 </c:v>
                </c:pt>
              </c:strCache>
            </c:strRef>
          </c:tx>
          <c:spPr>
            <a:solidFill>
              <a:schemeClr val="accent1"/>
            </a:solidFill>
            <a:ln>
              <a:noFill/>
            </a:ln>
            <a:effectLst/>
          </c:spPr>
          <c:invertIfNegative val="0"/>
          <c:cat>
            <c:multiLvlStrRef>
              <c:f>'M6 allgemeine Effizienz'!$AA$41:$AC$42</c:f>
              <c:multiLvlStrCache>
                <c:ptCount val="3"/>
                <c:lvl>
                  <c:pt idx="0">
                    <c:v>Referenz</c:v>
                  </c:pt>
                </c:lvl>
                <c:lvl>
                  <c:pt idx="0">
                    <c:v>0</c:v>
                  </c:pt>
                  <c:pt idx="1">
                    <c:v>5</c:v>
                  </c:pt>
                  <c:pt idx="2">
                    <c:v>10</c:v>
                  </c:pt>
                </c:lvl>
              </c:multiLvlStrCache>
            </c:multiLvlStrRef>
          </c:cat>
          <c:val>
            <c:numRef>
              <c:f>'M6 allgemeine Effizienz'!$AA$43:$AC$43</c:f>
              <c:numCache>
                <c:formatCode>#,##0</c:formatCode>
                <c:ptCount val="3"/>
                <c:pt idx="0">
                  <c:v>94.932355060000006</c:v>
                </c:pt>
                <c:pt idx="1">
                  <c:v>94.932355060000006</c:v>
                </c:pt>
                <c:pt idx="2">
                  <c:v>94.932355060000006</c:v>
                </c:pt>
              </c:numCache>
            </c:numRef>
          </c:val>
          <c:extLst>
            <c:ext xmlns:c16="http://schemas.microsoft.com/office/drawing/2014/chart" uri="{C3380CC4-5D6E-409C-BE32-E72D297353CC}">
              <c16:uniqueId val="{00000002-AA0C-4A65-BA1B-2E6A35211598}"/>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'M6 allgemeine Effizienz'!$AI$82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Effizienz'!$AJ$82:$AL$82</c:f>
              <c:numCache>
                <c:formatCode>#,##0\ "€"</c:formatCode>
                <c:ptCount val="3"/>
                <c:pt idx="0">
                  <c:v>109669</c:v>
                </c:pt>
                <c:pt idx="1">
                  <c:v>106186</c:v>
                </c:pt>
                <c:pt idx="2">
                  <c:v>106186</c:v>
                </c:pt>
              </c:numCache>
            </c:numRef>
          </c:val>
          <c:extLst>
            <c:ext xmlns:c16="http://schemas.microsoft.com/office/drawing/2014/chart" uri="{C3380CC4-5D6E-409C-BE32-E72D297353CC}">
              <c16:uniqueId val="{00000000-ED84-4868-8B6A-7CEE2510A380}"/>
            </c:ext>
          </c:extLst>
        </c:ser>
        <c:ser>
          <c:idx val="1"/>
          <c:order val="1"/>
          <c:tx>
            <c:strRef>
              <c:f>'M6 allgemeine Effizienz'!$AI$90</c:f>
              <c:strCache>
                <c:ptCount val="1"/>
                <c:pt idx="0">
                  <c:v>CAPEX</c:v>
                </c:pt>
              </c:strCache>
            </c:strRef>
          </c:tx>
          <c:spPr>
            <a:solidFill>
              <a:schemeClr val="accent1"/>
            </a:solidFill>
            <a:ln>
              <a:noFill/>
            </a:ln>
            <a:effectLst/>
          </c:spPr>
          <c:invertIfNegative val="0"/>
          <c:dLbls>
            <c:dLbl>
              <c:idx val="0"/>
              <c:layout>
                <c:manualLayout>
                  <c:x val="0.10279554613584842"/>
                  <c:y val="-2.7401504855914048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84-4868-8B6A-7CEE2510A380}"/>
                </c:ext>
              </c:extLst>
            </c:dLbl>
            <c:dLbl>
              <c:idx val="1"/>
              <c:layout>
                <c:manualLayout>
                  <c:x val="0.10071950627540426"/>
                  <c:y val="-3.9810875434157969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84-4868-8B6A-7CEE2510A380}"/>
                </c:ext>
              </c:extLst>
            </c:dLbl>
            <c:dLbl>
              <c:idx val="2"/>
              <c:layout>
                <c:manualLayout>
                  <c:x val="9.6918770189539871E-2"/>
                  <c:y val="-3.6748500400761205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84-4868-8B6A-7CEE2510A38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Effizienz'!$AJ$90:$AL$90</c:f>
              <c:numCache>
                <c:formatCode>#,##0\ "€"</c:formatCode>
                <c:ptCount val="3"/>
                <c:pt idx="0">
                  <c:v>0</c:v>
                </c:pt>
                <c:pt idx="1">
                  <c:v>1800</c:v>
                </c:pt>
                <c:pt idx="2">
                  <c:v>1800</c:v>
                </c:pt>
              </c:numCache>
            </c:numRef>
          </c:val>
          <c:extLst>
            <c:ext xmlns:c16="http://schemas.microsoft.com/office/drawing/2014/chart" uri="{C3380CC4-5D6E-409C-BE32-E72D297353CC}">
              <c16:uniqueId val="{00000004-ED84-4868-8B6A-7CEE2510A380}"/>
            </c:ext>
          </c:extLst>
        </c:ser>
        <c:ser>
          <c:idx val="2"/>
          <c:order val="2"/>
          <c:tx>
            <c:strRef>
              <c:f>'M6 allgemeine Effizienz'!$AI$91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Effizienz'!$AJ$91:$AL$91</c:f>
              <c:numCache>
                <c:formatCode>#,##0\ "€"</c:formatCode>
                <c:ptCount val="3"/>
                <c:pt idx="0">
                  <c:v>0</c:v>
                </c:pt>
                <c:pt idx="1">
                  <c:v>0</c:v>
                </c:pt>
                <c:pt idx="2">
                  <c:v>0</c:v>
                </c:pt>
              </c:numCache>
            </c:numRef>
          </c:val>
          <c:extLst>
            <c:ext xmlns:c16="http://schemas.microsoft.com/office/drawing/2014/chart" uri="{C3380CC4-5D6E-409C-BE32-E72D297353CC}">
              <c16:uniqueId val="{00000005-ED84-4868-8B6A-7CEE2510A380}"/>
            </c:ext>
          </c:extLst>
        </c:ser>
        <c:ser>
          <c:idx val="3"/>
          <c:order val="3"/>
          <c:tx>
            <c:strRef>
              <c:f>'M6 allgemeine Effizienz'!$AI$92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Effizienz'!$R$41:$T$42</c:f>
              <c:multiLvlStrCache>
                <c:ptCount val="3"/>
                <c:lvl>
                  <c:pt idx="0">
                    <c:v>Referenz</c:v>
                  </c:pt>
                </c:lvl>
                <c:lvl>
                  <c:pt idx="0">
                    <c:v>0</c:v>
                  </c:pt>
                  <c:pt idx="1">
                    <c:v>5</c:v>
                  </c:pt>
                  <c:pt idx="2">
                    <c:v>10</c:v>
                  </c:pt>
                </c:lvl>
              </c:multiLvlStrCache>
            </c:multiLvlStrRef>
          </c:cat>
          <c:val>
            <c:numRef>
              <c:f>'M6 allgemeine Effizienz'!$AJ$92:$AL$92</c:f>
              <c:numCache>
                <c:formatCode>#,##0\ "€"</c:formatCode>
                <c:ptCount val="3"/>
                <c:pt idx="0">
                  <c:v>0</c:v>
                </c:pt>
                <c:pt idx="1">
                  <c:v>0</c:v>
                </c:pt>
                <c:pt idx="2">
                  <c:v>0</c:v>
                </c:pt>
              </c:numCache>
            </c:numRef>
          </c:val>
          <c:extLst>
            <c:ext xmlns:c16="http://schemas.microsoft.com/office/drawing/2014/chart" uri="{C3380CC4-5D6E-409C-BE32-E72D297353CC}">
              <c16:uniqueId val="{00000006-ED84-4868-8B6A-7CEE2510A380}"/>
            </c:ext>
          </c:extLst>
        </c:ser>
        <c:ser>
          <c:idx val="4"/>
          <c:order val="4"/>
          <c:tx>
            <c:strRef>
              <c:f>'M6 allgemeine Effizienz'!$AI$93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'M6 allgemeine Effizienz'!$AJ$93:$AL$93</c:f>
              <c:numCache>
                <c:formatCode>#,##0\ "€"</c:formatCode>
                <c:ptCount val="3"/>
                <c:pt idx="0">
                  <c:v>152459.04944673795</c:v>
                </c:pt>
                <c:pt idx="1">
                  <c:v>268096.50753442472</c:v>
                </c:pt>
                <c:pt idx="2">
                  <c:v>471067.43883408076</c:v>
                </c:pt>
              </c:numCache>
            </c:numRef>
          </c:val>
          <c:extLst>
            <c:ext xmlns:c16="http://schemas.microsoft.com/office/drawing/2014/chart" uri="{C3380CC4-5D6E-409C-BE32-E72D297353CC}">
              <c16:uniqueId val="{00000007-ED84-4868-8B6A-7CEE2510A380}"/>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'M6 allgemeine Effizienz'!$Z$82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CC-4ADD-8A0C-72F70209E738}"/>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CC-4ADD-8A0C-72F70209E738}"/>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CC-4ADD-8A0C-72F70209E7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Effizienz'!$AA$82:$AC$82</c:f>
              <c:numCache>
                <c:formatCode>#,##0</c:formatCode>
                <c:ptCount val="3"/>
                <c:pt idx="0">
                  <c:v>41.281733459999998</c:v>
                </c:pt>
                <c:pt idx="1">
                  <c:v>33.566676052419879</c:v>
                </c:pt>
                <c:pt idx="2">
                  <c:v>24.699091138455479</c:v>
                </c:pt>
              </c:numCache>
            </c:numRef>
          </c:val>
          <c:extLst>
            <c:ext xmlns:c16="http://schemas.microsoft.com/office/drawing/2014/chart" uri="{C3380CC4-5D6E-409C-BE32-E72D297353CC}">
              <c16:uniqueId val="{00000003-2ECC-4ADD-8A0C-72F70209E738}"/>
            </c:ext>
          </c:extLst>
        </c:ser>
        <c:ser>
          <c:idx val="1"/>
          <c:order val="1"/>
          <c:tx>
            <c:strRef>
              <c:f>'M6 allgemeine Effizienz'!$Z$83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CC-4ADD-8A0C-72F70209E738}"/>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CC-4ADD-8A0C-72F70209E738}"/>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CC-4ADD-8A0C-72F70209E7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Effizienz'!$AA$83:$AC$83</c:f>
              <c:numCache>
                <c:formatCode>#,##0</c:formatCode>
                <c:ptCount val="3"/>
                <c:pt idx="0">
                  <c:v>469.15642799999995</c:v>
                </c:pt>
                <c:pt idx="1">
                  <c:v>469.15642799999995</c:v>
                </c:pt>
                <c:pt idx="2">
                  <c:v>469.15642799999995</c:v>
                </c:pt>
              </c:numCache>
            </c:numRef>
          </c:val>
          <c:extLst>
            <c:ext xmlns:c16="http://schemas.microsoft.com/office/drawing/2014/chart" uri="{C3380CC4-5D6E-409C-BE32-E72D297353CC}">
              <c16:uniqueId val="{00000007-2ECC-4ADD-8A0C-72F70209E738}"/>
            </c:ext>
          </c:extLst>
        </c:ser>
        <c:ser>
          <c:idx val="2"/>
          <c:order val="2"/>
          <c:tx>
            <c:strRef>
              <c:f>'M6 allgemeine Effizienz'!$Z$84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Effizienz'!$AA$84:$AC$84</c:f>
              <c:numCache>
                <c:formatCode>#,##0</c:formatCode>
                <c:ptCount val="3"/>
                <c:pt idx="0">
                  <c:v>4548.5439999999999</c:v>
                </c:pt>
                <c:pt idx="1">
                  <c:v>4548.5439999999999</c:v>
                </c:pt>
                <c:pt idx="2">
                  <c:v>4548.5439999999999</c:v>
                </c:pt>
              </c:numCache>
            </c:numRef>
          </c:val>
          <c:extLst>
            <c:ext xmlns:c16="http://schemas.microsoft.com/office/drawing/2014/chart" uri="{C3380CC4-5D6E-409C-BE32-E72D297353CC}">
              <c16:uniqueId val="{00000008-2ECC-4ADD-8A0C-72F70209E738}"/>
            </c:ext>
          </c:extLst>
        </c:ser>
        <c:ser>
          <c:idx val="3"/>
          <c:order val="3"/>
          <c:tx>
            <c:strRef>
              <c:f>'M6 allgemeine Effizienz'!$Z$85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CC-4ADD-8A0C-72F70209E738}"/>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CC-4ADD-8A0C-72F70209E738}"/>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ECC-4ADD-8A0C-72F70209E7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Effizienz'!$AA$85:$AC$85</c:f>
              <c:numCache>
                <c:formatCode>#,##0</c:formatCode>
                <c:ptCount val="3"/>
                <c:pt idx="0">
                  <c:v>129.59200000000001</c:v>
                </c:pt>
                <c:pt idx="1">
                  <c:v>129.59200000000001</c:v>
                </c:pt>
                <c:pt idx="2">
                  <c:v>129.59200000000001</c:v>
                </c:pt>
              </c:numCache>
            </c:numRef>
          </c:val>
          <c:extLst>
            <c:ext xmlns:c16="http://schemas.microsoft.com/office/drawing/2014/chart" uri="{C3380CC4-5D6E-409C-BE32-E72D297353CC}">
              <c16:uniqueId val="{0000000C-2ECC-4ADD-8A0C-72F70209E738}"/>
            </c:ext>
          </c:extLst>
        </c:ser>
        <c:ser>
          <c:idx val="4"/>
          <c:order val="4"/>
          <c:tx>
            <c:strRef>
              <c:f>'M6 allgemeine Effizienz'!$Z$86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Effizienz'!$AA$86:$AC$86</c:f>
              <c:numCache>
                <c:formatCode>#,##0</c:formatCode>
                <c:ptCount val="3"/>
                <c:pt idx="0">
                  <c:v>208</c:v>
                </c:pt>
                <c:pt idx="1">
                  <c:v>208</c:v>
                </c:pt>
                <c:pt idx="2">
                  <c:v>208</c:v>
                </c:pt>
              </c:numCache>
            </c:numRef>
          </c:val>
          <c:extLst>
            <c:ext xmlns:c16="http://schemas.microsoft.com/office/drawing/2014/chart" uri="{C3380CC4-5D6E-409C-BE32-E72D297353CC}">
              <c16:uniqueId val="{0000000D-2ECC-4ADD-8A0C-72F70209E738}"/>
            </c:ext>
          </c:extLst>
        </c:ser>
        <c:ser>
          <c:idx val="5"/>
          <c:order val="5"/>
          <c:tx>
            <c:strRef>
              <c:f>'M6 allgemeine Effizienz'!$Z$87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Effizienz'!$AA$87:$AC$87</c:f>
              <c:numCache>
                <c:formatCode>#,##0</c:formatCode>
                <c:ptCount val="3"/>
                <c:pt idx="0">
                  <c:v>81.003999999999991</c:v>
                </c:pt>
                <c:pt idx="1">
                  <c:v>81.003999999999991</c:v>
                </c:pt>
                <c:pt idx="2">
                  <c:v>81.003999999999991</c:v>
                </c:pt>
              </c:numCache>
            </c:numRef>
          </c:val>
          <c:extLst>
            <c:ext xmlns:c16="http://schemas.microsoft.com/office/drawing/2014/chart" uri="{C3380CC4-5D6E-409C-BE32-E72D297353CC}">
              <c16:uniqueId val="{0000000E-2ECC-4ADD-8A0C-72F70209E738}"/>
            </c:ext>
          </c:extLst>
        </c:ser>
        <c:ser>
          <c:idx val="6"/>
          <c:order val="6"/>
          <c:tx>
            <c:strRef>
              <c:f>'M6 allgemeine Effizienz'!$Z$88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ECC-4ADD-8A0C-72F70209E738}"/>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ECC-4ADD-8A0C-72F70209E738}"/>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ECC-4ADD-8A0C-72F70209E7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Effizienz'!$AA$88:$AC$88</c:f>
              <c:numCache>
                <c:formatCode>#,##0</c:formatCode>
                <c:ptCount val="3"/>
                <c:pt idx="0">
                  <c:v>148.44746134951595</c:v>
                </c:pt>
                <c:pt idx="1">
                  <c:v>148.44746134951595</c:v>
                </c:pt>
                <c:pt idx="2">
                  <c:v>148.44746134951595</c:v>
                </c:pt>
              </c:numCache>
            </c:numRef>
          </c:val>
          <c:extLst>
            <c:ext xmlns:c16="http://schemas.microsoft.com/office/drawing/2014/chart" uri="{C3380CC4-5D6E-409C-BE32-E72D297353CC}">
              <c16:uniqueId val="{00000012-2ECC-4ADD-8A0C-72F70209E738}"/>
            </c:ext>
          </c:extLst>
        </c:ser>
        <c:ser>
          <c:idx val="7"/>
          <c:order val="7"/>
          <c:tx>
            <c:strRef>
              <c:f>'M6 allgemeine Effizienz'!$Z$89</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Effizienz'!$AA$89:$AC$89</c:f>
              <c:numCache>
                <c:formatCode>#,##0</c:formatCode>
                <c:ptCount val="3"/>
                <c:pt idx="0">
                  <c:v>#N/A</c:v>
                </c:pt>
                <c:pt idx="1">
                  <c:v>#N/A</c:v>
                </c:pt>
                <c:pt idx="2">
                  <c:v>#N/A</c:v>
                </c:pt>
              </c:numCache>
            </c:numRef>
          </c:val>
          <c:extLst>
            <c:ext xmlns:c16="http://schemas.microsoft.com/office/drawing/2014/chart" uri="{C3380CC4-5D6E-409C-BE32-E72D297353CC}">
              <c16:uniqueId val="{00000013-2ECC-4ADD-8A0C-72F70209E738}"/>
            </c:ext>
          </c:extLst>
        </c:ser>
        <c:ser>
          <c:idx val="8"/>
          <c:order val="8"/>
          <c:tx>
            <c:strRef>
              <c:f>'M6 allgemeine Effizienz'!$Z$90</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Effizienz'!$AA$90:$AC$90</c:f>
              <c:numCache>
                <c:formatCode>#,##0</c:formatCode>
                <c:ptCount val="3"/>
                <c:pt idx="0">
                  <c:v>#N/A</c:v>
                </c:pt>
                <c:pt idx="1">
                  <c:v>#N/A</c:v>
                </c:pt>
                <c:pt idx="2">
                  <c:v>#N/A</c:v>
                </c:pt>
              </c:numCache>
            </c:numRef>
          </c:val>
          <c:extLst>
            <c:ext xmlns:c16="http://schemas.microsoft.com/office/drawing/2014/chart" uri="{C3380CC4-5D6E-409C-BE32-E72D297353CC}">
              <c16:uniqueId val="{00000014-2ECC-4ADD-8A0C-72F70209E738}"/>
            </c:ext>
          </c:extLst>
        </c:ser>
        <c:ser>
          <c:idx val="9"/>
          <c:order val="9"/>
          <c:tx>
            <c:strRef>
              <c:f>'M6 allgemeine Effizienz'!$Z$91</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Effizienz'!$AA$91:$AC$91</c:f>
              <c:numCache>
                <c:formatCode>#,##0</c:formatCode>
                <c:ptCount val="3"/>
                <c:pt idx="0">
                  <c:v>#N/A</c:v>
                </c:pt>
                <c:pt idx="1">
                  <c:v>#N/A</c:v>
                </c:pt>
                <c:pt idx="2">
                  <c:v>#N/A</c:v>
                </c:pt>
              </c:numCache>
            </c:numRef>
          </c:val>
          <c:extLst>
            <c:ext xmlns:c16="http://schemas.microsoft.com/office/drawing/2014/chart" uri="{C3380CC4-5D6E-409C-BE32-E72D297353CC}">
              <c16:uniqueId val="{00000015-2ECC-4ADD-8A0C-72F70209E738}"/>
            </c:ext>
          </c:extLst>
        </c:ser>
        <c:ser>
          <c:idx val="10"/>
          <c:order val="10"/>
          <c:tx>
            <c:strRef>
              <c:f>'M6 allgemeine Effizienz'!$Z$92</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ECC-4ADD-8A0C-72F70209E738}"/>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ECC-4ADD-8A0C-72F70209E738}"/>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ECC-4ADD-8A0C-72F70209E73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'M6 allgemeine Effizienz'!$AA$50:$AC$51</c:f>
              <c:multiLvlStrCache>
                <c:ptCount val="3"/>
                <c:lvl>
                  <c:pt idx="0">
                    <c:v>Referenz</c:v>
                  </c:pt>
                </c:lvl>
                <c:lvl>
                  <c:pt idx="0">
                    <c:v>0</c:v>
                  </c:pt>
                  <c:pt idx="1">
                    <c:v>5</c:v>
                  </c:pt>
                  <c:pt idx="2">
                    <c:v>10</c:v>
                  </c:pt>
                </c:lvl>
              </c:multiLvlStrCache>
            </c:multiLvlStrRef>
          </c:cat>
          <c:val>
            <c:numRef>
              <c:f>'M6 allgemeine Effizienz'!$AA$92:$AC$92</c:f>
              <c:numCache>
                <c:formatCode>#,##0</c:formatCode>
                <c:ptCount val="3"/>
                <c:pt idx="0">
                  <c:v>64.48</c:v>
                </c:pt>
                <c:pt idx="1">
                  <c:v>64.48</c:v>
                </c:pt>
                <c:pt idx="2">
                  <c:v>64.48</c:v>
                </c:pt>
              </c:numCache>
            </c:numRef>
          </c:val>
          <c:extLst>
            <c:ext xmlns:c16="http://schemas.microsoft.com/office/drawing/2014/chart" uri="{C3380CC4-5D6E-409C-BE32-E72D297353CC}">
              <c16:uniqueId val="{00000019-2ECC-4ADD-8A0C-72F70209E738}"/>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'M7 Rezeptur, Einsatzmenge'!$AA$45</c:f>
              <c:strCache>
                <c:ptCount val="1"/>
                <c:pt idx="0">
                  <c:v>Scope 3</c:v>
                </c:pt>
              </c:strCache>
            </c:strRef>
          </c:tx>
          <c:spPr>
            <a:solidFill>
              <a:schemeClr val="accent3"/>
            </a:solidFill>
            <a:ln>
              <a:noFill/>
            </a:ln>
            <a:effectLst/>
          </c:spPr>
          <c:invertIfNegative val="0"/>
          <c:cat>
            <c:multiLvlStrRef>
              <c:f>'M7 Rezeptur, Einsatzmenge'!$AB$41:$AD$42</c:f>
              <c:multiLvlStrCache>
                <c:ptCount val="3"/>
                <c:lvl>
                  <c:pt idx="0">
                    <c:v>Referenz</c:v>
                  </c:pt>
                </c:lvl>
                <c:lvl>
                  <c:pt idx="0">
                    <c:v>0</c:v>
                  </c:pt>
                  <c:pt idx="1">
                    <c:v>5</c:v>
                  </c:pt>
                  <c:pt idx="2">
                    <c:v>10</c:v>
                  </c:pt>
                </c:lvl>
              </c:multiLvlStrCache>
            </c:multiLvlStrRef>
          </c:cat>
          <c:val>
            <c:numRef>
              <c:f>'M7 Rezeptur, Einsatzmenge'!$AB$45:$AD$45</c:f>
              <c:numCache>
                <c:formatCode>#,##0</c:formatCode>
                <c:ptCount val="3"/>
                <c:pt idx="0">
                  <c:v>5831.5296228095176</c:v>
                </c:pt>
                <c:pt idx="1">
                  <c:v>5655.5126232204293</c:v>
                </c:pt>
                <c:pt idx="2">
                  <c:v>5511.6569939911478</c:v>
                </c:pt>
              </c:numCache>
            </c:numRef>
          </c:val>
          <c:extLst>
            <c:ext xmlns:c16="http://schemas.microsoft.com/office/drawing/2014/chart" uri="{C3380CC4-5D6E-409C-BE32-E72D297353CC}">
              <c16:uniqueId val="{00000000-839C-4B19-9EA3-C14545C0AEF5}"/>
            </c:ext>
          </c:extLst>
        </c:ser>
        <c:ser>
          <c:idx val="1"/>
          <c:order val="1"/>
          <c:tx>
            <c:strRef>
              <c:f>'M7 Rezeptur, Einsatzmenge'!$AA$44</c:f>
              <c:strCache>
                <c:ptCount val="1"/>
                <c:pt idx="0">
                  <c:v>Scope 2</c:v>
                </c:pt>
              </c:strCache>
            </c:strRef>
          </c:tx>
          <c:spPr>
            <a:solidFill>
              <a:schemeClr val="accent2"/>
            </a:solidFill>
            <a:ln>
              <a:noFill/>
            </a:ln>
            <a:effectLst/>
          </c:spPr>
          <c:invertIfNegative val="0"/>
          <c:cat>
            <c:multiLvlStrRef>
              <c:f>'M7 Rezeptur, Einsatzmenge'!$AB$41:$AD$42</c:f>
              <c:multiLvlStrCache>
                <c:ptCount val="3"/>
                <c:lvl>
                  <c:pt idx="0">
                    <c:v>Referenz</c:v>
                  </c:pt>
                </c:lvl>
                <c:lvl>
                  <c:pt idx="0">
                    <c:v>0</c:v>
                  </c:pt>
                  <c:pt idx="1">
                    <c:v>5</c:v>
                  </c:pt>
                  <c:pt idx="2">
                    <c:v>10</c:v>
                  </c:pt>
                </c:lvl>
              </c:multiLvlStrCache>
            </c:multiLvlStrRef>
          </c:cat>
          <c:val>
            <c:numRef>
              <c:f>'M7 Rezeptur, Einsatzmenge'!$AB$44:$AD$44</c:f>
              <c:numCache>
                <c:formatCode>#,##0</c:formatCode>
                <c:ptCount val="3"/>
                <c:pt idx="0">
                  <c:v>171.9</c:v>
                </c:pt>
                <c:pt idx="1">
                  <c:v>124.8924470887134</c:v>
                </c:pt>
                <c:pt idx="2">
                  <c:v>61.552554846110553</c:v>
                </c:pt>
              </c:numCache>
            </c:numRef>
          </c:val>
          <c:extLst>
            <c:ext xmlns:c16="http://schemas.microsoft.com/office/drawing/2014/chart" uri="{C3380CC4-5D6E-409C-BE32-E72D297353CC}">
              <c16:uniqueId val="{00000001-839C-4B19-9EA3-C14545C0AEF5}"/>
            </c:ext>
          </c:extLst>
        </c:ser>
        <c:ser>
          <c:idx val="0"/>
          <c:order val="2"/>
          <c:tx>
            <c:strRef>
              <c:f>'M7 Rezeptur, Einsatzmenge'!$AA$43</c:f>
              <c:strCache>
                <c:ptCount val="1"/>
                <c:pt idx="0">
                  <c:v>Scope 1 </c:v>
                </c:pt>
              </c:strCache>
            </c:strRef>
          </c:tx>
          <c:spPr>
            <a:solidFill>
              <a:schemeClr val="accent1"/>
            </a:solidFill>
            <a:ln>
              <a:noFill/>
            </a:ln>
            <a:effectLst/>
          </c:spPr>
          <c:invertIfNegative val="0"/>
          <c:cat>
            <c:multiLvlStrRef>
              <c:f>'M7 Rezeptur, Einsatzmenge'!$AB$41:$AD$42</c:f>
              <c:multiLvlStrCache>
                <c:ptCount val="3"/>
                <c:lvl>
                  <c:pt idx="0">
                    <c:v>Referenz</c:v>
                  </c:pt>
                </c:lvl>
                <c:lvl>
                  <c:pt idx="0">
                    <c:v>0</c:v>
                  </c:pt>
                  <c:pt idx="1">
                    <c:v>5</c:v>
                  </c:pt>
                  <c:pt idx="2">
                    <c:v>10</c:v>
                  </c:pt>
                </c:lvl>
              </c:multiLvlStrCache>
            </c:multiLvlStrRef>
          </c:cat>
          <c:val>
            <c:numRef>
              <c:f>'M7 Rezeptur, Einsatzmenge'!$AB$43:$AD$43</c:f>
              <c:numCache>
                <c:formatCode>#,##0</c:formatCode>
                <c:ptCount val="3"/>
                <c:pt idx="0">
                  <c:v>94.932355060000006</c:v>
                </c:pt>
                <c:pt idx="1">
                  <c:v>94.932355060000006</c:v>
                </c:pt>
                <c:pt idx="2">
                  <c:v>94.932355060000006</c:v>
                </c:pt>
              </c:numCache>
            </c:numRef>
          </c:val>
          <c:extLst>
            <c:ext xmlns:c16="http://schemas.microsoft.com/office/drawing/2014/chart" uri="{C3380CC4-5D6E-409C-BE32-E72D297353CC}">
              <c16:uniqueId val="{00000002-839C-4B19-9EA3-C14545C0AEF5}"/>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'M7 Rezeptur, Einsatzmenge'!$AJ$82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Einsatzmenge'!$AK$82:$AM$82</c:f>
              <c:numCache>
                <c:formatCode>#,##0\ "€"</c:formatCode>
                <c:ptCount val="3"/>
                <c:pt idx="0">
                  <c:v>109669</c:v>
                </c:pt>
                <c:pt idx="1">
                  <c:v>109669</c:v>
                </c:pt>
                <c:pt idx="2">
                  <c:v>109669</c:v>
                </c:pt>
              </c:numCache>
            </c:numRef>
          </c:val>
          <c:extLst>
            <c:ext xmlns:c16="http://schemas.microsoft.com/office/drawing/2014/chart" uri="{C3380CC4-5D6E-409C-BE32-E72D297353CC}">
              <c16:uniqueId val="{00000000-9BD9-4A39-A044-978963F4A958}"/>
            </c:ext>
          </c:extLst>
        </c:ser>
        <c:ser>
          <c:idx val="1"/>
          <c:order val="1"/>
          <c:tx>
            <c:strRef>
              <c:f>'M7 Rezeptur, Einsatzmenge'!$AJ$90</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D9-4A39-A044-978963F4A95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Einsatzmenge'!$AK$90:$AM$90</c:f>
              <c:numCache>
                <c:formatCode>#,##0\ "€"</c:formatCode>
                <c:ptCount val="3"/>
                <c:pt idx="0">
                  <c:v>0</c:v>
                </c:pt>
                <c:pt idx="1">
                  <c:v>0</c:v>
                </c:pt>
                <c:pt idx="2">
                  <c:v>0</c:v>
                </c:pt>
              </c:numCache>
            </c:numRef>
          </c:val>
          <c:extLst>
            <c:ext xmlns:c16="http://schemas.microsoft.com/office/drawing/2014/chart" uri="{C3380CC4-5D6E-409C-BE32-E72D297353CC}">
              <c16:uniqueId val="{00000002-9BD9-4A39-A044-978963F4A958}"/>
            </c:ext>
          </c:extLst>
        </c:ser>
        <c:ser>
          <c:idx val="2"/>
          <c:order val="2"/>
          <c:tx>
            <c:strRef>
              <c:f>'M7 Rezeptur, Einsatzmenge'!$AJ$91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Einsatzmenge'!$AK$91:$AM$91</c:f>
              <c:numCache>
                <c:formatCode>#,##0\ "€"</c:formatCode>
                <c:ptCount val="3"/>
                <c:pt idx="0">
                  <c:v>0</c:v>
                </c:pt>
                <c:pt idx="1">
                  <c:v>0</c:v>
                </c:pt>
                <c:pt idx="2">
                  <c:v>0</c:v>
                </c:pt>
              </c:numCache>
            </c:numRef>
          </c:val>
          <c:extLst>
            <c:ext xmlns:c16="http://schemas.microsoft.com/office/drawing/2014/chart" uri="{C3380CC4-5D6E-409C-BE32-E72D297353CC}">
              <c16:uniqueId val="{00000003-9BD9-4A39-A044-978963F4A958}"/>
            </c:ext>
          </c:extLst>
        </c:ser>
        <c:ser>
          <c:idx val="3"/>
          <c:order val="3"/>
          <c:tx>
            <c:strRef>
              <c:f>'M7 Rezeptur, Einsatzmenge'!$AJ$92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Einsatzmenge'!$AK$92:$AM$92</c:f>
              <c:numCache>
                <c:formatCode>#,##0\ "€"</c:formatCode>
                <c:ptCount val="3"/>
                <c:pt idx="0">
                  <c:v>0</c:v>
                </c:pt>
                <c:pt idx="1">
                  <c:v>0</c:v>
                </c:pt>
                <c:pt idx="2">
                  <c:v>0</c:v>
                </c:pt>
              </c:numCache>
            </c:numRef>
          </c:val>
          <c:extLst>
            <c:ext xmlns:c16="http://schemas.microsoft.com/office/drawing/2014/chart" uri="{C3380CC4-5D6E-409C-BE32-E72D297353CC}">
              <c16:uniqueId val="{00000004-9BD9-4A39-A044-978963F4A958}"/>
            </c:ext>
          </c:extLst>
        </c:ser>
        <c:ser>
          <c:idx val="4"/>
          <c:order val="4"/>
          <c:tx>
            <c:strRef>
              <c:f>'M7 Rezeptur, Einsatzmenge'!$AJ$93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'M7 Rezeptur, Einsatzmenge'!$AK$93:$AM$93</c:f>
              <c:numCache>
                <c:formatCode>#,##0\ "€"</c:formatCode>
                <c:ptCount val="3"/>
                <c:pt idx="0">
                  <c:v>152459.04944673795</c:v>
                </c:pt>
                <c:pt idx="1">
                  <c:v>264390.18414161145</c:v>
                </c:pt>
                <c:pt idx="2">
                  <c:v>453451.35231178068</c:v>
                </c:pt>
              </c:numCache>
            </c:numRef>
          </c:val>
          <c:extLst>
            <c:ext xmlns:c16="http://schemas.microsoft.com/office/drawing/2014/chart" uri="{C3380CC4-5D6E-409C-BE32-E72D297353CC}">
              <c16:uniqueId val="{00000005-9BD9-4A39-A044-978963F4A958}"/>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'M7 Rezeptur, Einsatzmenge'!$R$82</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54-4569-A46E-700E9AD1BEC0}"/>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54-4569-A46E-700E9AD1BEC0}"/>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54-4569-A46E-700E9AD1BEC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Einsatzmenge'!$S$82:$U$82</c:f>
              <c:numCache>
                <c:formatCode>#,##0.0</c:formatCode>
                <c:ptCount val="3"/>
                <c:pt idx="0">
                  <c:v>43.0426</c:v>
                </c:pt>
                <c:pt idx="1">
                  <c:v>43.0426</c:v>
                </c:pt>
                <c:pt idx="2">
                  <c:v>43.0426</c:v>
                </c:pt>
              </c:numCache>
            </c:numRef>
          </c:val>
          <c:extLst>
            <c:ext xmlns:c16="http://schemas.microsoft.com/office/drawing/2014/chart" uri="{C3380CC4-5D6E-409C-BE32-E72D297353CC}">
              <c16:uniqueId val="{00000003-1454-4569-A46E-700E9AD1BEC0}"/>
            </c:ext>
          </c:extLst>
        </c:ser>
        <c:ser>
          <c:idx val="1"/>
          <c:order val="1"/>
          <c:tx>
            <c:strRef>
              <c:f>'M7 Rezeptur, Einsatzmenge'!$R$83</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54-4569-A46E-700E9AD1BEC0}"/>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54-4569-A46E-700E9AD1BEC0}"/>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54-4569-A46E-700E9AD1BEC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Einsatzmenge'!$S$83:$U$83</c:f>
              <c:numCache>
                <c:formatCode>#,##0.0</c:formatCode>
                <c:ptCount val="3"/>
                <c:pt idx="0">
                  <c:v>16.005600000000001</c:v>
                </c:pt>
                <c:pt idx="1">
                  <c:v>16.005600000000001</c:v>
                </c:pt>
                <c:pt idx="2">
                  <c:v>16.005600000000001</c:v>
                </c:pt>
              </c:numCache>
            </c:numRef>
          </c:val>
          <c:extLst>
            <c:ext xmlns:c16="http://schemas.microsoft.com/office/drawing/2014/chart" uri="{C3380CC4-5D6E-409C-BE32-E72D297353CC}">
              <c16:uniqueId val="{00000007-1454-4569-A46E-700E9AD1BEC0}"/>
            </c:ext>
          </c:extLst>
        </c:ser>
        <c:ser>
          <c:idx val="2"/>
          <c:order val="2"/>
          <c:tx>
            <c:strRef>
              <c:f>'M7 Rezeptur, Einsatzmenge'!$R$84</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Einsatzmenge'!$S$84:$U$84</c:f>
              <c:numCache>
                <c:formatCode>#,##0.0</c:formatCode>
                <c:ptCount val="3"/>
                <c:pt idx="0">
                  <c:v>171.9</c:v>
                </c:pt>
                <c:pt idx="1">
                  <c:v>124.8924470887134</c:v>
                </c:pt>
                <c:pt idx="2">
                  <c:v>61.552554846110553</c:v>
                </c:pt>
              </c:numCache>
            </c:numRef>
          </c:val>
          <c:extLst>
            <c:ext xmlns:c16="http://schemas.microsoft.com/office/drawing/2014/chart" uri="{C3380CC4-5D6E-409C-BE32-E72D297353CC}">
              <c16:uniqueId val="{00000008-1454-4569-A46E-700E9AD1BEC0}"/>
            </c:ext>
          </c:extLst>
        </c:ser>
        <c:ser>
          <c:idx val="3"/>
          <c:order val="3"/>
          <c:tx>
            <c:strRef>
              <c:f>'M7 Rezeptur, Einsatzmenge'!$R$88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Einsatzmenge'!$AB$50:$AD$51</c:f>
              <c:multiLvlStrCache>
                <c:ptCount val="3"/>
                <c:lvl>
                  <c:pt idx="0">
                    <c:v>Referenz</c:v>
                  </c:pt>
                </c:lvl>
                <c:lvl>
                  <c:pt idx="0">
                    <c:v>0</c:v>
                  </c:pt>
                  <c:pt idx="1">
                    <c:v>5</c:v>
                  </c:pt>
                  <c:pt idx="2">
                    <c:v>10</c:v>
                  </c:pt>
                </c:lvl>
              </c:multiLvlStrCache>
            </c:multiLvlStrRef>
          </c:cat>
          <c:val>
            <c:numRef>
              <c:f>'M7 Rezeptur, Einsatzmenge'!$S$88:$U$88</c:f>
              <c:numCache>
                <c:formatCode>#,##0.0</c:formatCode>
                <c:ptCount val="3"/>
                <c:pt idx="0">
                  <c:v>35.884155059999998</c:v>
                </c:pt>
                <c:pt idx="1">
                  <c:v>35.884155059999998</c:v>
                </c:pt>
                <c:pt idx="2">
                  <c:v>35.884155059999998</c:v>
                </c:pt>
              </c:numCache>
            </c:numRef>
          </c:val>
          <c:extLst>
            <c:ext xmlns:c16="http://schemas.microsoft.com/office/drawing/2014/chart" uri="{C3380CC4-5D6E-409C-BE32-E72D297353CC}">
              <c16:uniqueId val="{00000009-1454-4569-A46E-700E9AD1BEC0}"/>
            </c:ext>
          </c:extLst>
        </c:ser>
        <c:ser>
          <c:idx val="4"/>
          <c:order val="4"/>
          <c:tx>
            <c:strRef>
              <c:f>'M7 Rezeptur, Einsatzmenge'!$R$85</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'M7 Rezeptur, Einsatzmenge'!$S$85:$U$85</c:f>
              <c:numCache>
                <c:formatCode>#,##0.0</c:formatCode>
                <c:ptCount val="3"/>
                <c:pt idx="0">
                  <c:v>#N/A</c:v>
                </c:pt>
                <c:pt idx="1">
                  <c:v>#N/A</c:v>
                </c:pt>
                <c:pt idx="2">
                  <c:v>#N/A</c:v>
                </c:pt>
              </c:numCache>
            </c:numRef>
          </c:val>
          <c:extLst>
            <c:ext xmlns:c16="http://schemas.microsoft.com/office/drawing/2014/chart" uri="{C3380CC4-5D6E-409C-BE32-E72D297353CC}">
              <c16:uniqueId val="{0000000A-1454-4569-A46E-700E9AD1BEC0}"/>
            </c:ext>
          </c:extLst>
        </c:ser>
        <c:ser>
          <c:idx val="5"/>
          <c:order val="5"/>
          <c:tx>
            <c:strRef>
              <c:f>'M7 Rezeptur, Einsatzmenge'!$R$86</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'M7 Rezeptur, Einsatzmenge'!$S$86:$U$86</c:f>
              <c:numCache>
                <c:formatCode>#,##0.0</c:formatCode>
                <c:ptCount val="3"/>
                <c:pt idx="0">
                  <c:v>#N/A</c:v>
                </c:pt>
                <c:pt idx="1">
                  <c:v>#N/A</c:v>
                </c:pt>
                <c:pt idx="2">
                  <c:v>#N/A</c:v>
                </c:pt>
              </c:numCache>
            </c:numRef>
          </c:val>
          <c:extLst>
            <c:ext xmlns:c16="http://schemas.microsoft.com/office/drawing/2014/chart" uri="{C3380CC4-5D6E-409C-BE32-E72D297353CC}">
              <c16:uniqueId val="{0000000B-1454-4569-A46E-700E9AD1BEC0}"/>
            </c:ext>
          </c:extLst>
        </c:ser>
        <c:ser>
          <c:idx val="6"/>
          <c:order val="6"/>
          <c:tx>
            <c:strRef>
              <c:f>'M7 Rezeptur, Einsatzmenge'!$R$87</c:f>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'M7 Rezeptur, Einsatzmenge'!$S$87:$U$87</c:f>
              <c:numCache>
                <c:formatCode>#,##0.0</c:formatCode>
                <c:ptCount val="3"/>
                <c:pt idx="0">
                  <c:v>#N/A</c:v>
                </c:pt>
                <c:pt idx="1">
                  <c:v>#N/A</c:v>
                </c:pt>
                <c:pt idx="2">
                  <c:v>#N/A</c:v>
                </c:pt>
              </c:numCache>
            </c:numRef>
          </c:val>
          <c:extLst>
            <c:ext xmlns:c16="http://schemas.microsoft.com/office/drawing/2014/chart" uri="{C3380CC4-5D6E-409C-BE32-E72D297353CC}">
              <c16:uniqueId val="{0000000C-1454-4569-A46E-700E9AD1BEC0}"/>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'M1 Härtekammern'!$P$81</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59-4355-95A8-79F6F0546315}"/>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59-4355-95A8-79F6F0546315}"/>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59-4355-95A8-79F6F054631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Härtekammern'!$Q$81:$S$81</c:f>
              <c:numCache>
                <c:formatCode>#,##0.0</c:formatCode>
                <c:ptCount val="3"/>
                <c:pt idx="0">
                  <c:v>43.0426</c:v>
                </c:pt>
                <c:pt idx="1">
                  <c:v>32.712375999999999</c:v>
                </c:pt>
                <c:pt idx="2">
                  <c:v>32.712375999999999</c:v>
                </c:pt>
              </c:numCache>
            </c:numRef>
          </c:val>
          <c:extLst>
            <c:ext xmlns:c16="http://schemas.microsoft.com/office/drawing/2014/chart" uri="{C3380CC4-5D6E-409C-BE32-E72D297353CC}">
              <c16:uniqueId val="{00000003-D359-4355-95A8-79F6F0546315}"/>
            </c:ext>
          </c:extLst>
        </c:ser>
        <c:ser>
          <c:idx val="1"/>
          <c:order val="1"/>
          <c:tx>
            <c:strRef>
              <c:f>'M1 Härtekammern'!$P$82</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59-4355-95A8-79F6F0546315}"/>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59-4355-95A8-79F6F0546315}"/>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59-4355-95A8-79F6F054631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Härtekammern'!$Q$82:$S$82</c:f>
              <c:numCache>
                <c:formatCode>#,##0.0</c:formatCode>
                <c:ptCount val="3"/>
                <c:pt idx="0">
                  <c:v>16.005600000000001</c:v>
                </c:pt>
                <c:pt idx="1">
                  <c:v>14.084928</c:v>
                </c:pt>
                <c:pt idx="2">
                  <c:v>14.084928</c:v>
                </c:pt>
              </c:numCache>
            </c:numRef>
          </c:val>
          <c:extLst>
            <c:ext xmlns:c16="http://schemas.microsoft.com/office/drawing/2014/chart" uri="{C3380CC4-5D6E-409C-BE32-E72D297353CC}">
              <c16:uniqueId val="{00000007-D359-4355-95A8-79F6F0546315}"/>
            </c:ext>
          </c:extLst>
        </c:ser>
        <c:ser>
          <c:idx val="2"/>
          <c:order val="2"/>
          <c:tx>
            <c:strRef>
              <c:f>'M1 Härtekammern'!$P$83</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Härtekammern'!$Q$83:$S$83</c:f>
              <c:numCache>
                <c:formatCode>#,##0.0</c:formatCode>
                <c:ptCount val="3"/>
                <c:pt idx="0">
                  <c:v>171.9</c:v>
                </c:pt>
                <c:pt idx="1">
                  <c:v>121.145673676052</c:v>
                </c:pt>
                <c:pt idx="2">
                  <c:v>59.705978200727237</c:v>
                </c:pt>
              </c:numCache>
            </c:numRef>
          </c:val>
          <c:extLst>
            <c:ext xmlns:c16="http://schemas.microsoft.com/office/drawing/2014/chart" uri="{C3380CC4-5D6E-409C-BE32-E72D297353CC}">
              <c16:uniqueId val="{00000008-D359-4355-95A8-79F6F0546315}"/>
            </c:ext>
          </c:extLst>
        </c:ser>
        <c:ser>
          <c:idx val="3"/>
          <c:order val="3"/>
          <c:tx>
            <c:strRef>
              <c:f>'M1 Härtekammern'!$P$87</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Härtekammern'!$Q$87:$S$87</c:f>
              <c:numCache>
                <c:formatCode>#,##0.0</c:formatCode>
                <c:ptCount val="3"/>
                <c:pt idx="0">
                  <c:v>35.884155059999998</c:v>
                </c:pt>
                <c:pt idx="1">
                  <c:v>35.884155059999998</c:v>
                </c:pt>
                <c:pt idx="2">
                  <c:v>35.884155059999998</c:v>
                </c:pt>
              </c:numCache>
            </c:numRef>
          </c:val>
          <c:extLst>
            <c:ext xmlns:c16="http://schemas.microsoft.com/office/drawing/2014/chart" uri="{C3380CC4-5D6E-409C-BE32-E72D297353CC}">
              <c16:uniqueId val="{00000009-D359-4355-95A8-79F6F0546315}"/>
            </c:ext>
          </c:extLst>
        </c:ser>
        <c:ser>
          <c:idx val="4"/>
          <c:order val="4"/>
          <c:tx>
            <c:strRef>
              <c:f>'M1 Härtekammern'!$P$84</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'M1 Härtekammern'!$Q$84:$S$84</c:f>
              <c:numCache>
                <c:formatCode>#,##0.0</c:formatCode>
                <c:ptCount val="3"/>
                <c:pt idx="0">
                  <c:v>0</c:v>
                </c:pt>
                <c:pt idx="1">
                  <c:v>0</c:v>
                </c:pt>
                <c:pt idx="2">
                  <c:v>0</c:v>
                </c:pt>
              </c:numCache>
            </c:numRef>
          </c:val>
          <c:extLst>
            <c:ext xmlns:c16="http://schemas.microsoft.com/office/drawing/2014/chart" uri="{C3380CC4-5D6E-409C-BE32-E72D297353CC}">
              <c16:uniqueId val="{0000000A-D359-4355-95A8-79F6F0546315}"/>
            </c:ext>
          </c:extLst>
        </c:ser>
        <c:ser>
          <c:idx val="5"/>
          <c:order val="5"/>
          <c:tx>
            <c:strRef>
              <c:f>'M1 Härtekammern'!$P$85</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'M1 Härtekammern'!$Q$85:$S$85</c:f>
              <c:numCache>
                <c:formatCode>#,##0.0</c:formatCode>
                <c:ptCount val="3"/>
                <c:pt idx="0">
                  <c:v>0</c:v>
                </c:pt>
                <c:pt idx="1">
                  <c:v>0</c:v>
                </c:pt>
                <c:pt idx="2">
                  <c:v>0</c:v>
                </c:pt>
              </c:numCache>
            </c:numRef>
          </c:val>
          <c:extLst>
            <c:ext xmlns:c16="http://schemas.microsoft.com/office/drawing/2014/chart" uri="{C3380CC4-5D6E-409C-BE32-E72D297353CC}">
              <c16:uniqueId val="{0000000B-D359-4355-95A8-79F6F0546315}"/>
            </c:ext>
          </c:extLst>
        </c:ser>
        <c:ser>
          <c:idx val="6"/>
          <c:order val="6"/>
          <c:tx>
            <c:strRef>
              <c:f>'M1 Härtekammern'!$P$86</c:f>
              <c:strCache>
                <c:ptCount val="1"/>
                <c:pt idx="0">
                  <c:v>Alternativer Energieträger restliches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'M1 Härtekammern'!$Q$86:$S$86</c:f>
              <c:numCache>
                <c:formatCode>#,##0.0</c:formatCode>
                <c:ptCount val="3"/>
                <c:pt idx="0">
                  <c:v>0</c:v>
                </c:pt>
                <c:pt idx="1">
                  <c:v>0</c:v>
                </c:pt>
                <c:pt idx="2">
                  <c:v>0</c:v>
                </c:pt>
              </c:numCache>
            </c:numRef>
          </c:val>
          <c:extLst>
            <c:ext xmlns:c16="http://schemas.microsoft.com/office/drawing/2014/chart" uri="{C3380CC4-5D6E-409C-BE32-E72D297353CC}">
              <c16:uniqueId val="{0000000C-D359-4355-95A8-79F6F0546315}"/>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'M7 Rezeptur, Einsatzmenge'!$AA$82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5B-4FF6-B717-F316181DD4D4}"/>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5B-4FF6-B717-F316181DD4D4}"/>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5B-4FF6-B717-F316181DD4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Einsatzmenge'!$AB$82:$AD$82</c:f>
              <c:numCache>
                <c:formatCode>#,##0</c:formatCode>
                <c:ptCount val="3"/>
                <c:pt idx="0">
                  <c:v>41.281733459999998</c:v>
                </c:pt>
                <c:pt idx="1">
                  <c:v>34.39057387091087</c:v>
                </c:pt>
                <c:pt idx="2">
                  <c:v>25.105144641628776</c:v>
                </c:pt>
              </c:numCache>
            </c:numRef>
          </c:val>
          <c:extLst>
            <c:ext xmlns:c16="http://schemas.microsoft.com/office/drawing/2014/chart" uri="{C3380CC4-5D6E-409C-BE32-E72D297353CC}">
              <c16:uniqueId val="{00000003-C75B-4FF6-B717-F316181DD4D4}"/>
            </c:ext>
          </c:extLst>
        </c:ser>
        <c:ser>
          <c:idx val="1"/>
          <c:order val="1"/>
          <c:tx>
            <c:strRef>
              <c:f>'M7 Rezeptur, Einsatzmenge'!$AA$83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5B-4FF6-B717-F316181DD4D4}"/>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5B-4FF6-B717-F316181DD4D4}"/>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5B-4FF6-B717-F316181DD4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Einsatzmenge'!$AB$83:$AD$83</c:f>
              <c:numCache>
                <c:formatCode>#,##0</c:formatCode>
                <c:ptCount val="3"/>
                <c:pt idx="0">
                  <c:v>469.15642799999995</c:v>
                </c:pt>
                <c:pt idx="1">
                  <c:v>469.15642799999995</c:v>
                </c:pt>
                <c:pt idx="2">
                  <c:v>469.15642799999995</c:v>
                </c:pt>
              </c:numCache>
            </c:numRef>
          </c:val>
          <c:extLst>
            <c:ext xmlns:c16="http://schemas.microsoft.com/office/drawing/2014/chart" uri="{C3380CC4-5D6E-409C-BE32-E72D297353CC}">
              <c16:uniqueId val="{00000007-C75B-4FF6-B717-F316181DD4D4}"/>
            </c:ext>
          </c:extLst>
        </c:ser>
        <c:ser>
          <c:idx val="2"/>
          <c:order val="2"/>
          <c:tx>
            <c:strRef>
              <c:f>'M7 Rezeptur, Einsatzmenge'!$AA$84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Einsatzmenge'!$AB$84:$AD$84</c:f>
              <c:numCache>
                <c:formatCode>#,##0</c:formatCode>
                <c:ptCount val="3"/>
                <c:pt idx="0">
                  <c:v>4548.5439999999999</c:v>
                </c:pt>
                <c:pt idx="1">
                  <c:v>4457.57312</c:v>
                </c:pt>
                <c:pt idx="2">
                  <c:v>4321.1167999999998</c:v>
                </c:pt>
              </c:numCache>
            </c:numRef>
          </c:val>
          <c:extLst>
            <c:ext xmlns:c16="http://schemas.microsoft.com/office/drawing/2014/chart" uri="{C3380CC4-5D6E-409C-BE32-E72D297353CC}">
              <c16:uniqueId val="{00000008-C75B-4FF6-B717-F316181DD4D4}"/>
            </c:ext>
          </c:extLst>
        </c:ser>
        <c:ser>
          <c:idx val="3"/>
          <c:order val="3"/>
          <c:tx>
            <c:strRef>
              <c:f>'M7 Rezeptur, Einsatzmenge'!$AA$85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5B-4FF6-B717-F316181DD4D4}"/>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5B-4FF6-B717-F316181DD4D4}"/>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5B-4FF6-B717-F316181DD4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Einsatzmenge'!$AB$85:$AD$85</c:f>
              <c:numCache>
                <c:formatCode>#,##0</c:formatCode>
                <c:ptCount val="3"/>
                <c:pt idx="0">
                  <c:v>129.59200000000001</c:v>
                </c:pt>
                <c:pt idx="1">
                  <c:v>129.59200000000001</c:v>
                </c:pt>
                <c:pt idx="2">
                  <c:v>129.59200000000001</c:v>
                </c:pt>
              </c:numCache>
            </c:numRef>
          </c:val>
          <c:extLst>
            <c:ext xmlns:c16="http://schemas.microsoft.com/office/drawing/2014/chart" uri="{C3380CC4-5D6E-409C-BE32-E72D297353CC}">
              <c16:uniqueId val="{0000000C-C75B-4FF6-B717-F316181DD4D4}"/>
            </c:ext>
          </c:extLst>
        </c:ser>
        <c:ser>
          <c:idx val="4"/>
          <c:order val="4"/>
          <c:tx>
            <c:strRef>
              <c:f>'M7 Rezeptur, Einsatzmenge'!$AA$86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Einsatzmenge'!$AB$86:$AD$86</c:f>
              <c:numCache>
                <c:formatCode>#,##0</c:formatCode>
                <c:ptCount val="3"/>
                <c:pt idx="0">
                  <c:v>208</c:v>
                </c:pt>
                <c:pt idx="1">
                  <c:v>208</c:v>
                </c:pt>
                <c:pt idx="2">
                  <c:v>208</c:v>
                </c:pt>
              </c:numCache>
            </c:numRef>
          </c:val>
          <c:extLst>
            <c:ext xmlns:c16="http://schemas.microsoft.com/office/drawing/2014/chart" uri="{C3380CC4-5D6E-409C-BE32-E72D297353CC}">
              <c16:uniqueId val="{0000000D-C75B-4FF6-B717-F316181DD4D4}"/>
            </c:ext>
          </c:extLst>
        </c:ser>
        <c:ser>
          <c:idx val="5"/>
          <c:order val="5"/>
          <c:tx>
            <c:strRef>
              <c:f>'M7 Rezeptur, Einsatzmenge'!$AA$87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Einsatzmenge'!$AB$87:$AD$87</c:f>
              <c:numCache>
                <c:formatCode>#,##0</c:formatCode>
                <c:ptCount val="3"/>
                <c:pt idx="0">
                  <c:v>81.003999999999991</c:v>
                </c:pt>
                <c:pt idx="1">
                  <c:v>82.624079999999992</c:v>
                </c:pt>
                <c:pt idx="2">
                  <c:v>85.054199999999994</c:v>
                </c:pt>
              </c:numCache>
            </c:numRef>
          </c:val>
          <c:extLst>
            <c:ext xmlns:c16="http://schemas.microsoft.com/office/drawing/2014/chart" uri="{C3380CC4-5D6E-409C-BE32-E72D297353CC}">
              <c16:uniqueId val="{0000000E-C75B-4FF6-B717-F316181DD4D4}"/>
            </c:ext>
          </c:extLst>
        </c:ser>
        <c:ser>
          <c:idx val="6"/>
          <c:order val="6"/>
          <c:tx>
            <c:strRef>
              <c:f>'M7 Rezeptur, Einsatzmenge'!$AA$88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5B-4FF6-B717-F316181DD4D4}"/>
                </c:ext>
              </c:extLst>
            </c:dLbl>
            <c:dLbl>
              <c:idx val="1"/>
              <c:layout>
                <c:manualLayout>
                  <c:x val="8.784098856655749E-2"/>
                  <c:y val="1.899470814281681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5B-4FF6-B717-F316181DD4D4}"/>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75B-4FF6-B717-F316181DD4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Einsatzmenge'!$AB$88:$AD$88</c:f>
              <c:numCache>
                <c:formatCode>#,##0</c:formatCode>
                <c:ptCount val="3"/>
                <c:pt idx="0">
                  <c:v>148.44746134951595</c:v>
                </c:pt>
                <c:pt idx="1">
                  <c:v>148.44746134951595</c:v>
                </c:pt>
                <c:pt idx="2">
                  <c:v>148.44746134951595</c:v>
                </c:pt>
              </c:numCache>
            </c:numRef>
          </c:val>
          <c:extLst>
            <c:ext xmlns:c16="http://schemas.microsoft.com/office/drawing/2014/chart" uri="{C3380CC4-5D6E-409C-BE32-E72D297353CC}">
              <c16:uniqueId val="{00000012-C75B-4FF6-B717-F316181DD4D4}"/>
            </c:ext>
          </c:extLst>
        </c:ser>
        <c:ser>
          <c:idx val="11"/>
          <c:order val="7"/>
          <c:tx>
            <c:strRef>
              <c:f>'M7 Rezeptur, Einsatzmenge'!$AA$89</c:f>
              <c:strCache>
                <c:ptCount val="1"/>
                <c:pt idx="0">
                  <c:v>Zusätzliche Ersatzstoffe</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'M7 Rezeptur, Einsatzmenge'!$AB$89:$AD$89</c:f>
              <c:numCache>
                <c:formatCode>#,##0</c:formatCode>
                <c:ptCount val="3"/>
                <c:pt idx="0">
                  <c:v>0</c:v>
                </c:pt>
                <c:pt idx="1">
                  <c:v>0</c:v>
                </c:pt>
                <c:pt idx="2">
                  <c:v>0</c:v>
                </c:pt>
              </c:numCache>
            </c:numRef>
          </c:val>
          <c:extLst>
            <c:ext xmlns:c16="http://schemas.microsoft.com/office/drawing/2014/chart" uri="{C3380CC4-5D6E-409C-BE32-E72D297353CC}">
              <c16:uniqueId val="{00000013-C75B-4FF6-B717-F316181DD4D4}"/>
            </c:ext>
          </c:extLst>
        </c:ser>
        <c:ser>
          <c:idx val="7"/>
          <c:order val="8"/>
          <c:tx>
            <c:strRef>
              <c:f>'M7 Rezeptur, Einsatzmenge'!$AA$90</c:f>
              <c:strCache>
                <c:ptCount val="1"/>
                <c:pt idx="0">
                  <c:v>Wasser &amp; Abwasser</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Einsatzmenge'!$AB$90:$AD$90</c:f>
              <c:numCache>
                <c:formatCode>#,##0</c:formatCode>
                <c:ptCount val="3"/>
                <c:pt idx="0">
                  <c:v>0.54400000000000004</c:v>
                </c:pt>
                <c:pt idx="1">
                  <c:v>0.54400000000000004</c:v>
                </c:pt>
                <c:pt idx="2">
                  <c:v>0.54400000000000004</c:v>
                </c:pt>
              </c:numCache>
            </c:numRef>
          </c:val>
          <c:extLst>
            <c:ext xmlns:c16="http://schemas.microsoft.com/office/drawing/2014/chart" uri="{C3380CC4-5D6E-409C-BE32-E72D297353CC}">
              <c16:uniqueId val="{00000014-C75B-4FF6-B717-F316181DD4D4}"/>
            </c:ext>
          </c:extLst>
        </c:ser>
        <c:ser>
          <c:idx val="8"/>
          <c:order val="9"/>
          <c:tx>
            <c:strRef>
              <c:f>'M7 Rezeptur, Einsatzmenge'!$AA$91</c:f>
              <c:strCache>
                <c:ptCount val="1"/>
                <c:pt idx="0">
                  <c:v>Oberflächenschutzsysteme</c:v>
                </c:pt>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Einsatzmenge'!$AB$91:$AD$91</c:f>
              <c:numCache>
                <c:formatCode>#,##0</c:formatCode>
                <c:ptCount val="3"/>
                <c:pt idx="0">
                  <c:v>80.47999999999999</c:v>
                </c:pt>
                <c:pt idx="1">
                  <c:v>0.16095999999999999</c:v>
                </c:pt>
                <c:pt idx="2">
                  <c:v>0.16095999999999999</c:v>
                </c:pt>
              </c:numCache>
            </c:numRef>
          </c:val>
          <c:extLst>
            <c:ext xmlns:c16="http://schemas.microsoft.com/office/drawing/2014/chart" uri="{C3380CC4-5D6E-409C-BE32-E72D297353CC}">
              <c16:uniqueId val="{00000015-C75B-4FF6-B717-F316181DD4D4}"/>
            </c:ext>
          </c:extLst>
        </c:ser>
        <c:ser>
          <c:idx val="9"/>
          <c:order val="10"/>
          <c:tx>
            <c:strRef>
              <c:f>'M7 Rezeptur, Einsatzmenge'!$AA$92</c:f>
              <c:strCache>
                <c:ptCount val="1"/>
                <c:pt idx="0">
                  <c:v>Oberflächenbearbeitung (vor/nach Erhärtung)</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Einsatzmenge'!$AB$92:$AD$92</c:f>
              <c:numCache>
                <c:formatCode>#,##0</c:formatCode>
                <c:ptCount val="3"/>
                <c:pt idx="0">
                  <c:v>60</c:v>
                </c:pt>
                <c:pt idx="1">
                  <c:v>60</c:v>
                </c:pt>
                <c:pt idx="2">
                  <c:v>60</c:v>
                </c:pt>
              </c:numCache>
            </c:numRef>
          </c:val>
          <c:extLst>
            <c:ext xmlns:c16="http://schemas.microsoft.com/office/drawing/2014/chart" uri="{C3380CC4-5D6E-409C-BE32-E72D297353CC}">
              <c16:uniqueId val="{00000016-C75B-4FF6-B717-F316181DD4D4}"/>
            </c:ext>
          </c:extLst>
        </c:ser>
        <c:ser>
          <c:idx val="10"/>
          <c:order val="11"/>
          <c:tx>
            <c:strRef>
              <c:f>'M7 Rezeptur, Einsatzmenge'!$AA$93</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5B-4FF6-B717-F316181DD4D4}"/>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75B-4FF6-B717-F316181DD4D4}"/>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5B-4FF6-B717-F316181DD4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'M7 Rezeptur, Einsatzmenge'!$S$41:$U$42</c:f>
              <c:multiLvlStrCache>
                <c:ptCount val="3"/>
                <c:lvl>
                  <c:pt idx="0">
                    <c:v>Referenz</c:v>
                  </c:pt>
                </c:lvl>
                <c:lvl>
                  <c:pt idx="0">
                    <c:v>0</c:v>
                  </c:pt>
                  <c:pt idx="1">
                    <c:v>5</c:v>
                  </c:pt>
                  <c:pt idx="2">
                    <c:v>10</c:v>
                  </c:pt>
                </c:lvl>
              </c:multiLvlStrCache>
            </c:multiLvlStrRef>
          </c:cat>
          <c:val>
            <c:numRef>
              <c:f>'M7 Rezeptur, Einsatzmenge'!$AB$93:$AD$93</c:f>
              <c:numCache>
                <c:formatCode>#,##0</c:formatCode>
                <c:ptCount val="3"/>
                <c:pt idx="0">
                  <c:v>64.48</c:v>
                </c:pt>
                <c:pt idx="1">
                  <c:v>64.48</c:v>
                </c:pt>
                <c:pt idx="2">
                  <c:v>64.48</c:v>
                </c:pt>
              </c:numCache>
            </c:numRef>
          </c:val>
          <c:extLst>
            <c:ext xmlns:c16="http://schemas.microsoft.com/office/drawing/2014/chart" uri="{C3380CC4-5D6E-409C-BE32-E72D297353CC}">
              <c16:uniqueId val="{0000001A-C75B-4FF6-B717-F316181DD4D4}"/>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'M8 Rezeptur, geringerer EF'!$AA$45</c:f>
              <c:strCache>
                <c:ptCount val="1"/>
                <c:pt idx="0">
                  <c:v>Scope 3</c:v>
                </c:pt>
              </c:strCache>
            </c:strRef>
          </c:tx>
          <c:spPr>
            <a:solidFill>
              <a:schemeClr val="accent3"/>
            </a:solidFill>
            <a:ln>
              <a:noFill/>
            </a:ln>
            <a:effectLst/>
          </c:spPr>
          <c:invertIfNegative val="0"/>
          <c:cat>
            <c:multiLvlStrRef>
              <c:f>'M8 Rezeptur, geringerer EF'!$AB$41:$AD$42</c:f>
              <c:multiLvlStrCache>
                <c:ptCount val="3"/>
                <c:lvl>
                  <c:pt idx="0">
                    <c:v>Referenz</c:v>
                  </c:pt>
                </c:lvl>
                <c:lvl>
                  <c:pt idx="0">
                    <c:v>0</c:v>
                  </c:pt>
                  <c:pt idx="1">
                    <c:v>5</c:v>
                  </c:pt>
                  <c:pt idx="2">
                    <c:v>10</c:v>
                  </c:pt>
                </c:lvl>
              </c:multiLvlStrCache>
            </c:multiLvlStrRef>
          </c:cat>
          <c:val>
            <c:numRef>
              <c:f>'M8 Rezeptur, geringerer EF'!$AB$45:$AD$45</c:f>
              <c:numCache>
                <c:formatCode>#,##0</c:formatCode>
                <c:ptCount val="3"/>
                <c:pt idx="0">
                  <c:v>5831.5296228095176</c:v>
                </c:pt>
                <c:pt idx="1">
                  <c:v>5516.8922232204277</c:v>
                </c:pt>
                <c:pt idx="2">
                  <c:v>5280.1795939911462</c:v>
                </c:pt>
              </c:numCache>
            </c:numRef>
          </c:val>
          <c:extLst>
            <c:ext xmlns:c16="http://schemas.microsoft.com/office/drawing/2014/chart" uri="{C3380CC4-5D6E-409C-BE32-E72D297353CC}">
              <c16:uniqueId val="{00000000-3330-4BA4-864D-2013520C6BFB}"/>
            </c:ext>
          </c:extLst>
        </c:ser>
        <c:ser>
          <c:idx val="1"/>
          <c:order val="1"/>
          <c:tx>
            <c:strRef>
              <c:f>'M8 Rezeptur, geringerer EF'!$AA$44</c:f>
              <c:strCache>
                <c:ptCount val="1"/>
                <c:pt idx="0">
                  <c:v>Scope 2</c:v>
                </c:pt>
              </c:strCache>
            </c:strRef>
          </c:tx>
          <c:spPr>
            <a:solidFill>
              <a:schemeClr val="accent2"/>
            </a:solidFill>
            <a:ln>
              <a:noFill/>
            </a:ln>
            <a:effectLst/>
          </c:spPr>
          <c:invertIfNegative val="0"/>
          <c:cat>
            <c:multiLvlStrRef>
              <c:f>'M8 Rezeptur, geringerer EF'!$AB$41:$AD$42</c:f>
              <c:multiLvlStrCache>
                <c:ptCount val="3"/>
                <c:lvl>
                  <c:pt idx="0">
                    <c:v>Referenz</c:v>
                  </c:pt>
                </c:lvl>
                <c:lvl>
                  <c:pt idx="0">
                    <c:v>0</c:v>
                  </c:pt>
                  <c:pt idx="1">
                    <c:v>5</c:v>
                  </c:pt>
                  <c:pt idx="2">
                    <c:v>10</c:v>
                  </c:pt>
                </c:lvl>
              </c:multiLvlStrCache>
            </c:multiLvlStrRef>
          </c:cat>
          <c:val>
            <c:numRef>
              <c:f>'M8 Rezeptur, geringerer EF'!$AB$44:$AD$44</c:f>
              <c:numCache>
                <c:formatCode>#,##0</c:formatCode>
                <c:ptCount val="3"/>
                <c:pt idx="0">
                  <c:v>171.9</c:v>
                </c:pt>
                <c:pt idx="1">
                  <c:v>124.8924470887134</c:v>
                </c:pt>
                <c:pt idx="2">
                  <c:v>61.552554846110553</c:v>
                </c:pt>
              </c:numCache>
            </c:numRef>
          </c:val>
          <c:extLst>
            <c:ext xmlns:c16="http://schemas.microsoft.com/office/drawing/2014/chart" uri="{C3380CC4-5D6E-409C-BE32-E72D297353CC}">
              <c16:uniqueId val="{00000001-3330-4BA4-864D-2013520C6BFB}"/>
            </c:ext>
          </c:extLst>
        </c:ser>
        <c:ser>
          <c:idx val="0"/>
          <c:order val="2"/>
          <c:tx>
            <c:strRef>
              <c:f>'M8 Rezeptur, geringerer EF'!$AA$43</c:f>
              <c:strCache>
                <c:ptCount val="1"/>
                <c:pt idx="0">
                  <c:v>Scope 1 </c:v>
                </c:pt>
              </c:strCache>
            </c:strRef>
          </c:tx>
          <c:spPr>
            <a:solidFill>
              <a:schemeClr val="accent1"/>
            </a:solidFill>
            <a:ln>
              <a:noFill/>
            </a:ln>
            <a:effectLst/>
          </c:spPr>
          <c:invertIfNegative val="0"/>
          <c:cat>
            <c:multiLvlStrRef>
              <c:f>'M8 Rezeptur, geringerer EF'!$AB$41:$AD$42</c:f>
              <c:multiLvlStrCache>
                <c:ptCount val="3"/>
                <c:lvl>
                  <c:pt idx="0">
                    <c:v>Referenz</c:v>
                  </c:pt>
                </c:lvl>
                <c:lvl>
                  <c:pt idx="0">
                    <c:v>0</c:v>
                  </c:pt>
                  <c:pt idx="1">
                    <c:v>5</c:v>
                  </c:pt>
                  <c:pt idx="2">
                    <c:v>10</c:v>
                  </c:pt>
                </c:lvl>
              </c:multiLvlStrCache>
            </c:multiLvlStrRef>
          </c:cat>
          <c:val>
            <c:numRef>
              <c:f>'M8 Rezeptur, geringerer EF'!$AB$43:$AD$43</c:f>
              <c:numCache>
                <c:formatCode>#,##0</c:formatCode>
                <c:ptCount val="3"/>
                <c:pt idx="0">
                  <c:v>94.932355060000006</c:v>
                </c:pt>
                <c:pt idx="1">
                  <c:v>94.932355060000006</c:v>
                </c:pt>
                <c:pt idx="2">
                  <c:v>94.932355060000006</c:v>
                </c:pt>
              </c:numCache>
            </c:numRef>
          </c:val>
          <c:extLst>
            <c:ext xmlns:c16="http://schemas.microsoft.com/office/drawing/2014/chart" uri="{C3380CC4-5D6E-409C-BE32-E72D297353CC}">
              <c16:uniqueId val="{00000002-3330-4BA4-864D-2013520C6BFB}"/>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'M8 Rezeptur, geringerer EF'!$AJ$82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EF'!$AK$82:$AM$82</c:f>
              <c:numCache>
                <c:formatCode>#,##0\ "€"</c:formatCode>
                <c:ptCount val="3"/>
                <c:pt idx="0">
                  <c:v>109669</c:v>
                </c:pt>
                <c:pt idx="1">
                  <c:v>109669</c:v>
                </c:pt>
                <c:pt idx="2">
                  <c:v>109669</c:v>
                </c:pt>
              </c:numCache>
            </c:numRef>
          </c:val>
          <c:extLst>
            <c:ext xmlns:c16="http://schemas.microsoft.com/office/drawing/2014/chart" uri="{C3380CC4-5D6E-409C-BE32-E72D297353CC}">
              <c16:uniqueId val="{00000000-7D7B-403D-9D17-0ADD20BBFFF9}"/>
            </c:ext>
          </c:extLst>
        </c:ser>
        <c:ser>
          <c:idx val="1"/>
          <c:order val="1"/>
          <c:tx>
            <c:strRef>
              <c:f>'M8 Rezeptur, geringerer EF'!$AJ$90</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7B-403D-9D17-0ADD20BBFF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EF'!$AK$90:$AM$90</c:f>
              <c:numCache>
                <c:formatCode>#,##0\ "€"</c:formatCode>
                <c:ptCount val="3"/>
                <c:pt idx="0">
                  <c:v>0</c:v>
                </c:pt>
                <c:pt idx="1">
                  <c:v>0</c:v>
                </c:pt>
                <c:pt idx="2">
                  <c:v>0</c:v>
                </c:pt>
              </c:numCache>
            </c:numRef>
          </c:val>
          <c:extLst>
            <c:ext xmlns:c16="http://schemas.microsoft.com/office/drawing/2014/chart" uri="{C3380CC4-5D6E-409C-BE32-E72D297353CC}">
              <c16:uniqueId val="{00000002-7D7B-403D-9D17-0ADD20BBFFF9}"/>
            </c:ext>
          </c:extLst>
        </c:ser>
        <c:ser>
          <c:idx val="2"/>
          <c:order val="2"/>
          <c:tx>
            <c:strRef>
              <c:f>'M8 Rezeptur, geringerer EF'!$AJ$91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EF'!$AK$91:$AM$91</c:f>
              <c:numCache>
                <c:formatCode>#,##0\ "€"</c:formatCode>
                <c:ptCount val="3"/>
                <c:pt idx="0">
                  <c:v>0</c:v>
                </c:pt>
                <c:pt idx="1">
                  <c:v>0</c:v>
                </c:pt>
                <c:pt idx="2">
                  <c:v>0</c:v>
                </c:pt>
              </c:numCache>
            </c:numRef>
          </c:val>
          <c:extLst>
            <c:ext xmlns:c16="http://schemas.microsoft.com/office/drawing/2014/chart" uri="{C3380CC4-5D6E-409C-BE32-E72D297353CC}">
              <c16:uniqueId val="{00000003-7D7B-403D-9D17-0ADD20BBFFF9}"/>
            </c:ext>
          </c:extLst>
        </c:ser>
        <c:ser>
          <c:idx val="3"/>
          <c:order val="3"/>
          <c:tx>
            <c:strRef>
              <c:f>'M8 Rezeptur, geringerer EF'!$AJ$92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EF'!$AK$92:$AM$92</c:f>
              <c:numCache>
                <c:formatCode>#,##0\ "€"</c:formatCode>
                <c:ptCount val="3"/>
                <c:pt idx="0">
                  <c:v>0</c:v>
                </c:pt>
                <c:pt idx="1">
                  <c:v>0</c:v>
                </c:pt>
                <c:pt idx="2">
                  <c:v>0</c:v>
                </c:pt>
              </c:numCache>
            </c:numRef>
          </c:val>
          <c:extLst>
            <c:ext xmlns:c16="http://schemas.microsoft.com/office/drawing/2014/chart" uri="{C3380CC4-5D6E-409C-BE32-E72D297353CC}">
              <c16:uniqueId val="{00000004-7D7B-403D-9D17-0ADD20BBFFF9}"/>
            </c:ext>
          </c:extLst>
        </c:ser>
        <c:ser>
          <c:idx val="4"/>
          <c:order val="4"/>
          <c:tx>
            <c:strRef>
              <c:f>'M8 Rezeptur, geringerer EF'!$AJ$93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'M8 Rezeptur, geringerer EF'!$AK$93:$AM$93</c:f>
              <c:numCache>
                <c:formatCode>#,##0\ "€"</c:formatCode>
                <c:ptCount val="3"/>
                <c:pt idx="0">
                  <c:v>152459.04944673795</c:v>
                </c:pt>
                <c:pt idx="1">
                  <c:v>258152.26614161136</c:v>
                </c:pt>
                <c:pt idx="2">
                  <c:v>434933.16031178052</c:v>
                </c:pt>
              </c:numCache>
            </c:numRef>
          </c:val>
          <c:extLst>
            <c:ext xmlns:c16="http://schemas.microsoft.com/office/drawing/2014/chart" uri="{C3380CC4-5D6E-409C-BE32-E72D297353CC}">
              <c16:uniqueId val="{00000005-7D7B-403D-9D17-0ADD20BBFFF9}"/>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'M8 Rezeptur, geringerer EF'!$R$82</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53-4173-A362-835BDF7E1C65}"/>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53-4173-A362-835BDF7E1C65}"/>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53-4173-A362-835BDF7E1C6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EF'!$S$82:$U$82</c:f>
              <c:numCache>
                <c:formatCode>#,##0.0</c:formatCode>
                <c:ptCount val="3"/>
                <c:pt idx="0">
                  <c:v>43.0426</c:v>
                </c:pt>
                <c:pt idx="1">
                  <c:v>43.0426</c:v>
                </c:pt>
                <c:pt idx="2">
                  <c:v>43.0426</c:v>
                </c:pt>
              </c:numCache>
            </c:numRef>
          </c:val>
          <c:extLst>
            <c:ext xmlns:c16="http://schemas.microsoft.com/office/drawing/2014/chart" uri="{C3380CC4-5D6E-409C-BE32-E72D297353CC}">
              <c16:uniqueId val="{00000003-AF53-4173-A362-835BDF7E1C65}"/>
            </c:ext>
          </c:extLst>
        </c:ser>
        <c:ser>
          <c:idx val="1"/>
          <c:order val="1"/>
          <c:tx>
            <c:strRef>
              <c:f>'M8 Rezeptur, geringerer EF'!$R$83</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53-4173-A362-835BDF7E1C65}"/>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53-4173-A362-835BDF7E1C65}"/>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53-4173-A362-835BDF7E1C6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EF'!$S$83:$U$83</c:f>
              <c:numCache>
                <c:formatCode>#,##0.0</c:formatCode>
                <c:ptCount val="3"/>
                <c:pt idx="0">
                  <c:v>16.005600000000001</c:v>
                </c:pt>
                <c:pt idx="1">
                  <c:v>16.005600000000001</c:v>
                </c:pt>
                <c:pt idx="2">
                  <c:v>16.005600000000001</c:v>
                </c:pt>
              </c:numCache>
            </c:numRef>
          </c:val>
          <c:extLst>
            <c:ext xmlns:c16="http://schemas.microsoft.com/office/drawing/2014/chart" uri="{C3380CC4-5D6E-409C-BE32-E72D297353CC}">
              <c16:uniqueId val="{00000007-AF53-4173-A362-835BDF7E1C65}"/>
            </c:ext>
          </c:extLst>
        </c:ser>
        <c:ser>
          <c:idx val="2"/>
          <c:order val="2"/>
          <c:tx>
            <c:strRef>
              <c:f>'M8 Rezeptur, geringerer EF'!$R$84</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EF'!$S$84:$U$84</c:f>
              <c:numCache>
                <c:formatCode>#,##0.0</c:formatCode>
                <c:ptCount val="3"/>
                <c:pt idx="0">
                  <c:v>171.9</c:v>
                </c:pt>
                <c:pt idx="1">
                  <c:v>124.8924470887134</c:v>
                </c:pt>
                <c:pt idx="2">
                  <c:v>61.552554846110553</c:v>
                </c:pt>
              </c:numCache>
            </c:numRef>
          </c:val>
          <c:extLst>
            <c:ext xmlns:c16="http://schemas.microsoft.com/office/drawing/2014/chart" uri="{C3380CC4-5D6E-409C-BE32-E72D297353CC}">
              <c16:uniqueId val="{00000008-AF53-4173-A362-835BDF7E1C65}"/>
            </c:ext>
          </c:extLst>
        </c:ser>
        <c:ser>
          <c:idx val="3"/>
          <c:order val="3"/>
          <c:tx>
            <c:strRef>
              <c:f>'M8 Rezeptur, geringerer EF'!$R$88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EF'!$AB$50:$AD$51</c:f>
              <c:multiLvlStrCache>
                <c:ptCount val="3"/>
                <c:lvl>
                  <c:pt idx="0">
                    <c:v>Referenz</c:v>
                  </c:pt>
                </c:lvl>
                <c:lvl>
                  <c:pt idx="0">
                    <c:v>0</c:v>
                  </c:pt>
                  <c:pt idx="1">
                    <c:v>5</c:v>
                  </c:pt>
                  <c:pt idx="2">
                    <c:v>10</c:v>
                  </c:pt>
                </c:lvl>
              </c:multiLvlStrCache>
            </c:multiLvlStrRef>
          </c:cat>
          <c:val>
            <c:numRef>
              <c:f>'M8 Rezeptur, geringerer EF'!$S$88:$U$88</c:f>
              <c:numCache>
                <c:formatCode>#,##0.0</c:formatCode>
                <c:ptCount val="3"/>
                <c:pt idx="0">
                  <c:v>35.884155059999998</c:v>
                </c:pt>
                <c:pt idx="1">
                  <c:v>35.884155059999998</c:v>
                </c:pt>
                <c:pt idx="2">
                  <c:v>35.884155059999998</c:v>
                </c:pt>
              </c:numCache>
            </c:numRef>
          </c:val>
          <c:extLst>
            <c:ext xmlns:c16="http://schemas.microsoft.com/office/drawing/2014/chart" uri="{C3380CC4-5D6E-409C-BE32-E72D297353CC}">
              <c16:uniqueId val="{00000009-AF53-4173-A362-835BDF7E1C65}"/>
            </c:ext>
          </c:extLst>
        </c:ser>
        <c:ser>
          <c:idx val="4"/>
          <c:order val="4"/>
          <c:tx>
            <c:strRef>
              <c:f>'M8 Rezeptur, geringerer EF'!$R$85</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'M8 Rezeptur, geringerer EF'!$S$85:$U$85</c:f>
              <c:numCache>
                <c:formatCode>#,##0.0</c:formatCode>
                <c:ptCount val="3"/>
                <c:pt idx="0">
                  <c:v>#N/A</c:v>
                </c:pt>
                <c:pt idx="1">
                  <c:v>#N/A</c:v>
                </c:pt>
                <c:pt idx="2">
                  <c:v>#N/A</c:v>
                </c:pt>
              </c:numCache>
            </c:numRef>
          </c:val>
          <c:extLst>
            <c:ext xmlns:c16="http://schemas.microsoft.com/office/drawing/2014/chart" uri="{C3380CC4-5D6E-409C-BE32-E72D297353CC}">
              <c16:uniqueId val="{0000000A-AF53-4173-A362-835BDF7E1C65}"/>
            </c:ext>
          </c:extLst>
        </c:ser>
        <c:ser>
          <c:idx val="5"/>
          <c:order val="5"/>
          <c:tx>
            <c:strRef>
              <c:f>'M8 Rezeptur, geringerer EF'!$R$86</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'M8 Rezeptur, geringerer EF'!$S$86:$U$86</c:f>
              <c:numCache>
                <c:formatCode>#,##0.0</c:formatCode>
                <c:ptCount val="3"/>
                <c:pt idx="0">
                  <c:v>#N/A</c:v>
                </c:pt>
                <c:pt idx="1">
                  <c:v>#N/A</c:v>
                </c:pt>
                <c:pt idx="2">
                  <c:v>#N/A</c:v>
                </c:pt>
              </c:numCache>
            </c:numRef>
          </c:val>
          <c:extLst>
            <c:ext xmlns:c16="http://schemas.microsoft.com/office/drawing/2014/chart" uri="{C3380CC4-5D6E-409C-BE32-E72D297353CC}">
              <c16:uniqueId val="{0000000B-AF53-4173-A362-835BDF7E1C65}"/>
            </c:ext>
          </c:extLst>
        </c:ser>
        <c:ser>
          <c:idx val="6"/>
          <c:order val="6"/>
          <c:tx>
            <c:strRef>
              <c:f>'M8 Rezeptur, geringerer EF'!$R$87</c:f>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'M8 Rezeptur, geringerer EF'!$S$87:$U$87</c:f>
              <c:numCache>
                <c:formatCode>#,##0.0</c:formatCode>
                <c:ptCount val="3"/>
                <c:pt idx="0">
                  <c:v>#N/A</c:v>
                </c:pt>
                <c:pt idx="1">
                  <c:v>#N/A</c:v>
                </c:pt>
                <c:pt idx="2">
                  <c:v>#N/A</c:v>
                </c:pt>
              </c:numCache>
            </c:numRef>
          </c:val>
          <c:extLst>
            <c:ext xmlns:c16="http://schemas.microsoft.com/office/drawing/2014/chart" uri="{C3380CC4-5D6E-409C-BE32-E72D297353CC}">
              <c16:uniqueId val="{0000000C-AF53-4173-A362-835BDF7E1C65}"/>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'M8 Rezeptur, geringerer EF'!$AA$82</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B4-4384-9591-959764CB8B2C}"/>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B4-4384-9591-959764CB8B2C}"/>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B4-4384-9591-959764CB8B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EF'!$AB$82:$AD$82</c:f>
              <c:numCache>
                <c:formatCode>#,##0</c:formatCode>
                <c:ptCount val="3"/>
                <c:pt idx="0">
                  <c:v>41.281733459999998</c:v>
                </c:pt>
                <c:pt idx="1">
                  <c:v>34.39057387091087</c:v>
                </c:pt>
                <c:pt idx="2">
                  <c:v>25.105144641628776</c:v>
                </c:pt>
              </c:numCache>
            </c:numRef>
          </c:val>
          <c:extLst>
            <c:ext xmlns:c16="http://schemas.microsoft.com/office/drawing/2014/chart" uri="{C3380CC4-5D6E-409C-BE32-E72D297353CC}">
              <c16:uniqueId val="{00000003-0DB4-4384-9591-959764CB8B2C}"/>
            </c:ext>
          </c:extLst>
        </c:ser>
        <c:ser>
          <c:idx val="1"/>
          <c:order val="1"/>
          <c:tx>
            <c:strRef>
              <c:f>'M8 Rezeptur, geringerer EF'!$AA$83</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B4-4384-9591-959764CB8B2C}"/>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B4-4384-9591-959764CB8B2C}"/>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B4-4384-9591-959764CB8B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EF'!$AB$83:$AD$83</c:f>
              <c:numCache>
                <c:formatCode>#,##0</c:formatCode>
                <c:ptCount val="3"/>
                <c:pt idx="0">
                  <c:v>469.15642799999995</c:v>
                </c:pt>
                <c:pt idx="1">
                  <c:v>469.15642799999995</c:v>
                </c:pt>
                <c:pt idx="2">
                  <c:v>469.15642799999995</c:v>
                </c:pt>
              </c:numCache>
            </c:numRef>
          </c:val>
          <c:extLst>
            <c:ext xmlns:c16="http://schemas.microsoft.com/office/drawing/2014/chart" uri="{C3380CC4-5D6E-409C-BE32-E72D297353CC}">
              <c16:uniqueId val="{00000007-0DB4-4384-9591-959764CB8B2C}"/>
            </c:ext>
          </c:extLst>
        </c:ser>
        <c:ser>
          <c:idx val="2"/>
          <c:order val="2"/>
          <c:tx>
            <c:strRef>
              <c:f>'M8 Rezeptur, geringerer EF'!$AA$84</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EF'!$AB$84:$AD$84</c:f>
              <c:numCache>
                <c:formatCode>#,##0</c:formatCode>
                <c:ptCount val="3"/>
                <c:pt idx="0">
                  <c:v>4548.5439999999999</c:v>
                </c:pt>
                <c:pt idx="1">
                  <c:v>4321.1167999999998</c:v>
                </c:pt>
                <c:pt idx="2">
                  <c:v>4093.6895999999997</c:v>
                </c:pt>
              </c:numCache>
            </c:numRef>
          </c:val>
          <c:extLst>
            <c:ext xmlns:c16="http://schemas.microsoft.com/office/drawing/2014/chart" uri="{C3380CC4-5D6E-409C-BE32-E72D297353CC}">
              <c16:uniqueId val="{00000008-0DB4-4384-9591-959764CB8B2C}"/>
            </c:ext>
          </c:extLst>
        </c:ser>
        <c:ser>
          <c:idx val="3"/>
          <c:order val="3"/>
          <c:tx>
            <c:strRef>
              <c:f>'M8 Rezeptur, geringerer EF'!$AA$85</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B4-4384-9591-959764CB8B2C}"/>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B4-4384-9591-959764CB8B2C}"/>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B4-4384-9591-959764CB8B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EF'!$AB$85:$AD$85</c:f>
              <c:numCache>
                <c:formatCode>#,##0</c:formatCode>
                <c:ptCount val="3"/>
                <c:pt idx="0">
                  <c:v>129.59200000000001</c:v>
                </c:pt>
                <c:pt idx="1">
                  <c:v>129.59200000000001</c:v>
                </c:pt>
                <c:pt idx="2">
                  <c:v>129.59200000000001</c:v>
                </c:pt>
              </c:numCache>
            </c:numRef>
          </c:val>
          <c:extLst>
            <c:ext xmlns:c16="http://schemas.microsoft.com/office/drawing/2014/chart" uri="{C3380CC4-5D6E-409C-BE32-E72D297353CC}">
              <c16:uniqueId val="{0000000C-0DB4-4384-9591-959764CB8B2C}"/>
            </c:ext>
          </c:extLst>
        </c:ser>
        <c:ser>
          <c:idx val="4"/>
          <c:order val="4"/>
          <c:tx>
            <c:strRef>
              <c:f>'M8 Rezeptur, geringerer EF'!$AA$86</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EF'!$AB$86:$AD$86</c:f>
              <c:numCache>
                <c:formatCode>#,##0</c:formatCode>
                <c:ptCount val="3"/>
                <c:pt idx="0">
                  <c:v>208</c:v>
                </c:pt>
                <c:pt idx="1">
                  <c:v>208</c:v>
                </c:pt>
                <c:pt idx="2">
                  <c:v>208</c:v>
                </c:pt>
              </c:numCache>
            </c:numRef>
          </c:val>
          <c:extLst>
            <c:ext xmlns:c16="http://schemas.microsoft.com/office/drawing/2014/chart" uri="{C3380CC4-5D6E-409C-BE32-E72D297353CC}">
              <c16:uniqueId val="{0000000D-0DB4-4384-9591-959764CB8B2C}"/>
            </c:ext>
          </c:extLst>
        </c:ser>
        <c:ser>
          <c:idx val="5"/>
          <c:order val="5"/>
          <c:tx>
            <c:strRef>
              <c:f>'M8 Rezeptur, geringerer EF'!$AA$87</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EF'!$AB$87:$AD$87</c:f>
              <c:numCache>
                <c:formatCode>#,##0</c:formatCode>
                <c:ptCount val="3"/>
                <c:pt idx="0">
                  <c:v>81.003999999999991</c:v>
                </c:pt>
                <c:pt idx="1">
                  <c:v>81.003999999999991</c:v>
                </c:pt>
                <c:pt idx="2">
                  <c:v>81.003999999999991</c:v>
                </c:pt>
              </c:numCache>
            </c:numRef>
          </c:val>
          <c:extLst>
            <c:ext xmlns:c16="http://schemas.microsoft.com/office/drawing/2014/chart" uri="{C3380CC4-5D6E-409C-BE32-E72D297353CC}">
              <c16:uniqueId val="{0000000E-0DB4-4384-9591-959764CB8B2C}"/>
            </c:ext>
          </c:extLst>
        </c:ser>
        <c:ser>
          <c:idx val="6"/>
          <c:order val="6"/>
          <c:tx>
            <c:strRef>
              <c:f>'M8 Rezeptur, geringerer EF'!$AA$88</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B4-4384-9591-959764CB8B2C}"/>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B4-4384-9591-959764CB8B2C}"/>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B4-4384-9591-959764CB8B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EF'!$AB$88:$AD$88</c:f>
              <c:numCache>
                <c:formatCode>#,##0</c:formatCode>
                <c:ptCount val="3"/>
                <c:pt idx="0">
                  <c:v>148.44746134951595</c:v>
                </c:pt>
                <c:pt idx="1">
                  <c:v>148.44746134951595</c:v>
                </c:pt>
                <c:pt idx="2">
                  <c:v>148.44746134951595</c:v>
                </c:pt>
              </c:numCache>
            </c:numRef>
          </c:val>
          <c:extLst>
            <c:ext xmlns:c16="http://schemas.microsoft.com/office/drawing/2014/chart" uri="{C3380CC4-5D6E-409C-BE32-E72D297353CC}">
              <c16:uniqueId val="{00000012-0DB4-4384-9591-959764CB8B2C}"/>
            </c:ext>
          </c:extLst>
        </c:ser>
        <c:ser>
          <c:idx val="11"/>
          <c:order val="7"/>
          <c:tx>
            <c:strRef>
              <c:f>'M8 Rezeptur, geringerer EF'!$AA$89</c:f>
              <c:strCache>
                <c:ptCount val="1"/>
                <c:pt idx="0">
                  <c:v>Zusätzliche Ersatzstoffe</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'M8 Rezeptur, geringerer EF'!$AB$89:$AD$89</c:f>
              <c:numCache>
                <c:formatCode>#,##0</c:formatCode>
                <c:ptCount val="3"/>
                <c:pt idx="0">
                  <c:v>0</c:v>
                </c:pt>
                <c:pt idx="1">
                  <c:v>0</c:v>
                </c:pt>
                <c:pt idx="2">
                  <c:v>0</c:v>
                </c:pt>
              </c:numCache>
            </c:numRef>
          </c:val>
          <c:extLst>
            <c:ext xmlns:c16="http://schemas.microsoft.com/office/drawing/2014/chart" uri="{C3380CC4-5D6E-409C-BE32-E72D297353CC}">
              <c16:uniqueId val="{00000013-0DB4-4384-9591-959764CB8B2C}"/>
            </c:ext>
          </c:extLst>
        </c:ser>
        <c:ser>
          <c:idx val="7"/>
          <c:order val="8"/>
          <c:tx>
            <c:strRef>
              <c:f>'M8 Rezeptur, geringerer EF'!$AA$90</c:f>
              <c:strCache>
                <c:ptCount val="1"/>
                <c:pt idx="0">
                  <c:v>Wasser &amp; Abwasser</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EF'!$AB$90:$AD$90</c:f>
              <c:numCache>
                <c:formatCode>#,##0</c:formatCode>
                <c:ptCount val="3"/>
                <c:pt idx="0">
                  <c:v>0.54400000000000004</c:v>
                </c:pt>
                <c:pt idx="1">
                  <c:v>0.54400000000000004</c:v>
                </c:pt>
                <c:pt idx="2">
                  <c:v>0.54400000000000004</c:v>
                </c:pt>
              </c:numCache>
            </c:numRef>
          </c:val>
          <c:extLst>
            <c:ext xmlns:c16="http://schemas.microsoft.com/office/drawing/2014/chart" uri="{C3380CC4-5D6E-409C-BE32-E72D297353CC}">
              <c16:uniqueId val="{00000014-0DB4-4384-9591-959764CB8B2C}"/>
            </c:ext>
          </c:extLst>
        </c:ser>
        <c:ser>
          <c:idx val="8"/>
          <c:order val="9"/>
          <c:tx>
            <c:strRef>
              <c:f>'M8 Rezeptur, geringerer EF'!$AA$91</c:f>
              <c:strCache>
                <c:ptCount val="1"/>
                <c:pt idx="0">
                  <c:v>Oberflächenschutzsysteme</c:v>
                </c:pt>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EF'!$AB$91:$AD$91</c:f>
              <c:numCache>
                <c:formatCode>#,##0</c:formatCode>
                <c:ptCount val="3"/>
                <c:pt idx="0">
                  <c:v>80.47999999999999</c:v>
                </c:pt>
                <c:pt idx="1">
                  <c:v>0.16095999999999999</c:v>
                </c:pt>
                <c:pt idx="2">
                  <c:v>0.16095999999999999</c:v>
                </c:pt>
              </c:numCache>
            </c:numRef>
          </c:val>
          <c:extLst>
            <c:ext xmlns:c16="http://schemas.microsoft.com/office/drawing/2014/chart" uri="{C3380CC4-5D6E-409C-BE32-E72D297353CC}">
              <c16:uniqueId val="{00000015-0DB4-4384-9591-959764CB8B2C}"/>
            </c:ext>
          </c:extLst>
        </c:ser>
        <c:ser>
          <c:idx val="9"/>
          <c:order val="10"/>
          <c:tx>
            <c:strRef>
              <c:f>'M8 Rezeptur, geringerer EF'!$AA$92</c:f>
              <c:strCache>
                <c:ptCount val="1"/>
                <c:pt idx="0">
                  <c:v>Oberflächenbearbeitung (vor/nach Erhärtung)</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EF'!$AB$92:$AD$92</c:f>
              <c:numCache>
                <c:formatCode>#,##0</c:formatCode>
                <c:ptCount val="3"/>
                <c:pt idx="0">
                  <c:v>60</c:v>
                </c:pt>
                <c:pt idx="1">
                  <c:v>60</c:v>
                </c:pt>
                <c:pt idx="2">
                  <c:v>60</c:v>
                </c:pt>
              </c:numCache>
            </c:numRef>
          </c:val>
          <c:extLst>
            <c:ext xmlns:c16="http://schemas.microsoft.com/office/drawing/2014/chart" uri="{C3380CC4-5D6E-409C-BE32-E72D297353CC}">
              <c16:uniqueId val="{00000016-0DB4-4384-9591-959764CB8B2C}"/>
            </c:ext>
          </c:extLst>
        </c:ser>
        <c:ser>
          <c:idx val="10"/>
          <c:order val="11"/>
          <c:tx>
            <c:strRef>
              <c:f>'M8 Rezeptur, geringerer EF'!$AA$93</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DB4-4384-9591-959764CB8B2C}"/>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DB4-4384-9591-959764CB8B2C}"/>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DB4-4384-9591-959764CB8B2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'M8 Rezeptur, geringerer EF'!$S$41:$U$42</c:f>
              <c:multiLvlStrCache>
                <c:ptCount val="3"/>
                <c:lvl>
                  <c:pt idx="0">
                    <c:v>Referenz</c:v>
                  </c:pt>
                </c:lvl>
                <c:lvl>
                  <c:pt idx="0">
                    <c:v>0</c:v>
                  </c:pt>
                  <c:pt idx="1">
                    <c:v>5</c:v>
                  </c:pt>
                  <c:pt idx="2">
                    <c:v>10</c:v>
                  </c:pt>
                </c:lvl>
              </c:multiLvlStrCache>
            </c:multiLvlStrRef>
          </c:cat>
          <c:val>
            <c:numRef>
              <c:f>'M8 Rezeptur, geringerer EF'!$AB$93:$AD$93</c:f>
              <c:numCache>
                <c:formatCode>#,##0</c:formatCode>
                <c:ptCount val="3"/>
                <c:pt idx="0">
                  <c:v>64.48</c:v>
                </c:pt>
                <c:pt idx="1">
                  <c:v>64.48</c:v>
                </c:pt>
                <c:pt idx="2">
                  <c:v>64.48</c:v>
                </c:pt>
              </c:numCache>
            </c:numRef>
          </c:val>
          <c:extLst>
            <c:ext xmlns:c16="http://schemas.microsoft.com/office/drawing/2014/chart" uri="{C3380CC4-5D6E-409C-BE32-E72D297353CC}">
              <c16:uniqueId val="{0000001A-0DB4-4384-9591-959764CB8B2C}"/>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'M9 Rezeptur, Recycling'!$AB$47</c:f>
              <c:strCache>
                <c:ptCount val="1"/>
                <c:pt idx="0">
                  <c:v>Scope 3</c:v>
                </c:pt>
              </c:strCache>
            </c:strRef>
          </c:tx>
          <c:spPr>
            <a:solidFill>
              <a:schemeClr val="accent3"/>
            </a:solidFill>
            <a:ln>
              <a:noFill/>
            </a:ln>
            <a:effectLst/>
          </c:spPr>
          <c:invertIfNegative val="0"/>
          <c:cat>
            <c:multiLvlStrRef>
              <c:f>'M9 Rezeptur, Recycling'!$AC$43:$AE$44</c:f>
              <c:multiLvlStrCache>
                <c:ptCount val="3"/>
                <c:lvl>
                  <c:pt idx="0">
                    <c:v>Referenz</c:v>
                  </c:pt>
                </c:lvl>
                <c:lvl>
                  <c:pt idx="0">
                    <c:v>0</c:v>
                  </c:pt>
                  <c:pt idx="1">
                    <c:v>5</c:v>
                  </c:pt>
                  <c:pt idx="2">
                    <c:v>10</c:v>
                  </c:pt>
                </c:lvl>
              </c:multiLvlStrCache>
            </c:multiLvlStrRef>
          </c:cat>
          <c:val>
            <c:numRef>
              <c:f>'M9 Rezeptur, Recycling'!$AC$47:$AE$47</c:f>
              <c:numCache>
                <c:formatCode>#,##0</c:formatCode>
                <c:ptCount val="3"/>
                <c:pt idx="0">
                  <c:v>5831.5296228095176</c:v>
                </c:pt>
                <c:pt idx="1">
                  <c:v>5744.3194232204278</c:v>
                </c:pt>
                <c:pt idx="2">
                  <c:v>5735.0339939911482</c:v>
                </c:pt>
              </c:numCache>
            </c:numRef>
          </c:val>
          <c:extLst>
            <c:ext xmlns:c16="http://schemas.microsoft.com/office/drawing/2014/chart" uri="{C3380CC4-5D6E-409C-BE32-E72D297353CC}">
              <c16:uniqueId val="{00000000-42FD-4D2F-8FDA-3455B38A44B5}"/>
            </c:ext>
          </c:extLst>
        </c:ser>
        <c:ser>
          <c:idx val="1"/>
          <c:order val="1"/>
          <c:tx>
            <c:strRef>
              <c:f>'M9 Rezeptur, Recycling'!$AB$46</c:f>
              <c:strCache>
                <c:ptCount val="1"/>
                <c:pt idx="0">
                  <c:v>Scope 2</c:v>
                </c:pt>
              </c:strCache>
            </c:strRef>
          </c:tx>
          <c:spPr>
            <a:solidFill>
              <a:schemeClr val="accent2"/>
            </a:solidFill>
            <a:ln>
              <a:noFill/>
            </a:ln>
            <a:effectLst/>
          </c:spPr>
          <c:invertIfNegative val="0"/>
          <c:cat>
            <c:multiLvlStrRef>
              <c:f>'M9 Rezeptur, Recycling'!$AC$43:$AE$44</c:f>
              <c:multiLvlStrCache>
                <c:ptCount val="3"/>
                <c:lvl>
                  <c:pt idx="0">
                    <c:v>Referenz</c:v>
                  </c:pt>
                </c:lvl>
                <c:lvl>
                  <c:pt idx="0">
                    <c:v>0</c:v>
                  </c:pt>
                  <c:pt idx="1">
                    <c:v>5</c:v>
                  </c:pt>
                  <c:pt idx="2">
                    <c:v>10</c:v>
                  </c:pt>
                </c:lvl>
              </c:multiLvlStrCache>
            </c:multiLvlStrRef>
          </c:cat>
          <c:val>
            <c:numRef>
              <c:f>'M9 Rezeptur, Recycling'!$AC$46:$AE$46</c:f>
              <c:numCache>
                <c:formatCode>#,##0</c:formatCode>
                <c:ptCount val="3"/>
                <c:pt idx="0">
                  <c:v>171.9</c:v>
                </c:pt>
                <c:pt idx="1">
                  <c:v>124.8924470887134</c:v>
                </c:pt>
                <c:pt idx="2">
                  <c:v>61.552554846110553</c:v>
                </c:pt>
              </c:numCache>
            </c:numRef>
          </c:val>
          <c:extLst>
            <c:ext xmlns:c16="http://schemas.microsoft.com/office/drawing/2014/chart" uri="{C3380CC4-5D6E-409C-BE32-E72D297353CC}">
              <c16:uniqueId val="{00000001-42FD-4D2F-8FDA-3455B38A44B5}"/>
            </c:ext>
          </c:extLst>
        </c:ser>
        <c:ser>
          <c:idx val="0"/>
          <c:order val="2"/>
          <c:tx>
            <c:strRef>
              <c:f>'M9 Rezeptur, Recycling'!$AB$45</c:f>
              <c:strCache>
                <c:ptCount val="1"/>
                <c:pt idx="0">
                  <c:v>Scope 1 </c:v>
                </c:pt>
              </c:strCache>
            </c:strRef>
          </c:tx>
          <c:spPr>
            <a:solidFill>
              <a:schemeClr val="accent1"/>
            </a:solidFill>
            <a:ln>
              <a:noFill/>
            </a:ln>
            <a:effectLst/>
          </c:spPr>
          <c:invertIfNegative val="0"/>
          <c:cat>
            <c:multiLvlStrRef>
              <c:f>'M9 Rezeptur, Recycling'!$AC$43:$AE$44</c:f>
              <c:multiLvlStrCache>
                <c:ptCount val="3"/>
                <c:lvl>
                  <c:pt idx="0">
                    <c:v>Referenz</c:v>
                  </c:pt>
                </c:lvl>
                <c:lvl>
                  <c:pt idx="0">
                    <c:v>0</c:v>
                  </c:pt>
                  <c:pt idx="1">
                    <c:v>5</c:v>
                  </c:pt>
                  <c:pt idx="2">
                    <c:v>10</c:v>
                  </c:pt>
                </c:lvl>
              </c:multiLvlStrCache>
            </c:multiLvlStrRef>
          </c:cat>
          <c:val>
            <c:numRef>
              <c:f>'M9 Rezeptur, Recycling'!$AC$45:$AE$45</c:f>
              <c:numCache>
                <c:formatCode>#,##0</c:formatCode>
                <c:ptCount val="3"/>
                <c:pt idx="0">
                  <c:v>94.932355060000006</c:v>
                </c:pt>
                <c:pt idx="1">
                  <c:v>94.932355060000006</c:v>
                </c:pt>
                <c:pt idx="2">
                  <c:v>94.932355060000006</c:v>
                </c:pt>
              </c:numCache>
            </c:numRef>
          </c:val>
          <c:extLst>
            <c:ext xmlns:c16="http://schemas.microsoft.com/office/drawing/2014/chart" uri="{C3380CC4-5D6E-409C-BE32-E72D297353CC}">
              <c16:uniqueId val="{00000002-42FD-4D2F-8FDA-3455B38A44B5}"/>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'M9 Rezeptur, Recycling'!$AK$84</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Recycling'!$AL$84:$AN$84</c:f>
              <c:numCache>
                <c:formatCode>#,##0\ "€"</c:formatCode>
                <c:ptCount val="3"/>
                <c:pt idx="0">
                  <c:v>109669</c:v>
                </c:pt>
                <c:pt idx="1">
                  <c:v>109669</c:v>
                </c:pt>
                <c:pt idx="2">
                  <c:v>109669</c:v>
                </c:pt>
              </c:numCache>
            </c:numRef>
          </c:val>
          <c:extLst>
            <c:ext xmlns:c16="http://schemas.microsoft.com/office/drawing/2014/chart" uri="{C3380CC4-5D6E-409C-BE32-E72D297353CC}">
              <c16:uniqueId val="{00000000-23BB-441E-ABED-BF1DCD10C96B}"/>
            </c:ext>
          </c:extLst>
        </c:ser>
        <c:ser>
          <c:idx val="1"/>
          <c:order val="1"/>
          <c:tx>
            <c:strRef>
              <c:f>'M9 Rezeptur, Recycling'!$AK$92</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3BB-441E-ABED-BF1DCD10C96B}"/>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Recycling'!$AL$92:$AN$92</c:f>
              <c:numCache>
                <c:formatCode>#,##0\ "€"</c:formatCode>
                <c:ptCount val="3"/>
                <c:pt idx="0">
                  <c:v>0</c:v>
                </c:pt>
                <c:pt idx="1">
                  <c:v>0</c:v>
                </c:pt>
                <c:pt idx="2">
                  <c:v>0</c:v>
                </c:pt>
              </c:numCache>
            </c:numRef>
          </c:val>
          <c:extLst>
            <c:ext xmlns:c16="http://schemas.microsoft.com/office/drawing/2014/chart" uri="{C3380CC4-5D6E-409C-BE32-E72D297353CC}">
              <c16:uniqueId val="{00000002-23BB-441E-ABED-BF1DCD10C96B}"/>
            </c:ext>
          </c:extLst>
        </c:ser>
        <c:ser>
          <c:idx val="2"/>
          <c:order val="2"/>
          <c:tx>
            <c:strRef>
              <c:f>'M9 Rezeptur, Recycling'!$AK$93</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Recycling'!$AL$93:$AN$93</c:f>
              <c:numCache>
                <c:formatCode>#,##0\ "€"</c:formatCode>
                <c:ptCount val="3"/>
                <c:pt idx="0">
                  <c:v>0</c:v>
                </c:pt>
                <c:pt idx="1">
                  <c:v>0</c:v>
                </c:pt>
                <c:pt idx="2">
                  <c:v>0</c:v>
                </c:pt>
              </c:numCache>
            </c:numRef>
          </c:val>
          <c:extLst>
            <c:ext xmlns:c16="http://schemas.microsoft.com/office/drawing/2014/chart" uri="{C3380CC4-5D6E-409C-BE32-E72D297353CC}">
              <c16:uniqueId val="{00000003-23BB-441E-ABED-BF1DCD10C96B}"/>
            </c:ext>
          </c:extLst>
        </c:ser>
        <c:ser>
          <c:idx val="3"/>
          <c:order val="3"/>
          <c:tx>
            <c:strRef>
              <c:f>'M9 Rezeptur, Recycling'!$AK$94</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Recycling'!$AL$94:$AN$94</c:f>
              <c:numCache>
                <c:formatCode>#,##0\ "€"</c:formatCode>
                <c:ptCount val="3"/>
                <c:pt idx="0">
                  <c:v>0</c:v>
                </c:pt>
                <c:pt idx="1">
                  <c:v>0</c:v>
                </c:pt>
                <c:pt idx="2">
                  <c:v>0</c:v>
                </c:pt>
              </c:numCache>
            </c:numRef>
          </c:val>
          <c:extLst>
            <c:ext xmlns:c16="http://schemas.microsoft.com/office/drawing/2014/chart" uri="{C3380CC4-5D6E-409C-BE32-E72D297353CC}">
              <c16:uniqueId val="{00000004-23BB-441E-ABED-BF1DCD10C96B}"/>
            </c:ext>
          </c:extLst>
        </c:ser>
        <c:ser>
          <c:idx val="4"/>
          <c:order val="4"/>
          <c:tx>
            <c:strRef>
              <c:f>'M9 Rezeptur, Recycling'!$AK$95</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'M9 Rezeptur, Recycling'!$AL$95:$AN$95</c:f>
              <c:numCache>
                <c:formatCode>#,##0\ "€"</c:formatCode>
                <c:ptCount val="3"/>
                <c:pt idx="0">
                  <c:v>152459.04944673795</c:v>
                </c:pt>
                <c:pt idx="1">
                  <c:v>268386.49014161137</c:v>
                </c:pt>
                <c:pt idx="2">
                  <c:v>471321.51231178071</c:v>
                </c:pt>
              </c:numCache>
            </c:numRef>
          </c:val>
          <c:extLst>
            <c:ext xmlns:c16="http://schemas.microsoft.com/office/drawing/2014/chart" uri="{C3380CC4-5D6E-409C-BE32-E72D297353CC}">
              <c16:uniqueId val="{00000005-23BB-441E-ABED-BF1DCD10C96B}"/>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'M9 Rezeptur, Recycling'!$S$84</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A-4E28-98E2-5F215E6919B8}"/>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7A-4E28-98E2-5F215E6919B8}"/>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7A-4E28-98E2-5F215E6919B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Recycling'!$T$84:$V$84</c:f>
              <c:numCache>
                <c:formatCode>#,##0.0</c:formatCode>
                <c:ptCount val="3"/>
                <c:pt idx="0">
                  <c:v>43.0426</c:v>
                </c:pt>
                <c:pt idx="1">
                  <c:v>43.0426</c:v>
                </c:pt>
                <c:pt idx="2">
                  <c:v>43.0426</c:v>
                </c:pt>
              </c:numCache>
            </c:numRef>
          </c:val>
          <c:extLst>
            <c:ext xmlns:c16="http://schemas.microsoft.com/office/drawing/2014/chart" uri="{C3380CC4-5D6E-409C-BE32-E72D297353CC}">
              <c16:uniqueId val="{00000003-D97A-4E28-98E2-5F215E6919B8}"/>
            </c:ext>
          </c:extLst>
        </c:ser>
        <c:ser>
          <c:idx val="1"/>
          <c:order val="1"/>
          <c:tx>
            <c:strRef>
              <c:f>'M9 Rezeptur, Recycling'!$S$85</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7A-4E28-98E2-5F215E6919B8}"/>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7A-4E28-98E2-5F215E6919B8}"/>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7A-4E28-98E2-5F215E6919B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Recycling'!$T$85:$V$85</c:f>
              <c:numCache>
                <c:formatCode>#,##0.0</c:formatCode>
                <c:ptCount val="3"/>
                <c:pt idx="0">
                  <c:v>16.005600000000001</c:v>
                </c:pt>
                <c:pt idx="1">
                  <c:v>16.005600000000001</c:v>
                </c:pt>
                <c:pt idx="2">
                  <c:v>16.005600000000001</c:v>
                </c:pt>
              </c:numCache>
            </c:numRef>
          </c:val>
          <c:extLst>
            <c:ext xmlns:c16="http://schemas.microsoft.com/office/drawing/2014/chart" uri="{C3380CC4-5D6E-409C-BE32-E72D297353CC}">
              <c16:uniqueId val="{00000007-D97A-4E28-98E2-5F215E6919B8}"/>
            </c:ext>
          </c:extLst>
        </c:ser>
        <c:ser>
          <c:idx val="2"/>
          <c:order val="2"/>
          <c:tx>
            <c:strRef>
              <c:f>'M9 Rezeptur, Recycling'!$S$86</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Recycling'!$T$86:$V$86</c:f>
              <c:numCache>
                <c:formatCode>#,##0.0</c:formatCode>
                <c:ptCount val="3"/>
                <c:pt idx="0">
                  <c:v>171.9</c:v>
                </c:pt>
                <c:pt idx="1">
                  <c:v>124.8924470887134</c:v>
                </c:pt>
                <c:pt idx="2">
                  <c:v>61.552554846110553</c:v>
                </c:pt>
              </c:numCache>
            </c:numRef>
          </c:val>
          <c:extLst>
            <c:ext xmlns:c16="http://schemas.microsoft.com/office/drawing/2014/chart" uri="{C3380CC4-5D6E-409C-BE32-E72D297353CC}">
              <c16:uniqueId val="{00000008-D97A-4E28-98E2-5F215E6919B8}"/>
            </c:ext>
          </c:extLst>
        </c:ser>
        <c:ser>
          <c:idx val="3"/>
          <c:order val="3"/>
          <c:tx>
            <c:strRef>
              <c:f>'M9 Rezeptur, Recycling'!$S$90</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Recycling'!$AC$52:$AE$53</c:f>
              <c:multiLvlStrCache>
                <c:ptCount val="3"/>
                <c:lvl>
                  <c:pt idx="0">
                    <c:v>Referenz</c:v>
                  </c:pt>
                </c:lvl>
                <c:lvl>
                  <c:pt idx="0">
                    <c:v>0</c:v>
                  </c:pt>
                  <c:pt idx="1">
                    <c:v>5</c:v>
                  </c:pt>
                  <c:pt idx="2">
                    <c:v>10</c:v>
                  </c:pt>
                </c:lvl>
              </c:multiLvlStrCache>
            </c:multiLvlStrRef>
          </c:cat>
          <c:val>
            <c:numRef>
              <c:f>'M9 Rezeptur, Recycling'!$T$90:$V$90</c:f>
              <c:numCache>
                <c:formatCode>#,##0.0</c:formatCode>
                <c:ptCount val="3"/>
                <c:pt idx="0">
                  <c:v>35.884155059999998</c:v>
                </c:pt>
                <c:pt idx="1">
                  <c:v>35.884155059999998</c:v>
                </c:pt>
                <c:pt idx="2">
                  <c:v>35.884155059999998</c:v>
                </c:pt>
              </c:numCache>
            </c:numRef>
          </c:val>
          <c:extLst>
            <c:ext xmlns:c16="http://schemas.microsoft.com/office/drawing/2014/chart" uri="{C3380CC4-5D6E-409C-BE32-E72D297353CC}">
              <c16:uniqueId val="{00000009-D97A-4E28-98E2-5F215E6919B8}"/>
            </c:ext>
          </c:extLst>
        </c:ser>
        <c:ser>
          <c:idx val="4"/>
          <c:order val="4"/>
          <c:tx>
            <c:strRef>
              <c:f>'M9 Rezeptur, Recycling'!$S$87</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'M9 Rezeptur, Recycling'!$T$87:$V$87</c:f>
              <c:numCache>
                <c:formatCode>#,##0.0</c:formatCode>
                <c:ptCount val="3"/>
                <c:pt idx="0">
                  <c:v>#N/A</c:v>
                </c:pt>
                <c:pt idx="1">
                  <c:v>#N/A</c:v>
                </c:pt>
                <c:pt idx="2">
                  <c:v>#N/A</c:v>
                </c:pt>
              </c:numCache>
            </c:numRef>
          </c:val>
          <c:extLst>
            <c:ext xmlns:c16="http://schemas.microsoft.com/office/drawing/2014/chart" uri="{C3380CC4-5D6E-409C-BE32-E72D297353CC}">
              <c16:uniqueId val="{0000000A-D97A-4E28-98E2-5F215E6919B8}"/>
            </c:ext>
          </c:extLst>
        </c:ser>
        <c:ser>
          <c:idx val="5"/>
          <c:order val="5"/>
          <c:tx>
            <c:strRef>
              <c:f>'M9 Rezeptur, Recycling'!$S$88</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'M9 Rezeptur, Recycling'!$T$88:$V$88</c:f>
              <c:numCache>
                <c:formatCode>#,##0.0</c:formatCode>
                <c:ptCount val="3"/>
                <c:pt idx="0">
                  <c:v>#N/A</c:v>
                </c:pt>
                <c:pt idx="1">
                  <c:v>#N/A</c:v>
                </c:pt>
                <c:pt idx="2">
                  <c:v>#N/A</c:v>
                </c:pt>
              </c:numCache>
            </c:numRef>
          </c:val>
          <c:extLst>
            <c:ext xmlns:c16="http://schemas.microsoft.com/office/drawing/2014/chart" uri="{C3380CC4-5D6E-409C-BE32-E72D297353CC}">
              <c16:uniqueId val="{0000000B-D97A-4E28-98E2-5F215E6919B8}"/>
            </c:ext>
          </c:extLst>
        </c:ser>
        <c:ser>
          <c:idx val="6"/>
          <c:order val="6"/>
          <c:tx>
            <c:strRef>
              <c:f>'M9 Rezeptur, Recycling'!$S$89</c:f>
              <c:strCache>
                <c:ptCount val="1"/>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'M9 Rezeptur, Recycling'!$T$89:$V$89</c:f>
              <c:numCache>
                <c:formatCode>#,##0.0</c:formatCode>
                <c:ptCount val="3"/>
                <c:pt idx="0">
                  <c:v>#N/A</c:v>
                </c:pt>
                <c:pt idx="1">
                  <c:v>#N/A</c:v>
                </c:pt>
                <c:pt idx="2">
                  <c:v>#N/A</c:v>
                </c:pt>
              </c:numCache>
            </c:numRef>
          </c:val>
          <c:extLst>
            <c:ext xmlns:c16="http://schemas.microsoft.com/office/drawing/2014/chart" uri="{C3380CC4-5D6E-409C-BE32-E72D297353CC}">
              <c16:uniqueId val="{0000000C-D97A-4E28-98E2-5F215E6919B8}"/>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'M9 Rezeptur, Recycling'!$AB$84</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A6-436F-BF86-6396E5D4D208}"/>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A6-436F-BF86-6396E5D4D208}"/>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A6-436F-BF86-6396E5D4D2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Recycling'!$AC$84:$AE$84</c:f>
              <c:numCache>
                <c:formatCode>#,##0</c:formatCode>
                <c:ptCount val="3"/>
                <c:pt idx="0">
                  <c:v>41.281733459999998</c:v>
                </c:pt>
                <c:pt idx="1">
                  <c:v>34.39057387091087</c:v>
                </c:pt>
                <c:pt idx="2">
                  <c:v>25.105144641628776</c:v>
                </c:pt>
              </c:numCache>
            </c:numRef>
          </c:val>
          <c:extLst>
            <c:ext xmlns:c16="http://schemas.microsoft.com/office/drawing/2014/chart" uri="{C3380CC4-5D6E-409C-BE32-E72D297353CC}">
              <c16:uniqueId val="{00000003-E8A6-436F-BF86-6396E5D4D208}"/>
            </c:ext>
          </c:extLst>
        </c:ser>
        <c:ser>
          <c:idx val="1"/>
          <c:order val="1"/>
          <c:tx>
            <c:strRef>
              <c:f>'M9 Rezeptur, Recycling'!$AB$85</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A6-436F-BF86-6396E5D4D208}"/>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A6-436F-BF86-6396E5D4D208}"/>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A6-436F-BF86-6396E5D4D2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Recycling'!$AC$85:$AE$85</c:f>
              <c:numCache>
                <c:formatCode>#,##0</c:formatCode>
                <c:ptCount val="3"/>
                <c:pt idx="0">
                  <c:v>469.15642799999995</c:v>
                </c:pt>
                <c:pt idx="1">
                  <c:v>469.15642799999995</c:v>
                </c:pt>
                <c:pt idx="2">
                  <c:v>469.15642799999995</c:v>
                </c:pt>
              </c:numCache>
            </c:numRef>
          </c:val>
          <c:extLst>
            <c:ext xmlns:c16="http://schemas.microsoft.com/office/drawing/2014/chart" uri="{C3380CC4-5D6E-409C-BE32-E72D297353CC}">
              <c16:uniqueId val="{00000007-E8A6-436F-BF86-6396E5D4D208}"/>
            </c:ext>
          </c:extLst>
        </c:ser>
        <c:ser>
          <c:idx val="2"/>
          <c:order val="2"/>
          <c:tx>
            <c:strRef>
              <c:f>'M9 Rezeptur, Recycling'!$AB$86</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Recycling'!$AC$86:$AE$86</c:f>
              <c:numCache>
                <c:formatCode>#,##0</c:formatCode>
                <c:ptCount val="3"/>
                <c:pt idx="0">
                  <c:v>4548.5439999999999</c:v>
                </c:pt>
                <c:pt idx="1">
                  <c:v>4548.5439999999999</c:v>
                </c:pt>
                <c:pt idx="2">
                  <c:v>4548.5439999999999</c:v>
                </c:pt>
              </c:numCache>
            </c:numRef>
          </c:val>
          <c:extLst>
            <c:ext xmlns:c16="http://schemas.microsoft.com/office/drawing/2014/chart" uri="{C3380CC4-5D6E-409C-BE32-E72D297353CC}">
              <c16:uniqueId val="{00000008-E8A6-436F-BF86-6396E5D4D208}"/>
            </c:ext>
          </c:extLst>
        </c:ser>
        <c:ser>
          <c:idx val="3"/>
          <c:order val="3"/>
          <c:tx>
            <c:strRef>
              <c:f>'M9 Rezeptur, Recycling'!$AB$87</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A6-436F-BF86-6396E5D4D208}"/>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A6-436F-BF86-6396E5D4D208}"/>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A6-436F-BF86-6396E5D4D2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Recycling'!$AC$87:$AE$87</c:f>
              <c:numCache>
                <c:formatCode>#,##0</c:formatCode>
                <c:ptCount val="3"/>
                <c:pt idx="0">
                  <c:v>129.59200000000001</c:v>
                </c:pt>
                <c:pt idx="1">
                  <c:v>129.59200000000001</c:v>
                </c:pt>
                <c:pt idx="2">
                  <c:v>129.59200000000001</c:v>
                </c:pt>
              </c:numCache>
            </c:numRef>
          </c:val>
          <c:extLst>
            <c:ext xmlns:c16="http://schemas.microsoft.com/office/drawing/2014/chart" uri="{C3380CC4-5D6E-409C-BE32-E72D297353CC}">
              <c16:uniqueId val="{0000000C-E8A6-436F-BF86-6396E5D4D208}"/>
            </c:ext>
          </c:extLst>
        </c:ser>
        <c:ser>
          <c:idx val="4"/>
          <c:order val="4"/>
          <c:tx>
            <c:strRef>
              <c:f>'M9 Rezeptur, Recycling'!$AB$88</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Recycling'!$AC$88:$AE$88</c:f>
              <c:numCache>
                <c:formatCode>#,##0</c:formatCode>
                <c:ptCount val="3"/>
                <c:pt idx="0">
                  <c:v>208</c:v>
                </c:pt>
                <c:pt idx="1">
                  <c:v>208</c:v>
                </c:pt>
                <c:pt idx="2">
                  <c:v>208</c:v>
                </c:pt>
              </c:numCache>
            </c:numRef>
          </c:val>
          <c:extLst>
            <c:ext xmlns:c16="http://schemas.microsoft.com/office/drawing/2014/chart" uri="{C3380CC4-5D6E-409C-BE32-E72D297353CC}">
              <c16:uniqueId val="{0000000D-E8A6-436F-BF86-6396E5D4D208}"/>
            </c:ext>
          </c:extLst>
        </c:ser>
        <c:ser>
          <c:idx val="5"/>
          <c:order val="5"/>
          <c:tx>
            <c:strRef>
              <c:f>'M9 Rezeptur, Recycling'!$AB$89</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Recycling'!$AC$89:$AE$89</c:f>
              <c:numCache>
                <c:formatCode>#,##0</c:formatCode>
                <c:ptCount val="3"/>
                <c:pt idx="0">
                  <c:v>81.003999999999991</c:v>
                </c:pt>
                <c:pt idx="1">
                  <c:v>81.003999999999991</c:v>
                </c:pt>
                <c:pt idx="2">
                  <c:v>81.003999999999991</c:v>
                </c:pt>
              </c:numCache>
            </c:numRef>
          </c:val>
          <c:extLst>
            <c:ext xmlns:c16="http://schemas.microsoft.com/office/drawing/2014/chart" uri="{C3380CC4-5D6E-409C-BE32-E72D297353CC}">
              <c16:uniqueId val="{0000000E-E8A6-436F-BF86-6396E5D4D208}"/>
            </c:ext>
          </c:extLst>
        </c:ser>
        <c:ser>
          <c:idx val="6"/>
          <c:order val="6"/>
          <c:tx>
            <c:strRef>
              <c:f>'M9 Rezeptur, Recycling'!$AB$90</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A6-436F-BF86-6396E5D4D208}"/>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A6-436F-BF86-6396E5D4D208}"/>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A6-436F-BF86-6396E5D4D2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Recycling'!$AC$90:$AE$90</c:f>
              <c:numCache>
                <c:formatCode>#,##0</c:formatCode>
                <c:ptCount val="3"/>
                <c:pt idx="0">
                  <c:v>148.44746134951595</c:v>
                </c:pt>
                <c:pt idx="1">
                  <c:v>148.44746134951595</c:v>
                </c:pt>
                <c:pt idx="2">
                  <c:v>148.44746134951595</c:v>
                </c:pt>
              </c:numCache>
            </c:numRef>
          </c:val>
          <c:extLst>
            <c:ext xmlns:c16="http://schemas.microsoft.com/office/drawing/2014/chart" uri="{C3380CC4-5D6E-409C-BE32-E72D297353CC}">
              <c16:uniqueId val="{00000012-E8A6-436F-BF86-6396E5D4D208}"/>
            </c:ext>
          </c:extLst>
        </c:ser>
        <c:ser>
          <c:idx val="11"/>
          <c:order val="7"/>
          <c:tx>
            <c:strRef>
              <c:f>'M9 Rezeptur, Recycling'!$AB$91</c:f>
              <c:strCache>
                <c:ptCount val="1"/>
                <c:pt idx="0">
                  <c:v>Ersatzstoffe &amp; Recyclingmaterial</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'M9 Rezeptur, Recycling'!$AC$91:$AE$91</c:f>
              <c:numCache>
                <c:formatCode>#,##0</c:formatCode>
                <c:ptCount val="3"/>
                <c:pt idx="0">
                  <c:v>0</c:v>
                </c:pt>
                <c:pt idx="1">
                  <c:v>0</c:v>
                </c:pt>
                <c:pt idx="2">
                  <c:v>0</c:v>
                </c:pt>
              </c:numCache>
            </c:numRef>
          </c:val>
          <c:extLst>
            <c:ext xmlns:c16="http://schemas.microsoft.com/office/drawing/2014/chart" uri="{C3380CC4-5D6E-409C-BE32-E72D297353CC}">
              <c16:uniqueId val="{00000013-E8A6-436F-BF86-6396E5D4D208}"/>
            </c:ext>
          </c:extLst>
        </c:ser>
        <c:ser>
          <c:idx val="7"/>
          <c:order val="8"/>
          <c:tx>
            <c:strRef>
              <c:f>'M9 Rezeptur, Recycling'!$AB$92</c:f>
              <c:strCache>
                <c:ptCount val="1"/>
                <c:pt idx="0">
                  <c:v>Wasser &amp; Abwasser</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Recycling'!$AC$92:$AE$92</c:f>
              <c:numCache>
                <c:formatCode>#,##0</c:formatCode>
                <c:ptCount val="3"/>
                <c:pt idx="0">
                  <c:v>0.54400000000000004</c:v>
                </c:pt>
                <c:pt idx="1">
                  <c:v>0.54400000000000004</c:v>
                </c:pt>
                <c:pt idx="2">
                  <c:v>0.54400000000000004</c:v>
                </c:pt>
              </c:numCache>
            </c:numRef>
          </c:val>
          <c:extLst>
            <c:ext xmlns:c16="http://schemas.microsoft.com/office/drawing/2014/chart" uri="{C3380CC4-5D6E-409C-BE32-E72D297353CC}">
              <c16:uniqueId val="{00000014-E8A6-436F-BF86-6396E5D4D208}"/>
            </c:ext>
          </c:extLst>
        </c:ser>
        <c:ser>
          <c:idx val="8"/>
          <c:order val="9"/>
          <c:tx>
            <c:strRef>
              <c:f>'M9 Rezeptur, Recycling'!$AB$93</c:f>
              <c:strCache>
                <c:ptCount val="1"/>
                <c:pt idx="0">
                  <c:v>Oberflächenschutzsysteme</c:v>
                </c:pt>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Recycling'!$AC$93:$AE$93</c:f>
              <c:numCache>
                <c:formatCode>#,##0</c:formatCode>
                <c:ptCount val="3"/>
                <c:pt idx="0">
                  <c:v>80.47999999999999</c:v>
                </c:pt>
                <c:pt idx="1">
                  <c:v>0.16095999999999999</c:v>
                </c:pt>
                <c:pt idx="2">
                  <c:v>0.16095999999999999</c:v>
                </c:pt>
              </c:numCache>
            </c:numRef>
          </c:val>
          <c:extLst>
            <c:ext xmlns:c16="http://schemas.microsoft.com/office/drawing/2014/chart" uri="{C3380CC4-5D6E-409C-BE32-E72D297353CC}">
              <c16:uniqueId val="{00000015-E8A6-436F-BF86-6396E5D4D208}"/>
            </c:ext>
          </c:extLst>
        </c:ser>
        <c:ser>
          <c:idx val="9"/>
          <c:order val="10"/>
          <c:tx>
            <c:strRef>
              <c:f>'M9 Rezeptur, Recycling'!$AB$94</c:f>
              <c:strCache>
                <c:ptCount val="1"/>
                <c:pt idx="0">
                  <c:v>Oberflächenbearbeitung (vor/nach Erhärtung)</c:v>
                </c:pt>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Recycling'!$AC$94:$AE$94</c:f>
              <c:numCache>
                <c:formatCode>#,##0</c:formatCode>
                <c:ptCount val="3"/>
                <c:pt idx="0">
                  <c:v>60</c:v>
                </c:pt>
                <c:pt idx="1">
                  <c:v>60</c:v>
                </c:pt>
                <c:pt idx="2">
                  <c:v>60</c:v>
                </c:pt>
              </c:numCache>
            </c:numRef>
          </c:val>
          <c:extLst>
            <c:ext xmlns:c16="http://schemas.microsoft.com/office/drawing/2014/chart" uri="{C3380CC4-5D6E-409C-BE32-E72D297353CC}">
              <c16:uniqueId val="{00000016-E8A6-436F-BF86-6396E5D4D208}"/>
            </c:ext>
          </c:extLst>
        </c:ser>
        <c:ser>
          <c:idx val="10"/>
          <c:order val="11"/>
          <c:tx>
            <c:strRef>
              <c:f>'M9 Rezeptur, Recycling'!$AB$95</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A6-436F-BF86-6396E5D4D208}"/>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A6-436F-BF86-6396E5D4D208}"/>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A6-436F-BF86-6396E5D4D20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'M9 Rezeptur, Recycling'!$T$43:$V$44</c:f>
              <c:multiLvlStrCache>
                <c:ptCount val="3"/>
                <c:lvl>
                  <c:pt idx="0">
                    <c:v>Referenz</c:v>
                  </c:pt>
                </c:lvl>
                <c:lvl>
                  <c:pt idx="0">
                    <c:v>0</c:v>
                  </c:pt>
                  <c:pt idx="1">
                    <c:v>5</c:v>
                  </c:pt>
                  <c:pt idx="2">
                    <c:v>10</c:v>
                  </c:pt>
                </c:lvl>
              </c:multiLvlStrCache>
            </c:multiLvlStrRef>
          </c:cat>
          <c:val>
            <c:numRef>
              <c:f>'M9 Rezeptur, Recycling'!$AC$95:$AE$95</c:f>
              <c:numCache>
                <c:formatCode>#,##0</c:formatCode>
                <c:ptCount val="3"/>
                <c:pt idx="0">
                  <c:v>64.48</c:v>
                </c:pt>
                <c:pt idx="1">
                  <c:v>64.48</c:v>
                </c:pt>
                <c:pt idx="2">
                  <c:v>64.48</c:v>
                </c:pt>
              </c:numCache>
            </c:numRef>
          </c:val>
          <c:extLst>
            <c:ext xmlns:c16="http://schemas.microsoft.com/office/drawing/2014/chart" uri="{C3380CC4-5D6E-409C-BE32-E72D297353CC}">
              <c16:uniqueId val="{0000001A-E8A6-436F-BF86-6396E5D4D208}"/>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'M1 Härtekammern'!$Y$44</c:f>
              <c:strCache>
                <c:ptCount val="1"/>
                <c:pt idx="0">
                  <c:v>Scope 3</c:v>
                </c:pt>
              </c:strCache>
            </c:strRef>
          </c:tx>
          <c:spPr>
            <a:solidFill>
              <a:schemeClr val="accent3"/>
            </a:solidFill>
            <a:ln>
              <a:noFill/>
            </a:ln>
            <a:effectLst/>
          </c:spPr>
          <c:invertIfNegative val="0"/>
          <c:cat>
            <c:multiLvlStrRef>
              <c:f>'M1 Härtekammern'!$Z$40:$AB$41</c:f>
              <c:multiLvlStrCache>
                <c:ptCount val="3"/>
                <c:lvl>
                  <c:pt idx="0">
                    <c:v>Referenz</c:v>
                  </c:pt>
                </c:lvl>
                <c:lvl>
                  <c:pt idx="0">
                    <c:v>0</c:v>
                  </c:pt>
                  <c:pt idx="1">
                    <c:v>5</c:v>
                  </c:pt>
                  <c:pt idx="2">
                    <c:v>10</c:v>
                  </c:pt>
                </c:lvl>
              </c:multiLvlStrCache>
            </c:multiLvlStrRef>
          </c:cat>
          <c:val>
            <c:numRef>
              <c:f>'M1 Härtekammern'!$Z$44:$AB$44</c:f>
              <c:numCache>
                <c:formatCode>#,##0</c:formatCode>
                <c:ptCount val="3"/>
                <c:pt idx="0">
                  <c:v>5831.5296228095176</c:v>
                </c:pt>
                <c:pt idx="1">
                  <c:v>5741.7170708081012</c:v>
                </c:pt>
                <c:pt idx="2">
                  <c:v>5732.7102044556977</c:v>
                </c:pt>
              </c:numCache>
            </c:numRef>
          </c:val>
          <c:extLst>
            <c:ext xmlns:c16="http://schemas.microsoft.com/office/drawing/2014/chart" uri="{C3380CC4-5D6E-409C-BE32-E72D297353CC}">
              <c16:uniqueId val="{00000000-CE42-4B5F-8B5B-3075F10A6DD0}"/>
            </c:ext>
          </c:extLst>
        </c:ser>
        <c:ser>
          <c:idx val="1"/>
          <c:order val="1"/>
          <c:tx>
            <c:strRef>
              <c:f>'M1 Härtekammern'!$Y$43</c:f>
              <c:strCache>
                <c:ptCount val="1"/>
                <c:pt idx="0">
                  <c:v>Scope 2</c:v>
                </c:pt>
              </c:strCache>
            </c:strRef>
          </c:tx>
          <c:spPr>
            <a:solidFill>
              <a:schemeClr val="accent2"/>
            </a:solidFill>
            <a:ln>
              <a:noFill/>
            </a:ln>
            <a:effectLst/>
          </c:spPr>
          <c:invertIfNegative val="0"/>
          <c:cat>
            <c:multiLvlStrRef>
              <c:f>'M1 Härtekammern'!$Z$40:$AB$41</c:f>
              <c:multiLvlStrCache>
                <c:ptCount val="3"/>
                <c:lvl>
                  <c:pt idx="0">
                    <c:v>Referenz</c:v>
                  </c:pt>
                </c:lvl>
                <c:lvl>
                  <c:pt idx="0">
                    <c:v>0</c:v>
                  </c:pt>
                  <c:pt idx="1">
                    <c:v>5</c:v>
                  </c:pt>
                  <c:pt idx="2">
                    <c:v>10</c:v>
                  </c:pt>
                </c:lvl>
              </c:multiLvlStrCache>
            </c:multiLvlStrRef>
          </c:cat>
          <c:val>
            <c:numRef>
              <c:f>'M1 Härtekammern'!$Z$43:$AB$43</c:f>
              <c:numCache>
                <c:formatCode>#,##0</c:formatCode>
                <c:ptCount val="3"/>
                <c:pt idx="0">
                  <c:v>171.9</c:v>
                </c:pt>
                <c:pt idx="1">
                  <c:v>121.145673676052</c:v>
                </c:pt>
                <c:pt idx="2">
                  <c:v>59.705978200727237</c:v>
                </c:pt>
              </c:numCache>
            </c:numRef>
          </c:val>
          <c:extLst>
            <c:ext xmlns:c16="http://schemas.microsoft.com/office/drawing/2014/chart" uri="{C3380CC4-5D6E-409C-BE32-E72D297353CC}">
              <c16:uniqueId val="{00000001-CE42-4B5F-8B5B-3075F10A6DD0}"/>
            </c:ext>
          </c:extLst>
        </c:ser>
        <c:ser>
          <c:idx val="0"/>
          <c:order val="2"/>
          <c:tx>
            <c:strRef>
              <c:f>'M1 Härtekammern'!$Y$42</c:f>
              <c:strCache>
                <c:ptCount val="1"/>
                <c:pt idx="0">
                  <c:v>Scope 1 </c:v>
                </c:pt>
              </c:strCache>
            </c:strRef>
          </c:tx>
          <c:spPr>
            <a:solidFill>
              <a:schemeClr val="accent1"/>
            </a:solidFill>
            <a:ln>
              <a:noFill/>
            </a:ln>
            <a:effectLst/>
          </c:spPr>
          <c:invertIfNegative val="0"/>
          <c:cat>
            <c:multiLvlStrRef>
              <c:f>'M1 Härtekammern'!$Z$40:$AB$41</c:f>
              <c:multiLvlStrCache>
                <c:ptCount val="3"/>
                <c:lvl>
                  <c:pt idx="0">
                    <c:v>Referenz</c:v>
                  </c:pt>
                </c:lvl>
                <c:lvl>
                  <c:pt idx="0">
                    <c:v>0</c:v>
                  </c:pt>
                  <c:pt idx="1">
                    <c:v>5</c:v>
                  </c:pt>
                  <c:pt idx="2">
                    <c:v>10</c:v>
                  </c:pt>
                </c:lvl>
              </c:multiLvlStrCache>
            </c:multiLvlStrRef>
          </c:cat>
          <c:val>
            <c:numRef>
              <c:f>'M1 Härtekammern'!$Z$42:$AB$42</c:f>
              <c:numCache>
                <c:formatCode>#,##0</c:formatCode>
                <c:ptCount val="3"/>
                <c:pt idx="0">
                  <c:v>94.932355060000006</c:v>
                </c:pt>
                <c:pt idx="1">
                  <c:v>82.681459059999995</c:v>
                </c:pt>
                <c:pt idx="2">
                  <c:v>82.681459059999995</c:v>
                </c:pt>
              </c:numCache>
            </c:numRef>
          </c:val>
          <c:extLst>
            <c:ext xmlns:c16="http://schemas.microsoft.com/office/drawing/2014/chart" uri="{C3380CC4-5D6E-409C-BE32-E72D297353CC}">
              <c16:uniqueId val="{00000002-CE42-4B5F-8B5B-3075F10A6DD0}"/>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'M1 Härtekammern'!$AH$81</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Härtekammern'!$AI$81:$AK$81</c:f>
              <c:numCache>
                <c:formatCode>#,##0\ "€"</c:formatCode>
                <c:ptCount val="3"/>
                <c:pt idx="0">
                  <c:v>109669</c:v>
                </c:pt>
                <c:pt idx="1">
                  <c:v>103575.4</c:v>
                </c:pt>
                <c:pt idx="2">
                  <c:v>103575.4</c:v>
                </c:pt>
              </c:numCache>
            </c:numRef>
          </c:val>
          <c:extLst>
            <c:ext xmlns:c16="http://schemas.microsoft.com/office/drawing/2014/chart" uri="{C3380CC4-5D6E-409C-BE32-E72D297353CC}">
              <c16:uniqueId val="{00000000-7ED0-46CD-8330-50D041700A29}"/>
            </c:ext>
          </c:extLst>
        </c:ser>
        <c:ser>
          <c:idx val="1"/>
          <c:order val="1"/>
          <c:tx>
            <c:strRef>
              <c:f>'M1 Härtekammern'!$AH$89</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D0-46CD-8330-50D041700A2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Härtekammern'!$AI$89:$AK$89</c:f>
              <c:numCache>
                <c:formatCode>#,##0\ "€"</c:formatCode>
                <c:ptCount val="3"/>
                <c:pt idx="0">
                  <c:v>0</c:v>
                </c:pt>
                <c:pt idx="1">
                  <c:v>72000</c:v>
                </c:pt>
                <c:pt idx="2">
                  <c:v>72000</c:v>
                </c:pt>
              </c:numCache>
            </c:numRef>
          </c:val>
          <c:extLst>
            <c:ext xmlns:c16="http://schemas.microsoft.com/office/drawing/2014/chart" uri="{C3380CC4-5D6E-409C-BE32-E72D297353CC}">
              <c16:uniqueId val="{00000002-7ED0-46CD-8330-50D041700A29}"/>
            </c:ext>
          </c:extLst>
        </c:ser>
        <c:ser>
          <c:idx val="2"/>
          <c:order val="2"/>
          <c:tx>
            <c:strRef>
              <c:f>'M1 Härtekammern'!$AH$90</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Härtekammern'!$AI$90:$AK$90</c:f>
              <c:numCache>
                <c:formatCode>#,##0\ "€"</c:formatCode>
                <c:ptCount val="3"/>
                <c:pt idx="0">
                  <c:v>0</c:v>
                </c:pt>
                <c:pt idx="1">
                  <c:v>0</c:v>
                </c:pt>
                <c:pt idx="2">
                  <c:v>0</c:v>
                </c:pt>
              </c:numCache>
            </c:numRef>
          </c:val>
          <c:extLst>
            <c:ext xmlns:c16="http://schemas.microsoft.com/office/drawing/2014/chart" uri="{C3380CC4-5D6E-409C-BE32-E72D297353CC}">
              <c16:uniqueId val="{00000003-7ED0-46CD-8330-50D041700A29}"/>
            </c:ext>
          </c:extLst>
        </c:ser>
        <c:ser>
          <c:idx val="3"/>
          <c:order val="3"/>
          <c:tx>
            <c:strRef>
              <c:f>'M1 Härtekammern'!$AH$91</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Härtekammern'!$Q$40:$S$41</c:f>
              <c:multiLvlStrCache>
                <c:ptCount val="3"/>
                <c:lvl>
                  <c:pt idx="0">
                    <c:v>Referenz</c:v>
                  </c:pt>
                </c:lvl>
                <c:lvl>
                  <c:pt idx="0">
                    <c:v>0</c:v>
                  </c:pt>
                  <c:pt idx="1">
                    <c:v>5</c:v>
                  </c:pt>
                  <c:pt idx="2">
                    <c:v>10</c:v>
                  </c:pt>
                </c:lvl>
              </c:multiLvlStrCache>
            </c:multiLvlStrRef>
          </c:cat>
          <c:val>
            <c:numRef>
              <c:f>'M1 Härtekammern'!$AI$91:$AK$91</c:f>
              <c:numCache>
                <c:formatCode>#,##0\ "€"</c:formatCode>
                <c:ptCount val="3"/>
                <c:pt idx="0">
                  <c:v>0</c:v>
                </c:pt>
                <c:pt idx="1">
                  <c:v>0</c:v>
                </c:pt>
                <c:pt idx="2">
                  <c:v>0</c:v>
                </c:pt>
              </c:numCache>
            </c:numRef>
          </c:val>
          <c:extLst>
            <c:ext xmlns:c16="http://schemas.microsoft.com/office/drawing/2014/chart" uri="{C3380CC4-5D6E-409C-BE32-E72D297353CC}">
              <c16:uniqueId val="{00000004-7ED0-46CD-8330-50D041700A29}"/>
            </c:ext>
          </c:extLst>
        </c:ser>
        <c:ser>
          <c:idx val="4"/>
          <c:order val="4"/>
          <c:tx>
            <c:strRef>
              <c:f>'M1 Härtekammern'!$AH$92</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'M1 Härtekammern'!$AI$92:$AK$92</c:f>
              <c:numCache>
                <c:formatCode>#,##0\ "€"</c:formatCode>
                <c:ptCount val="3"/>
                <c:pt idx="0">
                  <c:v>152459.04944673795</c:v>
                </c:pt>
                <c:pt idx="1">
                  <c:v>267549.4891594869</c:v>
                </c:pt>
                <c:pt idx="2">
                  <c:v>470007.81133731396</c:v>
                </c:pt>
              </c:numCache>
            </c:numRef>
          </c:val>
          <c:extLst>
            <c:ext xmlns:c16="http://schemas.microsoft.com/office/drawing/2014/chart" uri="{C3380CC4-5D6E-409C-BE32-E72D297353CC}">
              <c16:uniqueId val="{00000005-7ED0-46CD-8330-50D041700A29}"/>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03715958282028"/>
          <c:y val="7.4803681239895559E-2"/>
          <c:w val="0.81498764235020116"/>
          <c:h val="0.51570757323463634"/>
        </c:manualLayout>
      </c:layout>
      <c:barChart>
        <c:barDir val="col"/>
        <c:grouping val="stacked"/>
        <c:varyColors val="0"/>
        <c:ser>
          <c:idx val="0"/>
          <c:order val="0"/>
          <c:tx>
            <c:strRef>
              <c:f>'M1 Härtekammern'!$Y$81</c:f>
              <c:strCache>
                <c:ptCount val="1"/>
                <c:pt idx="0">
                  <c:v>Energieträger gesamt</c:v>
                </c:pt>
              </c:strCache>
            </c:strRef>
          </c:tx>
          <c:spPr>
            <a:solidFill>
              <a:schemeClr val="accent1"/>
            </a:solidFill>
            <a:ln>
              <a:noFill/>
            </a:ln>
            <a:effectLst/>
          </c:spPr>
          <c:invertIfNegative val="0"/>
          <c:dLbls>
            <c:dLbl>
              <c:idx val="0"/>
              <c:layout>
                <c:manualLayout>
                  <c:x val="8.5665764322114965E-2"/>
                  <c:y val="-8.3676935869205701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85-4EF5-A028-44F9B18BCDD3}"/>
                </c:ext>
              </c:extLst>
            </c:dLbl>
            <c:dLbl>
              <c:idx val="1"/>
              <c:layout>
                <c:manualLayout>
                  <c:x val="8.5366681853159876E-2"/>
                  <c:y val="-1.11569247825607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85-4EF5-A028-44F9B18BCDD3}"/>
                </c:ext>
              </c:extLst>
            </c:dLbl>
            <c:dLbl>
              <c:idx val="2"/>
              <c:layout>
                <c:manualLayout>
                  <c:x val="8.1409348553407812E-2"/>
                  <c:y val="-1.135019434572333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85-4EF5-A028-44F9B18BCDD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Härtekammern'!$Z$81:$AB$81</c:f>
              <c:numCache>
                <c:formatCode>#,##0</c:formatCode>
                <c:ptCount val="3"/>
                <c:pt idx="0">
                  <c:v>41.281733459999998</c:v>
                </c:pt>
                <c:pt idx="1">
                  <c:v>31.788221458583543</c:v>
                </c:pt>
                <c:pt idx="2">
                  <c:v>22.781355106179909</c:v>
                </c:pt>
              </c:numCache>
            </c:numRef>
          </c:val>
          <c:extLst>
            <c:ext xmlns:c16="http://schemas.microsoft.com/office/drawing/2014/chart" uri="{C3380CC4-5D6E-409C-BE32-E72D297353CC}">
              <c16:uniqueId val="{00000003-5B85-4EF5-A028-44F9B18BCDD3}"/>
            </c:ext>
          </c:extLst>
        </c:ser>
        <c:ser>
          <c:idx val="1"/>
          <c:order val="1"/>
          <c:tx>
            <c:strRef>
              <c:f>'M1 Härtekammern'!$Y$82</c:f>
              <c:strCache>
                <c:ptCount val="1"/>
                <c:pt idx="0">
                  <c:v>Transport gesamt</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85-4EF5-A028-44F9B18BCDD3}"/>
                </c:ext>
              </c:extLst>
            </c:dLbl>
            <c:dLbl>
              <c:idx val="1"/>
              <c:layout>
                <c:manualLayout>
                  <c:x val="9.0936661828876553E-2"/>
                  <c:y val="-3.8992573617035481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85-4EF5-A028-44F9B18BCDD3}"/>
                </c:ext>
              </c:extLst>
            </c:dLbl>
            <c:dLbl>
              <c:idx val="2"/>
              <c:layout>
                <c:manualLayout>
                  <c:x val="8.5382123203687321E-2"/>
                  <c:y val="-3.973797918223265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85-4EF5-A028-44F9B18BCDD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Härtekammern'!$Z$82:$AB$82</c:f>
              <c:numCache>
                <c:formatCode>#,##0</c:formatCode>
                <c:ptCount val="3"/>
                <c:pt idx="0">
                  <c:v>469.15642799999995</c:v>
                </c:pt>
                <c:pt idx="1">
                  <c:v>469.15642799999995</c:v>
                </c:pt>
                <c:pt idx="2">
                  <c:v>469.15642799999995</c:v>
                </c:pt>
              </c:numCache>
            </c:numRef>
          </c:val>
          <c:extLst>
            <c:ext xmlns:c16="http://schemas.microsoft.com/office/drawing/2014/chart" uri="{C3380CC4-5D6E-409C-BE32-E72D297353CC}">
              <c16:uniqueId val="{00000007-5B85-4EF5-A028-44F9B18BCDD3}"/>
            </c:ext>
          </c:extLst>
        </c:ser>
        <c:ser>
          <c:idx val="2"/>
          <c:order val="2"/>
          <c:tx>
            <c:strRef>
              <c:f>'M1 Härtekammern'!$Y$83</c:f>
              <c:strCache>
                <c:ptCount val="1"/>
                <c:pt idx="0">
                  <c:v>Zement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Härtekammern'!$Z$83:$AB$83</c:f>
              <c:numCache>
                <c:formatCode>#,##0</c:formatCode>
                <c:ptCount val="3"/>
                <c:pt idx="0">
                  <c:v>4548.5439999999999</c:v>
                </c:pt>
                <c:pt idx="1">
                  <c:v>4548.5439999999999</c:v>
                </c:pt>
                <c:pt idx="2">
                  <c:v>4548.5439999999999</c:v>
                </c:pt>
              </c:numCache>
            </c:numRef>
          </c:val>
          <c:extLst>
            <c:ext xmlns:c16="http://schemas.microsoft.com/office/drawing/2014/chart" uri="{C3380CC4-5D6E-409C-BE32-E72D297353CC}">
              <c16:uniqueId val="{00000008-5B85-4EF5-A028-44F9B18BCDD3}"/>
            </c:ext>
          </c:extLst>
        </c:ser>
        <c:ser>
          <c:idx val="3"/>
          <c:order val="3"/>
          <c:tx>
            <c:strRef>
              <c:f>'M1 Härtekammern'!$Y$84</c:f>
              <c:strCache>
                <c:ptCount val="1"/>
                <c:pt idx="0">
                  <c:v>Gesteinskörnungen (Zuschlagsstoffe)</c:v>
                </c:pt>
              </c:strCache>
            </c:strRef>
          </c:tx>
          <c:spPr>
            <a:solidFill>
              <a:schemeClr val="accent4"/>
            </a:solidFill>
            <a:ln>
              <a:noFill/>
            </a:ln>
            <a:effectLst/>
          </c:spPr>
          <c:invertIfNegative val="0"/>
          <c:dLbls>
            <c:dLbl>
              <c:idx val="0"/>
              <c:layout>
                <c:manualLayout>
                  <c:x val="8.3885811362765142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85-4EF5-A028-44F9B18BCDD3}"/>
                </c:ext>
              </c:extLst>
            </c:dLbl>
            <c:dLbl>
              <c:idx val="1"/>
              <c:layout>
                <c:manualLayout>
                  <c:x val="8.3885791626372566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85-4EF5-A028-44F9B18BCDD3}"/>
                </c:ext>
              </c:extLst>
            </c:dLbl>
            <c:dLbl>
              <c:idx val="2"/>
              <c:layout>
                <c:manualLayout>
                  <c:x val="8.7691129813634749E-2"/>
                  <c:y val="0"/>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85-4EF5-A028-44F9B18BCDD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Härtekammern'!$Z$84:$AB$84</c:f>
              <c:numCache>
                <c:formatCode>#,##0</c:formatCode>
                <c:ptCount val="3"/>
                <c:pt idx="0">
                  <c:v>129.59200000000001</c:v>
                </c:pt>
                <c:pt idx="1">
                  <c:v>129.59200000000001</c:v>
                </c:pt>
                <c:pt idx="2">
                  <c:v>129.59200000000001</c:v>
                </c:pt>
              </c:numCache>
            </c:numRef>
          </c:val>
          <c:extLst>
            <c:ext xmlns:c16="http://schemas.microsoft.com/office/drawing/2014/chart" uri="{C3380CC4-5D6E-409C-BE32-E72D297353CC}">
              <c16:uniqueId val="{0000000C-5B85-4EF5-A028-44F9B18BCDD3}"/>
            </c:ext>
          </c:extLst>
        </c:ser>
        <c:ser>
          <c:idx val="4"/>
          <c:order val="4"/>
          <c:tx>
            <c:strRef>
              <c:f>'M1 Härtekammern'!$Y$85</c:f>
              <c:strCache>
                <c:ptCount val="1"/>
                <c:pt idx="0">
                  <c:v>Farben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Härtekammern'!$Z$85:$AB$85</c:f>
              <c:numCache>
                <c:formatCode>#,##0</c:formatCode>
                <c:ptCount val="3"/>
                <c:pt idx="0">
                  <c:v>208</c:v>
                </c:pt>
                <c:pt idx="1">
                  <c:v>208</c:v>
                </c:pt>
                <c:pt idx="2">
                  <c:v>208</c:v>
                </c:pt>
              </c:numCache>
            </c:numRef>
          </c:val>
          <c:extLst>
            <c:ext xmlns:c16="http://schemas.microsoft.com/office/drawing/2014/chart" uri="{C3380CC4-5D6E-409C-BE32-E72D297353CC}">
              <c16:uniqueId val="{0000000D-5B85-4EF5-A028-44F9B18BCDD3}"/>
            </c:ext>
          </c:extLst>
        </c:ser>
        <c:ser>
          <c:idx val="5"/>
          <c:order val="5"/>
          <c:tx>
            <c:strRef>
              <c:f>'M1 Härtekammern'!$Y$86</c:f>
              <c:strCache>
                <c:ptCount val="1"/>
                <c:pt idx="0">
                  <c:v>Zusatzstoffe (Füllstoffe)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Härtekammern'!$Z$86:$AB$86</c:f>
              <c:numCache>
                <c:formatCode>#,##0</c:formatCode>
                <c:ptCount val="3"/>
                <c:pt idx="0">
                  <c:v>81.003999999999991</c:v>
                </c:pt>
                <c:pt idx="1">
                  <c:v>81.003999999999991</c:v>
                </c:pt>
                <c:pt idx="2">
                  <c:v>81.003999999999991</c:v>
                </c:pt>
              </c:numCache>
            </c:numRef>
          </c:val>
          <c:extLst>
            <c:ext xmlns:c16="http://schemas.microsoft.com/office/drawing/2014/chart" uri="{C3380CC4-5D6E-409C-BE32-E72D297353CC}">
              <c16:uniqueId val="{0000000E-5B85-4EF5-A028-44F9B18BCDD3}"/>
            </c:ext>
          </c:extLst>
        </c:ser>
        <c:ser>
          <c:idx val="6"/>
          <c:order val="6"/>
          <c:tx>
            <c:strRef>
              <c:f>'M1 Härtekammern'!$Y$87</c:f>
              <c:strCache>
                <c:ptCount val="1"/>
                <c:pt idx="0">
                  <c:v>Zusatzmittel</c:v>
                </c:pt>
              </c:strCache>
            </c:strRef>
          </c:tx>
          <c:spPr>
            <a:solidFill>
              <a:schemeClr val="accent1">
                <a:lumMod val="60000"/>
              </a:schemeClr>
            </a:solidFill>
            <a:ln>
              <a:noFill/>
            </a:ln>
            <a:effectLst/>
          </c:spPr>
          <c:invertIfNegative val="0"/>
          <c:dLbls>
            <c:dLbl>
              <c:idx val="0"/>
              <c:layout>
                <c:manualLayout>
                  <c:x val="8.7855583133769941E-2"/>
                  <c:y val="3.8590441150955362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85-4EF5-A028-44F9B18BCDD3}"/>
                </c:ext>
              </c:extLst>
            </c:dLbl>
            <c:dLbl>
              <c:idx val="1"/>
              <c:layout>
                <c:manualLayout>
                  <c:x val="8.7841036712916792E-2"/>
                  <c:y val="3.5801209955315196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85-4EF5-A028-44F9B18BCDD3}"/>
                </c:ext>
              </c:extLst>
            </c:dLbl>
            <c:dLbl>
              <c:idx val="2"/>
              <c:layout>
                <c:manualLayout>
                  <c:x val="9.1650099493019596E-2"/>
                  <c:y val="3.8519722060798213E-2"/>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85-4EF5-A028-44F9B18BCDD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Härtekammern'!$Z$87:$AB$87</c:f>
              <c:numCache>
                <c:formatCode>#,##0</c:formatCode>
                <c:ptCount val="3"/>
                <c:pt idx="0">
                  <c:v>148.44746134951595</c:v>
                </c:pt>
                <c:pt idx="1">
                  <c:v>148.44746134951595</c:v>
                </c:pt>
                <c:pt idx="2">
                  <c:v>148.44746134951595</c:v>
                </c:pt>
              </c:numCache>
            </c:numRef>
          </c:val>
          <c:extLst>
            <c:ext xmlns:c16="http://schemas.microsoft.com/office/drawing/2014/chart" uri="{C3380CC4-5D6E-409C-BE32-E72D297353CC}">
              <c16:uniqueId val="{00000012-5B85-4EF5-A028-44F9B18BCDD3}"/>
            </c:ext>
          </c:extLst>
        </c:ser>
        <c:ser>
          <c:idx val="7"/>
          <c:order val="7"/>
          <c:tx>
            <c:strRef>
              <c:f>'M1 Härtekammern'!$Y$88</c:f>
              <c:strCache>
                <c:ptCount val="1"/>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Härtekammern'!$Z$88:$AB$88</c:f>
              <c:numCache>
                <c:formatCode>#,##0</c:formatCode>
                <c:ptCount val="3"/>
                <c:pt idx="0">
                  <c:v>#N/A</c:v>
                </c:pt>
                <c:pt idx="1">
                  <c:v>#N/A</c:v>
                </c:pt>
                <c:pt idx="2">
                  <c:v>#N/A</c:v>
                </c:pt>
              </c:numCache>
            </c:numRef>
          </c:val>
          <c:extLst>
            <c:ext xmlns:c16="http://schemas.microsoft.com/office/drawing/2014/chart" uri="{C3380CC4-5D6E-409C-BE32-E72D297353CC}">
              <c16:uniqueId val="{00000013-5B85-4EF5-A028-44F9B18BCDD3}"/>
            </c:ext>
          </c:extLst>
        </c:ser>
        <c:ser>
          <c:idx val="8"/>
          <c:order val="8"/>
          <c:tx>
            <c:strRef>
              <c:f>'M1 Härtekammern'!$Y$89</c:f>
              <c:strCache>
                <c:ptCount val="1"/>
              </c:strCache>
            </c:strRef>
          </c:tx>
          <c:spPr>
            <a:solidFill>
              <a:srgbClr val="C198E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Härtekammern'!$Z$89:$AB$89</c:f>
              <c:numCache>
                <c:formatCode>#,##0</c:formatCode>
                <c:ptCount val="3"/>
                <c:pt idx="0">
                  <c:v>#N/A</c:v>
                </c:pt>
                <c:pt idx="1">
                  <c:v>#N/A</c:v>
                </c:pt>
                <c:pt idx="2">
                  <c:v>#N/A</c:v>
                </c:pt>
              </c:numCache>
            </c:numRef>
          </c:val>
          <c:extLst>
            <c:ext xmlns:c16="http://schemas.microsoft.com/office/drawing/2014/chart" uri="{C3380CC4-5D6E-409C-BE32-E72D297353CC}">
              <c16:uniqueId val="{00000014-5B85-4EF5-A028-44F9B18BCDD3}"/>
            </c:ext>
          </c:extLst>
        </c:ser>
        <c:ser>
          <c:idx val="9"/>
          <c:order val="9"/>
          <c:tx>
            <c:strRef>
              <c:f>'M1 Härtekammern'!$Y$90</c:f>
              <c:strCache>
                <c:ptCount val="1"/>
              </c:strCache>
            </c:strRef>
          </c:tx>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Härtekammern'!$Z$90:$AB$90</c:f>
              <c:numCache>
                <c:formatCode>#,##0</c:formatCode>
                <c:ptCount val="3"/>
                <c:pt idx="0">
                  <c:v>#N/A</c:v>
                </c:pt>
                <c:pt idx="1">
                  <c:v>#N/A</c:v>
                </c:pt>
                <c:pt idx="2">
                  <c:v>#N/A</c:v>
                </c:pt>
              </c:numCache>
            </c:numRef>
          </c:val>
          <c:extLst>
            <c:ext xmlns:c16="http://schemas.microsoft.com/office/drawing/2014/chart" uri="{C3380CC4-5D6E-409C-BE32-E72D297353CC}">
              <c16:uniqueId val="{00000015-5B85-4EF5-A028-44F9B18BCDD3}"/>
            </c:ext>
          </c:extLst>
        </c:ser>
        <c:ser>
          <c:idx val="10"/>
          <c:order val="10"/>
          <c:tx>
            <c:strRef>
              <c:f>'M1 Härtekammern'!$Y$91</c:f>
              <c:strCache>
                <c:ptCount val="1"/>
                <c:pt idx="0">
                  <c:v>Verpackungsmaterial</c:v>
                </c:pt>
              </c:strCache>
            </c:strRef>
          </c:tx>
          <c:spPr>
            <a:solidFill>
              <a:schemeClr val="accent5">
                <a:lumMod val="60000"/>
              </a:schemeClr>
            </a:solidFill>
            <a:ln>
              <a:noFill/>
            </a:ln>
            <a:effectLst/>
          </c:spPr>
          <c:invertIfNegative val="0"/>
          <c:dLbls>
            <c:dLbl>
              <c:idx val="0"/>
              <c:layout>
                <c:manualLayout>
                  <c:x val="8.5800938679038027E-2"/>
                  <c:y val="-8.332334041841995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85-4EF5-A028-44F9B18BCDD3}"/>
                </c:ext>
              </c:extLst>
            </c:dLbl>
            <c:dLbl>
              <c:idx val="1"/>
              <c:layout>
                <c:manualLayout>
                  <c:x val="8.3885759908774449E-2"/>
                  <c:y val="-8.3676935869205823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85-4EF5-A028-44F9B18BCDD3}"/>
                </c:ext>
              </c:extLst>
            </c:dLbl>
            <c:dLbl>
              <c:idx val="2"/>
              <c:layout>
                <c:manualLayout>
                  <c:x val="8.5797939417006447E-2"/>
                  <c:y val="-8.4381930525741534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85-4EF5-A028-44F9B18BCDD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'M1 Härtekammern'!$Z$49:$AB$50</c:f>
              <c:multiLvlStrCache>
                <c:ptCount val="3"/>
                <c:lvl>
                  <c:pt idx="0">
                    <c:v>Referenz</c:v>
                  </c:pt>
                </c:lvl>
                <c:lvl>
                  <c:pt idx="0">
                    <c:v>0</c:v>
                  </c:pt>
                  <c:pt idx="1">
                    <c:v>5</c:v>
                  </c:pt>
                  <c:pt idx="2">
                    <c:v>10</c:v>
                  </c:pt>
                </c:lvl>
              </c:multiLvlStrCache>
            </c:multiLvlStrRef>
          </c:cat>
          <c:val>
            <c:numRef>
              <c:f>'M1 Härtekammern'!$Z$91:$AB$91</c:f>
              <c:numCache>
                <c:formatCode>#,##0</c:formatCode>
                <c:ptCount val="3"/>
                <c:pt idx="0">
                  <c:v>64.48</c:v>
                </c:pt>
                <c:pt idx="1">
                  <c:v>64.48</c:v>
                </c:pt>
                <c:pt idx="2">
                  <c:v>64.48</c:v>
                </c:pt>
              </c:numCache>
            </c:numRef>
          </c:val>
          <c:extLst>
            <c:ext xmlns:c16="http://schemas.microsoft.com/office/drawing/2014/chart" uri="{C3380CC4-5D6E-409C-BE32-E72D297353CC}">
              <c16:uniqueId val="{00000019-5B85-4EF5-A028-44F9B18BCDD3}"/>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3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'M2 Fuhrpark'!$Q$82</c:f>
              <c:strCache>
                <c:ptCount val="1"/>
                <c:pt idx="0">
                  <c:v>Erdgas</c:v>
                </c:pt>
              </c:strCache>
            </c:strRef>
          </c:tx>
          <c:spPr>
            <a:solidFill>
              <a:schemeClr val="accent1"/>
            </a:solidFill>
            <a:ln>
              <a:noFill/>
            </a:ln>
            <a:effectLst/>
          </c:spPr>
          <c:invertIfNegative val="0"/>
          <c:dLbls>
            <c:dLbl>
              <c:idx val="0"/>
              <c:layout>
                <c:manualLayout>
                  <c:x val="8.9473671850577113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24-4E11-BC48-A97203E2BDF9}"/>
                </c:ext>
              </c:extLst>
            </c:dLbl>
            <c:dLbl>
              <c:idx val="1"/>
              <c:layout>
                <c:manualLayout>
                  <c:x val="9.2982443295697839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24-4E11-BC48-A97203E2BDF9}"/>
                </c:ext>
              </c:extLst>
            </c:dLbl>
            <c:dLbl>
              <c:idx val="2"/>
              <c:layout>
                <c:manualLayout>
                  <c:x val="9.4736829018258181E-2"/>
                  <c:y val="-2.982455645952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4-4E11-BC48-A97203E2BD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Fuhrpark'!$R$82:$T$82</c:f>
              <c:numCache>
                <c:formatCode>#,##0.0</c:formatCode>
                <c:ptCount val="3"/>
                <c:pt idx="0">
                  <c:v>43.0426</c:v>
                </c:pt>
                <c:pt idx="1">
                  <c:v>43.0426</c:v>
                </c:pt>
                <c:pt idx="2">
                  <c:v>43.0426</c:v>
                </c:pt>
              </c:numCache>
            </c:numRef>
          </c:val>
          <c:extLst>
            <c:ext xmlns:c16="http://schemas.microsoft.com/office/drawing/2014/chart" uri="{C3380CC4-5D6E-409C-BE32-E72D297353CC}">
              <c16:uniqueId val="{00000003-9724-4E11-BC48-A97203E2BDF9}"/>
            </c:ext>
          </c:extLst>
        </c:ser>
        <c:ser>
          <c:idx val="1"/>
          <c:order val="1"/>
          <c:tx>
            <c:strRef>
              <c:f>'M2 Fuhrpark'!$Q$83</c:f>
              <c:strCache>
                <c:ptCount val="1"/>
                <c:pt idx="0">
                  <c:v>Heizöl</c:v>
                </c:pt>
              </c:strCache>
            </c:strRef>
          </c:tx>
          <c:spPr>
            <a:solidFill>
              <a:schemeClr val="accent2"/>
            </a:solidFill>
            <a:ln>
              <a:noFill/>
            </a:ln>
            <a:effectLst/>
          </c:spPr>
          <c:invertIfNegative val="0"/>
          <c:dLbls>
            <c:dLbl>
              <c:idx val="0"/>
              <c:layout>
                <c:manualLayout>
                  <c:x val="9.1228057573137511E-2"/>
                  <c:y val="-4.17543790433410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4-4E11-BC48-A97203E2BDF9}"/>
                </c:ext>
              </c:extLst>
            </c:dLbl>
            <c:dLbl>
              <c:idx val="1"/>
              <c:layout>
                <c:manualLayout>
                  <c:x val="9.4736829018258181E-2"/>
                  <c:y val="-4.17543790433409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24-4E11-BC48-A97203E2BDF9}"/>
                </c:ext>
              </c:extLst>
            </c:dLbl>
            <c:dLbl>
              <c:idx val="2"/>
              <c:layout>
                <c:manualLayout>
                  <c:x val="9.2982443295697714E-2"/>
                  <c:y val="-5.36842016271527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24-4E11-BC48-A97203E2BDF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Fuhrpark'!$R$83:$T$83</c:f>
              <c:numCache>
                <c:formatCode>#,##0.0</c:formatCode>
                <c:ptCount val="3"/>
                <c:pt idx="0">
                  <c:v>16.005600000000001</c:v>
                </c:pt>
                <c:pt idx="1">
                  <c:v>16.005600000000001</c:v>
                </c:pt>
                <c:pt idx="2">
                  <c:v>16.005600000000001</c:v>
                </c:pt>
              </c:numCache>
            </c:numRef>
          </c:val>
          <c:extLst>
            <c:ext xmlns:c16="http://schemas.microsoft.com/office/drawing/2014/chart" uri="{C3380CC4-5D6E-409C-BE32-E72D297353CC}">
              <c16:uniqueId val="{00000007-9724-4E11-BC48-A97203E2BDF9}"/>
            </c:ext>
          </c:extLst>
        </c:ser>
        <c:ser>
          <c:idx val="2"/>
          <c:order val="2"/>
          <c:tx>
            <c:strRef>
              <c:f>'M2 Fuhrpark'!$Q$84</c:f>
              <c:strCache>
                <c:ptCount val="1"/>
                <c:pt idx="0">
                  <c:v>Strom</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Fuhrpark'!$R$84:$T$84</c:f>
              <c:numCache>
                <c:formatCode>#,##0.0</c:formatCode>
                <c:ptCount val="3"/>
                <c:pt idx="0">
                  <c:v>171.9</c:v>
                </c:pt>
                <c:pt idx="1">
                  <c:v>136.39371159230473</c:v>
                </c:pt>
                <c:pt idx="2">
                  <c:v>72.889224607318326</c:v>
                </c:pt>
              </c:numCache>
            </c:numRef>
          </c:val>
          <c:extLst>
            <c:ext xmlns:c16="http://schemas.microsoft.com/office/drawing/2014/chart" uri="{C3380CC4-5D6E-409C-BE32-E72D297353CC}">
              <c16:uniqueId val="{00000008-9724-4E11-BC48-A97203E2BDF9}"/>
            </c:ext>
          </c:extLst>
        </c:ser>
        <c:ser>
          <c:idx val="3"/>
          <c:order val="3"/>
          <c:tx>
            <c:strRef>
              <c:f>'M2 Fuhrpark'!$Q$88</c:f>
              <c:strCache>
                <c:ptCount val="1"/>
                <c:pt idx="0">
                  <c:v>Diesel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Fuhrpark'!$R$88:$T$88</c:f>
              <c:numCache>
                <c:formatCode>#,##0.0</c:formatCode>
                <c:ptCount val="3"/>
                <c:pt idx="0">
                  <c:v>35.884155059999998</c:v>
                </c:pt>
                <c:pt idx="1">
                  <c:v>21.264684479999996</c:v>
                </c:pt>
                <c:pt idx="2">
                  <c:v>6.645213899999999</c:v>
                </c:pt>
              </c:numCache>
            </c:numRef>
          </c:val>
          <c:extLst>
            <c:ext xmlns:c16="http://schemas.microsoft.com/office/drawing/2014/chart" uri="{C3380CC4-5D6E-409C-BE32-E72D297353CC}">
              <c16:uniqueId val="{00000009-9724-4E11-BC48-A97203E2BDF9}"/>
            </c:ext>
          </c:extLst>
        </c:ser>
        <c:ser>
          <c:idx val="4"/>
          <c:order val="4"/>
          <c:tx>
            <c:strRef>
              <c:f>'M2 Fuhrpark'!$Q$85</c:f>
              <c:strCache>
                <c:ptCount val="1"/>
                <c:pt idx="0">
                  <c:v>Alternativer Energieträger Härtekammer</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'M2 Fuhrpark'!$R$85:$T$85</c:f>
              <c:numCache>
                <c:formatCode>#,##0.0</c:formatCode>
                <c:ptCount val="3"/>
                <c:pt idx="0">
                  <c:v>0</c:v>
                </c:pt>
                <c:pt idx="1">
                  <c:v>0</c:v>
                </c:pt>
                <c:pt idx="2">
                  <c:v>0</c:v>
                </c:pt>
              </c:numCache>
            </c:numRef>
          </c:val>
          <c:extLst>
            <c:ext xmlns:c16="http://schemas.microsoft.com/office/drawing/2014/chart" uri="{C3380CC4-5D6E-409C-BE32-E72D297353CC}">
              <c16:uniqueId val="{0000000A-9724-4E11-BC48-A97203E2BDF9}"/>
            </c:ext>
          </c:extLst>
        </c:ser>
        <c:ser>
          <c:idx val="5"/>
          <c:order val="5"/>
          <c:tx>
            <c:strRef>
              <c:f>'M2 Fuhrpark'!$Q$86</c:f>
              <c:strCache>
                <c:ptCount val="1"/>
                <c:pt idx="0">
                  <c:v>Flüssiggas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'M2 Fuhrpark'!$R$86:$T$86</c:f>
              <c:numCache>
                <c:formatCode>#,##0.0</c:formatCode>
                <c:ptCount val="3"/>
                <c:pt idx="0">
                  <c:v>0</c:v>
                </c:pt>
                <c:pt idx="1">
                  <c:v>0</c:v>
                </c:pt>
                <c:pt idx="2">
                  <c:v>0</c:v>
                </c:pt>
              </c:numCache>
            </c:numRef>
          </c:val>
          <c:extLst>
            <c:ext xmlns:c16="http://schemas.microsoft.com/office/drawing/2014/chart" uri="{C3380CC4-5D6E-409C-BE32-E72D297353CC}">
              <c16:uniqueId val="{0000000B-9724-4E11-BC48-A97203E2BDF9}"/>
            </c:ext>
          </c:extLst>
        </c:ser>
        <c:ser>
          <c:idx val="6"/>
          <c:order val="6"/>
          <c:tx>
            <c:strRef>
              <c:f>'M2 Fuhrpark'!$Q$87</c:f>
              <c:strCache>
                <c:ptCount val="1"/>
                <c:pt idx="0">
                  <c:v>Alternativer Energieträger restliches Werk</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'M2 Fuhrpark'!$R$87:$T$87</c:f>
              <c:numCache>
                <c:formatCode>#,##0.0</c:formatCode>
                <c:ptCount val="3"/>
                <c:pt idx="0">
                  <c:v>0</c:v>
                </c:pt>
                <c:pt idx="1">
                  <c:v>0</c:v>
                </c:pt>
                <c:pt idx="2">
                  <c:v>0</c:v>
                </c:pt>
              </c:numCache>
            </c:numRef>
          </c:val>
          <c:extLst>
            <c:ext xmlns:c16="http://schemas.microsoft.com/office/drawing/2014/chart" uri="{C3380CC4-5D6E-409C-BE32-E72D297353CC}">
              <c16:uniqueId val="{0000000C-9724-4E11-BC48-A97203E2BDF9}"/>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Scope 1 und Scope 2 Emissionen</a:t>
                </a:r>
              </a:p>
              <a:p>
                <a:pPr>
                  <a:defRPr sz="1000"/>
                </a:pPr>
                <a:r>
                  <a:rPr lang="en-US" sz="1000"/>
                  <a:t>[tCO</a:t>
                </a:r>
                <a:r>
                  <a:rPr lang="en-US" sz="1000" baseline="-25000"/>
                  <a:t>2</a:t>
                </a:r>
                <a:r>
                  <a:rPr lang="en-US" sz="1000"/>
                  <a:t>] </a:t>
                </a:r>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2"/>
          <c:order val="0"/>
          <c:tx>
            <c:strRef>
              <c:f>'M2 Fuhrpark'!$Z$45</c:f>
              <c:strCache>
                <c:ptCount val="1"/>
                <c:pt idx="0">
                  <c:v>Scope 3</c:v>
                </c:pt>
              </c:strCache>
            </c:strRef>
          </c:tx>
          <c:spPr>
            <a:solidFill>
              <a:schemeClr val="accent3"/>
            </a:solidFill>
            <a:ln>
              <a:noFill/>
            </a:ln>
            <a:effectLst/>
          </c:spPr>
          <c:invertIfNegative val="0"/>
          <c:cat>
            <c:multiLvlStrRef>
              <c:f>'M2 Fuhrpark'!$AA$41:$AC$42</c:f>
              <c:multiLvlStrCache>
                <c:ptCount val="3"/>
                <c:lvl>
                  <c:pt idx="0">
                    <c:v>Referenz</c:v>
                  </c:pt>
                </c:lvl>
                <c:lvl>
                  <c:pt idx="0">
                    <c:v>0</c:v>
                  </c:pt>
                  <c:pt idx="1">
                    <c:v>5</c:v>
                  </c:pt>
                  <c:pt idx="2">
                    <c:v>10</c:v>
                  </c:pt>
                </c:lvl>
              </c:multiLvlStrCache>
            </c:multiLvlStrRef>
          </c:cat>
          <c:val>
            <c:numRef>
              <c:f>'M2 Fuhrpark'!$AA$45:$AC$45</c:f>
              <c:numCache>
                <c:formatCode>#,##0</c:formatCode>
                <c:ptCount val="3"/>
                <c:pt idx="0">
                  <c:v>5831.5296228095176</c:v>
                </c:pt>
                <c:pt idx="1">
                  <c:v>5743.4225406870301</c:v>
                </c:pt>
                <c:pt idx="2">
                  <c:v>5731.5300506055646</c:v>
                </c:pt>
              </c:numCache>
            </c:numRef>
          </c:val>
          <c:extLst>
            <c:ext xmlns:c16="http://schemas.microsoft.com/office/drawing/2014/chart" uri="{C3380CC4-5D6E-409C-BE32-E72D297353CC}">
              <c16:uniqueId val="{00000000-E965-4546-8215-EAAF7430F585}"/>
            </c:ext>
          </c:extLst>
        </c:ser>
        <c:ser>
          <c:idx val="1"/>
          <c:order val="1"/>
          <c:tx>
            <c:strRef>
              <c:f>'M2 Fuhrpark'!$Z$44</c:f>
              <c:strCache>
                <c:ptCount val="1"/>
                <c:pt idx="0">
                  <c:v>Scope 2</c:v>
                </c:pt>
              </c:strCache>
            </c:strRef>
          </c:tx>
          <c:spPr>
            <a:solidFill>
              <a:schemeClr val="accent2"/>
            </a:solidFill>
            <a:ln>
              <a:noFill/>
            </a:ln>
            <a:effectLst/>
          </c:spPr>
          <c:invertIfNegative val="0"/>
          <c:cat>
            <c:multiLvlStrRef>
              <c:f>'M2 Fuhrpark'!$AA$41:$AC$42</c:f>
              <c:multiLvlStrCache>
                <c:ptCount val="3"/>
                <c:lvl>
                  <c:pt idx="0">
                    <c:v>Referenz</c:v>
                  </c:pt>
                </c:lvl>
                <c:lvl>
                  <c:pt idx="0">
                    <c:v>0</c:v>
                  </c:pt>
                  <c:pt idx="1">
                    <c:v>5</c:v>
                  </c:pt>
                  <c:pt idx="2">
                    <c:v>10</c:v>
                  </c:pt>
                </c:lvl>
              </c:multiLvlStrCache>
            </c:multiLvlStrRef>
          </c:cat>
          <c:val>
            <c:numRef>
              <c:f>'M2 Fuhrpark'!$AA$44:$AC$44</c:f>
              <c:numCache>
                <c:formatCode>#,##0</c:formatCode>
                <c:ptCount val="3"/>
                <c:pt idx="0">
                  <c:v>171.9</c:v>
                </c:pt>
                <c:pt idx="1">
                  <c:v>136.39371159230473</c:v>
                </c:pt>
                <c:pt idx="2">
                  <c:v>72.889224607318326</c:v>
                </c:pt>
              </c:numCache>
            </c:numRef>
          </c:val>
          <c:extLst>
            <c:ext xmlns:c16="http://schemas.microsoft.com/office/drawing/2014/chart" uri="{C3380CC4-5D6E-409C-BE32-E72D297353CC}">
              <c16:uniqueId val="{00000001-E965-4546-8215-EAAF7430F585}"/>
            </c:ext>
          </c:extLst>
        </c:ser>
        <c:ser>
          <c:idx val="0"/>
          <c:order val="2"/>
          <c:tx>
            <c:strRef>
              <c:f>'M2 Fuhrpark'!$Z$43</c:f>
              <c:strCache>
                <c:ptCount val="1"/>
                <c:pt idx="0">
                  <c:v>Scope 1 </c:v>
                </c:pt>
              </c:strCache>
            </c:strRef>
          </c:tx>
          <c:spPr>
            <a:solidFill>
              <a:schemeClr val="accent1"/>
            </a:solidFill>
            <a:ln>
              <a:noFill/>
            </a:ln>
            <a:effectLst/>
          </c:spPr>
          <c:invertIfNegative val="0"/>
          <c:cat>
            <c:multiLvlStrRef>
              <c:f>'M2 Fuhrpark'!$AA$41:$AC$42</c:f>
              <c:multiLvlStrCache>
                <c:ptCount val="3"/>
                <c:lvl>
                  <c:pt idx="0">
                    <c:v>Referenz</c:v>
                  </c:pt>
                </c:lvl>
                <c:lvl>
                  <c:pt idx="0">
                    <c:v>0</c:v>
                  </c:pt>
                  <c:pt idx="1">
                    <c:v>5</c:v>
                  </c:pt>
                  <c:pt idx="2">
                    <c:v>10</c:v>
                  </c:pt>
                </c:lvl>
              </c:multiLvlStrCache>
            </c:multiLvlStrRef>
          </c:cat>
          <c:val>
            <c:numRef>
              <c:f>'M2 Fuhrpark'!$AA$43:$AC$43</c:f>
              <c:numCache>
                <c:formatCode>#,##0</c:formatCode>
                <c:ptCount val="3"/>
                <c:pt idx="0">
                  <c:v>94.932355060000006</c:v>
                </c:pt>
                <c:pt idx="1">
                  <c:v>80.312884479999994</c:v>
                </c:pt>
                <c:pt idx="2">
                  <c:v>65.693413899999996</c:v>
                </c:pt>
              </c:numCache>
            </c:numRef>
          </c:val>
          <c:extLst>
            <c:ext xmlns:c16="http://schemas.microsoft.com/office/drawing/2014/chart" uri="{C3380CC4-5D6E-409C-BE32-E72D297353CC}">
              <c16:uniqueId val="{00000002-E965-4546-8215-EAAF7430F585}"/>
            </c:ext>
          </c:extLst>
        </c:ser>
        <c:dLbls>
          <c:showLegendKey val="0"/>
          <c:showVal val="0"/>
          <c:showCatName val="0"/>
          <c:showSerName val="0"/>
          <c:showPercent val="0"/>
          <c:showBubbleSize val="0"/>
        </c:dLbls>
        <c:gapWidth val="150"/>
        <c:overlap val="100"/>
        <c:axId val="879647648"/>
        <c:axId val="879648304"/>
      </c:barChart>
      <c:catAx>
        <c:axId val="879647648"/>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79648304"/>
        <c:crosses val="autoZero"/>
        <c:auto val="1"/>
        <c:lblAlgn val="ctr"/>
        <c:lblOffset val="100"/>
        <c:noMultiLvlLbl val="0"/>
      </c:catAx>
      <c:valAx>
        <c:axId val="879648304"/>
        <c:scaling>
          <c:orientation val="minMax"/>
          <c:min val="0"/>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GB"/>
                  <a:t>Emissionen [tCO</a:t>
                </a:r>
                <a:r>
                  <a:rPr lang="en-GB" baseline="-25000"/>
                  <a:t>2</a:t>
                </a:r>
                <a:r>
                  <a:rPr lang="en-GB"/>
                  <a:t>]</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79647648"/>
        <c:crosses val="autoZero"/>
        <c:crossBetween val="between"/>
      </c:valAx>
      <c:dTable>
        <c:showHorzBorder val="1"/>
        <c:showVertBorder val="1"/>
        <c:showOutline val="1"/>
        <c:showKeys val="1"/>
        <c:spPr>
          <a:noFill/>
          <a:ln w="9525" cap="flat" cmpd="sng" algn="ctr">
            <a:solidFill>
              <a:schemeClr val="dk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dk1">
                    <a:lumMod val="65000"/>
                    <a:lumOff val="35000"/>
                  </a:schemeClr>
                </a:solidFill>
                <a:latin typeface="+mn-lt"/>
                <a:ea typeface="+mn-ea"/>
                <a:cs typeface="+mn-cs"/>
              </a:defRPr>
            </a:pPr>
            <a:endParaRPr lang="de-DE"/>
          </a:p>
        </c:txPr>
      </c:dTable>
      <c:spPr>
        <a:pattFill prst="ltDnDiag">
          <a:fgClr>
            <a:schemeClr val="dk1">
              <a:lumMod val="15000"/>
              <a:lumOff val="85000"/>
            </a:schemeClr>
          </a:fgClr>
          <a:bgClr>
            <a:schemeClr val="lt1"/>
          </a:bgClr>
        </a:patt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sz="1000"/>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'M2 Fuhrpark'!$AI$82</c:f>
              <c:strCache>
                <c:ptCount val="1"/>
                <c:pt idx="0">
                  <c:v>Energieträger intern</c:v>
                </c:pt>
              </c:strCache>
            </c:strRef>
          </c:tx>
          <c:spPr>
            <a:solidFill>
              <a:srgbClr val="00549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Fuhrpark'!$AJ$82:$AL$82</c:f>
              <c:numCache>
                <c:formatCode>#,##0\ "€"</c:formatCode>
                <c:ptCount val="3"/>
                <c:pt idx="0">
                  <c:v>109669</c:v>
                </c:pt>
                <c:pt idx="1">
                  <c:v>110614.71583333334</c:v>
                </c:pt>
                <c:pt idx="2">
                  <c:v>111560.43166666666</c:v>
                </c:pt>
              </c:numCache>
            </c:numRef>
          </c:val>
          <c:extLst>
            <c:ext xmlns:c16="http://schemas.microsoft.com/office/drawing/2014/chart" uri="{C3380CC4-5D6E-409C-BE32-E72D297353CC}">
              <c16:uniqueId val="{00000000-8B79-40D2-B495-AFA5BED18DA2}"/>
            </c:ext>
          </c:extLst>
        </c:ser>
        <c:ser>
          <c:idx val="1"/>
          <c:order val="1"/>
          <c:tx>
            <c:strRef>
              <c:f>'M2 Fuhrpark'!$AI$90</c:f>
              <c:strCache>
                <c:ptCount val="1"/>
                <c:pt idx="0">
                  <c:v>CAPEX</c:v>
                </c:pt>
              </c:strCache>
            </c:strRef>
          </c:tx>
          <c:spPr>
            <a:solidFill>
              <a:schemeClr val="accent1"/>
            </a:solidFill>
            <a:ln>
              <a:noFill/>
            </a:ln>
            <a:effectLst/>
          </c:spPr>
          <c:invertIfNegative val="0"/>
          <c:dLbls>
            <c:dLbl>
              <c:idx val="0"/>
              <c:layout>
                <c:manualLayout>
                  <c:x val="7.6190441909062503E-2"/>
                  <c:y val="-5.96491129190585E-3"/>
                </c:manualLayout>
              </c:layout>
              <c:dLblPos val="ct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79-40D2-B495-AFA5BED18DA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90000"/>
                        <a:lumOff val="10000"/>
                      </a:schemeClr>
                    </a:solidFill>
                    <a:latin typeface="+mn-lt"/>
                    <a:ea typeface="+mn-ea"/>
                    <a:cs typeface="+mn-cs"/>
                  </a:defRPr>
                </a:pPr>
                <a:endParaRPr lang="de-DE"/>
              </a:p>
            </c:txPr>
            <c:dLblPos val="ctr"/>
            <c:showLegendKey val="1"/>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Fuhrpark'!$AJ$90:$AL$90</c:f>
              <c:numCache>
                <c:formatCode>#,##0\ "€"</c:formatCode>
                <c:ptCount val="3"/>
                <c:pt idx="0">
                  <c:v>0</c:v>
                </c:pt>
                <c:pt idx="1">
                  <c:v>54000</c:v>
                </c:pt>
                <c:pt idx="2">
                  <c:v>108000</c:v>
                </c:pt>
              </c:numCache>
            </c:numRef>
          </c:val>
          <c:extLst>
            <c:ext xmlns:c16="http://schemas.microsoft.com/office/drawing/2014/chart" uri="{C3380CC4-5D6E-409C-BE32-E72D297353CC}">
              <c16:uniqueId val="{00000002-8B79-40D2-B495-AFA5BED18DA2}"/>
            </c:ext>
          </c:extLst>
        </c:ser>
        <c:ser>
          <c:idx val="2"/>
          <c:order val="2"/>
          <c:tx>
            <c:strRef>
              <c:f>'M2 Fuhrpark'!$AI$91</c:f>
              <c:strCache>
                <c:ptCount val="1"/>
                <c:pt idx="0">
                  <c:v>Zusätzliche jährliche Kosten</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Fuhrpark'!$AJ$91:$AL$91</c:f>
              <c:numCache>
                <c:formatCode>#,##0\ "€"</c:formatCode>
                <c:ptCount val="3"/>
                <c:pt idx="0">
                  <c:v>0</c:v>
                </c:pt>
                <c:pt idx="1">
                  <c:v>0</c:v>
                </c:pt>
                <c:pt idx="2">
                  <c:v>0</c:v>
                </c:pt>
              </c:numCache>
            </c:numRef>
          </c:val>
          <c:extLst>
            <c:ext xmlns:c16="http://schemas.microsoft.com/office/drawing/2014/chart" uri="{C3380CC4-5D6E-409C-BE32-E72D297353CC}">
              <c16:uniqueId val="{00000003-8B79-40D2-B495-AFA5BED18DA2}"/>
            </c:ext>
          </c:extLst>
        </c:ser>
        <c:ser>
          <c:idx val="3"/>
          <c:order val="3"/>
          <c:tx>
            <c:strRef>
              <c:f>'M2 Fuhrpark'!$AI$92</c:f>
              <c:strCache>
                <c:ptCount val="1"/>
                <c:pt idx="0">
                  <c:v>Einmalige Kosten</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multiLvlStrRef>
              <c:f>'M2 Fuhrpark'!$R$41:$T$42</c:f>
              <c:multiLvlStrCache>
                <c:ptCount val="3"/>
                <c:lvl>
                  <c:pt idx="0">
                    <c:v>Referenz</c:v>
                  </c:pt>
                </c:lvl>
                <c:lvl>
                  <c:pt idx="0">
                    <c:v>0</c:v>
                  </c:pt>
                  <c:pt idx="1">
                    <c:v>5</c:v>
                  </c:pt>
                  <c:pt idx="2">
                    <c:v>10</c:v>
                  </c:pt>
                </c:lvl>
              </c:multiLvlStrCache>
            </c:multiLvlStrRef>
          </c:cat>
          <c:val>
            <c:numRef>
              <c:f>'M2 Fuhrpark'!$AJ$92:$AL$92</c:f>
              <c:numCache>
                <c:formatCode>#,##0\ "€"</c:formatCode>
                <c:ptCount val="3"/>
                <c:pt idx="0">
                  <c:v>0</c:v>
                </c:pt>
                <c:pt idx="1">
                  <c:v>0</c:v>
                </c:pt>
                <c:pt idx="2">
                  <c:v>0</c:v>
                </c:pt>
              </c:numCache>
            </c:numRef>
          </c:val>
          <c:extLst>
            <c:ext xmlns:c16="http://schemas.microsoft.com/office/drawing/2014/chart" uri="{C3380CC4-5D6E-409C-BE32-E72D297353CC}">
              <c16:uniqueId val="{00000004-8B79-40D2-B495-AFA5BED18DA2}"/>
            </c:ext>
          </c:extLst>
        </c:ser>
        <c:ser>
          <c:idx val="4"/>
          <c:order val="4"/>
          <c:tx>
            <c:strRef>
              <c:f>'M2 Fuhrpark'!$AI$93</c:f>
              <c:strCache>
                <c:ptCount val="1"/>
                <c:pt idx="0">
                  <c:v>CO2-Kosten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dk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'M2 Fuhrpark'!$AJ$93:$AL$93</c:f>
              <c:numCache>
                <c:formatCode>#,##0\ "€"</c:formatCode>
                <c:ptCount val="3"/>
                <c:pt idx="0">
                  <c:v>152459.04944673795</c:v>
                </c:pt>
                <c:pt idx="1">
                  <c:v>268205.81115417008</c:v>
                </c:pt>
                <c:pt idx="2">
                  <c:v>469609.01512903062</c:v>
                </c:pt>
              </c:numCache>
            </c:numRef>
          </c:val>
          <c:extLst>
            <c:ext xmlns:c16="http://schemas.microsoft.com/office/drawing/2014/chart" uri="{C3380CC4-5D6E-409C-BE32-E72D297353CC}">
              <c16:uniqueId val="{00000005-8B79-40D2-B495-AFA5BED18DA2}"/>
            </c:ext>
          </c:extLst>
        </c:ser>
        <c:dLbls>
          <c:dLblPos val="ctr"/>
          <c:showLegendKey val="0"/>
          <c:showVal val="1"/>
          <c:showCatName val="0"/>
          <c:showSerName val="0"/>
          <c:showPercent val="0"/>
          <c:showBubbleSize val="0"/>
        </c:dLbls>
        <c:gapWidth val="150"/>
        <c:overlap val="100"/>
        <c:axId val="801269752"/>
        <c:axId val="801269096"/>
      </c:barChart>
      <c:catAx>
        <c:axId val="80126975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cap="none" spc="0" normalizeH="0" baseline="0">
                <a:solidFill>
                  <a:schemeClr val="dk1">
                    <a:lumMod val="65000"/>
                    <a:lumOff val="35000"/>
                  </a:schemeClr>
                </a:solidFill>
                <a:latin typeface="+mn-lt"/>
                <a:ea typeface="+mn-ea"/>
                <a:cs typeface="+mn-cs"/>
              </a:defRPr>
            </a:pPr>
            <a:endParaRPr lang="de-DE"/>
          </a:p>
        </c:txPr>
        <c:crossAx val="801269096"/>
        <c:crosses val="autoZero"/>
        <c:auto val="1"/>
        <c:lblAlgn val="ctr"/>
        <c:lblOffset val="100"/>
        <c:noMultiLvlLbl val="0"/>
      </c:catAx>
      <c:valAx>
        <c:axId val="801269096"/>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r>
                  <a:rPr lang="en-US" sz="1000"/>
                  <a:t>Jährliche</a:t>
                </a:r>
                <a:r>
                  <a:rPr lang="en-US" sz="1000" baseline="0"/>
                  <a:t> Kosten [€/a]</a:t>
                </a:r>
                <a:endParaRPr lang="en-US" sz="1000"/>
              </a:p>
            </c:rich>
          </c:tx>
          <c:layout>
            <c:manualLayout>
              <c:xMode val="edge"/>
              <c:yMode val="edge"/>
              <c:x val="1.2280700057922356E-2"/>
              <c:y val="0.1000879237317988"/>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lumMod val="65000"/>
                      <a:lumOff val="35000"/>
                    </a:schemeClr>
                  </a:solidFill>
                  <a:latin typeface="+mn-lt"/>
                  <a:ea typeface="+mn-ea"/>
                  <a:cs typeface="+mn-cs"/>
                </a:defRPr>
              </a:pPr>
              <a:endParaRPr lang="de-DE"/>
            </a:p>
          </c:txPr>
        </c:title>
        <c:numFmt formatCode="#,##0\ &quot;€&quot;"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crossAx val="80126975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1.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2.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3.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4.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6.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8.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9.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1.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2.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4.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8.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9.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0.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1.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2.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3.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6.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8.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8.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9.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trlProps/ctrlProp1.xml><?xml version="1.0" encoding="utf-8"?>
<formControlPr xmlns="http://schemas.microsoft.com/office/spreadsheetml/2009/9/main" objectType="CheckBox" checked="Checked" fmlaLink="$AL$92" lockText="1" noThreeD="1"/>
</file>

<file path=xl/ctrlProps/ctrlProp10.xml><?xml version="1.0" encoding="utf-8"?>
<formControlPr xmlns="http://schemas.microsoft.com/office/spreadsheetml/2009/9/main" objectType="CheckBox" checked="Checked" fmlaLink="$AD$83" lockText="1" noThreeD="1"/>
</file>

<file path=xl/ctrlProps/ctrlProp100.xml><?xml version="1.0" encoding="utf-8"?>
<formControlPr xmlns="http://schemas.microsoft.com/office/spreadsheetml/2009/9/main" objectType="CheckBox" checked="Checked" fmlaLink="$AE$92" lockText="1" noThreeD="1"/>
</file>

<file path=xl/ctrlProps/ctrlProp101.xml><?xml version="1.0" encoding="utf-8"?>
<formControlPr xmlns="http://schemas.microsoft.com/office/spreadsheetml/2009/9/main" objectType="CheckBox" checked="Checked" fmlaLink="$V$82" lockText="1" noThreeD="1"/>
</file>

<file path=xl/ctrlProps/ctrlProp102.xml><?xml version="1.0" encoding="utf-8"?>
<formControlPr xmlns="http://schemas.microsoft.com/office/spreadsheetml/2009/9/main" objectType="CheckBox" checked="Checked" fmlaLink="$V$83" lockText="1" noThreeD="1"/>
</file>

<file path=xl/ctrlProps/ctrlProp103.xml><?xml version="1.0" encoding="utf-8"?>
<formControlPr xmlns="http://schemas.microsoft.com/office/spreadsheetml/2009/9/main" objectType="CheckBox" checked="Checked" fmlaLink="$V$84" lockText="1" noThreeD="1"/>
</file>

<file path=xl/ctrlProps/ctrlProp104.xml><?xml version="1.0" encoding="utf-8"?>
<formControlPr xmlns="http://schemas.microsoft.com/office/spreadsheetml/2009/9/main" objectType="CheckBox" checked="Checked" fmlaLink="$V$85" lockText="1" noThreeD="1"/>
</file>

<file path=xl/ctrlProps/ctrlProp105.xml><?xml version="1.0" encoding="utf-8"?>
<formControlPr xmlns="http://schemas.microsoft.com/office/spreadsheetml/2009/9/main" objectType="CheckBox" checked="Checked" fmlaLink="$V$86" lockText="1" noThreeD="1"/>
</file>

<file path=xl/ctrlProps/ctrlProp106.xml><?xml version="1.0" encoding="utf-8"?>
<formControlPr xmlns="http://schemas.microsoft.com/office/spreadsheetml/2009/9/main" objectType="CheckBox" checked="Checked" fmlaLink="$V$87" lockText="1" noThreeD="1"/>
</file>

<file path=xl/ctrlProps/ctrlProp107.xml><?xml version="1.0" encoding="utf-8"?>
<formControlPr xmlns="http://schemas.microsoft.com/office/spreadsheetml/2009/9/main" objectType="CheckBox" checked="Checked" fmlaLink="$V$88" lockText="1" noThreeD="1"/>
</file>

<file path=xl/ctrlProps/ctrlProp108.xml><?xml version="1.0" encoding="utf-8"?>
<formControlPr xmlns="http://schemas.microsoft.com/office/spreadsheetml/2009/9/main" objectType="CheckBox" checked="Checked" fmlaLink="$AM$93" lockText="1" noThreeD="1"/>
</file>

<file path=xl/ctrlProps/ctrlProp109.xml><?xml version="1.0" encoding="utf-8"?>
<formControlPr xmlns="http://schemas.microsoft.com/office/spreadsheetml/2009/9/main" objectType="CheckBox" checked="Checked" fmlaLink="$AM$94" lockText="1" noThreeD="1"/>
</file>

<file path=xl/ctrlProps/ctrlProp11.xml><?xml version="1.0" encoding="utf-8"?>
<formControlPr xmlns="http://schemas.microsoft.com/office/spreadsheetml/2009/9/main" objectType="CheckBox" checked="Checked" fmlaLink="$AD$84" lockText="1" noThreeD="1"/>
</file>

<file path=xl/ctrlProps/ctrlProp110.xml><?xml version="1.0" encoding="utf-8"?>
<formControlPr xmlns="http://schemas.microsoft.com/office/spreadsheetml/2009/9/main" objectType="CheckBox" checked="Checked" fmlaLink="$AM$95" lockText="1" noThreeD="1"/>
</file>

<file path=xl/ctrlProps/ctrlProp111.xml><?xml version="1.0" encoding="utf-8"?>
<formControlPr xmlns="http://schemas.microsoft.com/office/spreadsheetml/2009/9/main" objectType="CheckBox" checked="Checked" fmlaLink="$AM$96" lockText="1" noThreeD="1"/>
</file>

<file path=xl/ctrlProps/ctrlProp112.xml><?xml version="1.0" encoding="utf-8"?>
<formControlPr xmlns="http://schemas.microsoft.com/office/spreadsheetml/2009/9/main" objectType="CheckBox" checked="Checked" fmlaLink="$AM$91" lockText="1" noThreeD="1"/>
</file>

<file path=xl/ctrlProps/ctrlProp113.xml><?xml version="1.0" encoding="utf-8"?>
<formControlPr xmlns="http://schemas.microsoft.com/office/spreadsheetml/2009/9/main" objectType="CheckBox" checked="Checked" fmlaLink="$AM$90" lockText="1" noThreeD="1"/>
</file>

<file path=xl/ctrlProps/ctrlProp114.xml><?xml version="1.0" encoding="utf-8"?>
<formControlPr xmlns="http://schemas.microsoft.com/office/spreadsheetml/2009/9/main" objectType="CheckBox" checked="Checked" fmlaLink="$AM$92" lockText="1" noThreeD="1"/>
</file>

<file path=xl/ctrlProps/ctrlProp115.xml><?xml version="1.0" encoding="utf-8"?>
<formControlPr xmlns="http://schemas.microsoft.com/office/spreadsheetml/2009/9/main" objectType="CheckBox" checked="Checked" fmlaLink="$AF$82" lockText="1" noThreeD="1"/>
</file>

<file path=xl/ctrlProps/ctrlProp116.xml><?xml version="1.0" encoding="utf-8"?>
<formControlPr xmlns="http://schemas.microsoft.com/office/spreadsheetml/2009/9/main" objectType="CheckBox" checked="Checked" fmlaLink="$AF$83" lockText="1" noThreeD="1"/>
</file>

<file path=xl/ctrlProps/ctrlProp117.xml><?xml version="1.0" encoding="utf-8"?>
<formControlPr xmlns="http://schemas.microsoft.com/office/spreadsheetml/2009/9/main" objectType="CheckBox" checked="Checked" fmlaLink="$AF$84" lockText="1" noThreeD="1"/>
</file>

<file path=xl/ctrlProps/ctrlProp118.xml><?xml version="1.0" encoding="utf-8"?>
<formControlPr xmlns="http://schemas.microsoft.com/office/spreadsheetml/2009/9/main" objectType="CheckBox" checked="Checked" fmlaLink="$AF$85" lockText="1" noThreeD="1"/>
</file>

<file path=xl/ctrlProps/ctrlProp119.xml><?xml version="1.0" encoding="utf-8"?>
<formControlPr xmlns="http://schemas.microsoft.com/office/spreadsheetml/2009/9/main" objectType="CheckBox" checked="Checked" fmlaLink="$AF$86" lockText="1" noThreeD="1"/>
</file>

<file path=xl/ctrlProps/ctrlProp12.xml><?xml version="1.0" encoding="utf-8"?>
<formControlPr xmlns="http://schemas.microsoft.com/office/spreadsheetml/2009/9/main" objectType="CheckBox" checked="Checked" fmlaLink="$AD$85" lockText="1" noThreeD="1"/>
</file>

<file path=xl/ctrlProps/ctrlProp120.xml><?xml version="1.0" encoding="utf-8"?>
<formControlPr xmlns="http://schemas.microsoft.com/office/spreadsheetml/2009/9/main" objectType="CheckBox" checked="Checked" fmlaLink="$AF$87" lockText="1" noThreeD="1"/>
</file>

<file path=xl/ctrlProps/ctrlProp121.xml><?xml version="1.0" encoding="utf-8"?>
<formControlPr xmlns="http://schemas.microsoft.com/office/spreadsheetml/2009/9/main" objectType="CheckBox" checked="Checked" fmlaLink="$AF$88" lockText="1" noThreeD="1"/>
</file>

<file path=xl/ctrlProps/ctrlProp122.xml><?xml version="1.0" encoding="utf-8"?>
<formControlPr xmlns="http://schemas.microsoft.com/office/spreadsheetml/2009/9/main" objectType="CheckBox" fmlaLink="$AF$89" lockText="1" noThreeD="1"/>
</file>

<file path=xl/ctrlProps/ctrlProp123.xml><?xml version="1.0" encoding="utf-8"?>
<formControlPr xmlns="http://schemas.microsoft.com/office/spreadsheetml/2009/9/main" objectType="CheckBox" fmlaLink="$AF$90" lockText="1" noThreeD="1"/>
</file>

<file path=xl/ctrlProps/ctrlProp124.xml><?xml version="1.0" encoding="utf-8"?>
<formControlPr xmlns="http://schemas.microsoft.com/office/spreadsheetml/2009/9/main" objectType="CheckBox" fmlaLink="$AF$91" lockText="1" noThreeD="1"/>
</file>

<file path=xl/ctrlProps/ctrlProp125.xml><?xml version="1.0" encoding="utf-8"?>
<formControlPr xmlns="http://schemas.microsoft.com/office/spreadsheetml/2009/9/main" objectType="CheckBox" checked="Checked" fmlaLink="$AF$92" lockText="1" noThreeD="1"/>
</file>

<file path=xl/ctrlProps/ctrlProp126.xml><?xml version="1.0" encoding="utf-8"?>
<formControlPr xmlns="http://schemas.microsoft.com/office/spreadsheetml/2009/9/main" objectType="CheckBox" checked="Checked" fmlaLink="$V$82" lockText="1" noThreeD="1"/>
</file>

<file path=xl/ctrlProps/ctrlProp127.xml><?xml version="1.0" encoding="utf-8"?>
<formControlPr xmlns="http://schemas.microsoft.com/office/spreadsheetml/2009/9/main" objectType="CheckBox" checked="Checked" fmlaLink="$V$83" lockText="1" noThreeD="1"/>
</file>

<file path=xl/ctrlProps/ctrlProp128.xml><?xml version="1.0" encoding="utf-8"?>
<formControlPr xmlns="http://schemas.microsoft.com/office/spreadsheetml/2009/9/main" objectType="CheckBox" checked="Checked" fmlaLink="$V$84" lockText="1" noThreeD="1"/>
</file>

<file path=xl/ctrlProps/ctrlProp129.xml><?xml version="1.0" encoding="utf-8"?>
<formControlPr xmlns="http://schemas.microsoft.com/office/spreadsheetml/2009/9/main" objectType="CheckBox" checked="Checked" fmlaLink="$V$85" lockText="1" noThreeD="1"/>
</file>

<file path=xl/ctrlProps/ctrlProp13.xml><?xml version="1.0" encoding="utf-8"?>
<formControlPr xmlns="http://schemas.microsoft.com/office/spreadsheetml/2009/9/main" objectType="CheckBox" checked="Checked" fmlaLink="$AD$86" lockText="1" noThreeD="1"/>
</file>

<file path=xl/ctrlProps/ctrlProp130.xml><?xml version="1.0" encoding="utf-8"?>
<formControlPr xmlns="http://schemas.microsoft.com/office/spreadsheetml/2009/9/main" objectType="CheckBox" checked="Checked" fmlaLink="$V$86" lockText="1" noThreeD="1"/>
</file>

<file path=xl/ctrlProps/ctrlProp131.xml><?xml version="1.0" encoding="utf-8"?>
<formControlPr xmlns="http://schemas.microsoft.com/office/spreadsheetml/2009/9/main" objectType="CheckBox" checked="Checked" fmlaLink="$V$87" lockText="1" noThreeD="1"/>
</file>

<file path=xl/ctrlProps/ctrlProp132.xml><?xml version="1.0" encoding="utf-8"?>
<formControlPr xmlns="http://schemas.microsoft.com/office/spreadsheetml/2009/9/main" objectType="CheckBox" checked="Checked" fmlaLink="$V$88" lockText="1" noThreeD="1"/>
</file>

<file path=xl/ctrlProps/ctrlProp133.xml><?xml version="1.0" encoding="utf-8"?>
<formControlPr xmlns="http://schemas.microsoft.com/office/spreadsheetml/2009/9/main" objectType="CheckBox" checked="Checked" fmlaLink="$AM$93" lockText="1" noThreeD="1"/>
</file>

<file path=xl/ctrlProps/ctrlProp134.xml><?xml version="1.0" encoding="utf-8"?>
<formControlPr xmlns="http://schemas.microsoft.com/office/spreadsheetml/2009/9/main" objectType="CheckBox" checked="Checked" fmlaLink="$AM$94" lockText="1" noThreeD="1"/>
</file>

<file path=xl/ctrlProps/ctrlProp135.xml><?xml version="1.0" encoding="utf-8"?>
<formControlPr xmlns="http://schemas.microsoft.com/office/spreadsheetml/2009/9/main" objectType="CheckBox" checked="Checked" fmlaLink="$AM$95" lockText="1" noThreeD="1"/>
</file>

<file path=xl/ctrlProps/ctrlProp136.xml><?xml version="1.0" encoding="utf-8"?>
<formControlPr xmlns="http://schemas.microsoft.com/office/spreadsheetml/2009/9/main" objectType="CheckBox" checked="Checked" fmlaLink="$AM$96" lockText="1" noThreeD="1"/>
</file>

<file path=xl/ctrlProps/ctrlProp137.xml><?xml version="1.0" encoding="utf-8"?>
<formControlPr xmlns="http://schemas.microsoft.com/office/spreadsheetml/2009/9/main" objectType="CheckBox" checked="Checked" fmlaLink="$AM$91" lockText="1" noThreeD="1"/>
</file>

<file path=xl/ctrlProps/ctrlProp138.xml><?xml version="1.0" encoding="utf-8"?>
<formControlPr xmlns="http://schemas.microsoft.com/office/spreadsheetml/2009/9/main" objectType="CheckBox" checked="Checked" fmlaLink="$AM$90" lockText="1" noThreeD="1"/>
</file>

<file path=xl/ctrlProps/ctrlProp139.xml><?xml version="1.0" encoding="utf-8"?>
<formControlPr xmlns="http://schemas.microsoft.com/office/spreadsheetml/2009/9/main" objectType="CheckBox" checked="Checked" fmlaLink="$AM$92" lockText="1" noThreeD="1"/>
</file>

<file path=xl/ctrlProps/ctrlProp14.xml><?xml version="1.0" encoding="utf-8"?>
<formControlPr xmlns="http://schemas.microsoft.com/office/spreadsheetml/2009/9/main" objectType="CheckBox" checked="Checked" fmlaLink="$AD$87" lockText="1" noThreeD="1"/>
</file>

<file path=xl/ctrlProps/ctrlProp140.xml><?xml version="1.0" encoding="utf-8"?>
<formControlPr xmlns="http://schemas.microsoft.com/office/spreadsheetml/2009/9/main" objectType="CheckBox" checked="Checked" fmlaLink="$AE$82" lockText="1" noThreeD="1"/>
</file>

<file path=xl/ctrlProps/ctrlProp141.xml><?xml version="1.0" encoding="utf-8"?>
<formControlPr xmlns="http://schemas.microsoft.com/office/spreadsheetml/2009/9/main" objectType="CheckBox" checked="Checked" fmlaLink="$AE$83" lockText="1" noThreeD="1"/>
</file>

<file path=xl/ctrlProps/ctrlProp142.xml><?xml version="1.0" encoding="utf-8"?>
<formControlPr xmlns="http://schemas.microsoft.com/office/spreadsheetml/2009/9/main" objectType="CheckBox" checked="Checked" fmlaLink="$AE$84" lockText="1" noThreeD="1"/>
</file>

<file path=xl/ctrlProps/ctrlProp143.xml><?xml version="1.0" encoding="utf-8"?>
<formControlPr xmlns="http://schemas.microsoft.com/office/spreadsheetml/2009/9/main" objectType="CheckBox" checked="Checked" fmlaLink="$AE$85" lockText="1" noThreeD="1"/>
</file>

<file path=xl/ctrlProps/ctrlProp144.xml><?xml version="1.0" encoding="utf-8"?>
<formControlPr xmlns="http://schemas.microsoft.com/office/spreadsheetml/2009/9/main" objectType="CheckBox" checked="Checked" fmlaLink="$AE$86" lockText="1" noThreeD="1"/>
</file>

<file path=xl/ctrlProps/ctrlProp145.xml><?xml version="1.0" encoding="utf-8"?>
<formControlPr xmlns="http://schemas.microsoft.com/office/spreadsheetml/2009/9/main" objectType="CheckBox" checked="Checked" fmlaLink="$AE$87" lockText="1" noThreeD="1"/>
</file>

<file path=xl/ctrlProps/ctrlProp146.xml><?xml version="1.0" encoding="utf-8"?>
<formControlPr xmlns="http://schemas.microsoft.com/office/spreadsheetml/2009/9/main" objectType="CheckBox" checked="Checked" fmlaLink="$AE$88" lockText="1" noThreeD="1"/>
</file>

<file path=xl/ctrlProps/ctrlProp147.xml><?xml version="1.0" encoding="utf-8"?>
<formControlPr xmlns="http://schemas.microsoft.com/office/spreadsheetml/2009/9/main" objectType="CheckBox" fmlaLink="$AE$89" lockText="1" noThreeD="1"/>
</file>

<file path=xl/ctrlProps/ctrlProp148.xml><?xml version="1.0" encoding="utf-8"?>
<formControlPr xmlns="http://schemas.microsoft.com/office/spreadsheetml/2009/9/main" objectType="CheckBox" fmlaLink="$AE$90" lockText="1" noThreeD="1"/>
</file>

<file path=xl/ctrlProps/ctrlProp149.xml><?xml version="1.0" encoding="utf-8"?>
<formControlPr xmlns="http://schemas.microsoft.com/office/spreadsheetml/2009/9/main" objectType="CheckBox" fmlaLink="$AE$91" lockText="1" noThreeD="1"/>
</file>

<file path=xl/ctrlProps/ctrlProp15.xml><?xml version="1.0" encoding="utf-8"?>
<formControlPr xmlns="http://schemas.microsoft.com/office/spreadsheetml/2009/9/main" objectType="CheckBox" fmlaLink="$AD$88" lockText="1" noThreeD="1"/>
</file>

<file path=xl/ctrlProps/ctrlProp150.xml><?xml version="1.0" encoding="utf-8"?>
<formControlPr xmlns="http://schemas.microsoft.com/office/spreadsheetml/2009/9/main" objectType="CheckBox" checked="Checked" fmlaLink="$AE$92" lockText="1" noThreeD="1"/>
</file>

<file path=xl/ctrlProps/ctrlProp151.xml><?xml version="1.0" encoding="utf-8"?>
<formControlPr xmlns="http://schemas.microsoft.com/office/spreadsheetml/2009/9/main" objectType="CheckBox" checked="Checked" fmlaLink="$W$82" lockText="1" noThreeD="1"/>
</file>

<file path=xl/ctrlProps/ctrlProp152.xml><?xml version="1.0" encoding="utf-8"?>
<formControlPr xmlns="http://schemas.microsoft.com/office/spreadsheetml/2009/9/main" objectType="CheckBox" checked="Checked" fmlaLink="$W$83" lockText="1" noThreeD="1"/>
</file>

<file path=xl/ctrlProps/ctrlProp153.xml><?xml version="1.0" encoding="utf-8"?>
<formControlPr xmlns="http://schemas.microsoft.com/office/spreadsheetml/2009/9/main" objectType="CheckBox" checked="Checked" fmlaLink="$W$84" lockText="1" noThreeD="1"/>
</file>

<file path=xl/ctrlProps/ctrlProp154.xml><?xml version="1.0" encoding="utf-8"?>
<formControlPr xmlns="http://schemas.microsoft.com/office/spreadsheetml/2009/9/main" objectType="CheckBox" fmlaLink="$W$85" lockText="1" noThreeD="1"/>
</file>

<file path=xl/ctrlProps/ctrlProp155.xml><?xml version="1.0" encoding="utf-8"?>
<formControlPr xmlns="http://schemas.microsoft.com/office/spreadsheetml/2009/9/main" objectType="CheckBox" fmlaLink="$W$86" lockText="1" noThreeD="1"/>
</file>

<file path=xl/ctrlProps/ctrlProp156.xml><?xml version="1.0" encoding="utf-8"?>
<formControlPr xmlns="http://schemas.microsoft.com/office/spreadsheetml/2009/9/main" objectType="CheckBox" fmlaLink="$W$87" lockText="1" noThreeD="1"/>
</file>

<file path=xl/ctrlProps/ctrlProp157.xml><?xml version="1.0" encoding="utf-8"?>
<formControlPr xmlns="http://schemas.microsoft.com/office/spreadsheetml/2009/9/main" objectType="CheckBox" checked="Checked" fmlaLink="$W$88" lockText="1" noThreeD="1"/>
</file>

<file path=xl/ctrlProps/ctrlProp158.xml><?xml version="1.0" encoding="utf-8"?>
<formControlPr xmlns="http://schemas.microsoft.com/office/spreadsheetml/2009/9/main" objectType="CheckBox" checked="Checked" fmlaLink="$AN$93" lockText="1" noThreeD="1"/>
</file>

<file path=xl/ctrlProps/ctrlProp159.xml><?xml version="1.0" encoding="utf-8"?>
<formControlPr xmlns="http://schemas.microsoft.com/office/spreadsheetml/2009/9/main" objectType="CheckBox" checked="Checked" fmlaLink="$AN$94" lockText="1" noThreeD="1"/>
</file>

<file path=xl/ctrlProps/ctrlProp16.xml><?xml version="1.0" encoding="utf-8"?>
<formControlPr xmlns="http://schemas.microsoft.com/office/spreadsheetml/2009/9/main" objectType="CheckBox" fmlaLink="$AD$89" lockText="1" noThreeD="1"/>
</file>

<file path=xl/ctrlProps/ctrlProp160.xml><?xml version="1.0" encoding="utf-8"?>
<formControlPr xmlns="http://schemas.microsoft.com/office/spreadsheetml/2009/9/main" objectType="CheckBox" checked="Checked" fmlaLink="$AN$95" lockText="1" noThreeD="1"/>
</file>

<file path=xl/ctrlProps/ctrlProp161.xml><?xml version="1.0" encoding="utf-8"?>
<formControlPr xmlns="http://schemas.microsoft.com/office/spreadsheetml/2009/9/main" objectType="CheckBox" checked="Checked" fmlaLink="$AN$96" lockText="1" noThreeD="1"/>
</file>

<file path=xl/ctrlProps/ctrlProp162.xml><?xml version="1.0" encoding="utf-8"?>
<formControlPr xmlns="http://schemas.microsoft.com/office/spreadsheetml/2009/9/main" objectType="CheckBox" checked="Checked" fmlaLink="$AN$91" lockText="1" noThreeD="1"/>
</file>

<file path=xl/ctrlProps/ctrlProp163.xml><?xml version="1.0" encoding="utf-8"?>
<formControlPr xmlns="http://schemas.microsoft.com/office/spreadsheetml/2009/9/main" objectType="CheckBox" checked="Checked" fmlaLink="$AN$90" lockText="1" noThreeD="1"/>
</file>

<file path=xl/ctrlProps/ctrlProp164.xml><?xml version="1.0" encoding="utf-8"?>
<formControlPr xmlns="http://schemas.microsoft.com/office/spreadsheetml/2009/9/main" objectType="CheckBox" checked="Checked" fmlaLink="$AN$92" lockText="1" noThreeD="1"/>
</file>

<file path=xl/ctrlProps/ctrlProp165.xml><?xml version="1.0" encoding="utf-8"?>
<formControlPr xmlns="http://schemas.microsoft.com/office/spreadsheetml/2009/9/main" objectType="CheckBox" checked="Checked" fmlaLink="$AF$82" lockText="1" noThreeD="1"/>
</file>

<file path=xl/ctrlProps/ctrlProp166.xml><?xml version="1.0" encoding="utf-8"?>
<formControlPr xmlns="http://schemas.microsoft.com/office/spreadsheetml/2009/9/main" objectType="CheckBox" checked="Checked" fmlaLink="$AF$83" lockText="1" noThreeD="1"/>
</file>

<file path=xl/ctrlProps/ctrlProp167.xml><?xml version="1.0" encoding="utf-8"?>
<formControlPr xmlns="http://schemas.microsoft.com/office/spreadsheetml/2009/9/main" objectType="CheckBox" checked="Checked" fmlaLink="$AF$84" lockText="1" noThreeD="1"/>
</file>

<file path=xl/ctrlProps/ctrlProp168.xml><?xml version="1.0" encoding="utf-8"?>
<formControlPr xmlns="http://schemas.microsoft.com/office/spreadsheetml/2009/9/main" objectType="CheckBox" checked="Checked" fmlaLink="$AF$85" lockText="1" noThreeD="1"/>
</file>

<file path=xl/ctrlProps/ctrlProp169.xml><?xml version="1.0" encoding="utf-8"?>
<formControlPr xmlns="http://schemas.microsoft.com/office/spreadsheetml/2009/9/main" objectType="CheckBox" checked="Checked" fmlaLink="$AF$86" lockText="1" noThreeD="1"/>
</file>

<file path=xl/ctrlProps/ctrlProp17.xml><?xml version="1.0" encoding="utf-8"?>
<formControlPr xmlns="http://schemas.microsoft.com/office/spreadsheetml/2009/9/main" objectType="CheckBox" fmlaLink="$AD$90" lockText="1" noThreeD="1"/>
</file>

<file path=xl/ctrlProps/ctrlProp170.xml><?xml version="1.0" encoding="utf-8"?>
<formControlPr xmlns="http://schemas.microsoft.com/office/spreadsheetml/2009/9/main" objectType="CheckBox" checked="Checked" fmlaLink="$AF$87" lockText="1" noThreeD="1"/>
</file>

<file path=xl/ctrlProps/ctrlProp171.xml><?xml version="1.0" encoding="utf-8"?>
<formControlPr xmlns="http://schemas.microsoft.com/office/spreadsheetml/2009/9/main" objectType="CheckBox" checked="Checked" fmlaLink="$AF$88" lockText="1" noThreeD="1"/>
</file>

<file path=xl/ctrlProps/ctrlProp172.xml><?xml version="1.0" encoding="utf-8"?>
<formControlPr xmlns="http://schemas.microsoft.com/office/spreadsheetml/2009/9/main" objectType="CheckBox" checked="Checked" fmlaLink="$AF$90" lockText="1" noThreeD="1"/>
</file>

<file path=xl/ctrlProps/ctrlProp173.xml><?xml version="1.0" encoding="utf-8"?>
<formControlPr xmlns="http://schemas.microsoft.com/office/spreadsheetml/2009/9/main" objectType="CheckBox" checked="Checked" fmlaLink="$AF$91" lockText="1" noThreeD="1"/>
</file>

<file path=xl/ctrlProps/ctrlProp174.xml><?xml version="1.0" encoding="utf-8"?>
<formControlPr xmlns="http://schemas.microsoft.com/office/spreadsheetml/2009/9/main" objectType="CheckBox" checked="Checked" fmlaLink="$AF$92" lockText="1" noThreeD="1"/>
</file>

<file path=xl/ctrlProps/ctrlProp175.xml><?xml version="1.0" encoding="utf-8"?>
<formControlPr xmlns="http://schemas.microsoft.com/office/spreadsheetml/2009/9/main" objectType="CheckBox" checked="Checked" fmlaLink="$AF$93" lockText="1" noThreeD="1"/>
</file>

<file path=xl/ctrlProps/ctrlProp176.xml><?xml version="1.0" encoding="utf-8"?>
<formControlPr xmlns="http://schemas.microsoft.com/office/spreadsheetml/2009/9/main" objectType="CheckBox" checked="Checked" fmlaLink="$AF$89" lockText="1" noThreeD="1"/>
</file>

<file path=xl/ctrlProps/ctrlProp177.xml><?xml version="1.0" encoding="utf-8"?>
<formControlPr xmlns="http://schemas.microsoft.com/office/spreadsheetml/2009/9/main" objectType="CheckBox" checked="Checked" fmlaLink="$W$82" lockText="1" noThreeD="1"/>
</file>

<file path=xl/ctrlProps/ctrlProp178.xml><?xml version="1.0" encoding="utf-8"?>
<formControlPr xmlns="http://schemas.microsoft.com/office/spreadsheetml/2009/9/main" objectType="CheckBox" checked="Checked" fmlaLink="$W$83" lockText="1" noThreeD="1"/>
</file>

<file path=xl/ctrlProps/ctrlProp179.xml><?xml version="1.0" encoding="utf-8"?>
<formControlPr xmlns="http://schemas.microsoft.com/office/spreadsheetml/2009/9/main" objectType="CheckBox" checked="Checked" fmlaLink="$W$84" lockText="1" noThreeD="1"/>
</file>

<file path=xl/ctrlProps/ctrlProp18.xml><?xml version="1.0" encoding="utf-8"?>
<formControlPr xmlns="http://schemas.microsoft.com/office/spreadsheetml/2009/9/main" objectType="CheckBox" checked="Checked" fmlaLink="$AD$91" lockText="1" noThreeD="1"/>
</file>

<file path=xl/ctrlProps/ctrlProp180.xml><?xml version="1.0" encoding="utf-8"?>
<formControlPr xmlns="http://schemas.microsoft.com/office/spreadsheetml/2009/9/main" objectType="CheckBox" fmlaLink="$W$85" lockText="1" noThreeD="1"/>
</file>

<file path=xl/ctrlProps/ctrlProp181.xml><?xml version="1.0" encoding="utf-8"?>
<formControlPr xmlns="http://schemas.microsoft.com/office/spreadsheetml/2009/9/main" objectType="CheckBox" fmlaLink="$W$86" lockText="1" noThreeD="1"/>
</file>

<file path=xl/ctrlProps/ctrlProp182.xml><?xml version="1.0" encoding="utf-8"?>
<formControlPr xmlns="http://schemas.microsoft.com/office/spreadsheetml/2009/9/main" objectType="CheckBox" fmlaLink="$W$87" lockText="1" noThreeD="1"/>
</file>

<file path=xl/ctrlProps/ctrlProp183.xml><?xml version="1.0" encoding="utf-8"?>
<formControlPr xmlns="http://schemas.microsoft.com/office/spreadsheetml/2009/9/main" objectType="CheckBox" checked="Checked" fmlaLink="$W$88" lockText="1" noThreeD="1"/>
</file>

<file path=xl/ctrlProps/ctrlProp184.xml><?xml version="1.0" encoding="utf-8"?>
<formControlPr xmlns="http://schemas.microsoft.com/office/spreadsheetml/2009/9/main" objectType="CheckBox" checked="Checked" fmlaLink="$AN$93" lockText="1" noThreeD="1"/>
</file>

<file path=xl/ctrlProps/ctrlProp185.xml><?xml version="1.0" encoding="utf-8"?>
<formControlPr xmlns="http://schemas.microsoft.com/office/spreadsheetml/2009/9/main" objectType="CheckBox" checked="Checked" fmlaLink="$AN$94" lockText="1" noThreeD="1"/>
</file>

<file path=xl/ctrlProps/ctrlProp186.xml><?xml version="1.0" encoding="utf-8"?>
<formControlPr xmlns="http://schemas.microsoft.com/office/spreadsheetml/2009/9/main" objectType="CheckBox" checked="Checked" fmlaLink="$AN$95" lockText="1" noThreeD="1"/>
</file>

<file path=xl/ctrlProps/ctrlProp187.xml><?xml version="1.0" encoding="utf-8"?>
<formControlPr xmlns="http://schemas.microsoft.com/office/spreadsheetml/2009/9/main" objectType="CheckBox" checked="Checked" fmlaLink="$AN$96" lockText="1" noThreeD="1"/>
</file>

<file path=xl/ctrlProps/ctrlProp188.xml><?xml version="1.0" encoding="utf-8"?>
<formControlPr xmlns="http://schemas.microsoft.com/office/spreadsheetml/2009/9/main" objectType="CheckBox" checked="Checked" fmlaLink="$AN$91" lockText="1" noThreeD="1"/>
</file>

<file path=xl/ctrlProps/ctrlProp189.xml><?xml version="1.0" encoding="utf-8"?>
<formControlPr xmlns="http://schemas.microsoft.com/office/spreadsheetml/2009/9/main" objectType="CheckBox" checked="Checked" fmlaLink="$AN$90" lockText="1" noThreeD="1"/>
</file>

<file path=xl/ctrlProps/ctrlProp19.xml><?xml version="1.0" encoding="utf-8"?>
<formControlPr xmlns="http://schemas.microsoft.com/office/spreadsheetml/2009/9/main" objectType="CheckBox" checked="Checked" fmlaLink="$U$81" lockText="1" noThreeD="1"/>
</file>

<file path=xl/ctrlProps/ctrlProp190.xml><?xml version="1.0" encoding="utf-8"?>
<formControlPr xmlns="http://schemas.microsoft.com/office/spreadsheetml/2009/9/main" objectType="CheckBox" checked="Checked" fmlaLink="$AN$92" lockText="1" noThreeD="1"/>
</file>

<file path=xl/ctrlProps/ctrlProp191.xml><?xml version="1.0" encoding="utf-8"?>
<formControlPr xmlns="http://schemas.microsoft.com/office/spreadsheetml/2009/9/main" objectType="CheckBox" checked="Checked" fmlaLink="$AF$82" lockText="1" noThreeD="1"/>
</file>

<file path=xl/ctrlProps/ctrlProp192.xml><?xml version="1.0" encoding="utf-8"?>
<formControlPr xmlns="http://schemas.microsoft.com/office/spreadsheetml/2009/9/main" objectType="CheckBox" checked="Checked" fmlaLink="$AF$83" lockText="1" noThreeD="1"/>
</file>

<file path=xl/ctrlProps/ctrlProp193.xml><?xml version="1.0" encoding="utf-8"?>
<formControlPr xmlns="http://schemas.microsoft.com/office/spreadsheetml/2009/9/main" objectType="CheckBox" checked="Checked" fmlaLink="$AF$84" lockText="1" noThreeD="1"/>
</file>

<file path=xl/ctrlProps/ctrlProp194.xml><?xml version="1.0" encoding="utf-8"?>
<formControlPr xmlns="http://schemas.microsoft.com/office/spreadsheetml/2009/9/main" objectType="CheckBox" checked="Checked" fmlaLink="$AF$85" lockText="1" noThreeD="1"/>
</file>

<file path=xl/ctrlProps/ctrlProp195.xml><?xml version="1.0" encoding="utf-8"?>
<formControlPr xmlns="http://schemas.microsoft.com/office/spreadsheetml/2009/9/main" objectType="CheckBox" checked="Checked" fmlaLink="$AF$86" lockText="1" noThreeD="1"/>
</file>

<file path=xl/ctrlProps/ctrlProp196.xml><?xml version="1.0" encoding="utf-8"?>
<formControlPr xmlns="http://schemas.microsoft.com/office/spreadsheetml/2009/9/main" objectType="CheckBox" checked="Checked" fmlaLink="$AF$87" lockText="1" noThreeD="1"/>
</file>

<file path=xl/ctrlProps/ctrlProp197.xml><?xml version="1.0" encoding="utf-8"?>
<formControlPr xmlns="http://schemas.microsoft.com/office/spreadsheetml/2009/9/main" objectType="CheckBox" checked="Checked" fmlaLink="$AF$88" lockText="1" noThreeD="1"/>
</file>

<file path=xl/ctrlProps/ctrlProp198.xml><?xml version="1.0" encoding="utf-8"?>
<formControlPr xmlns="http://schemas.microsoft.com/office/spreadsheetml/2009/9/main" objectType="CheckBox" checked="Checked" fmlaLink="$AF$90" lockText="1" noThreeD="1"/>
</file>

<file path=xl/ctrlProps/ctrlProp199.xml><?xml version="1.0" encoding="utf-8"?>
<formControlPr xmlns="http://schemas.microsoft.com/office/spreadsheetml/2009/9/main" objectType="CheckBox" checked="Checked" fmlaLink="$AF$91" lockText="1" noThreeD="1"/>
</file>

<file path=xl/ctrlProps/ctrlProp2.xml><?xml version="1.0" encoding="utf-8"?>
<formControlPr xmlns="http://schemas.microsoft.com/office/spreadsheetml/2009/9/main" objectType="CheckBox" checked="Checked" fmlaLink="$AL$93" lockText="1" noThreeD="1"/>
</file>

<file path=xl/ctrlProps/ctrlProp20.xml><?xml version="1.0" encoding="utf-8"?>
<formControlPr xmlns="http://schemas.microsoft.com/office/spreadsheetml/2009/9/main" objectType="CheckBox" checked="Checked" fmlaLink="$U$82" lockText="1" noThreeD="1"/>
</file>

<file path=xl/ctrlProps/ctrlProp200.xml><?xml version="1.0" encoding="utf-8"?>
<formControlPr xmlns="http://schemas.microsoft.com/office/spreadsheetml/2009/9/main" objectType="CheckBox" checked="Checked" fmlaLink="$AF$92" lockText="1" noThreeD="1"/>
</file>

<file path=xl/ctrlProps/ctrlProp201.xml><?xml version="1.0" encoding="utf-8"?>
<formControlPr xmlns="http://schemas.microsoft.com/office/spreadsheetml/2009/9/main" objectType="CheckBox" checked="Checked" fmlaLink="$AF$93" lockText="1" noThreeD="1"/>
</file>

<file path=xl/ctrlProps/ctrlProp202.xml><?xml version="1.0" encoding="utf-8"?>
<formControlPr xmlns="http://schemas.microsoft.com/office/spreadsheetml/2009/9/main" objectType="CheckBox" checked="Checked" fmlaLink="$AF$89" lockText="1" noThreeD="1"/>
</file>

<file path=xl/ctrlProps/ctrlProp203.xml><?xml version="1.0" encoding="utf-8"?>
<formControlPr xmlns="http://schemas.microsoft.com/office/spreadsheetml/2009/9/main" objectType="CheckBox" checked="Checked" fmlaLink="$X$84" lockText="1" noThreeD="1"/>
</file>

<file path=xl/ctrlProps/ctrlProp204.xml><?xml version="1.0" encoding="utf-8"?>
<formControlPr xmlns="http://schemas.microsoft.com/office/spreadsheetml/2009/9/main" objectType="CheckBox" checked="Checked" fmlaLink="$X$85" lockText="1" noThreeD="1"/>
</file>

<file path=xl/ctrlProps/ctrlProp205.xml><?xml version="1.0" encoding="utf-8"?>
<formControlPr xmlns="http://schemas.microsoft.com/office/spreadsheetml/2009/9/main" objectType="CheckBox" checked="Checked" fmlaLink="$X$86" lockText="1" noThreeD="1"/>
</file>

<file path=xl/ctrlProps/ctrlProp206.xml><?xml version="1.0" encoding="utf-8"?>
<formControlPr xmlns="http://schemas.microsoft.com/office/spreadsheetml/2009/9/main" objectType="CheckBox" fmlaLink="$X$87" lockText="1" noThreeD="1"/>
</file>

<file path=xl/ctrlProps/ctrlProp207.xml><?xml version="1.0" encoding="utf-8"?>
<formControlPr xmlns="http://schemas.microsoft.com/office/spreadsheetml/2009/9/main" objectType="CheckBox" fmlaLink="$X$88" lockText="1" noThreeD="1"/>
</file>

<file path=xl/ctrlProps/ctrlProp208.xml><?xml version="1.0" encoding="utf-8"?>
<formControlPr xmlns="http://schemas.microsoft.com/office/spreadsheetml/2009/9/main" objectType="CheckBox" fmlaLink="$X$89" lockText="1" noThreeD="1"/>
</file>

<file path=xl/ctrlProps/ctrlProp209.xml><?xml version="1.0" encoding="utf-8"?>
<formControlPr xmlns="http://schemas.microsoft.com/office/spreadsheetml/2009/9/main" objectType="CheckBox" checked="Checked" fmlaLink="$X$90" lockText="1" noThreeD="1"/>
</file>

<file path=xl/ctrlProps/ctrlProp21.xml><?xml version="1.0" encoding="utf-8"?>
<formControlPr xmlns="http://schemas.microsoft.com/office/spreadsheetml/2009/9/main" objectType="CheckBox" checked="Checked" fmlaLink="$U$83" lockText="1" noThreeD="1"/>
</file>

<file path=xl/ctrlProps/ctrlProp210.xml><?xml version="1.0" encoding="utf-8"?>
<formControlPr xmlns="http://schemas.microsoft.com/office/spreadsheetml/2009/9/main" objectType="CheckBox" checked="Checked" fmlaLink="$AO$95" lockText="1" noThreeD="1"/>
</file>

<file path=xl/ctrlProps/ctrlProp211.xml><?xml version="1.0" encoding="utf-8"?>
<formControlPr xmlns="http://schemas.microsoft.com/office/spreadsheetml/2009/9/main" objectType="CheckBox" checked="Checked" fmlaLink="$AO$96" lockText="1" noThreeD="1"/>
</file>

<file path=xl/ctrlProps/ctrlProp212.xml><?xml version="1.0" encoding="utf-8"?>
<formControlPr xmlns="http://schemas.microsoft.com/office/spreadsheetml/2009/9/main" objectType="CheckBox" checked="Checked" fmlaLink="$AO$97" lockText="1" noThreeD="1"/>
</file>

<file path=xl/ctrlProps/ctrlProp213.xml><?xml version="1.0" encoding="utf-8"?>
<formControlPr xmlns="http://schemas.microsoft.com/office/spreadsheetml/2009/9/main" objectType="CheckBox" checked="Checked" fmlaLink="$AO$98" lockText="1" noThreeD="1"/>
</file>

<file path=xl/ctrlProps/ctrlProp214.xml><?xml version="1.0" encoding="utf-8"?>
<formControlPr xmlns="http://schemas.microsoft.com/office/spreadsheetml/2009/9/main" objectType="CheckBox" checked="Checked" fmlaLink="$AO$93" lockText="1" noThreeD="1"/>
</file>

<file path=xl/ctrlProps/ctrlProp215.xml><?xml version="1.0" encoding="utf-8"?>
<formControlPr xmlns="http://schemas.microsoft.com/office/spreadsheetml/2009/9/main" objectType="CheckBox" checked="Checked" fmlaLink="$AO$92" lockText="1" noThreeD="1"/>
</file>

<file path=xl/ctrlProps/ctrlProp216.xml><?xml version="1.0" encoding="utf-8"?>
<formControlPr xmlns="http://schemas.microsoft.com/office/spreadsheetml/2009/9/main" objectType="CheckBox" checked="Checked" fmlaLink="$AO$94" lockText="1" noThreeD="1"/>
</file>

<file path=xl/ctrlProps/ctrlProp217.xml><?xml version="1.0" encoding="utf-8"?>
<formControlPr xmlns="http://schemas.microsoft.com/office/spreadsheetml/2009/9/main" objectType="CheckBox" checked="Checked" fmlaLink="$AG$84" lockText="1" noThreeD="1"/>
</file>

<file path=xl/ctrlProps/ctrlProp218.xml><?xml version="1.0" encoding="utf-8"?>
<formControlPr xmlns="http://schemas.microsoft.com/office/spreadsheetml/2009/9/main" objectType="CheckBox" checked="Checked" fmlaLink="$AG$85" lockText="1" noThreeD="1"/>
</file>

<file path=xl/ctrlProps/ctrlProp219.xml><?xml version="1.0" encoding="utf-8"?>
<formControlPr xmlns="http://schemas.microsoft.com/office/spreadsheetml/2009/9/main" objectType="CheckBox" checked="Checked" fmlaLink="$AG$86" lockText="1" noThreeD="1"/>
</file>

<file path=xl/ctrlProps/ctrlProp22.xml><?xml version="1.0" encoding="utf-8"?>
<formControlPr xmlns="http://schemas.microsoft.com/office/spreadsheetml/2009/9/main" objectType="CheckBox" checked="Checked" fmlaLink="$U$84" lockText="1" noThreeD="1"/>
</file>

<file path=xl/ctrlProps/ctrlProp220.xml><?xml version="1.0" encoding="utf-8"?>
<formControlPr xmlns="http://schemas.microsoft.com/office/spreadsheetml/2009/9/main" objectType="CheckBox" checked="Checked" fmlaLink="$AG$87" lockText="1" noThreeD="1"/>
</file>

<file path=xl/ctrlProps/ctrlProp221.xml><?xml version="1.0" encoding="utf-8"?>
<formControlPr xmlns="http://schemas.microsoft.com/office/spreadsheetml/2009/9/main" objectType="CheckBox" checked="Checked" fmlaLink="$AG$88" lockText="1" noThreeD="1"/>
</file>

<file path=xl/ctrlProps/ctrlProp222.xml><?xml version="1.0" encoding="utf-8"?>
<formControlPr xmlns="http://schemas.microsoft.com/office/spreadsheetml/2009/9/main" objectType="CheckBox" checked="Checked" fmlaLink="$AG$89" lockText="1" noThreeD="1"/>
</file>

<file path=xl/ctrlProps/ctrlProp223.xml><?xml version="1.0" encoding="utf-8"?>
<formControlPr xmlns="http://schemas.microsoft.com/office/spreadsheetml/2009/9/main" objectType="CheckBox" checked="Checked" fmlaLink="$AG$90" lockText="1" noThreeD="1"/>
</file>

<file path=xl/ctrlProps/ctrlProp224.xml><?xml version="1.0" encoding="utf-8"?>
<formControlPr xmlns="http://schemas.microsoft.com/office/spreadsheetml/2009/9/main" objectType="CheckBox" checked="Checked" fmlaLink="$AG$92" lockText="1" noThreeD="1"/>
</file>

<file path=xl/ctrlProps/ctrlProp225.xml><?xml version="1.0" encoding="utf-8"?>
<formControlPr xmlns="http://schemas.microsoft.com/office/spreadsheetml/2009/9/main" objectType="CheckBox" checked="Checked" fmlaLink="$AG$93" lockText="1" noThreeD="1"/>
</file>

<file path=xl/ctrlProps/ctrlProp226.xml><?xml version="1.0" encoding="utf-8"?>
<formControlPr xmlns="http://schemas.microsoft.com/office/spreadsheetml/2009/9/main" objectType="CheckBox" checked="Checked" fmlaLink="$AG$94" lockText="1" noThreeD="1"/>
</file>

<file path=xl/ctrlProps/ctrlProp227.xml><?xml version="1.0" encoding="utf-8"?>
<formControlPr xmlns="http://schemas.microsoft.com/office/spreadsheetml/2009/9/main" objectType="CheckBox" checked="Checked" fmlaLink="$AG$95" lockText="1" noThreeD="1"/>
</file>

<file path=xl/ctrlProps/ctrlProp228.xml><?xml version="1.0" encoding="utf-8"?>
<formControlPr xmlns="http://schemas.microsoft.com/office/spreadsheetml/2009/9/main" objectType="CheckBox" checked="Checked" fmlaLink="$AG$91" lockText="1" noThreeD="1"/>
</file>

<file path=xl/ctrlProps/ctrlProp23.xml><?xml version="1.0" encoding="utf-8"?>
<formControlPr xmlns="http://schemas.microsoft.com/office/spreadsheetml/2009/9/main" objectType="CheckBox" checked="Checked" fmlaLink="$U$85" lockText="1" noThreeD="1"/>
</file>

<file path=xl/ctrlProps/ctrlProp24.xml><?xml version="1.0" encoding="utf-8"?>
<formControlPr xmlns="http://schemas.microsoft.com/office/spreadsheetml/2009/9/main" objectType="CheckBox" checked="Checked" fmlaLink="$U$86" lockText="1" noThreeD="1"/>
</file>

<file path=xl/ctrlProps/ctrlProp25.xml><?xml version="1.0" encoding="utf-8"?>
<formControlPr xmlns="http://schemas.microsoft.com/office/spreadsheetml/2009/9/main" objectType="CheckBox" checked="Checked" fmlaLink="$U$87" lockText="1" noThreeD="1"/>
</file>

<file path=xl/ctrlProps/ctrlProp26.xml><?xml version="1.0" encoding="utf-8"?>
<formControlPr xmlns="http://schemas.microsoft.com/office/spreadsheetml/2009/9/main" objectType="CheckBox" checked="Checked" fmlaLink="$V$82" lockText="1" noThreeD="1"/>
</file>

<file path=xl/ctrlProps/ctrlProp27.xml><?xml version="1.0" encoding="utf-8"?>
<formControlPr xmlns="http://schemas.microsoft.com/office/spreadsheetml/2009/9/main" objectType="CheckBox" checked="Checked" fmlaLink="$V$83" lockText="1" noThreeD="1"/>
</file>

<file path=xl/ctrlProps/ctrlProp28.xml><?xml version="1.0" encoding="utf-8"?>
<formControlPr xmlns="http://schemas.microsoft.com/office/spreadsheetml/2009/9/main" objectType="CheckBox" checked="Checked" fmlaLink="$V$84" lockText="1" noThreeD="1"/>
</file>

<file path=xl/ctrlProps/ctrlProp29.xml><?xml version="1.0" encoding="utf-8"?>
<formControlPr xmlns="http://schemas.microsoft.com/office/spreadsheetml/2009/9/main" objectType="CheckBox" checked="Checked" fmlaLink="$V$85" lockText="1" noThreeD="1"/>
</file>

<file path=xl/ctrlProps/ctrlProp3.xml><?xml version="1.0" encoding="utf-8"?>
<formControlPr xmlns="http://schemas.microsoft.com/office/spreadsheetml/2009/9/main" objectType="CheckBox" checked="Checked" fmlaLink="$AL$94" lockText="1" noThreeD="1"/>
</file>

<file path=xl/ctrlProps/ctrlProp30.xml><?xml version="1.0" encoding="utf-8"?>
<formControlPr xmlns="http://schemas.microsoft.com/office/spreadsheetml/2009/9/main" objectType="CheckBox" checked="Checked" fmlaLink="$V$86" lockText="1" noThreeD="1"/>
</file>

<file path=xl/ctrlProps/ctrlProp31.xml><?xml version="1.0" encoding="utf-8"?>
<formControlPr xmlns="http://schemas.microsoft.com/office/spreadsheetml/2009/9/main" objectType="CheckBox" checked="Checked" fmlaLink="$V$87" lockText="1" noThreeD="1"/>
</file>

<file path=xl/ctrlProps/ctrlProp32.xml><?xml version="1.0" encoding="utf-8"?>
<formControlPr xmlns="http://schemas.microsoft.com/office/spreadsheetml/2009/9/main" objectType="CheckBox" checked="Checked" fmlaLink="$V$88" lockText="1" noThreeD="1"/>
</file>

<file path=xl/ctrlProps/ctrlProp33.xml><?xml version="1.0" encoding="utf-8"?>
<formControlPr xmlns="http://schemas.microsoft.com/office/spreadsheetml/2009/9/main" objectType="CheckBox" checked="Checked" fmlaLink="$AM$93" lockText="1" noThreeD="1"/>
</file>

<file path=xl/ctrlProps/ctrlProp34.xml><?xml version="1.0" encoding="utf-8"?>
<formControlPr xmlns="http://schemas.microsoft.com/office/spreadsheetml/2009/9/main" objectType="CheckBox" checked="Checked" fmlaLink="$AM$94" lockText="1" noThreeD="1"/>
</file>

<file path=xl/ctrlProps/ctrlProp35.xml><?xml version="1.0" encoding="utf-8"?>
<formControlPr xmlns="http://schemas.microsoft.com/office/spreadsheetml/2009/9/main" objectType="CheckBox" checked="Checked" fmlaLink="$AM$95" lockText="1" noThreeD="1"/>
</file>

<file path=xl/ctrlProps/ctrlProp36.xml><?xml version="1.0" encoding="utf-8"?>
<formControlPr xmlns="http://schemas.microsoft.com/office/spreadsheetml/2009/9/main" objectType="CheckBox" checked="Checked" fmlaLink="$AM$96" lockText="1" noThreeD="1"/>
</file>

<file path=xl/ctrlProps/ctrlProp37.xml><?xml version="1.0" encoding="utf-8"?>
<formControlPr xmlns="http://schemas.microsoft.com/office/spreadsheetml/2009/9/main" objectType="CheckBox" checked="Checked" fmlaLink="$AM$91" lockText="1" noThreeD="1"/>
</file>

<file path=xl/ctrlProps/ctrlProp38.xml><?xml version="1.0" encoding="utf-8"?>
<formControlPr xmlns="http://schemas.microsoft.com/office/spreadsheetml/2009/9/main" objectType="CheckBox" checked="Checked" fmlaLink="$AM$90" lockText="1" noThreeD="1"/>
</file>

<file path=xl/ctrlProps/ctrlProp39.xml><?xml version="1.0" encoding="utf-8"?>
<formControlPr xmlns="http://schemas.microsoft.com/office/spreadsheetml/2009/9/main" objectType="CheckBox" checked="Checked" fmlaLink="$AM$92" lockText="1" noThreeD="1"/>
</file>

<file path=xl/ctrlProps/ctrlProp4.xml><?xml version="1.0" encoding="utf-8"?>
<formControlPr xmlns="http://schemas.microsoft.com/office/spreadsheetml/2009/9/main" objectType="CheckBox" checked="Checked" fmlaLink="$AL$95" lockText="1" noThreeD="1"/>
</file>

<file path=xl/ctrlProps/ctrlProp40.xml><?xml version="1.0" encoding="utf-8"?>
<formControlPr xmlns="http://schemas.microsoft.com/office/spreadsheetml/2009/9/main" objectType="CheckBox" checked="Checked" fmlaLink="$AE$82" lockText="1" noThreeD="1"/>
</file>

<file path=xl/ctrlProps/ctrlProp41.xml><?xml version="1.0" encoding="utf-8"?>
<formControlPr xmlns="http://schemas.microsoft.com/office/spreadsheetml/2009/9/main" objectType="CheckBox" checked="Checked" fmlaLink="$AE$83" lockText="1" noThreeD="1"/>
</file>

<file path=xl/ctrlProps/ctrlProp42.xml><?xml version="1.0" encoding="utf-8"?>
<formControlPr xmlns="http://schemas.microsoft.com/office/spreadsheetml/2009/9/main" objectType="CheckBox" checked="Checked" fmlaLink="$AE$84" lockText="1" noThreeD="1"/>
</file>

<file path=xl/ctrlProps/ctrlProp43.xml><?xml version="1.0" encoding="utf-8"?>
<formControlPr xmlns="http://schemas.microsoft.com/office/spreadsheetml/2009/9/main" objectType="CheckBox" checked="Checked" fmlaLink="$AE$85" lockText="1" noThreeD="1"/>
</file>

<file path=xl/ctrlProps/ctrlProp44.xml><?xml version="1.0" encoding="utf-8"?>
<formControlPr xmlns="http://schemas.microsoft.com/office/spreadsheetml/2009/9/main" objectType="CheckBox" checked="Checked" fmlaLink="$AE$86" lockText="1" noThreeD="1"/>
</file>

<file path=xl/ctrlProps/ctrlProp45.xml><?xml version="1.0" encoding="utf-8"?>
<formControlPr xmlns="http://schemas.microsoft.com/office/spreadsheetml/2009/9/main" objectType="CheckBox" checked="Checked" fmlaLink="$AE$87" lockText="1" noThreeD="1"/>
</file>

<file path=xl/ctrlProps/ctrlProp46.xml><?xml version="1.0" encoding="utf-8"?>
<formControlPr xmlns="http://schemas.microsoft.com/office/spreadsheetml/2009/9/main" objectType="CheckBox" checked="Checked" fmlaLink="$AE$88" lockText="1" noThreeD="1"/>
</file>

<file path=xl/ctrlProps/ctrlProp47.xml><?xml version="1.0" encoding="utf-8"?>
<formControlPr xmlns="http://schemas.microsoft.com/office/spreadsheetml/2009/9/main" objectType="CheckBox" fmlaLink="$AE$89" lockText="1" noThreeD="1"/>
</file>

<file path=xl/ctrlProps/ctrlProp48.xml><?xml version="1.0" encoding="utf-8"?>
<formControlPr xmlns="http://schemas.microsoft.com/office/spreadsheetml/2009/9/main" objectType="CheckBox" fmlaLink="$AE$90" lockText="1" noThreeD="1"/>
</file>

<file path=xl/ctrlProps/ctrlProp49.xml><?xml version="1.0" encoding="utf-8"?>
<formControlPr xmlns="http://schemas.microsoft.com/office/spreadsheetml/2009/9/main" objectType="CheckBox" fmlaLink="$AE$91" lockText="1" noThreeD="1"/>
</file>

<file path=xl/ctrlProps/ctrlProp5.xml><?xml version="1.0" encoding="utf-8"?>
<formControlPr xmlns="http://schemas.microsoft.com/office/spreadsheetml/2009/9/main" objectType="CheckBox" checked="Checked" fmlaLink="$AL$90" lockText="1" noThreeD="1"/>
</file>

<file path=xl/ctrlProps/ctrlProp50.xml><?xml version="1.0" encoding="utf-8"?>
<formControlPr xmlns="http://schemas.microsoft.com/office/spreadsheetml/2009/9/main" objectType="CheckBox" checked="Checked" fmlaLink="$AE$92" lockText="1" noThreeD="1"/>
</file>

<file path=xl/ctrlProps/ctrlProp51.xml><?xml version="1.0" encoding="utf-8"?>
<formControlPr xmlns="http://schemas.microsoft.com/office/spreadsheetml/2009/9/main" objectType="CheckBox" checked="Checked" fmlaLink="$V$81" lockText="1" noThreeD="1"/>
</file>

<file path=xl/ctrlProps/ctrlProp52.xml><?xml version="1.0" encoding="utf-8"?>
<formControlPr xmlns="http://schemas.microsoft.com/office/spreadsheetml/2009/9/main" objectType="CheckBox" checked="Checked" fmlaLink="$V$82" lockText="1" noThreeD="1"/>
</file>

<file path=xl/ctrlProps/ctrlProp53.xml><?xml version="1.0" encoding="utf-8"?>
<formControlPr xmlns="http://schemas.microsoft.com/office/spreadsheetml/2009/9/main" objectType="CheckBox" checked="Checked" fmlaLink="$V$83" lockText="1" noThreeD="1"/>
</file>

<file path=xl/ctrlProps/ctrlProp54.xml><?xml version="1.0" encoding="utf-8"?>
<formControlPr xmlns="http://schemas.microsoft.com/office/spreadsheetml/2009/9/main" objectType="CheckBox" checked="Checked" fmlaLink="$V$84" lockText="1" noThreeD="1"/>
</file>

<file path=xl/ctrlProps/ctrlProp55.xml><?xml version="1.0" encoding="utf-8"?>
<formControlPr xmlns="http://schemas.microsoft.com/office/spreadsheetml/2009/9/main" objectType="CheckBox" checked="Checked" fmlaLink="$V$85" lockText="1" noThreeD="1"/>
</file>

<file path=xl/ctrlProps/ctrlProp56.xml><?xml version="1.0" encoding="utf-8"?>
<formControlPr xmlns="http://schemas.microsoft.com/office/spreadsheetml/2009/9/main" objectType="CheckBox" checked="Checked" fmlaLink="$V$86" lockText="1" noThreeD="1"/>
</file>

<file path=xl/ctrlProps/ctrlProp57.xml><?xml version="1.0" encoding="utf-8"?>
<formControlPr xmlns="http://schemas.microsoft.com/office/spreadsheetml/2009/9/main" objectType="CheckBox" checked="Checked" fmlaLink="$V$87" lockText="1" noThreeD="1"/>
</file>

<file path=xl/ctrlProps/ctrlProp58.xml><?xml version="1.0" encoding="utf-8"?>
<formControlPr xmlns="http://schemas.microsoft.com/office/spreadsheetml/2009/9/main" objectType="CheckBox" checked="Checked" fmlaLink="$AM$92" lockText="1" noThreeD="1"/>
</file>

<file path=xl/ctrlProps/ctrlProp59.xml><?xml version="1.0" encoding="utf-8"?>
<formControlPr xmlns="http://schemas.microsoft.com/office/spreadsheetml/2009/9/main" objectType="CheckBox" checked="Checked" fmlaLink="$AM$93" lockText="1" noThreeD="1"/>
</file>

<file path=xl/ctrlProps/ctrlProp6.xml><?xml version="1.0" encoding="utf-8"?>
<formControlPr xmlns="http://schemas.microsoft.com/office/spreadsheetml/2009/9/main" objectType="CheckBox" checked="Checked" fmlaLink="$AL$89" lockText="1" noThreeD="1"/>
</file>

<file path=xl/ctrlProps/ctrlProp60.xml><?xml version="1.0" encoding="utf-8"?>
<formControlPr xmlns="http://schemas.microsoft.com/office/spreadsheetml/2009/9/main" objectType="CheckBox" checked="Checked" fmlaLink="$AM$94" lockText="1" noThreeD="1"/>
</file>

<file path=xl/ctrlProps/ctrlProp61.xml><?xml version="1.0" encoding="utf-8"?>
<formControlPr xmlns="http://schemas.microsoft.com/office/spreadsheetml/2009/9/main" objectType="CheckBox" checked="Checked" fmlaLink="$AM$95" lockText="1" noThreeD="1"/>
</file>

<file path=xl/ctrlProps/ctrlProp62.xml><?xml version="1.0" encoding="utf-8"?>
<formControlPr xmlns="http://schemas.microsoft.com/office/spreadsheetml/2009/9/main" objectType="CheckBox" checked="Checked" fmlaLink="$AM$90" lockText="1" noThreeD="1"/>
</file>

<file path=xl/ctrlProps/ctrlProp63.xml><?xml version="1.0" encoding="utf-8"?>
<formControlPr xmlns="http://schemas.microsoft.com/office/spreadsheetml/2009/9/main" objectType="CheckBox" checked="Checked" fmlaLink="$AM$89" lockText="1" noThreeD="1"/>
</file>

<file path=xl/ctrlProps/ctrlProp64.xml><?xml version="1.0" encoding="utf-8"?>
<formControlPr xmlns="http://schemas.microsoft.com/office/spreadsheetml/2009/9/main" objectType="CheckBox" checked="Checked" fmlaLink="$AM$91" lockText="1" noThreeD="1"/>
</file>

<file path=xl/ctrlProps/ctrlProp65.xml><?xml version="1.0" encoding="utf-8"?>
<formControlPr xmlns="http://schemas.microsoft.com/office/spreadsheetml/2009/9/main" objectType="CheckBox" checked="Checked" fmlaLink="$AE$81" lockText="1" noThreeD="1"/>
</file>

<file path=xl/ctrlProps/ctrlProp66.xml><?xml version="1.0" encoding="utf-8"?>
<formControlPr xmlns="http://schemas.microsoft.com/office/spreadsheetml/2009/9/main" objectType="CheckBox" checked="Checked" fmlaLink="$AE$82" lockText="1" noThreeD="1"/>
</file>

<file path=xl/ctrlProps/ctrlProp67.xml><?xml version="1.0" encoding="utf-8"?>
<formControlPr xmlns="http://schemas.microsoft.com/office/spreadsheetml/2009/9/main" objectType="CheckBox" checked="Checked" fmlaLink="$AE$83" lockText="1" noThreeD="1"/>
</file>

<file path=xl/ctrlProps/ctrlProp68.xml><?xml version="1.0" encoding="utf-8"?>
<formControlPr xmlns="http://schemas.microsoft.com/office/spreadsheetml/2009/9/main" objectType="CheckBox" checked="Checked" fmlaLink="$AE$84" lockText="1" noThreeD="1"/>
</file>

<file path=xl/ctrlProps/ctrlProp69.xml><?xml version="1.0" encoding="utf-8"?>
<formControlPr xmlns="http://schemas.microsoft.com/office/spreadsheetml/2009/9/main" objectType="CheckBox" checked="Checked" fmlaLink="$AE$85" lockText="1" noThreeD="1"/>
</file>

<file path=xl/ctrlProps/ctrlProp7.xml><?xml version="1.0" encoding="utf-8"?>
<formControlPr xmlns="http://schemas.microsoft.com/office/spreadsheetml/2009/9/main" objectType="CheckBox" checked="Checked" fmlaLink="$AL$91" lockText="1" noThreeD="1"/>
</file>

<file path=xl/ctrlProps/ctrlProp70.xml><?xml version="1.0" encoding="utf-8"?>
<formControlPr xmlns="http://schemas.microsoft.com/office/spreadsheetml/2009/9/main" objectType="CheckBox" checked="Checked" fmlaLink="$AE$86" lockText="1" noThreeD="1"/>
</file>

<file path=xl/ctrlProps/ctrlProp71.xml><?xml version="1.0" encoding="utf-8"?>
<formControlPr xmlns="http://schemas.microsoft.com/office/spreadsheetml/2009/9/main" objectType="CheckBox" checked="Checked" fmlaLink="$AE$87" lockText="1" noThreeD="1"/>
</file>

<file path=xl/ctrlProps/ctrlProp72.xml><?xml version="1.0" encoding="utf-8"?>
<formControlPr xmlns="http://schemas.microsoft.com/office/spreadsheetml/2009/9/main" objectType="CheckBox" fmlaLink="$AE$88" lockText="1" noThreeD="1"/>
</file>

<file path=xl/ctrlProps/ctrlProp73.xml><?xml version="1.0" encoding="utf-8"?>
<formControlPr xmlns="http://schemas.microsoft.com/office/spreadsheetml/2009/9/main" objectType="CheckBox" fmlaLink="$AE$89" lockText="1" noThreeD="1"/>
</file>

<file path=xl/ctrlProps/ctrlProp74.xml><?xml version="1.0" encoding="utf-8"?>
<formControlPr xmlns="http://schemas.microsoft.com/office/spreadsheetml/2009/9/main" objectType="CheckBox" fmlaLink="$AE$90" lockText="1" noThreeD="1"/>
</file>

<file path=xl/ctrlProps/ctrlProp75.xml><?xml version="1.0" encoding="utf-8"?>
<formControlPr xmlns="http://schemas.microsoft.com/office/spreadsheetml/2009/9/main" objectType="CheckBox" checked="Checked" fmlaLink="$AE$91" lockText="1" noThreeD="1"/>
</file>

<file path=xl/ctrlProps/ctrlProp76.xml><?xml version="1.0" encoding="utf-8"?>
<formControlPr xmlns="http://schemas.microsoft.com/office/spreadsheetml/2009/9/main" objectType="CheckBox" checked="Checked" fmlaLink="$V$82" lockText="1" noThreeD="1"/>
</file>

<file path=xl/ctrlProps/ctrlProp77.xml><?xml version="1.0" encoding="utf-8"?>
<formControlPr xmlns="http://schemas.microsoft.com/office/spreadsheetml/2009/9/main" objectType="CheckBox" checked="Checked" fmlaLink="$V$83" lockText="1" noThreeD="1"/>
</file>

<file path=xl/ctrlProps/ctrlProp78.xml><?xml version="1.0" encoding="utf-8"?>
<formControlPr xmlns="http://schemas.microsoft.com/office/spreadsheetml/2009/9/main" objectType="CheckBox" checked="Checked" fmlaLink="$V$84" lockText="1" noThreeD="1"/>
</file>

<file path=xl/ctrlProps/ctrlProp79.xml><?xml version="1.0" encoding="utf-8"?>
<formControlPr xmlns="http://schemas.microsoft.com/office/spreadsheetml/2009/9/main" objectType="CheckBox" checked="Checked" fmlaLink="$V$85" lockText="1" noThreeD="1"/>
</file>

<file path=xl/ctrlProps/ctrlProp8.xml><?xml version="1.0" encoding="utf-8"?>
<formControlPr xmlns="http://schemas.microsoft.com/office/spreadsheetml/2009/9/main" objectType="CheckBox" checked="Checked" fmlaLink="$AD$81" lockText="1" noThreeD="1"/>
</file>

<file path=xl/ctrlProps/ctrlProp80.xml><?xml version="1.0" encoding="utf-8"?>
<formControlPr xmlns="http://schemas.microsoft.com/office/spreadsheetml/2009/9/main" objectType="CheckBox" checked="Checked" fmlaLink="$V$86" lockText="1" noThreeD="1"/>
</file>

<file path=xl/ctrlProps/ctrlProp81.xml><?xml version="1.0" encoding="utf-8"?>
<formControlPr xmlns="http://schemas.microsoft.com/office/spreadsheetml/2009/9/main" objectType="CheckBox" checked="Checked" fmlaLink="$V$87" lockText="1" noThreeD="1"/>
</file>

<file path=xl/ctrlProps/ctrlProp82.xml><?xml version="1.0" encoding="utf-8"?>
<formControlPr xmlns="http://schemas.microsoft.com/office/spreadsheetml/2009/9/main" objectType="CheckBox" checked="Checked" fmlaLink="$V$88" lockText="1" noThreeD="1"/>
</file>

<file path=xl/ctrlProps/ctrlProp83.xml><?xml version="1.0" encoding="utf-8"?>
<formControlPr xmlns="http://schemas.microsoft.com/office/spreadsheetml/2009/9/main" objectType="CheckBox" checked="Checked" fmlaLink="$AL$93" lockText="1" noThreeD="1"/>
</file>

<file path=xl/ctrlProps/ctrlProp84.xml><?xml version="1.0" encoding="utf-8"?>
<formControlPr xmlns="http://schemas.microsoft.com/office/spreadsheetml/2009/9/main" objectType="CheckBox" checked="Checked" fmlaLink="$AL$94" lockText="1" noThreeD="1"/>
</file>

<file path=xl/ctrlProps/ctrlProp85.xml><?xml version="1.0" encoding="utf-8"?>
<formControlPr xmlns="http://schemas.microsoft.com/office/spreadsheetml/2009/9/main" objectType="CheckBox" checked="Checked" fmlaLink="$AL$95" lockText="1" noThreeD="1"/>
</file>

<file path=xl/ctrlProps/ctrlProp86.xml><?xml version="1.0" encoding="utf-8"?>
<formControlPr xmlns="http://schemas.microsoft.com/office/spreadsheetml/2009/9/main" objectType="CheckBox" checked="Checked" fmlaLink="$AL$96" lockText="1" noThreeD="1"/>
</file>

<file path=xl/ctrlProps/ctrlProp87.xml><?xml version="1.0" encoding="utf-8"?>
<formControlPr xmlns="http://schemas.microsoft.com/office/spreadsheetml/2009/9/main" objectType="CheckBox" checked="Checked" fmlaLink="$AL$91" lockText="1" noThreeD="1"/>
</file>

<file path=xl/ctrlProps/ctrlProp88.xml><?xml version="1.0" encoding="utf-8"?>
<formControlPr xmlns="http://schemas.microsoft.com/office/spreadsheetml/2009/9/main" objectType="CheckBox" checked="Checked" fmlaLink="$AL$90" lockText="1" noThreeD="1"/>
</file>

<file path=xl/ctrlProps/ctrlProp89.xml><?xml version="1.0" encoding="utf-8"?>
<formControlPr xmlns="http://schemas.microsoft.com/office/spreadsheetml/2009/9/main" objectType="CheckBox" checked="Checked" fmlaLink="$AL$92" lockText="1" noThreeD="1"/>
</file>

<file path=xl/ctrlProps/ctrlProp9.xml><?xml version="1.0" encoding="utf-8"?>
<formControlPr xmlns="http://schemas.microsoft.com/office/spreadsheetml/2009/9/main" objectType="CheckBox" checked="Checked" fmlaLink="$AD$82" lockText="1" noThreeD="1"/>
</file>

<file path=xl/ctrlProps/ctrlProp90.xml><?xml version="1.0" encoding="utf-8"?>
<formControlPr xmlns="http://schemas.microsoft.com/office/spreadsheetml/2009/9/main" objectType="CheckBox" checked="Checked" fmlaLink="$AE$82" lockText="1" noThreeD="1"/>
</file>

<file path=xl/ctrlProps/ctrlProp91.xml><?xml version="1.0" encoding="utf-8"?>
<formControlPr xmlns="http://schemas.microsoft.com/office/spreadsheetml/2009/9/main" objectType="CheckBox" checked="Checked" fmlaLink="$AE$83" lockText="1" noThreeD="1"/>
</file>

<file path=xl/ctrlProps/ctrlProp92.xml><?xml version="1.0" encoding="utf-8"?>
<formControlPr xmlns="http://schemas.microsoft.com/office/spreadsheetml/2009/9/main" objectType="CheckBox" checked="Checked" fmlaLink="$AE$84" lockText="1" noThreeD="1"/>
</file>

<file path=xl/ctrlProps/ctrlProp93.xml><?xml version="1.0" encoding="utf-8"?>
<formControlPr xmlns="http://schemas.microsoft.com/office/spreadsheetml/2009/9/main" objectType="CheckBox" checked="Checked" fmlaLink="$AE$85" lockText="1" noThreeD="1"/>
</file>

<file path=xl/ctrlProps/ctrlProp94.xml><?xml version="1.0" encoding="utf-8"?>
<formControlPr xmlns="http://schemas.microsoft.com/office/spreadsheetml/2009/9/main" objectType="CheckBox" checked="Checked" fmlaLink="$AE$86" lockText="1" noThreeD="1"/>
</file>

<file path=xl/ctrlProps/ctrlProp95.xml><?xml version="1.0" encoding="utf-8"?>
<formControlPr xmlns="http://schemas.microsoft.com/office/spreadsheetml/2009/9/main" objectType="CheckBox" checked="Checked" fmlaLink="$AE$87" lockText="1" noThreeD="1"/>
</file>

<file path=xl/ctrlProps/ctrlProp96.xml><?xml version="1.0" encoding="utf-8"?>
<formControlPr xmlns="http://schemas.microsoft.com/office/spreadsheetml/2009/9/main" objectType="CheckBox" checked="Checked" fmlaLink="$AE$88" lockText="1" noThreeD="1"/>
</file>

<file path=xl/ctrlProps/ctrlProp97.xml><?xml version="1.0" encoding="utf-8"?>
<formControlPr xmlns="http://schemas.microsoft.com/office/spreadsheetml/2009/9/main" objectType="CheckBox" fmlaLink="$AE$89" lockText="1" noThreeD="1"/>
</file>

<file path=xl/ctrlProps/ctrlProp98.xml><?xml version="1.0" encoding="utf-8"?>
<formControlPr xmlns="http://schemas.microsoft.com/office/spreadsheetml/2009/9/main" objectType="CheckBox" fmlaLink="$AE$90" lockText="1" noThreeD="1"/>
</file>

<file path=xl/ctrlProps/ctrlProp99.xml><?xml version="1.0" encoding="utf-8"?>
<formControlPr xmlns="http://schemas.microsoft.com/office/spreadsheetml/2009/9/main" objectType="CheckBox" fmlaLink="$AE$91" lockText="1" noThreeD="1"/>
</file>

<file path=xl/drawings/_rels/drawing1.xml.rels><?xml version="1.0" encoding="UTF-8" standalone="yes"?>
<Relationships xmlns="http://schemas.openxmlformats.org/package/2006/relationships"><Relationship Id="rId8" Type="http://schemas.openxmlformats.org/officeDocument/2006/relationships/hyperlink" Target="#'Default Preise'!A1"/><Relationship Id="rId13" Type="http://schemas.openxmlformats.org/officeDocument/2006/relationships/hyperlink" Target="#'M3 Effizienz Stapler'!A1"/><Relationship Id="rId18" Type="http://schemas.openxmlformats.org/officeDocument/2006/relationships/hyperlink" Target="#'M8 Rezeptur, geringerer EF'!A1"/><Relationship Id="rId3" Type="http://schemas.openxmlformats.org/officeDocument/2006/relationships/hyperlink" Target="#'THG Bilanz Jahr X '!A1"/><Relationship Id="rId21" Type="http://schemas.openxmlformats.org/officeDocument/2006/relationships/hyperlink" Target="#'Lizenzbedingungen Ecoinvent'!A1"/><Relationship Id="rId7" Type="http://schemas.openxmlformats.org/officeDocument/2006/relationships/hyperlink" Target="#'Eingabe Preise'!A1"/><Relationship Id="rId12" Type="http://schemas.openxmlformats.org/officeDocument/2006/relationships/hyperlink" Target="#'M2 Fuhrpark'!A1"/><Relationship Id="rId17" Type="http://schemas.openxmlformats.org/officeDocument/2006/relationships/hyperlink" Target="#'M7 Rezeptur, Einsatzmenge'!A1"/><Relationship Id="rId2" Type="http://schemas.openxmlformats.org/officeDocument/2006/relationships/hyperlink" Target="#'Referenz Plattenfertiger'!A1"/><Relationship Id="rId16" Type="http://schemas.openxmlformats.org/officeDocument/2006/relationships/hyperlink" Target="#'M6 allgemeine Effizienz'!A1"/><Relationship Id="rId20" Type="http://schemas.openxmlformats.org/officeDocument/2006/relationships/hyperlink" Target="#Quellen!A1"/><Relationship Id="rId1" Type="http://schemas.openxmlformats.org/officeDocument/2006/relationships/hyperlink" Target="#'THG Bilanz Jahr W'!A1"/><Relationship Id="rId6" Type="http://schemas.openxmlformats.org/officeDocument/2006/relationships/hyperlink" Target="#'Vergleich Bilanzjahre'!A1"/><Relationship Id="rId11" Type="http://schemas.openxmlformats.org/officeDocument/2006/relationships/hyperlink" Target="#'M1 H&#228;rtekammern'!A1"/><Relationship Id="rId5" Type="http://schemas.openxmlformats.org/officeDocument/2006/relationships/hyperlink" Target="#'THG Bilanz Jahr Z'!A1"/><Relationship Id="rId15" Type="http://schemas.openxmlformats.org/officeDocument/2006/relationships/hyperlink" Target="#'M5 PV-Anlage'!A1"/><Relationship Id="rId10" Type="http://schemas.openxmlformats.org/officeDocument/2006/relationships/hyperlink" Target="#'Default EF'!A1"/><Relationship Id="rId19" Type="http://schemas.openxmlformats.org/officeDocument/2006/relationships/hyperlink" Target="#'M9 Rezeptur, Recycling'!A1"/><Relationship Id="rId4" Type="http://schemas.openxmlformats.org/officeDocument/2006/relationships/hyperlink" Target="#'THG Bilanz Jahr Y'!A1"/><Relationship Id="rId9" Type="http://schemas.openxmlformats.org/officeDocument/2006/relationships/hyperlink" Target="#'Eingabe EF'!A1"/><Relationship Id="rId14" Type="http://schemas.openxmlformats.org/officeDocument/2006/relationships/hyperlink" Target="#'M4 Gr&#252;nstrom'!A1"/><Relationship Id="rId22"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5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19050</xdr:colOff>
      <xdr:row>16</xdr:row>
      <xdr:rowOff>28575</xdr:rowOff>
    </xdr:from>
    <xdr:to>
      <xdr:col>1</xdr:col>
      <xdr:colOff>4219576</xdr:colOff>
      <xdr:row>25</xdr:row>
      <xdr:rowOff>57150</xdr:rowOff>
    </xdr:to>
    <xdr:sp macro="" textlink="">
      <xdr:nvSpPr>
        <xdr:cNvPr id="4" name="Rechteck 3">
          <a:hlinkClick xmlns:r="http://schemas.openxmlformats.org/officeDocument/2006/relationships" r:id="rId1"/>
          <a:extLst>
            <a:ext uri="{FF2B5EF4-FFF2-40B4-BE49-F238E27FC236}">
              <a16:creationId xmlns:a16="http://schemas.microsoft.com/office/drawing/2014/main" id="{049CEA6C-7903-F168-111C-E4EDCA44F481}"/>
            </a:ext>
          </a:extLst>
        </xdr:cNvPr>
        <xdr:cNvSpPr/>
      </xdr:nvSpPr>
      <xdr:spPr bwMode="auto">
        <a:xfrm>
          <a:off x="704850" y="2295525"/>
          <a:ext cx="4200526" cy="1485900"/>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THG Bilanz Jahr W</a:t>
          </a:r>
        </a:p>
        <a:p>
          <a:pPr algn="l"/>
          <a:endParaRPr lang="de-DE" sz="1000" dirty="0">
            <a:solidFill>
              <a:schemeClr val="tx1"/>
            </a:solidFill>
          </a:endParaRPr>
        </a:p>
        <a:p>
          <a:pPr algn="l"/>
          <a:r>
            <a:rPr lang="de-DE" sz="1000" dirty="0">
              <a:solidFill>
                <a:schemeClr val="tx1"/>
              </a:solidFill>
            </a:rPr>
            <a:t>- Zu verwenden für die Berechnung der THG-Bilanz für ein alternatives Jahr </a:t>
          </a:r>
        </a:p>
        <a:p>
          <a:pPr algn="l"/>
          <a:r>
            <a:rPr lang="de-DE" sz="1000" dirty="0">
              <a:solidFill>
                <a:schemeClr val="tx1"/>
              </a:solidFill>
            </a:rPr>
            <a:t>- Werte fließen in "Vergleich Bilanzjahre"</a:t>
          </a:r>
        </a:p>
        <a:p>
          <a:pPr algn="l"/>
          <a:r>
            <a:rPr lang="de-DE" sz="1000" dirty="0">
              <a:solidFill>
                <a:schemeClr val="tx1"/>
              </a:solidFill>
            </a:rPr>
            <a:t>- Werte werden NICHT für die Berechnung der Maßnahmen verwendet</a:t>
          </a:r>
        </a:p>
        <a:p>
          <a:pPr algn="l"/>
          <a:endParaRPr lang="de-DE" sz="1000" dirty="0">
            <a:solidFill>
              <a:schemeClr val="tx1"/>
            </a:solidFill>
          </a:endParaRPr>
        </a:p>
        <a:p>
          <a:pPr algn="l"/>
          <a:endParaRPr lang="de-DE" sz="1000" dirty="0">
            <a:solidFill>
              <a:schemeClr val="tx1"/>
            </a:solidFill>
          </a:endParaRPr>
        </a:p>
      </xdr:txBody>
    </xdr:sp>
    <xdr:clientData/>
  </xdr:twoCellAnchor>
  <xdr:twoCellAnchor>
    <xdr:from>
      <xdr:col>1</xdr:col>
      <xdr:colOff>47625</xdr:colOff>
      <xdr:row>6</xdr:row>
      <xdr:rowOff>19050</xdr:rowOff>
    </xdr:from>
    <xdr:to>
      <xdr:col>1</xdr:col>
      <xdr:colOff>4248151</xdr:colOff>
      <xdr:row>15</xdr:row>
      <xdr:rowOff>47625</xdr:rowOff>
    </xdr:to>
    <xdr:sp macro="" textlink="">
      <xdr:nvSpPr>
        <xdr:cNvPr id="5" name="Rechteck 4">
          <a:hlinkClick xmlns:r="http://schemas.openxmlformats.org/officeDocument/2006/relationships" r:id="rId2"/>
          <a:extLst>
            <a:ext uri="{FF2B5EF4-FFF2-40B4-BE49-F238E27FC236}">
              <a16:creationId xmlns:a16="http://schemas.microsoft.com/office/drawing/2014/main" id="{499FB437-8A63-41D9-8516-F3FEA87E5B36}"/>
            </a:ext>
          </a:extLst>
        </xdr:cNvPr>
        <xdr:cNvSpPr/>
      </xdr:nvSpPr>
      <xdr:spPr bwMode="auto">
        <a:xfrm>
          <a:off x="733425" y="666750"/>
          <a:ext cx="4200526" cy="1485900"/>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Referenz Plattenfertiger</a:t>
          </a:r>
        </a:p>
        <a:p>
          <a:pPr algn="l"/>
          <a:endParaRPr lang="de-DE" sz="1000" b="0" dirty="0">
            <a:solidFill>
              <a:schemeClr val="tx1"/>
            </a:solidFill>
          </a:endParaRPr>
        </a:p>
        <a:p>
          <a:pPr algn="l"/>
          <a:r>
            <a:rPr lang="de-DE" sz="1000" b="0" dirty="0">
              <a:solidFill>
                <a:schemeClr val="tx1"/>
              </a:solidFill>
            </a:rPr>
            <a:t>- Eingabe der Verbrauchswerte aktuelles Bilanzjahr</a:t>
          </a:r>
        </a:p>
        <a:p>
          <a:pPr algn="l"/>
          <a:r>
            <a:rPr lang="de-DE" sz="1000" b="0" dirty="0">
              <a:solidFill>
                <a:schemeClr val="tx1"/>
              </a:solidFill>
            </a:rPr>
            <a:t>- THG-Bilanzwerte aktuelles Bilanzjahr</a:t>
          </a:r>
        </a:p>
        <a:p>
          <a:pPr algn="l"/>
          <a:r>
            <a:rPr lang="de-DE" sz="1000" b="0" dirty="0">
              <a:solidFill>
                <a:schemeClr val="tx1"/>
              </a:solidFill>
            </a:rPr>
            <a:t>- Energie- und rechnerische CO2-Kosten aktuelles Bilanzjahr</a:t>
          </a:r>
        </a:p>
        <a:p>
          <a:pPr algn="l"/>
          <a:endParaRPr lang="de-DE" sz="1000" b="0" dirty="0">
            <a:solidFill>
              <a:schemeClr val="tx1"/>
            </a:solidFill>
          </a:endParaRPr>
        </a:p>
        <a:p>
          <a:pPr algn="l"/>
          <a:r>
            <a:rPr lang="de-DE" sz="1000" b="0" dirty="0">
              <a:solidFill>
                <a:schemeClr val="tx1"/>
              </a:solidFill>
            </a:rPr>
            <a:t>-&gt; Die hier eingegebenen Verbrauchswerte sind die Grundlage für die Berechnungen in den Maßnahmen Tabellenblättern</a:t>
          </a:r>
        </a:p>
        <a:p>
          <a:pPr algn="l"/>
          <a:endParaRPr lang="de-DE" sz="1000" dirty="0">
            <a:solidFill>
              <a:schemeClr val="tx1"/>
            </a:solidFill>
          </a:endParaRPr>
        </a:p>
      </xdr:txBody>
    </xdr:sp>
    <xdr:clientData/>
  </xdr:twoCellAnchor>
  <xdr:twoCellAnchor>
    <xdr:from>
      <xdr:col>1</xdr:col>
      <xdr:colOff>28575</xdr:colOff>
      <xdr:row>26</xdr:row>
      <xdr:rowOff>19050</xdr:rowOff>
    </xdr:from>
    <xdr:to>
      <xdr:col>1</xdr:col>
      <xdr:colOff>4229101</xdr:colOff>
      <xdr:row>35</xdr:row>
      <xdr:rowOff>47625</xdr:rowOff>
    </xdr:to>
    <xdr:sp macro="" textlink="">
      <xdr:nvSpPr>
        <xdr:cNvPr id="6" name="Rechteck 5">
          <a:hlinkClick xmlns:r="http://schemas.openxmlformats.org/officeDocument/2006/relationships" r:id="rId3"/>
          <a:extLst>
            <a:ext uri="{FF2B5EF4-FFF2-40B4-BE49-F238E27FC236}">
              <a16:creationId xmlns:a16="http://schemas.microsoft.com/office/drawing/2014/main" id="{9E809030-DA18-4E8C-9BF7-1BF5F3EA6FA6}"/>
            </a:ext>
          </a:extLst>
        </xdr:cNvPr>
        <xdr:cNvSpPr/>
      </xdr:nvSpPr>
      <xdr:spPr bwMode="auto">
        <a:xfrm>
          <a:off x="714375" y="3905250"/>
          <a:ext cx="4200526" cy="1485900"/>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dirty="0">
              <a:ln>
                <a:noFill/>
              </a:ln>
              <a:solidFill>
                <a:srgbClr val="323232"/>
              </a:solidFill>
              <a:effectLst/>
              <a:uLnTx/>
              <a:uFillTx/>
              <a:latin typeface="+mn-lt"/>
              <a:ea typeface="+mn-ea"/>
              <a:cs typeface="+mn-cs"/>
            </a:rPr>
            <a:t>THG Bilanz Jahr X</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Zu verwenden für die Berechnung der THG-Bilanz für ein  weiteres alternatives Jahr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fließen in "Vergleich Bilanzjahre"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werden NICHT für die Berechnung der Maßnahmen verwendet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algn="l"/>
          <a:endParaRPr lang="de-DE" sz="1000" dirty="0">
            <a:solidFill>
              <a:schemeClr val="tx1"/>
            </a:solidFill>
          </a:endParaRPr>
        </a:p>
      </xdr:txBody>
    </xdr:sp>
    <xdr:clientData/>
  </xdr:twoCellAnchor>
  <xdr:twoCellAnchor>
    <xdr:from>
      <xdr:col>1</xdr:col>
      <xdr:colOff>28575</xdr:colOff>
      <xdr:row>36</xdr:row>
      <xdr:rowOff>19050</xdr:rowOff>
    </xdr:from>
    <xdr:to>
      <xdr:col>1</xdr:col>
      <xdr:colOff>4229101</xdr:colOff>
      <xdr:row>45</xdr:row>
      <xdr:rowOff>47625</xdr:rowOff>
    </xdr:to>
    <xdr:sp macro="" textlink="">
      <xdr:nvSpPr>
        <xdr:cNvPr id="7" name="Rechteck 6">
          <a:hlinkClick xmlns:r="http://schemas.openxmlformats.org/officeDocument/2006/relationships" r:id="rId4"/>
          <a:extLst>
            <a:ext uri="{FF2B5EF4-FFF2-40B4-BE49-F238E27FC236}">
              <a16:creationId xmlns:a16="http://schemas.microsoft.com/office/drawing/2014/main" id="{9DAC24F5-54DE-5FD9-4966-0E304C63AFD1}"/>
            </a:ext>
          </a:extLst>
        </xdr:cNvPr>
        <xdr:cNvSpPr/>
      </xdr:nvSpPr>
      <xdr:spPr bwMode="auto">
        <a:xfrm>
          <a:off x="714375" y="5524500"/>
          <a:ext cx="4200526" cy="1485900"/>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dirty="0">
              <a:ln>
                <a:noFill/>
              </a:ln>
              <a:solidFill>
                <a:srgbClr val="323232"/>
              </a:solidFill>
              <a:effectLst/>
              <a:uLnTx/>
              <a:uFillTx/>
              <a:latin typeface="+mn-lt"/>
              <a:ea typeface="+mn-ea"/>
              <a:cs typeface="+mn-cs"/>
            </a:rPr>
            <a:t>THG Bilanz Jahr Y</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Zu verwenden für die Berechnung der THG-Bilanz für ein  weiteres alternatives Jahr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fließen in "Vergleich Bilanzjahre"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werden NICHT für die Berechnung der Maßnahmen verwendet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algn="l"/>
          <a:endParaRPr lang="de-DE" sz="1000" dirty="0">
            <a:solidFill>
              <a:schemeClr val="tx1"/>
            </a:solidFill>
          </a:endParaRPr>
        </a:p>
      </xdr:txBody>
    </xdr:sp>
    <xdr:clientData/>
  </xdr:twoCellAnchor>
  <xdr:twoCellAnchor>
    <xdr:from>
      <xdr:col>0</xdr:col>
      <xdr:colOff>676275</xdr:colOff>
      <xdr:row>45</xdr:row>
      <xdr:rowOff>152400</xdr:rowOff>
    </xdr:from>
    <xdr:to>
      <xdr:col>1</xdr:col>
      <xdr:colOff>4191001</xdr:colOff>
      <xdr:row>55</xdr:row>
      <xdr:rowOff>19050</xdr:rowOff>
    </xdr:to>
    <xdr:sp macro="" textlink="">
      <xdr:nvSpPr>
        <xdr:cNvPr id="8" name="Rechteck 7">
          <a:hlinkClick xmlns:r="http://schemas.openxmlformats.org/officeDocument/2006/relationships" r:id="rId5"/>
          <a:extLst>
            <a:ext uri="{FF2B5EF4-FFF2-40B4-BE49-F238E27FC236}">
              <a16:creationId xmlns:a16="http://schemas.microsoft.com/office/drawing/2014/main" id="{6ECF8949-5B51-70D4-D8D1-C7F5498B7C46}"/>
            </a:ext>
          </a:extLst>
        </xdr:cNvPr>
        <xdr:cNvSpPr/>
      </xdr:nvSpPr>
      <xdr:spPr bwMode="auto">
        <a:xfrm>
          <a:off x="676275" y="7115175"/>
          <a:ext cx="4200526" cy="1485900"/>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dirty="0">
              <a:ln>
                <a:noFill/>
              </a:ln>
              <a:solidFill>
                <a:srgbClr val="323232"/>
              </a:solidFill>
              <a:effectLst/>
              <a:uLnTx/>
              <a:uFillTx/>
              <a:latin typeface="+mn-lt"/>
              <a:ea typeface="+mn-ea"/>
              <a:cs typeface="+mn-cs"/>
            </a:rPr>
            <a:t>THG Bilanz Jahr Z</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Zu verwenden für die Berechnung der THG-Bilanz für ein  weiteres alternatives Jahr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fließen in "Vergleich Bilanzjahre"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Werte werden NICHT für die Berechnung der Maßnahmen verwendet</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algn="l"/>
          <a:endParaRPr lang="de-DE" sz="1000" dirty="0">
            <a:solidFill>
              <a:schemeClr val="tx1"/>
            </a:solidFill>
          </a:endParaRPr>
        </a:p>
      </xdr:txBody>
    </xdr:sp>
    <xdr:clientData/>
  </xdr:twoCellAnchor>
  <xdr:twoCellAnchor>
    <xdr:from>
      <xdr:col>1</xdr:col>
      <xdr:colOff>38100</xdr:colOff>
      <xdr:row>2</xdr:row>
      <xdr:rowOff>0</xdr:rowOff>
    </xdr:from>
    <xdr:to>
      <xdr:col>1</xdr:col>
      <xdr:colOff>4229100</xdr:colOff>
      <xdr:row>5</xdr:row>
      <xdr:rowOff>152400</xdr:rowOff>
    </xdr:to>
    <xdr:sp macro="" textlink="">
      <xdr:nvSpPr>
        <xdr:cNvPr id="9" name="Rechteck 8">
          <a:extLst>
            <a:ext uri="{FF2B5EF4-FFF2-40B4-BE49-F238E27FC236}">
              <a16:creationId xmlns:a16="http://schemas.microsoft.com/office/drawing/2014/main" id="{4C89EF0A-A1B0-D4BC-049F-9AA1498A72D2}"/>
            </a:ext>
          </a:extLst>
        </xdr:cNvPr>
        <xdr:cNvSpPr/>
      </xdr:nvSpPr>
      <xdr:spPr bwMode="auto">
        <a:xfrm>
          <a:off x="723900" y="0"/>
          <a:ext cx="4191000" cy="638175"/>
        </a:xfrm>
        <a:prstGeom prst="rect">
          <a:avLst/>
        </a:prstGeom>
        <a:ln/>
      </xdr:spPr>
      <xdr:style>
        <a:lnRef idx="3">
          <a:schemeClr val="lt1"/>
        </a:lnRef>
        <a:fillRef idx="1">
          <a:schemeClr val="accent2"/>
        </a:fillRef>
        <a:effectRef idx="1">
          <a:schemeClr val="accent2"/>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ctr"/>
          <a:r>
            <a:rPr lang="de-DE" sz="1400" dirty="0">
              <a:solidFill>
                <a:schemeClr val="bg1"/>
              </a:solidFill>
            </a:rPr>
            <a:t>Verbrauchswerte</a:t>
          </a:r>
          <a:r>
            <a:rPr lang="de-DE" sz="1400" baseline="0" dirty="0">
              <a:solidFill>
                <a:schemeClr val="bg1"/>
              </a:solidFill>
            </a:rPr>
            <a:t> </a:t>
          </a:r>
          <a:r>
            <a:rPr lang="de-DE" sz="1400" dirty="0">
              <a:solidFill>
                <a:schemeClr val="bg1"/>
              </a:solidFill>
            </a:rPr>
            <a:t>Eingabe-</a:t>
          </a:r>
          <a:r>
            <a:rPr lang="de-DE" sz="1400" baseline="0" dirty="0">
              <a:solidFill>
                <a:schemeClr val="bg1"/>
              </a:solidFill>
            </a:rPr>
            <a:t> und Auswertungs-Tabellenblätter</a:t>
          </a:r>
          <a:endParaRPr lang="de-DE" sz="1400" dirty="0">
            <a:solidFill>
              <a:schemeClr val="bg1"/>
            </a:solidFill>
          </a:endParaRPr>
        </a:p>
      </xdr:txBody>
    </xdr:sp>
    <xdr:clientData/>
  </xdr:twoCellAnchor>
  <xdr:twoCellAnchor>
    <xdr:from>
      <xdr:col>1</xdr:col>
      <xdr:colOff>9525</xdr:colOff>
      <xdr:row>55</xdr:row>
      <xdr:rowOff>95250</xdr:rowOff>
    </xdr:from>
    <xdr:to>
      <xdr:col>1</xdr:col>
      <xdr:colOff>4210051</xdr:colOff>
      <xdr:row>64</xdr:row>
      <xdr:rowOff>123825</xdr:rowOff>
    </xdr:to>
    <xdr:sp macro="" textlink="">
      <xdr:nvSpPr>
        <xdr:cNvPr id="10" name="Rechteck 9">
          <a:hlinkClick xmlns:r="http://schemas.openxmlformats.org/officeDocument/2006/relationships" r:id="rId6"/>
          <a:extLst>
            <a:ext uri="{FF2B5EF4-FFF2-40B4-BE49-F238E27FC236}">
              <a16:creationId xmlns:a16="http://schemas.microsoft.com/office/drawing/2014/main" id="{F3932175-EE05-8311-7A00-52347EB1117E}"/>
            </a:ext>
          </a:extLst>
        </xdr:cNvPr>
        <xdr:cNvSpPr/>
      </xdr:nvSpPr>
      <xdr:spPr bwMode="auto">
        <a:xfrm>
          <a:off x="695325" y="8677275"/>
          <a:ext cx="4200526"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1" i="0" u="none" strike="noStrike" kern="0" cap="none" spc="0" normalizeH="0" baseline="0" noProof="0" dirty="0">
              <a:ln>
                <a:noFill/>
              </a:ln>
              <a:solidFill>
                <a:srgbClr val="323232"/>
              </a:solidFill>
              <a:effectLst/>
              <a:uLnTx/>
              <a:uFillTx/>
              <a:latin typeface="+mn-lt"/>
              <a:ea typeface="+mn-ea"/>
              <a:cs typeface="+mn-cs"/>
            </a:rPr>
            <a:t>Vergleichsdarstellung Verbrauchswerte &amp; THG-Bilanz verschiedene Jahre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de-DE" sz="1000" b="0" i="0" u="none" strike="noStrike" kern="0" cap="none" spc="0" normalizeH="0" baseline="0" noProof="0" dirty="0">
            <a:ln>
              <a:noFill/>
            </a:ln>
            <a:solidFill>
              <a:srgbClr val="323232"/>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Darstellung der Verbrauchswerte der verschiedenen Bilanzjahre (siehe oben)</a:t>
          </a:r>
        </a:p>
        <a:p>
          <a:pPr marL="0" marR="0" lvl="0" indent="0" algn="l" defTabSz="914400" eaLnBrk="1" fontAlgn="auto" latinLnBrk="0" hangingPunct="1">
            <a:lnSpc>
              <a:spcPct val="100000"/>
            </a:lnSpc>
            <a:spcBef>
              <a:spcPts val="0"/>
            </a:spcBef>
            <a:spcAft>
              <a:spcPts val="0"/>
            </a:spcAft>
            <a:buClrTx/>
            <a:buSzTx/>
            <a:buFontTx/>
            <a:buNone/>
            <a:tabLst/>
            <a:defRPr/>
          </a:pPr>
          <a:r>
            <a:rPr kumimoji="0" lang="de-DE" sz="1000" b="0" i="0" u="none" strike="noStrike" kern="0" cap="none" spc="0" normalizeH="0" baseline="0" noProof="0" dirty="0">
              <a:ln>
                <a:noFill/>
              </a:ln>
              <a:solidFill>
                <a:srgbClr val="323232"/>
              </a:solidFill>
              <a:effectLst/>
              <a:uLnTx/>
              <a:uFillTx/>
              <a:latin typeface="+mn-lt"/>
              <a:ea typeface="+mn-ea"/>
              <a:cs typeface="+mn-cs"/>
            </a:rPr>
            <a:t>- Darstellung der THG-Bilanzwerte der verschiedenen Bilanzjahre (siehe oben)</a:t>
          </a:r>
        </a:p>
        <a:p>
          <a:pPr algn="l"/>
          <a:endParaRPr lang="de-DE" sz="1000" dirty="0">
            <a:solidFill>
              <a:schemeClr val="tx1"/>
            </a:solidFill>
          </a:endParaRPr>
        </a:p>
      </xdr:txBody>
    </xdr:sp>
    <xdr:clientData/>
  </xdr:twoCellAnchor>
  <xdr:twoCellAnchor>
    <xdr:from>
      <xdr:col>2</xdr:col>
      <xdr:colOff>28576</xdr:colOff>
      <xdr:row>2</xdr:row>
      <xdr:rowOff>0</xdr:rowOff>
    </xdr:from>
    <xdr:to>
      <xdr:col>2</xdr:col>
      <xdr:colOff>2828925</xdr:colOff>
      <xdr:row>5</xdr:row>
      <xdr:rowOff>152400</xdr:rowOff>
    </xdr:to>
    <xdr:sp macro="" textlink="">
      <xdr:nvSpPr>
        <xdr:cNvPr id="11" name="Rechteck 10">
          <a:extLst>
            <a:ext uri="{FF2B5EF4-FFF2-40B4-BE49-F238E27FC236}">
              <a16:creationId xmlns:a16="http://schemas.microsoft.com/office/drawing/2014/main" id="{210E9A5F-2EE8-4946-93A6-F69629D7A3F4}"/>
            </a:ext>
          </a:extLst>
        </xdr:cNvPr>
        <xdr:cNvSpPr/>
      </xdr:nvSpPr>
      <xdr:spPr bwMode="auto">
        <a:xfrm>
          <a:off x="5267326" y="0"/>
          <a:ext cx="2800349" cy="638175"/>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ctr"/>
          <a:r>
            <a:rPr lang="de-DE" sz="1400" dirty="0">
              <a:solidFill>
                <a:schemeClr val="bg1"/>
              </a:solidFill>
            </a:rPr>
            <a:t>Rahmenbedingungen</a:t>
          </a:r>
        </a:p>
      </xdr:txBody>
    </xdr:sp>
    <xdr:clientData/>
  </xdr:twoCellAnchor>
  <xdr:twoCellAnchor>
    <xdr:from>
      <xdr:col>2</xdr:col>
      <xdr:colOff>28576</xdr:colOff>
      <xdr:row>6</xdr:row>
      <xdr:rowOff>76200</xdr:rowOff>
    </xdr:from>
    <xdr:to>
      <xdr:col>2</xdr:col>
      <xdr:colOff>2867026</xdr:colOff>
      <xdr:row>15</xdr:row>
      <xdr:rowOff>104775</xdr:rowOff>
    </xdr:to>
    <xdr:sp macro="" textlink="">
      <xdr:nvSpPr>
        <xdr:cNvPr id="12" name="Rechteck 11">
          <a:hlinkClick xmlns:r="http://schemas.openxmlformats.org/officeDocument/2006/relationships" r:id="rId7"/>
          <a:extLst>
            <a:ext uri="{FF2B5EF4-FFF2-40B4-BE49-F238E27FC236}">
              <a16:creationId xmlns:a16="http://schemas.microsoft.com/office/drawing/2014/main" id="{4EDE43CA-CF57-7952-E3D2-C8D38C5C4BF2}"/>
            </a:ext>
          </a:extLst>
        </xdr:cNvPr>
        <xdr:cNvSpPr/>
      </xdr:nvSpPr>
      <xdr:spPr bwMode="auto">
        <a:xfrm>
          <a:off x="5267326" y="723900"/>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Eingabe Preise</a:t>
          </a:r>
        </a:p>
        <a:p>
          <a:pPr algn="l"/>
          <a:endParaRPr lang="de-DE" sz="1000" b="0" dirty="0">
            <a:solidFill>
              <a:schemeClr val="tx1"/>
            </a:solidFill>
          </a:endParaRPr>
        </a:p>
        <a:p>
          <a:pPr algn="l"/>
          <a:r>
            <a:rPr lang="de-DE" sz="1000" b="0" baseline="0" dirty="0">
              <a:solidFill>
                <a:schemeClr val="tx1"/>
              </a:solidFill>
            </a:rPr>
            <a:t>Darstellung der Defaultwerte und Eingabemöglichkeit für individuelle Energie- und CO</a:t>
          </a:r>
          <a:r>
            <a:rPr lang="de-DE" sz="1000" b="0" baseline="-25000" dirty="0">
              <a:solidFill>
                <a:schemeClr val="tx1"/>
              </a:solidFill>
            </a:rPr>
            <a:t>2</a:t>
          </a:r>
          <a:r>
            <a:rPr lang="de-DE" sz="1000" b="0" baseline="0" dirty="0">
              <a:solidFill>
                <a:schemeClr val="tx1"/>
              </a:solidFill>
            </a:rPr>
            <a:t>-Preise</a:t>
          </a:r>
          <a:endParaRPr lang="de-DE" sz="1000" b="0" dirty="0">
            <a:solidFill>
              <a:schemeClr val="tx1"/>
            </a:solidFill>
          </a:endParaRPr>
        </a:p>
        <a:p>
          <a:pPr algn="l"/>
          <a:endParaRPr lang="de-DE" sz="1000" dirty="0">
            <a:solidFill>
              <a:schemeClr val="tx1"/>
            </a:solidFill>
          </a:endParaRPr>
        </a:p>
      </xdr:txBody>
    </xdr:sp>
    <xdr:clientData/>
  </xdr:twoCellAnchor>
  <xdr:twoCellAnchor>
    <xdr:from>
      <xdr:col>2</xdr:col>
      <xdr:colOff>28575</xdr:colOff>
      <xdr:row>16</xdr:row>
      <xdr:rowOff>9525</xdr:rowOff>
    </xdr:from>
    <xdr:to>
      <xdr:col>2</xdr:col>
      <xdr:colOff>2867025</xdr:colOff>
      <xdr:row>25</xdr:row>
      <xdr:rowOff>38100</xdr:rowOff>
    </xdr:to>
    <xdr:sp macro="" textlink="">
      <xdr:nvSpPr>
        <xdr:cNvPr id="15" name="Rechteck 14">
          <a:hlinkClick xmlns:r="http://schemas.openxmlformats.org/officeDocument/2006/relationships" r:id="rId8"/>
          <a:extLst>
            <a:ext uri="{FF2B5EF4-FFF2-40B4-BE49-F238E27FC236}">
              <a16:creationId xmlns:a16="http://schemas.microsoft.com/office/drawing/2014/main" id="{60D05630-6486-48DD-BE33-AA4DF5F99B9C}"/>
            </a:ext>
          </a:extLst>
        </xdr:cNvPr>
        <xdr:cNvSpPr/>
      </xdr:nvSpPr>
      <xdr:spPr bwMode="auto">
        <a:xfrm>
          <a:off x="5267325" y="2276475"/>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Default Preise</a:t>
          </a:r>
        </a:p>
        <a:p>
          <a:pPr algn="l"/>
          <a:endParaRPr lang="de-DE" sz="1000" b="0" dirty="0">
            <a:solidFill>
              <a:schemeClr val="tx1"/>
            </a:solidFill>
          </a:endParaRPr>
        </a:p>
        <a:p>
          <a:pPr algn="l"/>
          <a:r>
            <a:rPr lang="de-DE" sz="1000" b="0" baseline="0" dirty="0">
              <a:solidFill>
                <a:schemeClr val="tx1"/>
              </a:solidFill>
            </a:rPr>
            <a:t>Darstellung vorgeschlagenen Energie- und CO</a:t>
          </a:r>
          <a:r>
            <a:rPr lang="de-DE" sz="1000" b="0" baseline="-25000" dirty="0">
              <a:solidFill>
                <a:schemeClr val="tx1"/>
              </a:solidFill>
            </a:rPr>
            <a:t>2</a:t>
          </a:r>
          <a:r>
            <a:rPr lang="de-DE" sz="1000" b="0" baseline="0" dirty="0">
              <a:solidFill>
                <a:schemeClr val="tx1"/>
              </a:solidFill>
            </a:rPr>
            <a:t>-Preise inkl. Hinweisen und Quellenangaben</a:t>
          </a:r>
          <a:endParaRPr lang="de-DE" sz="1000" b="0" dirty="0">
            <a:solidFill>
              <a:schemeClr val="tx1"/>
            </a:solidFill>
          </a:endParaRPr>
        </a:p>
        <a:p>
          <a:pPr algn="l"/>
          <a:endParaRPr lang="de-DE" sz="1000" dirty="0">
            <a:solidFill>
              <a:schemeClr val="tx1"/>
            </a:solidFill>
          </a:endParaRPr>
        </a:p>
      </xdr:txBody>
    </xdr:sp>
    <xdr:clientData/>
  </xdr:twoCellAnchor>
  <xdr:twoCellAnchor>
    <xdr:from>
      <xdr:col>2</xdr:col>
      <xdr:colOff>38100</xdr:colOff>
      <xdr:row>25</xdr:row>
      <xdr:rowOff>152400</xdr:rowOff>
    </xdr:from>
    <xdr:to>
      <xdr:col>2</xdr:col>
      <xdr:colOff>2876550</xdr:colOff>
      <xdr:row>35</xdr:row>
      <xdr:rowOff>19050</xdr:rowOff>
    </xdr:to>
    <xdr:sp macro="" textlink="">
      <xdr:nvSpPr>
        <xdr:cNvPr id="16" name="Rechteck 15">
          <a:hlinkClick xmlns:r="http://schemas.openxmlformats.org/officeDocument/2006/relationships" r:id="rId9"/>
          <a:extLst>
            <a:ext uri="{FF2B5EF4-FFF2-40B4-BE49-F238E27FC236}">
              <a16:creationId xmlns:a16="http://schemas.microsoft.com/office/drawing/2014/main" id="{76AD2D1C-F12F-801D-3A9C-C81EDCA83315}"/>
            </a:ext>
          </a:extLst>
        </xdr:cNvPr>
        <xdr:cNvSpPr/>
      </xdr:nvSpPr>
      <xdr:spPr bwMode="auto">
        <a:xfrm>
          <a:off x="5276850" y="3876675"/>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Eingabe EF</a:t>
          </a:r>
        </a:p>
        <a:p>
          <a:pPr algn="l"/>
          <a:endParaRPr lang="de-DE" sz="1000" b="0" dirty="0">
            <a:solidFill>
              <a:schemeClr val="tx1"/>
            </a:solidFill>
          </a:endParaRPr>
        </a:p>
        <a:p>
          <a:pPr algn="l"/>
          <a:r>
            <a:rPr lang="de-DE" sz="1000" b="0" dirty="0">
              <a:solidFill>
                <a:schemeClr val="tx1"/>
              </a:solidFill>
            </a:rPr>
            <a:t>Darstellung</a:t>
          </a:r>
          <a:r>
            <a:rPr lang="de-DE" sz="1000" b="0" baseline="0" dirty="0">
              <a:solidFill>
                <a:schemeClr val="tx1"/>
              </a:solidFill>
            </a:rPr>
            <a:t> der Defaultwerte Emissionsfaktoren</a:t>
          </a:r>
        </a:p>
        <a:p>
          <a:pPr algn="l"/>
          <a:endParaRPr lang="de-DE" sz="1000" b="0" dirty="0">
            <a:solidFill>
              <a:schemeClr val="tx1"/>
            </a:solidFill>
          </a:endParaRPr>
        </a:p>
        <a:p>
          <a:pPr algn="l"/>
          <a:r>
            <a:rPr lang="de-DE" sz="1000" b="0" dirty="0">
              <a:solidFill>
                <a:schemeClr val="tx1"/>
              </a:solidFill>
            </a:rPr>
            <a:t>Möglichkeit</a:t>
          </a:r>
          <a:r>
            <a:rPr lang="de-DE" sz="1000" b="0" baseline="0" dirty="0">
              <a:solidFill>
                <a:schemeClr val="tx1"/>
              </a:solidFill>
            </a:rPr>
            <a:t> für die Eingabe individueller Emissionsfaktoren, bezogen auf das Tabellenblatt Referenz Plattenwerk und somit auf die Maßnahmenberechnung</a:t>
          </a:r>
          <a:endParaRPr lang="de-DE" sz="1000" dirty="0">
            <a:solidFill>
              <a:schemeClr val="tx1"/>
            </a:solidFill>
          </a:endParaRPr>
        </a:p>
      </xdr:txBody>
    </xdr:sp>
    <xdr:clientData/>
  </xdr:twoCellAnchor>
  <xdr:twoCellAnchor>
    <xdr:from>
      <xdr:col>2</xdr:col>
      <xdr:colOff>28575</xdr:colOff>
      <xdr:row>35</xdr:row>
      <xdr:rowOff>142875</xdr:rowOff>
    </xdr:from>
    <xdr:to>
      <xdr:col>2</xdr:col>
      <xdr:colOff>2867025</xdr:colOff>
      <xdr:row>45</xdr:row>
      <xdr:rowOff>9525</xdr:rowOff>
    </xdr:to>
    <xdr:sp macro="" textlink="">
      <xdr:nvSpPr>
        <xdr:cNvPr id="17" name="Rechteck 16">
          <a:hlinkClick xmlns:r="http://schemas.openxmlformats.org/officeDocument/2006/relationships" r:id="rId10"/>
          <a:extLst>
            <a:ext uri="{FF2B5EF4-FFF2-40B4-BE49-F238E27FC236}">
              <a16:creationId xmlns:a16="http://schemas.microsoft.com/office/drawing/2014/main" id="{126B6513-CF49-7852-AAE4-50CDAD156C71}"/>
            </a:ext>
          </a:extLst>
        </xdr:cNvPr>
        <xdr:cNvSpPr/>
      </xdr:nvSpPr>
      <xdr:spPr bwMode="auto">
        <a:xfrm>
          <a:off x="5267325" y="5486400"/>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Default EF</a:t>
          </a:r>
        </a:p>
        <a:p>
          <a:pPr algn="l"/>
          <a:endParaRPr lang="de-DE" sz="1000" b="0" dirty="0">
            <a:solidFill>
              <a:schemeClr val="tx1"/>
            </a:solidFill>
          </a:endParaRPr>
        </a:p>
        <a:p>
          <a:pPr algn="l"/>
          <a:r>
            <a:rPr lang="de-DE" sz="1000" b="0" dirty="0">
              <a:solidFill>
                <a:schemeClr val="tx1"/>
              </a:solidFill>
            </a:rPr>
            <a:t>Darstellung</a:t>
          </a:r>
          <a:r>
            <a:rPr lang="de-DE" sz="1000" b="0" baseline="0" dirty="0">
              <a:solidFill>
                <a:schemeClr val="tx1"/>
              </a:solidFill>
            </a:rPr>
            <a:t> der Defaultwerte Emissionsfaktoren inklusive Datenquellen und Hinweisen</a:t>
          </a:r>
          <a:endParaRPr lang="de-DE" sz="1000" dirty="0">
            <a:solidFill>
              <a:schemeClr val="tx1"/>
            </a:solidFill>
          </a:endParaRPr>
        </a:p>
      </xdr:txBody>
    </xdr:sp>
    <xdr:clientData/>
  </xdr:twoCellAnchor>
  <xdr:twoCellAnchor>
    <xdr:from>
      <xdr:col>3</xdr:col>
      <xdr:colOff>0</xdr:colOff>
      <xdr:row>2</xdr:row>
      <xdr:rowOff>0</xdr:rowOff>
    </xdr:from>
    <xdr:to>
      <xdr:col>4</xdr:col>
      <xdr:colOff>2914650</xdr:colOff>
      <xdr:row>5</xdr:row>
      <xdr:rowOff>152400</xdr:rowOff>
    </xdr:to>
    <xdr:sp macro="" textlink="">
      <xdr:nvSpPr>
        <xdr:cNvPr id="18" name="Rechteck 17">
          <a:extLst>
            <a:ext uri="{FF2B5EF4-FFF2-40B4-BE49-F238E27FC236}">
              <a16:creationId xmlns:a16="http://schemas.microsoft.com/office/drawing/2014/main" id="{726C73F9-0083-4D21-AAE5-2D781CB55676}"/>
            </a:ext>
          </a:extLst>
        </xdr:cNvPr>
        <xdr:cNvSpPr/>
      </xdr:nvSpPr>
      <xdr:spPr bwMode="auto">
        <a:xfrm>
          <a:off x="8382000" y="0"/>
          <a:ext cx="5800725" cy="638175"/>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ctr"/>
          <a:r>
            <a:rPr lang="de-DE" sz="1400" dirty="0">
              <a:solidFill>
                <a:schemeClr val="bg1"/>
              </a:solidFill>
            </a:rPr>
            <a:t>Maßnahmen</a:t>
          </a:r>
        </a:p>
      </xdr:txBody>
    </xdr:sp>
    <xdr:clientData/>
  </xdr:twoCellAnchor>
  <xdr:twoCellAnchor>
    <xdr:from>
      <xdr:col>3</xdr:col>
      <xdr:colOff>19051</xdr:colOff>
      <xdr:row>6</xdr:row>
      <xdr:rowOff>76200</xdr:rowOff>
    </xdr:from>
    <xdr:to>
      <xdr:col>3</xdr:col>
      <xdr:colOff>2857501</xdr:colOff>
      <xdr:row>15</xdr:row>
      <xdr:rowOff>104775</xdr:rowOff>
    </xdr:to>
    <xdr:sp macro="" textlink="">
      <xdr:nvSpPr>
        <xdr:cNvPr id="19" name="Rechteck 18">
          <a:hlinkClick xmlns:r="http://schemas.openxmlformats.org/officeDocument/2006/relationships" r:id="rId11"/>
          <a:extLst>
            <a:ext uri="{FF2B5EF4-FFF2-40B4-BE49-F238E27FC236}">
              <a16:creationId xmlns:a16="http://schemas.microsoft.com/office/drawing/2014/main" id="{16153AC6-E7A2-7BF7-BAED-ED34052A6CEF}"/>
            </a:ext>
          </a:extLst>
        </xdr:cNvPr>
        <xdr:cNvSpPr/>
      </xdr:nvSpPr>
      <xdr:spPr bwMode="auto">
        <a:xfrm>
          <a:off x="8401051" y="723900"/>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1</a:t>
          </a:r>
        </a:p>
        <a:p>
          <a:pPr algn="l"/>
          <a:endParaRPr lang="de-DE" sz="1000" b="1" dirty="0">
            <a:solidFill>
              <a:schemeClr val="tx1"/>
            </a:solidFill>
          </a:endParaRPr>
        </a:p>
        <a:p>
          <a:pPr algn="l"/>
          <a:endParaRPr lang="de-DE" sz="1000" b="0" dirty="0">
            <a:solidFill>
              <a:schemeClr val="tx1"/>
            </a:solidFill>
          </a:endParaRPr>
        </a:p>
        <a:p>
          <a:pPr algn="l"/>
          <a:r>
            <a:rPr lang="de-DE" sz="1000" b="0" baseline="0" dirty="0">
              <a:solidFill>
                <a:schemeClr val="tx1"/>
              </a:solidFill>
            </a:rPr>
            <a:t>Verminderung oder Vermeiden von Brennstoffeinsatz für die Härtekammern</a:t>
          </a:r>
          <a:endParaRPr lang="de-DE" sz="1000" dirty="0">
            <a:solidFill>
              <a:schemeClr val="tx1"/>
            </a:solidFill>
          </a:endParaRPr>
        </a:p>
      </xdr:txBody>
    </xdr:sp>
    <xdr:clientData/>
  </xdr:twoCellAnchor>
  <xdr:twoCellAnchor>
    <xdr:from>
      <xdr:col>3</xdr:col>
      <xdr:colOff>19051</xdr:colOff>
      <xdr:row>16</xdr:row>
      <xdr:rowOff>47625</xdr:rowOff>
    </xdr:from>
    <xdr:to>
      <xdr:col>3</xdr:col>
      <xdr:colOff>2857501</xdr:colOff>
      <xdr:row>25</xdr:row>
      <xdr:rowOff>76200</xdr:rowOff>
    </xdr:to>
    <xdr:sp macro="" textlink="">
      <xdr:nvSpPr>
        <xdr:cNvPr id="20" name="Rechteck 19">
          <a:hlinkClick xmlns:r="http://schemas.openxmlformats.org/officeDocument/2006/relationships" r:id="rId12"/>
          <a:extLst>
            <a:ext uri="{FF2B5EF4-FFF2-40B4-BE49-F238E27FC236}">
              <a16:creationId xmlns:a16="http://schemas.microsoft.com/office/drawing/2014/main" id="{D1695024-4B51-9F55-16DF-2AE4780E0B67}"/>
            </a:ext>
          </a:extLst>
        </xdr:cNvPr>
        <xdr:cNvSpPr/>
      </xdr:nvSpPr>
      <xdr:spPr bwMode="auto">
        <a:xfrm>
          <a:off x="8401051" y="2314575"/>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2</a:t>
          </a:r>
        </a:p>
        <a:p>
          <a:pPr algn="l"/>
          <a:endParaRPr lang="de-DE" sz="1000" b="1" dirty="0">
            <a:solidFill>
              <a:schemeClr val="tx1"/>
            </a:solidFill>
          </a:endParaRPr>
        </a:p>
        <a:p>
          <a:pPr algn="l"/>
          <a:r>
            <a:rPr lang="de-DE" sz="1000" b="0" dirty="0">
              <a:solidFill>
                <a:schemeClr val="tx1"/>
              </a:solidFill>
            </a:rPr>
            <a:t>Umstellung Dieselstapler auf Elektroantrieb</a:t>
          </a:r>
          <a:endParaRPr lang="de-DE" sz="1000" dirty="0">
            <a:solidFill>
              <a:schemeClr val="tx1"/>
            </a:solidFill>
          </a:endParaRPr>
        </a:p>
      </xdr:txBody>
    </xdr:sp>
    <xdr:clientData/>
  </xdr:twoCellAnchor>
  <xdr:twoCellAnchor>
    <xdr:from>
      <xdr:col>3</xdr:col>
      <xdr:colOff>38101</xdr:colOff>
      <xdr:row>26</xdr:row>
      <xdr:rowOff>9525</xdr:rowOff>
    </xdr:from>
    <xdr:to>
      <xdr:col>3</xdr:col>
      <xdr:colOff>2876551</xdr:colOff>
      <xdr:row>35</xdr:row>
      <xdr:rowOff>38100</xdr:rowOff>
    </xdr:to>
    <xdr:sp macro="" textlink="">
      <xdr:nvSpPr>
        <xdr:cNvPr id="21" name="Rechteck 20">
          <a:hlinkClick xmlns:r="http://schemas.openxmlformats.org/officeDocument/2006/relationships" r:id="rId13"/>
          <a:extLst>
            <a:ext uri="{FF2B5EF4-FFF2-40B4-BE49-F238E27FC236}">
              <a16:creationId xmlns:a16="http://schemas.microsoft.com/office/drawing/2014/main" id="{ABCC1DB0-1357-7117-5896-3ABE6AA6337B}"/>
            </a:ext>
          </a:extLst>
        </xdr:cNvPr>
        <xdr:cNvSpPr/>
      </xdr:nvSpPr>
      <xdr:spPr bwMode="auto">
        <a:xfrm>
          <a:off x="8420101" y="3895725"/>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3</a:t>
          </a:r>
        </a:p>
        <a:p>
          <a:pPr algn="l"/>
          <a:endParaRPr lang="de-DE" sz="1000" b="1" dirty="0">
            <a:solidFill>
              <a:schemeClr val="tx1"/>
            </a:solidFill>
          </a:endParaRPr>
        </a:p>
        <a:p>
          <a:pPr algn="l"/>
          <a:r>
            <a:rPr lang="de-DE" sz="1000" b="0" dirty="0">
              <a:solidFill>
                <a:schemeClr val="tx1"/>
              </a:solidFill>
            </a:rPr>
            <a:t>Ersatz von Dieselstapler durch Dieselstapler mit besserer Effizienz</a:t>
          </a:r>
          <a:endParaRPr lang="de-DE" sz="1000" dirty="0">
            <a:solidFill>
              <a:schemeClr val="tx1"/>
            </a:solidFill>
          </a:endParaRPr>
        </a:p>
      </xdr:txBody>
    </xdr:sp>
    <xdr:clientData/>
  </xdr:twoCellAnchor>
  <xdr:twoCellAnchor>
    <xdr:from>
      <xdr:col>3</xdr:col>
      <xdr:colOff>38101</xdr:colOff>
      <xdr:row>35</xdr:row>
      <xdr:rowOff>123825</xdr:rowOff>
    </xdr:from>
    <xdr:to>
      <xdr:col>3</xdr:col>
      <xdr:colOff>2876551</xdr:colOff>
      <xdr:row>44</xdr:row>
      <xdr:rowOff>152400</xdr:rowOff>
    </xdr:to>
    <xdr:sp macro="" textlink="">
      <xdr:nvSpPr>
        <xdr:cNvPr id="22" name="Rechteck 21">
          <a:hlinkClick xmlns:r="http://schemas.openxmlformats.org/officeDocument/2006/relationships" r:id="rId14"/>
          <a:extLst>
            <a:ext uri="{FF2B5EF4-FFF2-40B4-BE49-F238E27FC236}">
              <a16:creationId xmlns:a16="http://schemas.microsoft.com/office/drawing/2014/main" id="{B4AE5631-3196-042F-5652-4BA74549E950}"/>
            </a:ext>
          </a:extLst>
        </xdr:cNvPr>
        <xdr:cNvSpPr/>
      </xdr:nvSpPr>
      <xdr:spPr bwMode="auto">
        <a:xfrm>
          <a:off x="8420101" y="5467350"/>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4</a:t>
          </a:r>
        </a:p>
        <a:p>
          <a:pPr algn="l"/>
          <a:endParaRPr lang="de-DE" sz="1000" b="1" dirty="0">
            <a:solidFill>
              <a:schemeClr val="tx1"/>
            </a:solidFill>
          </a:endParaRPr>
        </a:p>
        <a:p>
          <a:pPr algn="l"/>
          <a:r>
            <a:rPr lang="de-DE" sz="1000" b="0" dirty="0">
              <a:solidFill>
                <a:schemeClr val="tx1"/>
              </a:solidFill>
            </a:rPr>
            <a:t>Ökostrom-Einkauf durch z. B. Power Purchase Agreement (PPA) oder Herkunftsnachweise (HKN)</a:t>
          </a:r>
          <a:endParaRPr lang="de-DE" sz="1000" dirty="0">
            <a:solidFill>
              <a:schemeClr val="tx1"/>
            </a:solidFill>
          </a:endParaRPr>
        </a:p>
      </xdr:txBody>
    </xdr:sp>
    <xdr:clientData/>
  </xdr:twoCellAnchor>
  <xdr:twoCellAnchor>
    <xdr:from>
      <xdr:col>3</xdr:col>
      <xdr:colOff>28576</xdr:colOff>
      <xdr:row>45</xdr:row>
      <xdr:rowOff>57150</xdr:rowOff>
    </xdr:from>
    <xdr:to>
      <xdr:col>3</xdr:col>
      <xdr:colOff>2867026</xdr:colOff>
      <xdr:row>54</xdr:row>
      <xdr:rowOff>85725</xdr:rowOff>
    </xdr:to>
    <xdr:sp macro="" textlink="">
      <xdr:nvSpPr>
        <xdr:cNvPr id="23" name="Rechteck 22">
          <a:hlinkClick xmlns:r="http://schemas.openxmlformats.org/officeDocument/2006/relationships" r:id="rId15"/>
          <a:extLst>
            <a:ext uri="{FF2B5EF4-FFF2-40B4-BE49-F238E27FC236}">
              <a16:creationId xmlns:a16="http://schemas.microsoft.com/office/drawing/2014/main" id="{DA8A787B-F7D5-ED25-4A07-AEAB9B20A889}"/>
            </a:ext>
          </a:extLst>
        </xdr:cNvPr>
        <xdr:cNvSpPr/>
      </xdr:nvSpPr>
      <xdr:spPr bwMode="auto">
        <a:xfrm>
          <a:off x="8410576" y="7019925"/>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5</a:t>
          </a:r>
        </a:p>
        <a:p>
          <a:pPr algn="l"/>
          <a:endParaRPr lang="de-DE" sz="1000" b="1" dirty="0">
            <a:solidFill>
              <a:schemeClr val="tx1"/>
            </a:solidFill>
          </a:endParaRPr>
        </a:p>
        <a:p>
          <a:pPr algn="l"/>
          <a:r>
            <a:rPr lang="de-DE" sz="1000" b="0" dirty="0">
              <a:solidFill>
                <a:schemeClr val="tx1"/>
              </a:solidFill>
            </a:rPr>
            <a:t>Produktion von eigenem regenerativen Strom, speziell Photovoltaik</a:t>
          </a:r>
          <a:endParaRPr lang="de-DE" sz="1000" dirty="0">
            <a:solidFill>
              <a:schemeClr val="tx1"/>
            </a:solidFill>
          </a:endParaRPr>
        </a:p>
      </xdr:txBody>
    </xdr:sp>
    <xdr:clientData/>
  </xdr:twoCellAnchor>
  <xdr:twoCellAnchor>
    <xdr:from>
      <xdr:col>4</xdr:col>
      <xdr:colOff>66676</xdr:colOff>
      <xdr:row>6</xdr:row>
      <xdr:rowOff>85725</xdr:rowOff>
    </xdr:from>
    <xdr:to>
      <xdr:col>4</xdr:col>
      <xdr:colOff>2905126</xdr:colOff>
      <xdr:row>15</xdr:row>
      <xdr:rowOff>114300</xdr:rowOff>
    </xdr:to>
    <xdr:sp macro="" textlink="">
      <xdr:nvSpPr>
        <xdr:cNvPr id="24" name="Rechteck 23">
          <a:hlinkClick xmlns:r="http://schemas.openxmlformats.org/officeDocument/2006/relationships" r:id="rId16"/>
          <a:extLst>
            <a:ext uri="{FF2B5EF4-FFF2-40B4-BE49-F238E27FC236}">
              <a16:creationId xmlns:a16="http://schemas.microsoft.com/office/drawing/2014/main" id="{B1A71967-6A77-34C0-4810-06C8F6922EF0}"/>
            </a:ext>
          </a:extLst>
        </xdr:cNvPr>
        <xdr:cNvSpPr/>
      </xdr:nvSpPr>
      <xdr:spPr bwMode="auto">
        <a:xfrm>
          <a:off x="11334751" y="733425"/>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6</a:t>
          </a:r>
        </a:p>
        <a:p>
          <a:pPr algn="l"/>
          <a:endParaRPr lang="de-DE" sz="1000" b="1" dirty="0">
            <a:solidFill>
              <a:schemeClr val="tx1"/>
            </a:solidFill>
          </a:endParaRPr>
        </a:p>
        <a:p>
          <a:pPr algn="l"/>
          <a:r>
            <a:rPr lang="de-DE" sz="1000" b="0" dirty="0">
              <a:solidFill>
                <a:schemeClr val="tx1"/>
              </a:solidFill>
            </a:rPr>
            <a:t>Generell Energieeinsparmaßnahmen ohne Einfluss auf die Härtekammern</a:t>
          </a:r>
          <a:endParaRPr lang="de-DE" sz="1000" dirty="0">
            <a:solidFill>
              <a:schemeClr val="tx1"/>
            </a:solidFill>
          </a:endParaRPr>
        </a:p>
      </xdr:txBody>
    </xdr:sp>
    <xdr:clientData/>
  </xdr:twoCellAnchor>
  <xdr:twoCellAnchor>
    <xdr:from>
      <xdr:col>4</xdr:col>
      <xdr:colOff>47626</xdr:colOff>
      <xdr:row>16</xdr:row>
      <xdr:rowOff>57150</xdr:rowOff>
    </xdr:from>
    <xdr:to>
      <xdr:col>4</xdr:col>
      <xdr:colOff>2886076</xdr:colOff>
      <xdr:row>25</xdr:row>
      <xdr:rowOff>85725</xdr:rowOff>
    </xdr:to>
    <xdr:sp macro="" textlink="">
      <xdr:nvSpPr>
        <xdr:cNvPr id="25" name="Rechteck 24">
          <a:hlinkClick xmlns:r="http://schemas.openxmlformats.org/officeDocument/2006/relationships" r:id="rId17"/>
          <a:extLst>
            <a:ext uri="{FF2B5EF4-FFF2-40B4-BE49-F238E27FC236}">
              <a16:creationId xmlns:a16="http://schemas.microsoft.com/office/drawing/2014/main" id="{B823AF6B-CF17-FF9D-30BA-45E5AA0985DD}"/>
            </a:ext>
          </a:extLst>
        </xdr:cNvPr>
        <xdr:cNvSpPr/>
      </xdr:nvSpPr>
      <xdr:spPr bwMode="auto">
        <a:xfrm>
          <a:off x="11315701" y="2324100"/>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7</a:t>
          </a:r>
        </a:p>
        <a:p>
          <a:pPr algn="l"/>
          <a:endParaRPr lang="de-DE" sz="1000" b="1" dirty="0">
            <a:solidFill>
              <a:schemeClr val="tx1"/>
            </a:solidFill>
          </a:endParaRPr>
        </a:p>
        <a:p>
          <a:pPr algn="l"/>
          <a:r>
            <a:rPr lang="de-DE" sz="1000" b="0" dirty="0">
              <a:solidFill>
                <a:schemeClr val="tx1"/>
              </a:solidFill>
            </a:rPr>
            <a:t>Rezepturänderung – Veränderung Materialeinsatz</a:t>
          </a:r>
          <a:endParaRPr lang="de-DE" sz="1000" dirty="0">
            <a:solidFill>
              <a:schemeClr val="tx1"/>
            </a:solidFill>
          </a:endParaRPr>
        </a:p>
      </xdr:txBody>
    </xdr:sp>
    <xdr:clientData/>
  </xdr:twoCellAnchor>
  <xdr:twoCellAnchor>
    <xdr:from>
      <xdr:col>4</xdr:col>
      <xdr:colOff>38101</xdr:colOff>
      <xdr:row>26</xdr:row>
      <xdr:rowOff>0</xdr:rowOff>
    </xdr:from>
    <xdr:to>
      <xdr:col>4</xdr:col>
      <xdr:colOff>2876551</xdr:colOff>
      <xdr:row>35</xdr:row>
      <xdr:rowOff>28575</xdr:rowOff>
    </xdr:to>
    <xdr:sp macro="" textlink="">
      <xdr:nvSpPr>
        <xdr:cNvPr id="26" name="Rechteck 25">
          <a:hlinkClick xmlns:r="http://schemas.openxmlformats.org/officeDocument/2006/relationships" r:id="rId18"/>
          <a:extLst>
            <a:ext uri="{FF2B5EF4-FFF2-40B4-BE49-F238E27FC236}">
              <a16:creationId xmlns:a16="http://schemas.microsoft.com/office/drawing/2014/main" id="{54764010-AD46-C8A9-812B-52FA23D87E78}"/>
            </a:ext>
          </a:extLst>
        </xdr:cNvPr>
        <xdr:cNvSpPr/>
      </xdr:nvSpPr>
      <xdr:spPr bwMode="auto">
        <a:xfrm>
          <a:off x="11306176" y="3886200"/>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8</a:t>
          </a:r>
        </a:p>
        <a:p>
          <a:pPr algn="l"/>
          <a:endParaRPr lang="de-DE" sz="1000" b="1" dirty="0">
            <a:solidFill>
              <a:schemeClr val="tx1"/>
            </a:solidFill>
          </a:endParaRPr>
        </a:p>
        <a:p>
          <a:pPr algn="l"/>
          <a:r>
            <a:rPr lang="de-DE" sz="1000" b="0" dirty="0">
              <a:solidFill>
                <a:schemeClr val="tx1"/>
              </a:solidFill>
            </a:rPr>
            <a:t>Rezepturänderung - Einsatz von Sorten mit geringeren Emissionsfaktoren (über allgemeine Marktentwicklung hinausgehend)</a:t>
          </a:r>
          <a:endParaRPr lang="de-DE" sz="1000" dirty="0">
            <a:solidFill>
              <a:schemeClr val="tx1"/>
            </a:solidFill>
          </a:endParaRPr>
        </a:p>
      </xdr:txBody>
    </xdr:sp>
    <xdr:clientData/>
  </xdr:twoCellAnchor>
  <xdr:twoCellAnchor>
    <xdr:from>
      <xdr:col>4</xdr:col>
      <xdr:colOff>47626</xdr:colOff>
      <xdr:row>35</xdr:row>
      <xdr:rowOff>95250</xdr:rowOff>
    </xdr:from>
    <xdr:to>
      <xdr:col>4</xdr:col>
      <xdr:colOff>2886076</xdr:colOff>
      <xdr:row>44</xdr:row>
      <xdr:rowOff>123825</xdr:rowOff>
    </xdr:to>
    <xdr:sp macro="" textlink="">
      <xdr:nvSpPr>
        <xdr:cNvPr id="27" name="Rechteck 26">
          <a:hlinkClick xmlns:r="http://schemas.openxmlformats.org/officeDocument/2006/relationships" r:id="rId19"/>
          <a:extLst>
            <a:ext uri="{FF2B5EF4-FFF2-40B4-BE49-F238E27FC236}">
              <a16:creationId xmlns:a16="http://schemas.microsoft.com/office/drawing/2014/main" id="{9723EFEC-D7C6-F029-096B-BB0D8189D8EC}"/>
            </a:ext>
          </a:extLst>
        </xdr:cNvPr>
        <xdr:cNvSpPr/>
      </xdr:nvSpPr>
      <xdr:spPr bwMode="auto">
        <a:xfrm>
          <a:off x="11315701" y="5438775"/>
          <a:ext cx="2838450" cy="1485900"/>
        </a:xfrm>
        <a:prstGeom prst="rect">
          <a:avLst/>
        </a:prstGeom>
        <a:ln/>
      </xdr:spPr>
      <xdr:style>
        <a:lnRef idx="3">
          <a:schemeClr val="lt1"/>
        </a:lnRef>
        <a:fillRef idx="1">
          <a:schemeClr val="accent5"/>
        </a:fillRef>
        <a:effectRef idx="1">
          <a:schemeClr val="accent5"/>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Maßnahme</a:t>
          </a:r>
          <a:r>
            <a:rPr lang="de-DE" sz="1000" b="1" baseline="0" dirty="0">
              <a:solidFill>
                <a:schemeClr val="tx1"/>
              </a:solidFill>
            </a:rPr>
            <a:t> 9</a:t>
          </a:r>
        </a:p>
        <a:p>
          <a:pPr algn="l"/>
          <a:endParaRPr lang="de-DE" sz="1000" b="1" dirty="0">
            <a:solidFill>
              <a:schemeClr val="tx1"/>
            </a:solidFill>
          </a:endParaRPr>
        </a:p>
        <a:p>
          <a:pPr algn="l"/>
          <a:r>
            <a:rPr lang="de-DE" sz="1000" b="0" dirty="0">
              <a:solidFill>
                <a:schemeClr val="tx1"/>
              </a:solidFill>
            </a:rPr>
            <a:t>Einsatz von Recyclingmaterial und alternativen Materialien</a:t>
          </a:r>
          <a:endParaRPr lang="de-DE" sz="1000" dirty="0">
            <a:solidFill>
              <a:schemeClr val="tx1"/>
            </a:solidFill>
          </a:endParaRPr>
        </a:p>
      </xdr:txBody>
    </xdr:sp>
    <xdr:clientData/>
  </xdr:twoCellAnchor>
  <xdr:twoCellAnchor>
    <xdr:from>
      <xdr:col>2</xdr:col>
      <xdr:colOff>9525</xdr:colOff>
      <xdr:row>45</xdr:row>
      <xdr:rowOff>85725</xdr:rowOff>
    </xdr:from>
    <xdr:to>
      <xdr:col>2</xdr:col>
      <xdr:colOff>2847975</xdr:colOff>
      <xdr:row>54</xdr:row>
      <xdr:rowOff>114300</xdr:rowOff>
    </xdr:to>
    <xdr:sp macro="" textlink="">
      <xdr:nvSpPr>
        <xdr:cNvPr id="28" name="Rechteck 27">
          <a:hlinkClick xmlns:r="http://schemas.openxmlformats.org/officeDocument/2006/relationships" r:id="rId20"/>
          <a:extLst>
            <a:ext uri="{FF2B5EF4-FFF2-40B4-BE49-F238E27FC236}">
              <a16:creationId xmlns:a16="http://schemas.microsoft.com/office/drawing/2014/main" id="{CFDE9A9F-128B-0B9E-F785-04504BDC46CF}"/>
            </a:ext>
          </a:extLst>
        </xdr:cNvPr>
        <xdr:cNvSpPr/>
      </xdr:nvSpPr>
      <xdr:spPr bwMode="auto">
        <a:xfrm>
          <a:off x="5248275" y="7048500"/>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Quellen</a:t>
          </a:r>
        </a:p>
        <a:p>
          <a:pPr algn="l"/>
          <a:endParaRPr lang="de-DE" sz="1000" b="0" dirty="0">
            <a:solidFill>
              <a:schemeClr val="tx1"/>
            </a:solidFill>
          </a:endParaRPr>
        </a:p>
        <a:p>
          <a:pPr algn="l"/>
          <a:r>
            <a:rPr lang="de-DE" sz="1000" b="0" dirty="0">
              <a:solidFill>
                <a:schemeClr val="tx1"/>
              </a:solidFill>
            </a:rPr>
            <a:t>Quellen</a:t>
          </a:r>
          <a:r>
            <a:rPr lang="de-DE" sz="1000" b="0" baseline="0" dirty="0">
              <a:solidFill>
                <a:schemeClr val="tx1"/>
              </a:solidFill>
            </a:rPr>
            <a:t> für Emissionsfaktoren inklusive Links zu den Quellen</a:t>
          </a:r>
          <a:endParaRPr lang="de-DE" sz="1000" dirty="0">
            <a:solidFill>
              <a:schemeClr val="tx1"/>
            </a:solidFill>
          </a:endParaRPr>
        </a:p>
      </xdr:txBody>
    </xdr:sp>
    <xdr:clientData/>
  </xdr:twoCellAnchor>
  <xdr:twoCellAnchor>
    <xdr:from>
      <xdr:col>2</xdr:col>
      <xdr:colOff>0</xdr:colOff>
      <xdr:row>55</xdr:row>
      <xdr:rowOff>9525</xdr:rowOff>
    </xdr:from>
    <xdr:to>
      <xdr:col>2</xdr:col>
      <xdr:colOff>2838450</xdr:colOff>
      <xdr:row>64</xdr:row>
      <xdr:rowOff>38100</xdr:rowOff>
    </xdr:to>
    <xdr:sp macro="" textlink="">
      <xdr:nvSpPr>
        <xdr:cNvPr id="29" name="Rechteck 28">
          <a:hlinkClick xmlns:r="http://schemas.openxmlformats.org/officeDocument/2006/relationships" r:id="rId21"/>
          <a:extLst>
            <a:ext uri="{FF2B5EF4-FFF2-40B4-BE49-F238E27FC236}">
              <a16:creationId xmlns:a16="http://schemas.microsoft.com/office/drawing/2014/main" id="{4EF3C8CD-29EC-A40E-4557-0CEEEF3458FC}"/>
            </a:ext>
          </a:extLst>
        </xdr:cNvPr>
        <xdr:cNvSpPr/>
      </xdr:nvSpPr>
      <xdr:spPr bwMode="auto">
        <a:xfrm>
          <a:off x="5238750" y="8591550"/>
          <a:ext cx="2838450" cy="1485900"/>
        </a:xfrm>
        <a:prstGeom prst="rect">
          <a:avLst/>
        </a:prstGeom>
        <a:ln/>
      </xdr:spPr>
      <xdr:style>
        <a:lnRef idx="3">
          <a:schemeClr val="lt1"/>
        </a:lnRef>
        <a:fillRef idx="1">
          <a:schemeClr val="accent6"/>
        </a:fillRef>
        <a:effectRef idx="1">
          <a:schemeClr val="accent6"/>
        </a:effectRef>
        <a:fontRef idx="minor">
          <a:schemeClr val="lt1"/>
        </a:fontRef>
      </xdr:style>
      <xdr:txBody>
        <a:bodyPr vert="horz" wrap="square" lIns="91440" tIns="45720" rIns="91440" bIns="45720" numCol="1" rtlCol="0" anchor="ctr" anchorCtr="0" compatLnSpc="1">
          <a:prstTxWarp prst="textNoShape">
            <a:avLst/>
          </a:prstTxWarp>
          <a:noAutofit/>
        </a:bodyPr>
        <a:lstStyle/>
        <a:p>
          <a:pPr algn="l"/>
          <a:r>
            <a:rPr lang="de-DE" sz="1000" b="1" dirty="0">
              <a:solidFill>
                <a:schemeClr val="tx1"/>
              </a:solidFill>
            </a:rPr>
            <a:t>Lizenzbedingung</a:t>
          </a:r>
          <a:r>
            <a:rPr lang="de-DE" sz="1000" b="1" baseline="0" dirty="0">
              <a:solidFill>
                <a:schemeClr val="tx1"/>
              </a:solidFill>
            </a:rPr>
            <a:t> ecoinvent</a:t>
          </a:r>
          <a:endParaRPr lang="de-DE" sz="1000" b="1" dirty="0">
            <a:solidFill>
              <a:schemeClr val="tx1"/>
            </a:solidFill>
          </a:endParaRPr>
        </a:p>
        <a:p>
          <a:pPr algn="l"/>
          <a:endParaRPr lang="de-DE" sz="1000" b="0" dirty="0">
            <a:solidFill>
              <a:schemeClr val="tx1"/>
            </a:solidFill>
          </a:endParaRPr>
        </a:p>
        <a:p>
          <a:pPr algn="l"/>
          <a:r>
            <a:rPr lang="de-DE" sz="1000" b="0" dirty="0">
              <a:solidFill>
                <a:schemeClr val="tx1"/>
              </a:solidFill>
            </a:rPr>
            <a:t>Lizenzbedingung für die Nutzung der Emissionsfaktoren</a:t>
          </a:r>
          <a:r>
            <a:rPr lang="de-DE" sz="1000" b="0" baseline="0" dirty="0">
              <a:solidFill>
                <a:schemeClr val="tx1"/>
              </a:solidFill>
            </a:rPr>
            <a:t> der Datenbank ecoinvent</a:t>
          </a:r>
          <a:endParaRPr lang="de-DE" sz="1000" dirty="0">
            <a:solidFill>
              <a:schemeClr val="tx1"/>
            </a:solidFill>
          </a:endParaRPr>
        </a:p>
      </xdr:txBody>
    </xdr:sp>
    <xdr:clientData/>
  </xdr:twoCellAnchor>
  <xdr:twoCellAnchor editAs="oneCell">
    <xdr:from>
      <xdr:col>4</xdr:col>
      <xdr:colOff>0</xdr:colOff>
      <xdr:row>0</xdr:row>
      <xdr:rowOff>171450</xdr:rowOff>
    </xdr:from>
    <xdr:to>
      <xdr:col>4</xdr:col>
      <xdr:colOff>2635606</xdr:colOff>
      <xdr:row>0</xdr:row>
      <xdr:rowOff>686631</xdr:rowOff>
    </xdr:to>
    <xdr:pic>
      <xdr:nvPicPr>
        <xdr:cNvPr id="3" name="Grafik 2">
          <a:extLst>
            <a:ext uri="{FF2B5EF4-FFF2-40B4-BE49-F238E27FC236}">
              <a16:creationId xmlns:a16="http://schemas.microsoft.com/office/drawing/2014/main" id="{C6B4DCF7-6346-4B9F-8F0B-6C8F220644E0}"/>
            </a:ext>
          </a:extLst>
        </xdr:cNvPr>
        <xdr:cNvPicPr>
          <a:picLocks noChangeAspect="1"/>
        </xdr:cNvPicPr>
      </xdr:nvPicPr>
      <xdr:blipFill>
        <a:blip xmlns:r="http://schemas.openxmlformats.org/officeDocument/2006/relationships" r:embed="rId22"/>
        <a:stretch>
          <a:fillRect/>
        </a:stretch>
      </xdr:blipFill>
      <xdr:spPr>
        <a:xfrm>
          <a:off x="11268075" y="171450"/>
          <a:ext cx="2635606" cy="515181"/>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0.51422</cdr:x>
      <cdr:y>0.04219</cdr:y>
    </cdr:from>
    <cdr:to>
      <cdr:x>0.63321</cdr:x>
      <cdr:y>0.07868</cdr:y>
    </cdr:to>
    <cdr:sp macro="" textlink="'M1 Härtekammern'!$AA$45">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43209" y="277299"/>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B7DEFB2-F32C-4B63-9552-1F0A9EA11C3A}" type="TxLink">
            <a:rPr lang="en-US" sz="1000" b="1" i="0" u="none" strike="noStrike" dirty="0" err="1">
              <a:solidFill>
                <a:srgbClr val="323232"/>
              </a:solidFill>
              <a:latin typeface="Arial"/>
              <a:cs typeface="Arial"/>
            </a:rPr>
            <a:pPr/>
            <a:t>5.946</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0.07868</cdr:y>
    </cdr:to>
    <cdr:sp macro="" textlink="'M1 Härtekammern'!$AB$45">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53019" y="277299"/>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5.875</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1 Härtekammern'!$Z$45">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2D56D4C-48D1-4FC7-803C-53619635208D}" type="TxLink">
            <a:rPr lang="en-US" sz="1000" b="1" i="0" u="none" strike="noStrike" dirty="0" err="1" smtClean="0">
              <a:solidFill>
                <a:srgbClr val="323232"/>
              </a:solidFill>
              <a:latin typeface="Arial"/>
              <a:cs typeface="Arial"/>
            </a:rPr>
            <a:pPr/>
            <a:t>6.098</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1.xml><?xml version="1.0" encoding="utf-8"?>
<c:userShapes xmlns:c="http://schemas.openxmlformats.org/drawingml/2006/chart">
  <cdr:relSizeAnchor xmlns:cdr="http://schemas.openxmlformats.org/drawingml/2006/chartDrawing">
    <cdr:from>
      <cdr:x>0.24983</cdr:x>
      <cdr:y>0.03789</cdr:y>
    </cdr:from>
    <cdr:to>
      <cdr:x>0.38319</cdr:x>
      <cdr:y>0.07403</cdr:y>
    </cdr:to>
    <cdr:sp macro="" textlink="'M1 Härtekammern'!$AI$9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51436"/>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262.128 €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0.07403</cdr:y>
    </cdr:to>
    <cdr:sp macro="" textlink="'M1 Härtekammern'!$AJ$96">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51436"/>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443.125 €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0.07403</cdr:y>
    </cdr:to>
    <cdr:sp macro="" textlink="'M1 Härtekammern'!$AK$96">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51436"/>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645.583 €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2.xml><?xml version="1.0" encoding="utf-8"?>
<c:userShapes xmlns:c="http://schemas.openxmlformats.org/drawingml/2006/chart">
  <cdr:relSizeAnchor xmlns:cdr="http://schemas.openxmlformats.org/drawingml/2006/chartDrawing">
    <cdr:from>
      <cdr:x>0.26001</cdr:x>
      <cdr:y>0</cdr:y>
    </cdr:from>
    <cdr:to>
      <cdr:x>0.35189</cdr:x>
      <cdr:y>1</cdr:y>
    </cdr:to>
    <cdr:sp macro="" textlink="'M1 Härtekammern'!$Z$92">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94260" y="0"/>
          <a:ext cx="598703"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5.691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1 Härtekammern'!$AA$92">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43582"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5.681</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1 Härtekammern'!$AB$92">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38516"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5.672</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3.xml><?xml version="1.0" encoding="utf-8"?>
<xdr:wsDr xmlns:xdr="http://schemas.openxmlformats.org/drawingml/2006/spreadsheetDrawing" xmlns:a="http://schemas.openxmlformats.org/drawingml/2006/main">
  <xdr:twoCellAnchor>
    <xdr:from>
      <xdr:col>15</xdr:col>
      <xdr:colOff>560292</xdr:colOff>
      <xdr:row>5</xdr:row>
      <xdr:rowOff>238126</xdr:rowOff>
    </xdr:from>
    <xdr:to>
      <xdr:col>21</xdr:col>
      <xdr:colOff>539185</xdr:colOff>
      <xdr:row>33</xdr:row>
      <xdr:rowOff>28949</xdr:rowOff>
    </xdr:to>
    <xdr:graphicFrame macro="">
      <xdr:nvGraphicFramePr>
        <xdr:cNvPr id="2" name="Diagramm 1">
          <a:extLst>
            <a:ext uri="{FF2B5EF4-FFF2-40B4-BE49-F238E27FC236}">
              <a16:creationId xmlns:a16="http://schemas.microsoft.com/office/drawing/2014/main" id="{93B9E01C-D277-4469-A565-7748072BD5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799740</xdr:colOff>
      <xdr:row>5</xdr:row>
      <xdr:rowOff>180975</xdr:rowOff>
    </xdr:from>
    <xdr:to>
      <xdr:col>29</xdr:col>
      <xdr:colOff>778217</xdr:colOff>
      <xdr:row>33</xdr:row>
      <xdr:rowOff>57523</xdr:rowOff>
    </xdr:to>
    <xdr:graphicFrame macro="">
      <xdr:nvGraphicFramePr>
        <xdr:cNvPr id="3" name="Diagramm 2">
          <a:extLst>
            <a:ext uri="{FF2B5EF4-FFF2-40B4-BE49-F238E27FC236}">
              <a16:creationId xmlns:a16="http://schemas.microsoft.com/office/drawing/2014/main" id="{598415D0-90D1-4808-B5D2-636319D552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523875</xdr:colOff>
          <xdr:row>42</xdr:row>
          <xdr:rowOff>28575</xdr:rowOff>
        </xdr:from>
        <xdr:to>
          <xdr:col>15</xdr:col>
          <xdr:colOff>695325</xdr:colOff>
          <xdr:row>43</xdr:row>
          <xdr:rowOff>0</xdr:rowOff>
        </xdr:to>
        <xdr:sp macro="" textlink="">
          <xdr:nvSpPr>
            <xdr:cNvPr id="103425" name="Check Box 1" hidden="1">
              <a:extLst>
                <a:ext uri="{63B3BB69-23CF-44E3-9099-C40C66FF867C}">
                  <a14:compatExt spid="_x0000_s103425"/>
                </a:ext>
                <a:ext uri="{FF2B5EF4-FFF2-40B4-BE49-F238E27FC236}">
                  <a16:creationId xmlns:a16="http://schemas.microsoft.com/office/drawing/2014/main" id="{00000000-0008-0000-0C00-00000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28575</xdr:rowOff>
        </xdr:from>
        <xdr:to>
          <xdr:col>15</xdr:col>
          <xdr:colOff>695325</xdr:colOff>
          <xdr:row>43</xdr:row>
          <xdr:rowOff>190500</xdr:rowOff>
        </xdr:to>
        <xdr:sp macro="" textlink="">
          <xdr:nvSpPr>
            <xdr:cNvPr id="103426" name="Check Box 2" hidden="1">
              <a:extLst>
                <a:ext uri="{63B3BB69-23CF-44E3-9099-C40C66FF867C}">
                  <a14:compatExt spid="_x0000_s103426"/>
                </a:ext>
                <a:ext uri="{FF2B5EF4-FFF2-40B4-BE49-F238E27FC236}">
                  <a16:creationId xmlns:a16="http://schemas.microsoft.com/office/drawing/2014/main" id="{00000000-0008-0000-0C00-000002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28575</xdr:rowOff>
        </xdr:from>
        <xdr:to>
          <xdr:col>15</xdr:col>
          <xdr:colOff>695325</xdr:colOff>
          <xdr:row>44</xdr:row>
          <xdr:rowOff>171450</xdr:rowOff>
        </xdr:to>
        <xdr:sp macro="" textlink="">
          <xdr:nvSpPr>
            <xdr:cNvPr id="103427" name="Check Box 3" hidden="1">
              <a:extLst>
                <a:ext uri="{63B3BB69-23CF-44E3-9099-C40C66FF867C}">
                  <a14:compatExt spid="_x0000_s103427"/>
                </a:ext>
                <a:ext uri="{FF2B5EF4-FFF2-40B4-BE49-F238E27FC236}">
                  <a16:creationId xmlns:a16="http://schemas.microsoft.com/office/drawing/2014/main" id="{00000000-0008-0000-0C00-000003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19050</xdr:rowOff>
        </xdr:from>
        <xdr:to>
          <xdr:col>15</xdr:col>
          <xdr:colOff>695325</xdr:colOff>
          <xdr:row>45</xdr:row>
          <xdr:rowOff>190500</xdr:rowOff>
        </xdr:to>
        <xdr:sp macro="" textlink="">
          <xdr:nvSpPr>
            <xdr:cNvPr id="103428" name="Check Box 4" hidden="1">
              <a:extLst>
                <a:ext uri="{63B3BB69-23CF-44E3-9099-C40C66FF867C}">
                  <a14:compatExt spid="_x0000_s103428"/>
                </a:ext>
                <a:ext uri="{FF2B5EF4-FFF2-40B4-BE49-F238E27FC236}">
                  <a16:creationId xmlns:a16="http://schemas.microsoft.com/office/drawing/2014/main" id="{00000000-0008-0000-0C00-000004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19050</xdr:rowOff>
        </xdr:from>
        <xdr:to>
          <xdr:col>15</xdr:col>
          <xdr:colOff>695325</xdr:colOff>
          <xdr:row>46</xdr:row>
          <xdr:rowOff>171450</xdr:rowOff>
        </xdr:to>
        <xdr:sp macro="" textlink="">
          <xdr:nvSpPr>
            <xdr:cNvPr id="103429" name="Check Box 5" hidden="1">
              <a:extLst>
                <a:ext uri="{63B3BB69-23CF-44E3-9099-C40C66FF867C}">
                  <a14:compatExt spid="_x0000_s103429"/>
                </a:ext>
                <a:ext uri="{FF2B5EF4-FFF2-40B4-BE49-F238E27FC236}">
                  <a16:creationId xmlns:a16="http://schemas.microsoft.com/office/drawing/2014/main" id="{00000000-0008-0000-0C00-000005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0</xdr:rowOff>
        </xdr:from>
        <xdr:to>
          <xdr:col>15</xdr:col>
          <xdr:colOff>695325</xdr:colOff>
          <xdr:row>47</xdr:row>
          <xdr:rowOff>171450</xdr:rowOff>
        </xdr:to>
        <xdr:sp macro="" textlink="">
          <xdr:nvSpPr>
            <xdr:cNvPr id="103430" name="Check Box 6" hidden="1">
              <a:extLst>
                <a:ext uri="{63B3BB69-23CF-44E3-9099-C40C66FF867C}">
                  <a14:compatExt spid="_x0000_s103430"/>
                </a:ext>
                <a:ext uri="{FF2B5EF4-FFF2-40B4-BE49-F238E27FC236}">
                  <a16:creationId xmlns:a16="http://schemas.microsoft.com/office/drawing/2014/main" id="{00000000-0008-0000-0C00-000006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48</xdr:row>
          <xdr:rowOff>9525</xdr:rowOff>
        </xdr:from>
        <xdr:to>
          <xdr:col>15</xdr:col>
          <xdr:colOff>695325</xdr:colOff>
          <xdr:row>48</xdr:row>
          <xdr:rowOff>190500</xdr:rowOff>
        </xdr:to>
        <xdr:sp macro="" textlink="">
          <xdr:nvSpPr>
            <xdr:cNvPr id="103431" name="Check Box 7" hidden="1">
              <a:extLst>
                <a:ext uri="{63B3BB69-23CF-44E3-9099-C40C66FF867C}">
                  <a14:compatExt spid="_x0000_s103431"/>
                </a:ext>
                <a:ext uri="{FF2B5EF4-FFF2-40B4-BE49-F238E27FC236}">
                  <a16:creationId xmlns:a16="http://schemas.microsoft.com/office/drawing/2014/main" id="{00000000-0008-0000-0C00-000007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665157</xdr:colOff>
      <xdr:row>5</xdr:row>
      <xdr:rowOff>161926</xdr:rowOff>
    </xdr:from>
    <xdr:to>
      <xdr:col>40</xdr:col>
      <xdr:colOff>445249</xdr:colOff>
      <xdr:row>33</xdr:row>
      <xdr:rowOff>28949</xdr:rowOff>
    </xdr:to>
    <xdr:graphicFrame macro="">
      <xdr:nvGraphicFramePr>
        <xdr:cNvPr id="4" name="Diagramm 3">
          <a:extLst>
            <a:ext uri="{FF2B5EF4-FFF2-40B4-BE49-F238E27FC236}">
              <a16:creationId xmlns:a16="http://schemas.microsoft.com/office/drawing/2014/main" id="{D95824DF-C635-47B2-B1D4-E2FEB32B00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33</xdr:col>
          <xdr:colOff>457200</xdr:colOff>
          <xdr:row>53</xdr:row>
          <xdr:rowOff>0</xdr:rowOff>
        </xdr:from>
        <xdr:to>
          <xdr:col>33</xdr:col>
          <xdr:colOff>666750</xdr:colOff>
          <xdr:row>53</xdr:row>
          <xdr:rowOff>171450</xdr:rowOff>
        </xdr:to>
        <xdr:sp macro="" textlink="">
          <xdr:nvSpPr>
            <xdr:cNvPr id="103432" name="Check Box 8" hidden="1">
              <a:extLst>
                <a:ext uri="{63B3BB69-23CF-44E3-9099-C40C66FF867C}">
                  <a14:compatExt spid="_x0000_s103432"/>
                </a:ext>
                <a:ext uri="{FF2B5EF4-FFF2-40B4-BE49-F238E27FC236}">
                  <a16:creationId xmlns:a16="http://schemas.microsoft.com/office/drawing/2014/main" id="{00000000-0008-0000-0C00-000008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54</xdr:row>
          <xdr:rowOff>19050</xdr:rowOff>
        </xdr:from>
        <xdr:to>
          <xdr:col>34</xdr:col>
          <xdr:colOff>0</xdr:colOff>
          <xdr:row>55</xdr:row>
          <xdr:rowOff>0</xdr:rowOff>
        </xdr:to>
        <xdr:sp macro="" textlink="">
          <xdr:nvSpPr>
            <xdr:cNvPr id="103433" name="Check Box 9" hidden="1">
              <a:extLst>
                <a:ext uri="{63B3BB69-23CF-44E3-9099-C40C66FF867C}">
                  <a14:compatExt spid="_x0000_s103433"/>
                </a:ext>
                <a:ext uri="{FF2B5EF4-FFF2-40B4-BE49-F238E27FC236}">
                  <a16:creationId xmlns:a16="http://schemas.microsoft.com/office/drawing/2014/main" id="{00000000-0008-0000-0C00-000009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55</xdr:row>
          <xdr:rowOff>19050</xdr:rowOff>
        </xdr:from>
        <xdr:to>
          <xdr:col>34</xdr:col>
          <xdr:colOff>0</xdr:colOff>
          <xdr:row>56</xdr:row>
          <xdr:rowOff>0</xdr:rowOff>
        </xdr:to>
        <xdr:sp macro="" textlink="">
          <xdr:nvSpPr>
            <xdr:cNvPr id="103434" name="Check Box 10" hidden="1">
              <a:extLst>
                <a:ext uri="{63B3BB69-23CF-44E3-9099-C40C66FF867C}">
                  <a14:compatExt spid="_x0000_s103434"/>
                </a:ext>
                <a:ext uri="{FF2B5EF4-FFF2-40B4-BE49-F238E27FC236}">
                  <a16:creationId xmlns:a16="http://schemas.microsoft.com/office/drawing/2014/main" id="{00000000-0008-0000-0C00-00000A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56</xdr:row>
          <xdr:rowOff>9525</xdr:rowOff>
        </xdr:from>
        <xdr:to>
          <xdr:col>34</xdr:col>
          <xdr:colOff>0</xdr:colOff>
          <xdr:row>56</xdr:row>
          <xdr:rowOff>190500</xdr:rowOff>
        </xdr:to>
        <xdr:sp macro="" textlink="">
          <xdr:nvSpPr>
            <xdr:cNvPr id="103435" name="Check Box 11" hidden="1">
              <a:extLst>
                <a:ext uri="{63B3BB69-23CF-44E3-9099-C40C66FF867C}">
                  <a14:compatExt spid="_x0000_s103435"/>
                </a:ext>
                <a:ext uri="{FF2B5EF4-FFF2-40B4-BE49-F238E27FC236}">
                  <a16:creationId xmlns:a16="http://schemas.microsoft.com/office/drawing/2014/main" id="{00000000-0008-0000-0C00-00000B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51</xdr:row>
          <xdr:rowOff>9525</xdr:rowOff>
        </xdr:from>
        <xdr:to>
          <xdr:col>33</xdr:col>
          <xdr:colOff>666750</xdr:colOff>
          <xdr:row>52</xdr:row>
          <xdr:rowOff>19050</xdr:rowOff>
        </xdr:to>
        <xdr:sp macro="" textlink="">
          <xdr:nvSpPr>
            <xdr:cNvPr id="103436" name="Check Box 12" hidden="1">
              <a:extLst>
                <a:ext uri="{63B3BB69-23CF-44E3-9099-C40C66FF867C}">
                  <a14:compatExt spid="_x0000_s103436"/>
                </a:ext>
                <a:ext uri="{FF2B5EF4-FFF2-40B4-BE49-F238E27FC236}">
                  <a16:creationId xmlns:a16="http://schemas.microsoft.com/office/drawing/2014/main" id="{00000000-0008-0000-0C00-00000C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50</xdr:row>
          <xdr:rowOff>0</xdr:rowOff>
        </xdr:from>
        <xdr:to>
          <xdr:col>33</xdr:col>
          <xdr:colOff>666750</xdr:colOff>
          <xdr:row>51</xdr:row>
          <xdr:rowOff>19050</xdr:rowOff>
        </xdr:to>
        <xdr:sp macro="" textlink="">
          <xdr:nvSpPr>
            <xdr:cNvPr id="103437" name="Check Box 13" hidden="1">
              <a:extLst>
                <a:ext uri="{63B3BB69-23CF-44E3-9099-C40C66FF867C}">
                  <a14:compatExt spid="_x0000_s103437"/>
                </a:ext>
                <a:ext uri="{FF2B5EF4-FFF2-40B4-BE49-F238E27FC236}">
                  <a16:creationId xmlns:a16="http://schemas.microsoft.com/office/drawing/2014/main" id="{00000000-0008-0000-0C00-00000D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52</xdr:row>
          <xdr:rowOff>9525</xdr:rowOff>
        </xdr:from>
        <xdr:to>
          <xdr:col>33</xdr:col>
          <xdr:colOff>666750</xdr:colOff>
          <xdr:row>53</xdr:row>
          <xdr:rowOff>0</xdr:rowOff>
        </xdr:to>
        <xdr:sp macro="" textlink="">
          <xdr:nvSpPr>
            <xdr:cNvPr id="103438" name="Check Box 14" hidden="1">
              <a:extLst>
                <a:ext uri="{63B3BB69-23CF-44E3-9099-C40C66FF867C}">
                  <a14:compatExt spid="_x0000_s103438"/>
                </a:ext>
                <a:ext uri="{FF2B5EF4-FFF2-40B4-BE49-F238E27FC236}">
                  <a16:creationId xmlns:a16="http://schemas.microsoft.com/office/drawing/2014/main" id="{00000000-0008-0000-0C00-00000E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695844</xdr:colOff>
      <xdr:row>77</xdr:row>
      <xdr:rowOff>146597</xdr:rowOff>
    </xdr:from>
    <xdr:to>
      <xdr:col>30</xdr:col>
      <xdr:colOff>163479</xdr:colOff>
      <xdr:row>101</xdr:row>
      <xdr:rowOff>70630</xdr:rowOff>
    </xdr:to>
    <xdr:graphicFrame macro="">
      <xdr:nvGraphicFramePr>
        <xdr:cNvPr id="5" name="Diagramm 4">
          <a:extLst>
            <a:ext uri="{FF2B5EF4-FFF2-40B4-BE49-F238E27FC236}">
              <a16:creationId xmlns:a16="http://schemas.microsoft.com/office/drawing/2014/main" id="{0FF46449-6FF1-470A-87C4-C60D6D6C0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514350</xdr:colOff>
          <xdr:row>50</xdr:row>
          <xdr:rowOff>152400</xdr:rowOff>
        </xdr:from>
        <xdr:to>
          <xdr:col>24</xdr:col>
          <xdr:colOff>733425</xdr:colOff>
          <xdr:row>52</xdr:row>
          <xdr:rowOff>0</xdr:rowOff>
        </xdr:to>
        <xdr:sp macro="" textlink="">
          <xdr:nvSpPr>
            <xdr:cNvPr id="103439" name="Check Box 15" hidden="1">
              <a:extLst>
                <a:ext uri="{63B3BB69-23CF-44E3-9099-C40C66FF867C}">
                  <a14:compatExt spid="_x0000_s103439"/>
                </a:ext>
                <a:ext uri="{FF2B5EF4-FFF2-40B4-BE49-F238E27FC236}">
                  <a16:creationId xmlns:a16="http://schemas.microsoft.com/office/drawing/2014/main" id="{00000000-0008-0000-0C00-00000F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51</xdr:row>
          <xdr:rowOff>171450</xdr:rowOff>
        </xdr:from>
        <xdr:to>
          <xdr:col>24</xdr:col>
          <xdr:colOff>733425</xdr:colOff>
          <xdr:row>52</xdr:row>
          <xdr:rowOff>190500</xdr:rowOff>
        </xdr:to>
        <xdr:sp macro="" textlink="">
          <xdr:nvSpPr>
            <xdr:cNvPr id="103440" name="Check Box 16" hidden="1">
              <a:extLst>
                <a:ext uri="{63B3BB69-23CF-44E3-9099-C40C66FF867C}">
                  <a14:compatExt spid="_x0000_s103440"/>
                </a:ext>
                <a:ext uri="{FF2B5EF4-FFF2-40B4-BE49-F238E27FC236}">
                  <a16:creationId xmlns:a16="http://schemas.microsoft.com/office/drawing/2014/main" id="{00000000-0008-0000-0C00-000010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52</xdr:row>
          <xdr:rowOff>180975</xdr:rowOff>
        </xdr:from>
        <xdr:to>
          <xdr:col>24</xdr:col>
          <xdr:colOff>733425</xdr:colOff>
          <xdr:row>53</xdr:row>
          <xdr:rowOff>190500</xdr:rowOff>
        </xdr:to>
        <xdr:sp macro="" textlink="">
          <xdr:nvSpPr>
            <xdr:cNvPr id="103441" name="Check Box 17" hidden="1">
              <a:extLst>
                <a:ext uri="{63B3BB69-23CF-44E3-9099-C40C66FF867C}">
                  <a14:compatExt spid="_x0000_s103441"/>
                </a:ext>
                <a:ext uri="{FF2B5EF4-FFF2-40B4-BE49-F238E27FC236}">
                  <a16:creationId xmlns:a16="http://schemas.microsoft.com/office/drawing/2014/main" id="{00000000-0008-0000-0C00-000011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53</xdr:row>
          <xdr:rowOff>180975</xdr:rowOff>
        </xdr:from>
        <xdr:to>
          <xdr:col>24</xdr:col>
          <xdr:colOff>733425</xdr:colOff>
          <xdr:row>55</xdr:row>
          <xdr:rowOff>0</xdr:rowOff>
        </xdr:to>
        <xdr:sp macro="" textlink="">
          <xdr:nvSpPr>
            <xdr:cNvPr id="103442" name="Check Box 18" hidden="1">
              <a:extLst>
                <a:ext uri="{63B3BB69-23CF-44E3-9099-C40C66FF867C}">
                  <a14:compatExt spid="_x0000_s103442"/>
                </a:ext>
                <a:ext uri="{FF2B5EF4-FFF2-40B4-BE49-F238E27FC236}">
                  <a16:creationId xmlns:a16="http://schemas.microsoft.com/office/drawing/2014/main" id="{00000000-0008-0000-0C00-000012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54</xdr:row>
          <xdr:rowOff>180975</xdr:rowOff>
        </xdr:from>
        <xdr:to>
          <xdr:col>24</xdr:col>
          <xdr:colOff>733425</xdr:colOff>
          <xdr:row>56</xdr:row>
          <xdr:rowOff>0</xdr:rowOff>
        </xdr:to>
        <xdr:sp macro="" textlink="">
          <xdr:nvSpPr>
            <xdr:cNvPr id="103443" name="Check Box 19" hidden="1">
              <a:extLst>
                <a:ext uri="{63B3BB69-23CF-44E3-9099-C40C66FF867C}">
                  <a14:compatExt spid="_x0000_s103443"/>
                </a:ext>
                <a:ext uri="{FF2B5EF4-FFF2-40B4-BE49-F238E27FC236}">
                  <a16:creationId xmlns:a16="http://schemas.microsoft.com/office/drawing/2014/main" id="{00000000-0008-0000-0C00-000013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55</xdr:row>
          <xdr:rowOff>180975</xdr:rowOff>
        </xdr:from>
        <xdr:to>
          <xdr:col>24</xdr:col>
          <xdr:colOff>733425</xdr:colOff>
          <xdr:row>57</xdr:row>
          <xdr:rowOff>0</xdr:rowOff>
        </xdr:to>
        <xdr:sp macro="" textlink="">
          <xdr:nvSpPr>
            <xdr:cNvPr id="103444" name="Check Box 20" hidden="1">
              <a:extLst>
                <a:ext uri="{63B3BB69-23CF-44E3-9099-C40C66FF867C}">
                  <a14:compatExt spid="_x0000_s103444"/>
                </a:ext>
                <a:ext uri="{FF2B5EF4-FFF2-40B4-BE49-F238E27FC236}">
                  <a16:creationId xmlns:a16="http://schemas.microsoft.com/office/drawing/2014/main" id="{00000000-0008-0000-0C00-000014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56</xdr:row>
          <xdr:rowOff>180975</xdr:rowOff>
        </xdr:from>
        <xdr:to>
          <xdr:col>24</xdr:col>
          <xdr:colOff>733425</xdr:colOff>
          <xdr:row>58</xdr:row>
          <xdr:rowOff>0</xdr:rowOff>
        </xdr:to>
        <xdr:sp macro="" textlink="">
          <xdr:nvSpPr>
            <xdr:cNvPr id="103445" name="Check Box 21" hidden="1">
              <a:extLst>
                <a:ext uri="{63B3BB69-23CF-44E3-9099-C40C66FF867C}">
                  <a14:compatExt spid="_x0000_s103445"/>
                </a:ext>
                <a:ext uri="{FF2B5EF4-FFF2-40B4-BE49-F238E27FC236}">
                  <a16:creationId xmlns:a16="http://schemas.microsoft.com/office/drawing/2014/main" id="{00000000-0008-0000-0C00-000015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57</xdr:row>
          <xdr:rowOff>190500</xdr:rowOff>
        </xdr:from>
        <xdr:to>
          <xdr:col>24</xdr:col>
          <xdr:colOff>733425</xdr:colOff>
          <xdr:row>58</xdr:row>
          <xdr:rowOff>190500</xdr:rowOff>
        </xdr:to>
        <xdr:sp macro="" textlink="">
          <xdr:nvSpPr>
            <xdr:cNvPr id="103446" name="Check Box 22" hidden="1">
              <a:extLst>
                <a:ext uri="{63B3BB69-23CF-44E3-9099-C40C66FF867C}">
                  <a14:compatExt spid="_x0000_s103446"/>
                </a:ext>
                <a:ext uri="{FF2B5EF4-FFF2-40B4-BE49-F238E27FC236}">
                  <a16:creationId xmlns:a16="http://schemas.microsoft.com/office/drawing/2014/main" id="{00000000-0008-0000-0C00-000016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58</xdr:row>
          <xdr:rowOff>180975</xdr:rowOff>
        </xdr:from>
        <xdr:to>
          <xdr:col>24</xdr:col>
          <xdr:colOff>733425</xdr:colOff>
          <xdr:row>59</xdr:row>
          <xdr:rowOff>190500</xdr:rowOff>
        </xdr:to>
        <xdr:sp macro="" textlink="">
          <xdr:nvSpPr>
            <xdr:cNvPr id="103447" name="Check Box 23" hidden="1">
              <a:extLst>
                <a:ext uri="{63B3BB69-23CF-44E3-9099-C40C66FF867C}">
                  <a14:compatExt spid="_x0000_s103447"/>
                </a:ext>
                <a:ext uri="{FF2B5EF4-FFF2-40B4-BE49-F238E27FC236}">
                  <a16:creationId xmlns:a16="http://schemas.microsoft.com/office/drawing/2014/main" id="{00000000-0008-0000-0C00-000017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59</xdr:row>
          <xdr:rowOff>171450</xdr:rowOff>
        </xdr:from>
        <xdr:to>
          <xdr:col>24</xdr:col>
          <xdr:colOff>733425</xdr:colOff>
          <xdr:row>60</xdr:row>
          <xdr:rowOff>171450</xdr:rowOff>
        </xdr:to>
        <xdr:sp macro="" textlink="">
          <xdr:nvSpPr>
            <xdr:cNvPr id="103448" name="Check Box 24" hidden="1">
              <a:extLst>
                <a:ext uri="{63B3BB69-23CF-44E3-9099-C40C66FF867C}">
                  <a14:compatExt spid="_x0000_s103448"/>
                </a:ext>
                <a:ext uri="{FF2B5EF4-FFF2-40B4-BE49-F238E27FC236}">
                  <a16:creationId xmlns:a16="http://schemas.microsoft.com/office/drawing/2014/main" id="{00000000-0008-0000-0C00-000018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60</xdr:row>
          <xdr:rowOff>171450</xdr:rowOff>
        </xdr:from>
        <xdr:to>
          <xdr:col>24</xdr:col>
          <xdr:colOff>733425</xdr:colOff>
          <xdr:row>61</xdr:row>
          <xdr:rowOff>171450</xdr:rowOff>
        </xdr:to>
        <xdr:sp macro="" textlink="">
          <xdr:nvSpPr>
            <xdr:cNvPr id="103449" name="Check Box 25" hidden="1">
              <a:extLst>
                <a:ext uri="{63B3BB69-23CF-44E3-9099-C40C66FF867C}">
                  <a14:compatExt spid="_x0000_s103449"/>
                </a:ext>
                <a:ext uri="{FF2B5EF4-FFF2-40B4-BE49-F238E27FC236}">
                  <a16:creationId xmlns:a16="http://schemas.microsoft.com/office/drawing/2014/main" id="{00000000-0008-0000-0C00-0000199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707571</xdr:colOff>
      <xdr:row>48</xdr:row>
      <xdr:rowOff>76042</xdr:rowOff>
    </xdr:from>
    <xdr:to>
      <xdr:col>24</xdr:col>
      <xdr:colOff>762000</xdr:colOff>
      <xdr:row>62</xdr:row>
      <xdr:rowOff>155282</xdr:rowOff>
    </xdr:to>
    <xdr:sp macro="" textlink="">
      <xdr:nvSpPr>
        <xdr:cNvPr id="6" name="Rechteck 5">
          <a:extLst>
            <a:ext uri="{FF2B5EF4-FFF2-40B4-BE49-F238E27FC236}">
              <a16:creationId xmlns:a16="http://schemas.microsoft.com/office/drawing/2014/main" id="{8585AD0E-4C30-4F25-BCF2-15DAA92A5185}"/>
            </a:ext>
          </a:extLst>
        </xdr:cNvPr>
        <xdr:cNvSpPr/>
      </xdr:nvSpPr>
      <xdr:spPr bwMode="auto">
        <a:xfrm>
          <a:off x="8622846" y="17230567"/>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2</xdr:col>
      <xdr:colOff>605119</xdr:colOff>
      <xdr:row>30</xdr:row>
      <xdr:rowOff>12327</xdr:rowOff>
    </xdr:from>
    <xdr:to>
      <xdr:col>11</xdr:col>
      <xdr:colOff>930795</xdr:colOff>
      <xdr:row>30</xdr:row>
      <xdr:rowOff>12327</xdr:rowOff>
    </xdr:to>
    <xdr:cxnSp macro="">
      <xdr:nvCxnSpPr>
        <xdr:cNvPr id="9" name="Gerader Verbinder 8">
          <a:extLst>
            <a:ext uri="{FF2B5EF4-FFF2-40B4-BE49-F238E27FC236}">
              <a16:creationId xmlns:a16="http://schemas.microsoft.com/office/drawing/2014/main" id="{AB668717-E2F1-4AF3-9618-EEA5EB1D5C03}"/>
            </a:ext>
          </a:extLst>
        </xdr:cNvPr>
        <xdr:cNvCxnSpPr/>
      </xdr:nvCxnSpPr>
      <xdr:spPr bwMode="auto">
        <a:xfrm>
          <a:off x="1138519" y="7651377"/>
          <a:ext cx="9326801"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598395</xdr:colOff>
      <xdr:row>18</xdr:row>
      <xdr:rowOff>91328</xdr:rowOff>
    </xdr:from>
    <xdr:to>
      <xdr:col>11</xdr:col>
      <xdr:colOff>924071</xdr:colOff>
      <xdr:row>18</xdr:row>
      <xdr:rowOff>91328</xdr:rowOff>
    </xdr:to>
    <xdr:cxnSp macro="">
      <xdr:nvCxnSpPr>
        <xdr:cNvPr id="10" name="Gerader Verbinder 9">
          <a:extLst>
            <a:ext uri="{FF2B5EF4-FFF2-40B4-BE49-F238E27FC236}">
              <a16:creationId xmlns:a16="http://schemas.microsoft.com/office/drawing/2014/main" id="{A19349D4-A77D-4B99-8A04-B31345DB26F7}"/>
            </a:ext>
          </a:extLst>
        </xdr:cNvPr>
        <xdr:cNvCxnSpPr/>
      </xdr:nvCxnSpPr>
      <xdr:spPr bwMode="auto">
        <a:xfrm>
          <a:off x="1131795" y="5549153"/>
          <a:ext cx="9326801"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oneCellAnchor>
    <xdr:from>
      <xdr:col>11</xdr:col>
      <xdr:colOff>930088</xdr:colOff>
      <xdr:row>14</xdr:row>
      <xdr:rowOff>145677</xdr:rowOff>
    </xdr:from>
    <xdr:ext cx="2241177" cy="239809"/>
    <xdr:sp macro="" textlink="">
      <xdr:nvSpPr>
        <xdr:cNvPr id="11" name="Textfeld 10">
          <a:extLst>
            <a:ext uri="{FF2B5EF4-FFF2-40B4-BE49-F238E27FC236}">
              <a16:creationId xmlns:a16="http://schemas.microsoft.com/office/drawing/2014/main" id="{92F4CE42-DDDA-4E57-A9D6-1A9D40D1F642}"/>
            </a:ext>
          </a:extLst>
        </xdr:cNvPr>
        <xdr:cNvSpPr txBox="1"/>
      </xdr:nvSpPr>
      <xdr:spPr>
        <a:xfrm>
          <a:off x="10464613" y="4879602"/>
          <a:ext cx="2241177" cy="239809"/>
        </a:xfrm>
        <a:prstGeom prst="rect">
          <a:avLst/>
        </a:prstGeom>
        <a:noFill/>
      </xdr:spPr>
      <xdr:txBody>
        <a:bodyPr vertOverflow="clip" horzOverflow="clip" wrap="square" rtlCol="0" anchor="t">
          <a:spAutoFit/>
        </a:bodyPr>
        <a:lstStyle/>
        <a:p>
          <a:r>
            <a:rPr lang="de-DE" sz="1000" dirty="0" err="1">
              <a:solidFill>
                <a:schemeClr val="tx1"/>
              </a:solidFill>
            </a:rPr>
            <a:t>Quelle: EBeV 2022</a:t>
          </a:r>
        </a:p>
      </xdr:txBody>
    </xdr:sp>
    <xdr:clientData/>
  </xdr:oneCellAnchor>
  <xdr:twoCellAnchor>
    <xdr:from>
      <xdr:col>11</xdr:col>
      <xdr:colOff>560723</xdr:colOff>
      <xdr:row>19</xdr:row>
      <xdr:rowOff>19050</xdr:rowOff>
    </xdr:from>
    <xdr:to>
      <xdr:col>12</xdr:col>
      <xdr:colOff>280575</xdr:colOff>
      <xdr:row>26</xdr:row>
      <xdr:rowOff>133350</xdr:rowOff>
    </xdr:to>
    <xdr:grpSp>
      <xdr:nvGrpSpPr>
        <xdr:cNvPr id="12" name="Gruppieren 11">
          <a:extLst>
            <a:ext uri="{FF2B5EF4-FFF2-40B4-BE49-F238E27FC236}">
              <a16:creationId xmlns:a16="http://schemas.microsoft.com/office/drawing/2014/main" id="{13932C65-8497-4347-A739-499E6CCDF1EC}"/>
            </a:ext>
          </a:extLst>
        </xdr:cNvPr>
        <xdr:cNvGrpSpPr/>
      </xdr:nvGrpSpPr>
      <xdr:grpSpPr>
        <a:xfrm>
          <a:off x="10123823" y="5743575"/>
          <a:ext cx="2986927" cy="1428750"/>
          <a:chOff x="10095248" y="5524500"/>
          <a:chExt cx="2996452" cy="1057275"/>
        </a:xfrm>
      </xdr:grpSpPr>
      <xdr:sp macro="" textlink="B79">
        <xdr:nvSpPr>
          <xdr:cNvPr id="13" name="Rechteck 12">
            <a:extLst>
              <a:ext uri="{FF2B5EF4-FFF2-40B4-BE49-F238E27FC236}">
                <a16:creationId xmlns:a16="http://schemas.microsoft.com/office/drawing/2014/main" id="{92B76B51-5633-7418-3274-8D6CD7B403F7}"/>
              </a:ext>
            </a:extLst>
          </xdr:cNvPr>
          <xdr:cNvSpPr/>
        </xdr:nvSpPr>
        <xdr:spPr bwMode="auto">
          <a:xfrm>
            <a:off x="10095248" y="5781674"/>
            <a:ext cx="2996452" cy="800101"/>
          </a:xfrm>
          <a:prstGeom prst="rect">
            <a:avLst/>
          </a:prstGeom>
          <a:solidFill>
            <a:schemeClr val="bg1"/>
          </a:solidFill>
          <a:ln>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fld id="{3B52951D-60F7-4D4C-88FF-E8B8A3A868A3}" type="TxLink">
              <a:rPr lang="en-US" sz="1000" b="0" i="0" u="none" strike="noStrike" dirty="0">
                <a:solidFill>
                  <a:srgbClr val="323232"/>
                </a:solidFill>
                <a:latin typeface="Arial"/>
                <a:cs typeface="Arial"/>
              </a:rPr>
              <a:pPr algn="ctr"/>
              <a:t> </a:t>
            </a:fld>
            <a:endParaRPr lang="de-DE" sz="1100" dirty="0">
              <a:solidFill>
                <a:schemeClr val="tx1"/>
              </a:solidFill>
            </a:endParaRPr>
          </a:p>
        </xdr:txBody>
      </xdr:sp>
      <xdr:sp macro="" textlink="">
        <xdr:nvSpPr>
          <xdr:cNvPr id="14" name="Rechteck 13">
            <a:extLst>
              <a:ext uri="{FF2B5EF4-FFF2-40B4-BE49-F238E27FC236}">
                <a16:creationId xmlns:a16="http://schemas.microsoft.com/office/drawing/2014/main" id="{94170242-3D93-FBA8-E975-09A7D378030E}"/>
              </a:ext>
            </a:extLst>
          </xdr:cNvPr>
          <xdr:cNvSpPr/>
        </xdr:nvSpPr>
        <xdr:spPr bwMode="auto">
          <a:xfrm>
            <a:off x="10096500" y="5524500"/>
            <a:ext cx="2995200" cy="253994"/>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grpSp>
    <xdr:clientData/>
  </xdr:twoCellAnchor>
</xdr:wsDr>
</file>

<file path=xl/drawings/drawing14.xml><?xml version="1.0" encoding="utf-8"?>
<c:userShapes xmlns:c="http://schemas.openxmlformats.org/drawingml/2006/chart">
  <cdr:relSizeAnchor xmlns:cdr="http://schemas.openxmlformats.org/drawingml/2006/chartDrawing">
    <cdr:from>
      <cdr:x>0.23302</cdr:x>
      <cdr:y>0.03526</cdr:y>
    </cdr:from>
    <cdr:to>
      <cdr:x>0.32481</cdr:x>
      <cdr:y>0.06919</cdr:y>
    </cdr:to>
    <cdr:sp macro="" textlink="'M2 Fuhrpark'!$R$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55401" y="249215"/>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266,8</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0.06919</cdr:y>
    </cdr:to>
    <cdr:sp macro="" textlink="'M2 Fuhrpark'!$S$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77325" y="249216"/>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216,7</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0.06919</cdr:y>
    </cdr:to>
    <cdr:sp macro="" textlink="'M2 Fuhrpark'!$T$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57930" y="249216"/>
          <a:ext cx="61262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138,6</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5.xml><?xml version="1.0" encoding="utf-8"?>
<c:userShapes xmlns:c="http://schemas.openxmlformats.org/drawingml/2006/chart">
  <cdr:relSizeAnchor xmlns:cdr="http://schemas.openxmlformats.org/drawingml/2006/chartDrawing">
    <cdr:from>
      <cdr:x>0.51422</cdr:x>
      <cdr:y>0.04219</cdr:y>
    </cdr:from>
    <cdr:to>
      <cdr:x>0.63321</cdr:x>
      <cdr:y>0.07571</cdr:y>
    </cdr:to>
    <cdr:sp macro="" textlink="'M2 Fuhrpark'!$AB$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43209" y="301812"/>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A0FCCA-4E6E-4BAB-B61A-6415EB8B8DA4}" type="TxLink">
            <a:rPr lang="en-US" sz="1000" b="1" i="0" u="none" strike="noStrike" dirty="0" err="1">
              <a:solidFill>
                <a:srgbClr val="323232"/>
              </a:solidFill>
              <a:latin typeface="Arial"/>
              <a:cs typeface="Arial"/>
            </a:rPr>
            <a:pPr/>
            <a:t>5.960</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0.07571</cdr:y>
    </cdr:to>
    <cdr:sp macro="" textlink="'M2 Fuhrpark'!$AC$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53019" y="301812"/>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5.870</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2 Fuhrpark'!$AA$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5C966C8-2920-4A9C-BEB4-02A8D01857AF}" type="TxLink">
            <a:rPr lang="en-US" sz="1000" b="1" i="0" u="none" strike="noStrike" dirty="0" err="1" smtClean="0">
              <a:solidFill>
                <a:srgbClr val="323232"/>
              </a:solidFill>
              <a:latin typeface="Arial"/>
              <a:cs typeface="Arial"/>
            </a:rPr>
            <a:pPr/>
            <a:t>6.098</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6.xml><?xml version="1.0" encoding="utf-8"?>
<c:userShapes xmlns:c="http://schemas.openxmlformats.org/drawingml/2006/chart">
  <cdr:relSizeAnchor xmlns:cdr="http://schemas.openxmlformats.org/drawingml/2006/chartDrawing">
    <cdr:from>
      <cdr:x>0.24983</cdr:x>
      <cdr:y>0.03789</cdr:y>
    </cdr:from>
    <cdr:to>
      <cdr:x>0.38319</cdr:x>
      <cdr:y>0.07146</cdr:y>
    </cdr:to>
    <cdr:sp macro="" textlink="'M2 Fuhrpark'!$AJ$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70690"/>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262.128 €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0.07146</cdr:y>
    </cdr:to>
    <cdr:sp macro="" textlink="'M2 Fuhrpark'!$AK$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70690"/>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432.821 €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0.07146</cdr:y>
    </cdr:to>
    <cdr:sp macro="" textlink="'M2 Fuhrpark'!$AL$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70690"/>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689.169 €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7.xml><?xml version="1.0" encoding="utf-8"?>
<c:userShapes xmlns:c="http://schemas.openxmlformats.org/drawingml/2006/chart">
  <cdr:relSizeAnchor xmlns:cdr="http://schemas.openxmlformats.org/drawingml/2006/chartDrawing">
    <cdr:from>
      <cdr:x>0.26001</cdr:x>
      <cdr:y>0</cdr:y>
    </cdr:from>
    <cdr:to>
      <cdr:x>0.35189</cdr:x>
      <cdr:y>1</cdr:y>
    </cdr:to>
    <cdr:sp macro="" textlink="'M2 Fuhrpark'!$AA$93">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94260" y="0"/>
          <a:ext cx="598703"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5.691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2 Fuhrpark'!$AB$93">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43582"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5.683</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2 Fuhrpark'!$AC$93">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38516"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5.671</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18.xml><?xml version="1.0" encoding="utf-8"?>
<xdr:wsDr xmlns:xdr="http://schemas.openxmlformats.org/drawingml/2006/spreadsheetDrawing" xmlns:a="http://schemas.openxmlformats.org/drawingml/2006/main">
  <xdr:twoCellAnchor>
    <xdr:from>
      <xdr:col>15</xdr:col>
      <xdr:colOff>560292</xdr:colOff>
      <xdr:row>5</xdr:row>
      <xdr:rowOff>117661</xdr:rowOff>
    </xdr:from>
    <xdr:to>
      <xdr:col>21</xdr:col>
      <xdr:colOff>539185</xdr:colOff>
      <xdr:row>32</xdr:row>
      <xdr:rowOff>28948</xdr:rowOff>
    </xdr:to>
    <xdr:graphicFrame macro="">
      <xdr:nvGraphicFramePr>
        <xdr:cNvPr id="2" name="Diagramm 1">
          <a:extLst>
            <a:ext uri="{FF2B5EF4-FFF2-40B4-BE49-F238E27FC236}">
              <a16:creationId xmlns:a16="http://schemas.microsoft.com/office/drawing/2014/main" id="{922DC67D-AB95-4BB8-8DD4-472A7DB95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5990</xdr:colOff>
      <xdr:row>5</xdr:row>
      <xdr:rowOff>114300</xdr:rowOff>
    </xdr:from>
    <xdr:to>
      <xdr:col>29</xdr:col>
      <xdr:colOff>778217</xdr:colOff>
      <xdr:row>32</xdr:row>
      <xdr:rowOff>57523</xdr:rowOff>
    </xdr:to>
    <xdr:graphicFrame macro="">
      <xdr:nvGraphicFramePr>
        <xdr:cNvPr id="3" name="Diagramm 2">
          <a:extLst>
            <a:ext uri="{FF2B5EF4-FFF2-40B4-BE49-F238E27FC236}">
              <a16:creationId xmlns:a16="http://schemas.microsoft.com/office/drawing/2014/main" id="{8586C093-9596-4B61-8E38-F6B0E5EFF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523875</xdr:colOff>
          <xdr:row>41</xdr:row>
          <xdr:rowOff>28575</xdr:rowOff>
        </xdr:from>
        <xdr:to>
          <xdr:col>15</xdr:col>
          <xdr:colOff>695325</xdr:colOff>
          <xdr:row>42</xdr:row>
          <xdr:rowOff>0</xdr:rowOff>
        </xdr:to>
        <xdr:sp macro="" textlink="">
          <xdr:nvSpPr>
            <xdr:cNvPr id="104449" name="Check Box 1" hidden="1">
              <a:extLst>
                <a:ext uri="{63B3BB69-23CF-44E3-9099-C40C66FF867C}">
                  <a14:compatExt spid="_x0000_s104449"/>
                </a:ext>
                <a:ext uri="{FF2B5EF4-FFF2-40B4-BE49-F238E27FC236}">
                  <a16:creationId xmlns:a16="http://schemas.microsoft.com/office/drawing/2014/main" id="{00000000-0008-0000-0D00-00000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42</xdr:row>
          <xdr:rowOff>28575</xdr:rowOff>
        </xdr:from>
        <xdr:to>
          <xdr:col>15</xdr:col>
          <xdr:colOff>695325</xdr:colOff>
          <xdr:row>42</xdr:row>
          <xdr:rowOff>190500</xdr:rowOff>
        </xdr:to>
        <xdr:sp macro="" textlink="">
          <xdr:nvSpPr>
            <xdr:cNvPr id="104450" name="Check Box 2" hidden="1">
              <a:extLst>
                <a:ext uri="{63B3BB69-23CF-44E3-9099-C40C66FF867C}">
                  <a14:compatExt spid="_x0000_s104450"/>
                </a:ext>
                <a:ext uri="{FF2B5EF4-FFF2-40B4-BE49-F238E27FC236}">
                  <a16:creationId xmlns:a16="http://schemas.microsoft.com/office/drawing/2014/main" id="{00000000-0008-0000-0D00-00000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28575</xdr:rowOff>
        </xdr:from>
        <xdr:to>
          <xdr:col>15</xdr:col>
          <xdr:colOff>695325</xdr:colOff>
          <xdr:row>43</xdr:row>
          <xdr:rowOff>171450</xdr:rowOff>
        </xdr:to>
        <xdr:sp macro="" textlink="">
          <xdr:nvSpPr>
            <xdr:cNvPr id="104451" name="Check Box 3" hidden="1">
              <a:extLst>
                <a:ext uri="{63B3BB69-23CF-44E3-9099-C40C66FF867C}">
                  <a14:compatExt spid="_x0000_s104451"/>
                </a:ext>
                <a:ext uri="{FF2B5EF4-FFF2-40B4-BE49-F238E27FC236}">
                  <a16:creationId xmlns:a16="http://schemas.microsoft.com/office/drawing/2014/main" id="{00000000-0008-0000-0D00-00000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19050</xdr:rowOff>
        </xdr:from>
        <xdr:to>
          <xdr:col>15</xdr:col>
          <xdr:colOff>695325</xdr:colOff>
          <xdr:row>44</xdr:row>
          <xdr:rowOff>190500</xdr:rowOff>
        </xdr:to>
        <xdr:sp macro="" textlink="">
          <xdr:nvSpPr>
            <xdr:cNvPr id="104452" name="Check Box 4" hidden="1">
              <a:extLst>
                <a:ext uri="{63B3BB69-23CF-44E3-9099-C40C66FF867C}">
                  <a14:compatExt spid="_x0000_s104452"/>
                </a:ext>
                <a:ext uri="{FF2B5EF4-FFF2-40B4-BE49-F238E27FC236}">
                  <a16:creationId xmlns:a16="http://schemas.microsoft.com/office/drawing/2014/main" id="{00000000-0008-0000-0D00-00000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19050</xdr:rowOff>
        </xdr:from>
        <xdr:to>
          <xdr:col>15</xdr:col>
          <xdr:colOff>695325</xdr:colOff>
          <xdr:row>45</xdr:row>
          <xdr:rowOff>171450</xdr:rowOff>
        </xdr:to>
        <xdr:sp macro="" textlink="">
          <xdr:nvSpPr>
            <xdr:cNvPr id="104453" name="Check Box 5" hidden="1">
              <a:extLst>
                <a:ext uri="{63B3BB69-23CF-44E3-9099-C40C66FF867C}">
                  <a14:compatExt spid="_x0000_s104453"/>
                </a:ext>
                <a:ext uri="{FF2B5EF4-FFF2-40B4-BE49-F238E27FC236}">
                  <a16:creationId xmlns:a16="http://schemas.microsoft.com/office/drawing/2014/main" id="{00000000-0008-0000-0D00-00000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0</xdr:rowOff>
        </xdr:from>
        <xdr:to>
          <xdr:col>15</xdr:col>
          <xdr:colOff>695325</xdr:colOff>
          <xdr:row>46</xdr:row>
          <xdr:rowOff>171450</xdr:rowOff>
        </xdr:to>
        <xdr:sp macro="" textlink="">
          <xdr:nvSpPr>
            <xdr:cNvPr id="104454" name="Check Box 6" hidden="1">
              <a:extLst>
                <a:ext uri="{63B3BB69-23CF-44E3-9099-C40C66FF867C}">
                  <a14:compatExt spid="_x0000_s104454"/>
                </a:ext>
                <a:ext uri="{FF2B5EF4-FFF2-40B4-BE49-F238E27FC236}">
                  <a16:creationId xmlns:a16="http://schemas.microsoft.com/office/drawing/2014/main" id="{00000000-0008-0000-0D00-000006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9525</xdr:rowOff>
        </xdr:from>
        <xdr:to>
          <xdr:col>15</xdr:col>
          <xdr:colOff>695325</xdr:colOff>
          <xdr:row>47</xdr:row>
          <xdr:rowOff>190500</xdr:rowOff>
        </xdr:to>
        <xdr:sp macro="" textlink="">
          <xdr:nvSpPr>
            <xdr:cNvPr id="104455" name="Check Box 7" hidden="1">
              <a:extLst>
                <a:ext uri="{63B3BB69-23CF-44E3-9099-C40C66FF867C}">
                  <a14:compatExt spid="_x0000_s104455"/>
                </a:ext>
                <a:ext uri="{FF2B5EF4-FFF2-40B4-BE49-F238E27FC236}">
                  <a16:creationId xmlns:a16="http://schemas.microsoft.com/office/drawing/2014/main" id="{00000000-0008-0000-0D00-000007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665157</xdr:colOff>
      <xdr:row>5</xdr:row>
      <xdr:rowOff>117663</xdr:rowOff>
    </xdr:from>
    <xdr:to>
      <xdr:col>40</xdr:col>
      <xdr:colOff>445249</xdr:colOff>
      <xdr:row>32</xdr:row>
      <xdr:rowOff>28948</xdr:rowOff>
    </xdr:to>
    <xdr:graphicFrame macro="">
      <xdr:nvGraphicFramePr>
        <xdr:cNvPr id="4" name="Diagramm 3">
          <a:extLst>
            <a:ext uri="{FF2B5EF4-FFF2-40B4-BE49-F238E27FC236}">
              <a16:creationId xmlns:a16="http://schemas.microsoft.com/office/drawing/2014/main" id="{AC0F7F74-13D3-4455-BF87-F09DFB6A0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33</xdr:col>
          <xdr:colOff>457200</xdr:colOff>
          <xdr:row>52</xdr:row>
          <xdr:rowOff>0</xdr:rowOff>
        </xdr:from>
        <xdr:to>
          <xdr:col>33</xdr:col>
          <xdr:colOff>685800</xdr:colOff>
          <xdr:row>52</xdr:row>
          <xdr:rowOff>171450</xdr:rowOff>
        </xdr:to>
        <xdr:sp macro="" textlink="">
          <xdr:nvSpPr>
            <xdr:cNvPr id="104456" name="Check Box 8" hidden="1">
              <a:extLst>
                <a:ext uri="{63B3BB69-23CF-44E3-9099-C40C66FF867C}">
                  <a14:compatExt spid="_x0000_s104456"/>
                </a:ext>
                <a:ext uri="{FF2B5EF4-FFF2-40B4-BE49-F238E27FC236}">
                  <a16:creationId xmlns:a16="http://schemas.microsoft.com/office/drawing/2014/main" id="{00000000-0008-0000-0D00-00000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53</xdr:row>
          <xdr:rowOff>19050</xdr:rowOff>
        </xdr:from>
        <xdr:to>
          <xdr:col>34</xdr:col>
          <xdr:colOff>0</xdr:colOff>
          <xdr:row>54</xdr:row>
          <xdr:rowOff>0</xdr:rowOff>
        </xdr:to>
        <xdr:sp macro="" textlink="">
          <xdr:nvSpPr>
            <xdr:cNvPr id="104457" name="Check Box 9" hidden="1">
              <a:extLst>
                <a:ext uri="{63B3BB69-23CF-44E3-9099-C40C66FF867C}">
                  <a14:compatExt spid="_x0000_s104457"/>
                </a:ext>
                <a:ext uri="{FF2B5EF4-FFF2-40B4-BE49-F238E27FC236}">
                  <a16:creationId xmlns:a16="http://schemas.microsoft.com/office/drawing/2014/main" id="{00000000-0008-0000-0D00-00000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54</xdr:row>
          <xdr:rowOff>19050</xdr:rowOff>
        </xdr:from>
        <xdr:to>
          <xdr:col>34</xdr:col>
          <xdr:colOff>0</xdr:colOff>
          <xdr:row>55</xdr:row>
          <xdr:rowOff>0</xdr:rowOff>
        </xdr:to>
        <xdr:sp macro="" textlink="">
          <xdr:nvSpPr>
            <xdr:cNvPr id="104458" name="Check Box 10" hidden="1">
              <a:extLst>
                <a:ext uri="{63B3BB69-23CF-44E3-9099-C40C66FF867C}">
                  <a14:compatExt spid="_x0000_s104458"/>
                </a:ext>
                <a:ext uri="{FF2B5EF4-FFF2-40B4-BE49-F238E27FC236}">
                  <a16:creationId xmlns:a16="http://schemas.microsoft.com/office/drawing/2014/main" id="{00000000-0008-0000-0D00-00000A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55</xdr:row>
          <xdr:rowOff>9525</xdr:rowOff>
        </xdr:from>
        <xdr:to>
          <xdr:col>34</xdr:col>
          <xdr:colOff>0</xdr:colOff>
          <xdr:row>55</xdr:row>
          <xdr:rowOff>190500</xdr:rowOff>
        </xdr:to>
        <xdr:sp macro="" textlink="">
          <xdr:nvSpPr>
            <xdr:cNvPr id="104459" name="Check Box 11" hidden="1">
              <a:extLst>
                <a:ext uri="{63B3BB69-23CF-44E3-9099-C40C66FF867C}">
                  <a14:compatExt spid="_x0000_s104459"/>
                </a:ext>
                <a:ext uri="{FF2B5EF4-FFF2-40B4-BE49-F238E27FC236}">
                  <a16:creationId xmlns:a16="http://schemas.microsoft.com/office/drawing/2014/main" id="{00000000-0008-0000-0D00-00000B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50</xdr:row>
          <xdr:rowOff>9525</xdr:rowOff>
        </xdr:from>
        <xdr:to>
          <xdr:col>33</xdr:col>
          <xdr:colOff>685800</xdr:colOff>
          <xdr:row>51</xdr:row>
          <xdr:rowOff>19050</xdr:rowOff>
        </xdr:to>
        <xdr:sp macro="" textlink="">
          <xdr:nvSpPr>
            <xdr:cNvPr id="104460" name="Check Box 12" hidden="1">
              <a:extLst>
                <a:ext uri="{63B3BB69-23CF-44E3-9099-C40C66FF867C}">
                  <a14:compatExt spid="_x0000_s104460"/>
                </a:ext>
                <a:ext uri="{FF2B5EF4-FFF2-40B4-BE49-F238E27FC236}">
                  <a16:creationId xmlns:a16="http://schemas.microsoft.com/office/drawing/2014/main" id="{00000000-0008-0000-0D00-00000C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49</xdr:row>
          <xdr:rowOff>0</xdr:rowOff>
        </xdr:from>
        <xdr:to>
          <xdr:col>33</xdr:col>
          <xdr:colOff>685800</xdr:colOff>
          <xdr:row>50</xdr:row>
          <xdr:rowOff>19050</xdr:rowOff>
        </xdr:to>
        <xdr:sp macro="" textlink="">
          <xdr:nvSpPr>
            <xdr:cNvPr id="104461" name="Check Box 13" hidden="1">
              <a:extLst>
                <a:ext uri="{63B3BB69-23CF-44E3-9099-C40C66FF867C}">
                  <a14:compatExt spid="_x0000_s104461"/>
                </a:ext>
                <a:ext uri="{FF2B5EF4-FFF2-40B4-BE49-F238E27FC236}">
                  <a16:creationId xmlns:a16="http://schemas.microsoft.com/office/drawing/2014/main" id="{00000000-0008-0000-0D00-00000D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51</xdr:row>
          <xdr:rowOff>9525</xdr:rowOff>
        </xdr:from>
        <xdr:to>
          <xdr:col>33</xdr:col>
          <xdr:colOff>685800</xdr:colOff>
          <xdr:row>52</xdr:row>
          <xdr:rowOff>0</xdr:rowOff>
        </xdr:to>
        <xdr:sp macro="" textlink="">
          <xdr:nvSpPr>
            <xdr:cNvPr id="104462" name="Check Box 14" hidden="1">
              <a:extLst>
                <a:ext uri="{63B3BB69-23CF-44E3-9099-C40C66FF867C}">
                  <a14:compatExt spid="_x0000_s104462"/>
                </a:ext>
                <a:ext uri="{FF2B5EF4-FFF2-40B4-BE49-F238E27FC236}">
                  <a16:creationId xmlns:a16="http://schemas.microsoft.com/office/drawing/2014/main" id="{00000000-0008-0000-0D00-00000E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673432</xdr:colOff>
      <xdr:row>76</xdr:row>
      <xdr:rowOff>124185</xdr:rowOff>
    </xdr:from>
    <xdr:to>
      <xdr:col>30</xdr:col>
      <xdr:colOff>141067</xdr:colOff>
      <xdr:row>100</xdr:row>
      <xdr:rowOff>48218</xdr:rowOff>
    </xdr:to>
    <xdr:graphicFrame macro="">
      <xdr:nvGraphicFramePr>
        <xdr:cNvPr id="5" name="Diagramm 4">
          <a:extLst>
            <a:ext uri="{FF2B5EF4-FFF2-40B4-BE49-F238E27FC236}">
              <a16:creationId xmlns:a16="http://schemas.microsoft.com/office/drawing/2014/main" id="{B58EDE08-8E30-4295-B8A7-AF6CA6216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514350</xdr:colOff>
          <xdr:row>49</xdr:row>
          <xdr:rowOff>152400</xdr:rowOff>
        </xdr:from>
        <xdr:to>
          <xdr:col>24</xdr:col>
          <xdr:colOff>733425</xdr:colOff>
          <xdr:row>51</xdr:row>
          <xdr:rowOff>0</xdr:rowOff>
        </xdr:to>
        <xdr:sp macro="" textlink="">
          <xdr:nvSpPr>
            <xdr:cNvPr id="104463" name="Check Box 15" hidden="1">
              <a:extLst>
                <a:ext uri="{63B3BB69-23CF-44E3-9099-C40C66FF867C}">
                  <a14:compatExt spid="_x0000_s104463"/>
                </a:ext>
                <a:ext uri="{FF2B5EF4-FFF2-40B4-BE49-F238E27FC236}">
                  <a16:creationId xmlns:a16="http://schemas.microsoft.com/office/drawing/2014/main" id="{00000000-0008-0000-0D00-00000F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50</xdr:row>
          <xdr:rowOff>171450</xdr:rowOff>
        </xdr:from>
        <xdr:to>
          <xdr:col>24</xdr:col>
          <xdr:colOff>733425</xdr:colOff>
          <xdr:row>51</xdr:row>
          <xdr:rowOff>190500</xdr:rowOff>
        </xdr:to>
        <xdr:sp macro="" textlink="">
          <xdr:nvSpPr>
            <xdr:cNvPr id="104464" name="Check Box 16" hidden="1">
              <a:extLst>
                <a:ext uri="{63B3BB69-23CF-44E3-9099-C40C66FF867C}">
                  <a14:compatExt spid="_x0000_s104464"/>
                </a:ext>
                <a:ext uri="{FF2B5EF4-FFF2-40B4-BE49-F238E27FC236}">
                  <a16:creationId xmlns:a16="http://schemas.microsoft.com/office/drawing/2014/main" id="{00000000-0008-0000-0D00-000010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51</xdr:row>
          <xdr:rowOff>180975</xdr:rowOff>
        </xdr:from>
        <xdr:to>
          <xdr:col>24</xdr:col>
          <xdr:colOff>733425</xdr:colOff>
          <xdr:row>52</xdr:row>
          <xdr:rowOff>190500</xdr:rowOff>
        </xdr:to>
        <xdr:sp macro="" textlink="">
          <xdr:nvSpPr>
            <xdr:cNvPr id="104465" name="Check Box 17" hidden="1">
              <a:extLst>
                <a:ext uri="{63B3BB69-23CF-44E3-9099-C40C66FF867C}">
                  <a14:compatExt spid="_x0000_s104465"/>
                </a:ext>
                <a:ext uri="{FF2B5EF4-FFF2-40B4-BE49-F238E27FC236}">
                  <a16:creationId xmlns:a16="http://schemas.microsoft.com/office/drawing/2014/main" id="{00000000-0008-0000-0D00-000011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52</xdr:row>
          <xdr:rowOff>180975</xdr:rowOff>
        </xdr:from>
        <xdr:to>
          <xdr:col>24</xdr:col>
          <xdr:colOff>733425</xdr:colOff>
          <xdr:row>54</xdr:row>
          <xdr:rowOff>0</xdr:rowOff>
        </xdr:to>
        <xdr:sp macro="" textlink="">
          <xdr:nvSpPr>
            <xdr:cNvPr id="104466" name="Check Box 18" hidden="1">
              <a:extLst>
                <a:ext uri="{63B3BB69-23CF-44E3-9099-C40C66FF867C}">
                  <a14:compatExt spid="_x0000_s104466"/>
                </a:ext>
                <a:ext uri="{FF2B5EF4-FFF2-40B4-BE49-F238E27FC236}">
                  <a16:creationId xmlns:a16="http://schemas.microsoft.com/office/drawing/2014/main" id="{00000000-0008-0000-0D00-000012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53</xdr:row>
          <xdr:rowOff>180975</xdr:rowOff>
        </xdr:from>
        <xdr:to>
          <xdr:col>24</xdr:col>
          <xdr:colOff>733425</xdr:colOff>
          <xdr:row>55</xdr:row>
          <xdr:rowOff>0</xdr:rowOff>
        </xdr:to>
        <xdr:sp macro="" textlink="">
          <xdr:nvSpPr>
            <xdr:cNvPr id="104467" name="Check Box 19" hidden="1">
              <a:extLst>
                <a:ext uri="{63B3BB69-23CF-44E3-9099-C40C66FF867C}">
                  <a14:compatExt spid="_x0000_s104467"/>
                </a:ext>
                <a:ext uri="{FF2B5EF4-FFF2-40B4-BE49-F238E27FC236}">
                  <a16:creationId xmlns:a16="http://schemas.microsoft.com/office/drawing/2014/main" id="{00000000-0008-0000-0D00-000013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54</xdr:row>
          <xdr:rowOff>180975</xdr:rowOff>
        </xdr:from>
        <xdr:to>
          <xdr:col>24</xdr:col>
          <xdr:colOff>733425</xdr:colOff>
          <xdr:row>56</xdr:row>
          <xdr:rowOff>0</xdr:rowOff>
        </xdr:to>
        <xdr:sp macro="" textlink="">
          <xdr:nvSpPr>
            <xdr:cNvPr id="104468" name="Check Box 20" hidden="1">
              <a:extLst>
                <a:ext uri="{63B3BB69-23CF-44E3-9099-C40C66FF867C}">
                  <a14:compatExt spid="_x0000_s104468"/>
                </a:ext>
                <a:ext uri="{FF2B5EF4-FFF2-40B4-BE49-F238E27FC236}">
                  <a16:creationId xmlns:a16="http://schemas.microsoft.com/office/drawing/2014/main" id="{00000000-0008-0000-0D00-000014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55</xdr:row>
          <xdr:rowOff>180975</xdr:rowOff>
        </xdr:from>
        <xdr:to>
          <xdr:col>24</xdr:col>
          <xdr:colOff>733425</xdr:colOff>
          <xdr:row>57</xdr:row>
          <xdr:rowOff>0</xdr:rowOff>
        </xdr:to>
        <xdr:sp macro="" textlink="">
          <xdr:nvSpPr>
            <xdr:cNvPr id="104469" name="Check Box 21" hidden="1">
              <a:extLst>
                <a:ext uri="{63B3BB69-23CF-44E3-9099-C40C66FF867C}">
                  <a14:compatExt spid="_x0000_s104469"/>
                </a:ext>
                <a:ext uri="{FF2B5EF4-FFF2-40B4-BE49-F238E27FC236}">
                  <a16:creationId xmlns:a16="http://schemas.microsoft.com/office/drawing/2014/main" id="{00000000-0008-0000-0D00-000015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56</xdr:row>
          <xdr:rowOff>190500</xdr:rowOff>
        </xdr:from>
        <xdr:to>
          <xdr:col>24</xdr:col>
          <xdr:colOff>733425</xdr:colOff>
          <xdr:row>57</xdr:row>
          <xdr:rowOff>190500</xdr:rowOff>
        </xdr:to>
        <xdr:sp macro="" textlink="">
          <xdr:nvSpPr>
            <xdr:cNvPr id="104470" name="Check Box 22" hidden="1">
              <a:extLst>
                <a:ext uri="{63B3BB69-23CF-44E3-9099-C40C66FF867C}">
                  <a14:compatExt spid="_x0000_s104470"/>
                </a:ext>
                <a:ext uri="{FF2B5EF4-FFF2-40B4-BE49-F238E27FC236}">
                  <a16:creationId xmlns:a16="http://schemas.microsoft.com/office/drawing/2014/main" id="{00000000-0008-0000-0D00-000016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57</xdr:row>
          <xdr:rowOff>180975</xdr:rowOff>
        </xdr:from>
        <xdr:to>
          <xdr:col>24</xdr:col>
          <xdr:colOff>733425</xdr:colOff>
          <xdr:row>58</xdr:row>
          <xdr:rowOff>190500</xdr:rowOff>
        </xdr:to>
        <xdr:sp macro="" textlink="">
          <xdr:nvSpPr>
            <xdr:cNvPr id="104471" name="Check Box 23" hidden="1">
              <a:extLst>
                <a:ext uri="{63B3BB69-23CF-44E3-9099-C40C66FF867C}">
                  <a14:compatExt spid="_x0000_s104471"/>
                </a:ext>
                <a:ext uri="{FF2B5EF4-FFF2-40B4-BE49-F238E27FC236}">
                  <a16:creationId xmlns:a16="http://schemas.microsoft.com/office/drawing/2014/main" id="{00000000-0008-0000-0D00-000017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58</xdr:row>
          <xdr:rowOff>171450</xdr:rowOff>
        </xdr:from>
        <xdr:to>
          <xdr:col>24</xdr:col>
          <xdr:colOff>733425</xdr:colOff>
          <xdr:row>59</xdr:row>
          <xdr:rowOff>171450</xdr:rowOff>
        </xdr:to>
        <xdr:sp macro="" textlink="">
          <xdr:nvSpPr>
            <xdr:cNvPr id="104472" name="Check Box 24" hidden="1">
              <a:extLst>
                <a:ext uri="{63B3BB69-23CF-44E3-9099-C40C66FF867C}">
                  <a14:compatExt spid="_x0000_s104472"/>
                </a:ext>
                <a:ext uri="{FF2B5EF4-FFF2-40B4-BE49-F238E27FC236}">
                  <a16:creationId xmlns:a16="http://schemas.microsoft.com/office/drawing/2014/main" id="{00000000-0008-0000-0D00-000018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59</xdr:row>
          <xdr:rowOff>171450</xdr:rowOff>
        </xdr:from>
        <xdr:to>
          <xdr:col>24</xdr:col>
          <xdr:colOff>733425</xdr:colOff>
          <xdr:row>60</xdr:row>
          <xdr:rowOff>171450</xdr:rowOff>
        </xdr:to>
        <xdr:sp macro="" textlink="">
          <xdr:nvSpPr>
            <xdr:cNvPr id="104473" name="Check Box 25" hidden="1">
              <a:extLst>
                <a:ext uri="{63B3BB69-23CF-44E3-9099-C40C66FF867C}">
                  <a14:compatExt spid="_x0000_s104473"/>
                </a:ext>
                <a:ext uri="{FF2B5EF4-FFF2-40B4-BE49-F238E27FC236}">
                  <a16:creationId xmlns:a16="http://schemas.microsoft.com/office/drawing/2014/main" id="{00000000-0008-0000-0D00-0000199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707571</xdr:colOff>
      <xdr:row>47</xdr:row>
      <xdr:rowOff>76042</xdr:rowOff>
    </xdr:from>
    <xdr:to>
      <xdr:col>24</xdr:col>
      <xdr:colOff>762000</xdr:colOff>
      <xdr:row>61</xdr:row>
      <xdr:rowOff>155282</xdr:rowOff>
    </xdr:to>
    <xdr:sp macro="" textlink="">
      <xdr:nvSpPr>
        <xdr:cNvPr id="6" name="Rechteck 5">
          <a:extLst>
            <a:ext uri="{FF2B5EF4-FFF2-40B4-BE49-F238E27FC236}">
              <a16:creationId xmlns:a16="http://schemas.microsoft.com/office/drawing/2014/main" id="{74AB6224-417B-481D-BCAF-1026F6CD7BF4}"/>
            </a:ext>
          </a:extLst>
        </xdr:cNvPr>
        <xdr:cNvSpPr/>
      </xdr:nvSpPr>
      <xdr:spPr bwMode="auto">
        <a:xfrm>
          <a:off x="8622846" y="17163892"/>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2</xdr:col>
      <xdr:colOff>605119</xdr:colOff>
      <xdr:row>30</xdr:row>
      <xdr:rowOff>12327</xdr:rowOff>
    </xdr:from>
    <xdr:to>
      <xdr:col>11</xdr:col>
      <xdr:colOff>930795</xdr:colOff>
      <xdr:row>30</xdr:row>
      <xdr:rowOff>12327</xdr:rowOff>
    </xdr:to>
    <xdr:cxnSp macro="">
      <xdr:nvCxnSpPr>
        <xdr:cNvPr id="9" name="Gerader Verbinder 8">
          <a:extLst>
            <a:ext uri="{FF2B5EF4-FFF2-40B4-BE49-F238E27FC236}">
              <a16:creationId xmlns:a16="http://schemas.microsoft.com/office/drawing/2014/main" id="{75D0C9BB-0DF4-451E-AE07-55A22A268C57}"/>
            </a:ext>
          </a:extLst>
        </xdr:cNvPr>
        <xdr:cNvCxnSpPr/>
      </xdr:nvCxnSpPr>
      <xdr:spPr bwMode="auto">
        <a:xfrm>
          <a:off x="1138519" y="7584702"/>
          <a:ext cx="9326801"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598395</xdr:colOff>
      <xdr:row>18</xdr:row>
      <xdr:rowOff>91328</xdr:rowOff>
    </xdr:from>
    <xdr:to>
      <xdr:col>11</xdr:col>
      <xdr:colOff>924071</xdr:colOff>
      <xdr:row>18</xdr:row>
      <xdr:rowOff>91328</xdr:rowOff>
    </xdr:to>
    <xdr:cxnSp macro="">
      <xdr:nvCxnSpPr>
        <xdr:cNvPr id="10" name="Gerader Verbinder 9">
          <a:extLst>
            <a:ext uri="{FF2B5EF4-FFF2-40B4-BE49-F238E27FC236}">
              <a16:creationId xmlns:a16="http://schemas.microsoft.com/office/drawing/2014/main" id="{7E356EAA-0564-486C-B5A4-5300C3E6BB78}"/>
            </a:ext>
          </a:extLst>
        </xdr:cNvPr>
        <xdr:cNvCxnSpPr/>
      </xdr:nvCxnSpPr>
      <xdr:spPr bwMode="auto">
        <a:xfrm>
          <a:off x="1131795" y="5644403"/>
          <a:ext cx="9326801"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7</xdr:col>
      <xdr:colOff>647700</xdr:colOff>
      <xdr:row>13</xdr:row>
      <xdr:rowOff>76763</xdr:rowOff>
    </xdr:from>
    <xdr:to>
      <xdr:col>11</xdr:col>
      <xdr:colOff>1428750</xdr:colOff>
      <xdr:row>17</xdr:row>
      <xdr:rowOff>151844</xdr:rowOff>
    </xdr:to>
    <xdr:sp macro="" textlink="$B$116">
      <xdr:nvSpPr>
        <xdr:cNvPr id="11" name="Rechteck 10">
          <a:extLst>
            <a:ext uri="{FF2B5EF4-FFF2-40B4-BE49-F238E27FC236}">
              <a16:creationId xmlns:a16="http://schemas.microsoft.com/office/drawing/2014/main" id="{772F5892-E6A5-4013-B30C-A1E26BD46084}"/>
            </a:ext>
          </a:extLst>
        </xdr:cNvPr>
        <xdr:cNvSpPr/>
      </xdr:nvSpPr>
      <xdr:spPr bwMode="auto">
        <a:xfrm>
          <a:off x="7191375" y="4724963"/>
          <a:ext cx="3771900" cy="798981"/>
        </a:xfrm>
        <a:prstGeom prst="rect">
          <a:avLst/>
        </a:prstGeom>
        <a:solidFill>
          <a:schemeClr val="bg1"/>
        </a:solidFill>
        <a:ln>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fld id="{EE75EC32-F08D-431E-A068-7D2FB4110C41}" type="TxLink">
            <a:rPr lang="en-US" sz="1000" b="0" i="0" u="none" strike="noStrike" dirty="0">
              <a:solidFill>
                <a:srgbClr val="323232"/>
              </a:solidFill>
              <a:latin typeface="Arial"/>
              <a:cs typeface="Arial"/>
            </a:rPr>
            <a:pPr algn="ctr"/>
            <a:t> </a:t>
          </a:fld>
          <a:endParaRPr lang="de-DE" sz="1100" dirty="0">
            <a:solidFill>
              <a:schemeClr val="tx1"/>
            </a:solidFill>
          </a:endParaRPr>
        </a:p>
      </xdr:txBody>
    </xdr:sp>
    <xdr:clientData/>
  </xdr:twoCellAnchor>
  <xdr:twoCellAnchor>
    <xdr:from>
      <xdr:col>7</xdr:col>
      <xdr:colOff>649940</xdr:colOff>
      <xdr:row>12</xdr:row>
      <xdr:rowOff>22413</xdr:rowOff>
    </xdr:from>
    <xdr:to>
      <xdr:col>11</xdr:col>
      <xdr:colOff>1431175</xdr:colOff>
      <xdr:row>13</xdr:row>
      <xdr:rowOff>89646</xdr:rowOff>
    </xdr:to>
    <xdr:sp macro="" textlink="">
      <xdr:nvSpPr>
        <xdr:cNvPr id="12" name="Rechteck 11">
          <a:extLst>
            <a:ext uri="{FF2B5EF4-FFF2-40B4-BE49-F238E27FC236}">
              <a16:creationId xmlns:a16="http://schemas.microsoft.com/office/drawing/2014/main" id="{15385D8F-E23A-4F83-BB50-E41921070FD3}"/>
            </a:ext>
          </a:extLst>
        </xdr:cNvPr>
        <xdr:cNvSpPr/>
      </xdr:nvSpPr>
      <xdr:spPr bwMode="auto">
        <a:xfrm>
          <a:off x="7193615" y="4470588"/>
          <a:ext cx="3772085" cy="267258"/>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clientData/>
  </xdr:twoCellAnchor>
</xdr:wsDr>
</file>

<file path=xl/drawings/drawing19.xml><?xml version="1.0" encoding="utf-8"?>
<c:userShapes xmlns:c="http://schemas.openxmlformats.org/drawingml/2006/chart">
  <cdr:relSizeAnchor xmlns:cdr="http://schemas.openxmlformats.org/drawingml/2006/chartDrawing">
    <cdr:from>
      <cdr:x>0.23302</cdr:x>
      <cdr:y>0.03526</cdr:y>
    </cdr:from>
    <cdr:to>
      <cdr:x>0.32481</cdr:x>
      <cdr:y>0.0701</cdr:y>
    </cdr:to>
    <cdr:sp macro="" textlink="'M3 Effizienz Stapler'!$R$88">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55401" y="242715"/>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266,8</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0.0701</cdr:y>
    </cdr:to>
    <cdr:sp macro="" textlink="'M3 Effizienz Stapler'!$S$88">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77325" y="242715"/>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218,4</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0.0701</cdr:y>
    </cdr:to>
    <cdr:sp macro="" textlink="'M3 Effizienz Stapler'!$T$88">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57930" y="242715"/>
          <a:ext cx="61262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153,6</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1234915</xdr:colOff>
      <xdr:row>46</xdr:row>
      <xdr:rowOff>92636</xdr:rowOff>
    </xdr:from>
    <xdr:to>
      <xdr:col>12</xdr:col>
      <xdr:colOff>1497805</xdr:colOff>
      <xdr:row>50</xdr:row>
      <xdr:rowOff>30003</xdr:rowOff>
    </xdr:to>
    <xdr:sp macro="" textlink="$M$86">
      <xdr:nvSpPr>
        <xdr:cNvPr id="12" name="Textfeld 11">
          <a:extLst>
            <a:ext uri="{FF2B5EF4-FFF2-40B4-BE49-F238E27FC236}">
              <a16:creationId xmlns:a16="http://schemas.microsoft.com/office/drawing/2014/main" id="{00000000-0008-0000-0100-00000C000000}"/>
            </a:ext>
          </a:extLst>
        </xdr:cNvPr>
        <xdr:cNvSpPr txBox="1"/>
      </xdr:nvSpPr>
      <xdr:spPr>
        <a:xfrm>
          <a:off x="13450728" y="9189011"/>
          <a:ext cx="1584483" cy="675555"/>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11</xdr:col>
      <xdr:colOff>1224438</xdr:colOff>
      <xdr:row>50</xdr:row>
      <xdr:rowOff>5715</xdr:rowOff>
    </xdr:from>
    <xdr:to>
      <xdr:col>13</xdr:col>
      <xdr:colOff>170497</xdr:colOff>
      <xdr:row>55</xdr:row>
      <xdr:rowOff>31433</xdr:rowOff>
    </xdr:to>
    <xdr:sp macro="" textlink="$M$87">
      <xdr:nvSpPr>
        <xdr:cNvPr id="3" name="Textfeld 10">
          <a:extLst>
            <a:ext uri="{FF2B5EF4-FFF2-40B4-BE49-F238E27FC236}">
              <a16:creationId xmlns:a16="http://schemas.microsoft.com/office/drawing/2014/main" id="{AA95EBD2-B2AE-4D8B-8B66-70828BB7FE28}"/>
            </a:ext>
          </a:extLst>
        </xdr:cNvPr>
        <xdr:cNvSpPr txBox="1"/>
      </xdr:nvSpPr>
      <xdr:spPr>
        <a:xfrm>
          <a:off x="13440251" y="9840278"/>
          <a:ext cx="1898809" cy="632936"/>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0.51422</cdr:x>
      <cdr:y>0.04219</cdr:y>
    </cdr:from>
    <cdr:to>
      <cdr:x>0.63321</cdr:x>
      <cdr:y>0.07687</cdr:y>
    </cdr:to>
    <cdr:sp macro="" textlink="'M3 Effizienz Stapler'!$AB$45">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39944" y="291766"/>
          <a:ext cx="72658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3DD10CD1-2FFB-4FE3-965E-04342AE702FF}" type="TxLink">
            <a:rPr lang="en-US" sz="1000" b="1" i="0" u="none" strike="noStrike" dirty="0" err="1">
              <a:solidFill>
                <a:srgbClr val="323232"/>
              </a:solidFill>
              <a:latin typeface="Arial"/>
              <a:cs typeface="Arial"/>
            </a:rPr>
            <a:pPr/>
            <a:t>5.962</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0.07687</cdr:y>
    </cdr:to>
    <cdr:sp macro="" textlink="'M3 Effizienz Stapler'!$AC$45">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47978" y="291766"/>
          <a:ext cx="72658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5.888</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3 Effizienz Stapler'!$AA$45">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0B27D86-4AA7-493E-97A7-B621E4E5195F}" type="TxLink">
            <a:rPr lang="en-US" sz="1000" b="1" i="0" u="none" strike="noStrike" dirty="0" err="1" smtClean="0">
              <a:solidFill>
                <a:srgbClr val="323232"/>
              </a:solidFill>
              <a:latin typeface="Arial"/>
              <a:cs typeface="Arial"/>
            </a:rPr>
            <a:pPr/>
            <a:t>6.098</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1.xml><?xml version="1.0" encoding="utf-8"?>
<c:userShapes xmlns:c="http://schemas.openxmlformats.org/drawingml/2006/chart">
  <cdr:relSizeAnchor xmlns:cdr="http://schemas.openxmlformats.org/drawingml/2006/chartDrawing">
    <cdr:from>
      <cdr:x>0.24983</cdr:x>
      <cdr:y>0.03789</cdr:y>
    </cdr:from>
    <cdr:to>
      <cdr:x>0.38319</cdr:x>
      <cdr:y>0.07273</cdr:y>
    </cdr:to>
    <cdr:sp macro="" textlink="'M3 Effizienz Stapler'!$AJ$9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60819"/>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262.128 €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0.07273</cdr:y>
    </cdr:to>
    <cdr:sp macro="" textlink="'M3 Effizienz Stapler'!$AK$96">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60819"/>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406.160 €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0.07273</cdr:y>
    </cdr:to>
    <cdr:sp macro="" textlink="'M3 Effizienz Stapler'!$AL$96">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60819"/>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637.079 €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2.xml><?xml version="1.0" encoding="utf-8"?>
<c:userShapes xmlns:c="http://schemas.openxmlformats.org/drawingml/2006/chart">
  <cdr:relSizeAnchor xmlns:cdr="http://schemas.openxmlformats.org/drawingml/2006/chartDrawing">
    <cdr:from>
      <cdr:x>0.26001</cdr:x>
      <cdr:y>0</cdr:y>
    </cdr:from>
    <cdr:to>
      <cdr:x>0.35189</cdr:x>
      <cdr:y>1</cdr:y>
    </cdr:to>
    <cdr:sp macro="" textlink="'M3 Effizienz Stapler'!$AA$92">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94260" y="0"/>
          <a:ext cx="598703"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5.691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3 Effizienz Stapler'!$AB$92">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43582"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5.683</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3 Effizienz Stapler'!$AC$92">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38516"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5.674</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3.xml><?xml version="1.0" encoding="utf-8"?>
<xdr:wsDr xmlns:xdr="http://schemas.openxmlformats.org/drawingml/2006/spreadsheetDrawing" xmlns:a="http://schemas.openxmlformats.org/drawingml/2006/main">
  <xdr:twoCellAnchor>
    <xdr:from>
      <xdr:col>15</xdr:col>
      <xdr:colOff>560292</xdr:colOff>
      <xdr:row>5</xdr:row>
      <xdr:rowOff>190500</xdr:rowOff>
    </xdr:from>
    <xdr:to>
      <xdr:col>21</xdr:col>
      <xdr:colOff>539185</xdr:colOff>
      <xdr:row>33</xdr:row>
      <xdr:rowOff>28948</xdr:rowOff>
    </xdr:to>
    <xdr:graphicFrame macro="">
      <xdr:nvGraphicFramePr>
        <xdr:cNvPr id="2" name="Diagramm 1">
          <a:extLst>
            <a:ext uri="{FF2B5EF4-FFF2-40B4-BE49-F238E27FC236}">
              <a16:creationId xmlns:a16="http://schemas.microsoft.com/office/drawing/2014/main" id="{184F3E1D-8C89-4621-A5C0-00AFBE09B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799740</xdr:colOff>
      <xdr:row>5</xdr:row>
      <xdr:rowOff>238125</xdr:rowOff>
    </xdr:from>
    <xdr:to>
      <xdr:col>29</xdr:col>
      <xdr:colOff>778217</xdr:colOff>
      <xdr:row>33</xdr:row>
      <xdr:rowOff>57523</xdr:rowOff>
    </xdr:to>
    <xdr:graphicFrame macro="">
      <xdr:nvGraphicFramePr>
        <xdr:cNvPr id="3" name="Diagramm 2">
          <a:extLst>
            <a:ext uri="{FF2B5EF4-FFF2-40B4-BE49-F238E27FC236}">
              <a16:creationId xmlns:a16="http://schemas.microsoft.com/office/drawing/2014/main" id="{D38BCEB6-4142-4FC6-985C-37EBD1FB82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523875</xdr:colOff>
          <xdr:row>42</xdr:row>
          <xdr:rowOff>28575</xdr:rowOff>
        </xdr:from>
        <xdr:to>
          <xdr:col>15</xdr:col>
          <xdr:colOff>704850</xdr:colOff>
          <xdr:row>43</xdr:row>
          <xdr:rowOff>0</xdr:rowOff>
        </xdr:to>
        <xdr:sp macro="" textlink="">
          <xdr:nvSpPr>
            <xdr:cNvPr id="105473" name="Check Box 1" hidden="1">
              <a:extLst>
                <a:ext uri="{63B3BB69-23CF-44E3-9099-C40C66FF867C}">
                  <a14:compatExt spid="_x0000_s105473"/>
                </a:ext>
                <a:ext uri="{FF2B5EF4-FFF2-40B4-BE49-F238E27FC236}">
                  <a16:creationId xmlns:a16="http://schemas.microsoft.com/office/drawing/2014/main" id="{00000000-0008-0000-0E00-00000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28575</xdr:rowOff>
        </xdr:from>
        <xdr:to>
          <xdr:col>15</xdr:col>
          <xdr:colOff>704850</xdr:colOff>
          <xdr:row>43</xdr:row>
          <xdr:rowOff>190500</xdr:rowOff>
        </xdr:to>
        <xdr:sp macro="" textlink="">
          <xdr:nvSpPr>
            <xdr:cNvPr id="105474" name="Check Box 2" hidden="1">
              <a:extLst>
                <a:ext uri="{63B3BB69-23CF-44E3-9099-C40C66FF867C}">
                  <a14:compatExt spid="_x0000_s105474"/>
                </a:ext>
                <a:ext uri="{FF2B5EF4-FFF2-40B4-BE49-F238E27FC236}">
                  <a16:creationId xmlns:a16="http://schemas.microsoft.com/office/drawing/2014/main" id="{00000000-0008-0000-0E00-00000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28575</xdr:rowOff>
        </xdr:from>
        <xdr:to>
          <xdr:col>15</xdr:col>
          <xdr:colOff>704850</xdr:colOff>
          <xdr:row>44</xdr:row>
          <xdr:rowOff>180975</xdr:rowOff>
        </xdr:to>
        <xdr:sp macro="" textlink="">
          <xdr:nvSpPr>
            <xdr:cNvPr id="105475" name="Check Box 3" hidden="1">
              <a:extLst>
                <a:ext uri="{63B3BB69-23CF-44E3-9099-C40C66FF867C}">
                  <a14:compatExt spid="_x0000_s105475"/>
                </a:ext>
                <a:ext uri="{FF2B5EF4-FFF2-40B4-BE49-F238E27FC236}">
                  <a16:creationId xmlns:a16="http://schemas.microsoft.com/office/drawing/2014/main" id="{00000000-0008-0000-0E00-00000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19050</xdr:rowOff>
        </xdr:from>
        <xdr:to>
          <xdr:col>15</xdr:col>
          <xdr:colOff>704850</xdr:colOff>
          <xdr:row>45</xdr:row>
          <xdr:rowOff>190500</xdr:rowOff>
        </xdr:to>
        <xdr:sp macro="" textlink="">
          <xdr:nvSpPr>
            <xdr:cNvPr id="105476" name="Check Box 4" hidden="1">
              <a:extLst>
                <a:ext uri="{63B3BB69-23CF-44E3-9099-C40C66FF867C}">
                  <a14:compatExt spid="_x0000_s105476"/>
                </a:ext>
                <a:ext uri="{FF2B5EF4-FFF2-40B4-BE49-F238E27FC236}">
                  <a16:creationId xmlns:a16="http://schemas.microsoft.com/office/drawing/2014/main" id="{00000000-0008-0000-0E00-00000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19050</xdr:rowOff>
        </xdr:from>
        <xdr:to>
          <xdr:col>15</xdr:col>
          <xdr:colOff>704850</xdr:colOff>
          <xdr:row>46</xdr:row>
          <xdr:rowOff>180975</xdr:rowOff>
        </xdr:to>
        <xdr:sp macro="" textlink="">
          <xdr:nvSpPr>
            <xdr:cNvPr id="105477" name="Check Box 5" hidden="1">
              <a:extLst>
                <a:ext uri="{63B3BB69-23CF-44E3-9099-C40C66FF867C}">
                  <a14:compatExt spid="_x0000_s105477"/>
                </a:ext>
                <a:ext uri="{FF2B5EF4-FFF2-40B4-BE49-F238E27FC236}">
                  <a16:creationId xmlns:a16="http://schemas.microsoft.com/office/drawing/2014/main" id="{00000000-0008-0000-0E00-00000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0</xdr:rowOff>
        </xdr:from>
        <xdr:to>
          <xdr:col>15</xdr:col>
          <xdr:colOff>704850</xdr:colOff>
          <xdr:row>47</xdr:row>
          <xdr:rowOff>180975</xdr:rowOff>
        </xdr:to>
        <xdr:sp macro="" textlink="">
          <xdr:nvSpPr>
            <xdr:cNvPr id="105478" name="Check Box 6" hidden="1">
              <a:extLst>
                <a:ext uri="{63B3BB69-23CF-44E3-9099-C40C66FF867C}">
                  <a14:compatExt spid="_x0000_s105478"/>
                </a:ext>
                <a:ext uri="{FF2B5EF4-FFF2-40B4-BE49-F238E27FC236}">
                  <a16:creationId xmlns:a16="http://schemas.microsoft.com/office/drawing/2014/main" id="{00000000-0008-0000-0E00-00000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48</xdr:row>
          <xdr:rowOff>9525</xdr:rowOff>
        </xdr:from>
        <xdr:to>
          <xdr:col>15</xdr:col>
          <xdr:colOff>704850</xdr:colOff>
          <xdr:row>48</xdr:row>
          <xdr:rowOff>190500</xdr:rowOff>
        </xdr:to>
        <xdr:sp macro="" textlink="">
          <xdr:nvSpPr>
            <xdr:cNvPr id="105479" name="Check Box 7" hidden="1">
              <a:extLst>
                <a:ext uri="{63B3BB69-23CF-44E3-9099-C40C66FF867C}">
                  <a14:compatExt spid="_x0000_s105479"/>
                </a:ext>
                <a:ext uri="{FF2B5EF4-FFF2-40B4-BE49-F238E27FC236}">
                  <a16:creationId xmlns:a16="http://schemas.microsoft.com/office/drawing/2014/main" id="{00000000-0008-0000-0E00-00000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665157</xdr:colOff>
      <xdr:row>5</xdr:row>
      <xdr:rowOff>228600</xdr:rowOff>
    </xdr:from>
    <xdr:to>
      <xdr:col>39</xdr:col>
      <xdr:colOff>445249</xdr:colOff>
      <xdr:row>33</xdr:row>
      <xdr:rowOff>28948</xdr:rowOff>
    </xdr:to>
    <xdr:graphicFrame macro="">
      <xdr:nvGraphicFramePr>
        <xdr:cNvPr id="4" name="Diagramm 3">
          <a:extLst>
            <a:ext uri="{FF2B5EF4-FFF2-40B4-BE49-F238E27FC236}">
              <a16:creationId xmlns:a16="http://schemas.microsoft.com/office/drawing/2014/main" id="{436E47A3-2224-4F2E-8F3B-67CE9EEE96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32</xdr:col>
          <xdr:colOff>457200</xdr:colOff>
          <xdr:row>53</xdr:row>
          <xdr:rowOff>0</xdr:rowOff>
        </xdr:from>
        <xdr:to>
          <xdr:col>32</xdr:col>
          <xdr:colOff>676275</xdr:colOff>
          <xdr:row>53</xdr:row>
          <xdr:rowOff>180975</xdr:rowOff>
        </xdr:to>
        <xdr:sp macro="" textlink="">
          <xdr:nvSpPr>
            <xdr:cNvPr id="105480" name="Check Box 8" hidden="1">
              <a:extLst>
                <a:ext uri="{63B3BB69-23CF-44E3-9099-C40C66FF867C}">
                  <a14:compatExt spid="_x0000_s105480"/>
                </a:ext>
                <a:ext uri="{FF2B5EF4-FFF2-40B4-BE49-F238E27FC236}">
                  <a16:creationId xmlns:a16="http://schemas.microsoft.com/office/drawing/2014/main" id="{00000000-0008-0000-0E00-00000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54</xdr:row>
          <xdr:rowOff>19050</xdr:rowOff>
        </xdr:from>
        <xdr:to>
          <xdr:col>33</xdr:col>
          <xdr:colOff>0</xdr:colOff>
          <xdr:row>55</xdr:row>
          <xdr:rowOff>0</xdr:rowOff>
        </xdr:to>
        <xdr:sp macro="" textlink="">
          <xdr:nvSpPr>
            <xdr:cNvPr id="105481" name="Check Box 9" hidden="1">
              <a:extLst>
                <a:ext uri="{63B3BB69-23CF-44E3-9099-C40C66FF867C}">
                  <a14:compatExt spid="_x0000_s105481"/>
                </a:ext>
                <a:ext uri="{FF2B5EF4-FFF2-40B4-BE49-F238E27FC236}">
                  <a16:creationId xmlns:a16="http://schemas.microsoft.com/office/drawing/2014/main" id="{00000000-0008-0000-0E00-00000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55</xdr:row>
          <xdr:rowOff>19050</xdr:rowOff>
        </xdr:from>
        <xdr:to>
          <xdr:col>33</xdr:col>
          <xdr:colOff>0</xdr:colOff>
          <xdr:row>56</xdr:row>
          <xdr:rowOff>0</xdr:rowOff>
        </xdr:to>
        <xdr:sp macro="" textlink="">
          <xdr:nvSpPr>
            <xdr:cNvPr id="105482" name="Check Box 10" hidden="1">
              <a:extLst>
                <a:ext uri="{63B3BB69-23CF-44E3-9099-C40C66FF867C}">
                  <a14:compatExt spid="_x0000_s105482"/>
                </a:ext>
                <a:ext uri="{FF2B5EF4-FFF2-40B4-BE49-F238E27FC236}">
                  <a16:creationId xmlns:a16="http://schemas.microsoft.com/office/drawing/2014/main" id="{00000000-0008-0000-0E00-00000A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56</xdr:row>
          <xdr:rowOff>9525</xdr:rowOff>
        </xdr:from>
        <xdr:to>
          <xdr:col>33</xdr:col>
          <xdr:colOff>0</xdr:colOff>
          <xdr:row>56</xdr:row>
          <xdr:rowOff>190500</xdr:rowOff>
        </xdr:to>
        <xdr:sp macro="" textlink="">
          <xdr:nvSpPr>
            <xdr:cNvPr id="105483" name="Check Box 11" hidden="1">
              <a:extLst>
                <a:ext uri="{63B3BB69-23CF-44E3-9099-C40C66FF867C}">
                  <a14:compatExt spid="_x0000_s105483"/>
                </a:ext>
                <a:ext uri="{FF2B5EF4-FFF2-40B4-BE49-F238E27FC236}">
                  <a16:creationId xmlns:a16="http://schemas.microsoft.com/office/drawing/2014/main" id="{00000000-0008-0000-0E00-00000B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51</xdr:row>
          <xdr:rowOff>9525</xdr:rowOff>
        </xdr:from>
        <xdr:to>
          <xdr:col>32</xdr:col>
          <xdr:colOff>676275</xdr:colOff>
          <xdr:row>52</xdr:row>
          <xdr:rowOff>9525</xdr:rowOff>
        </xdr:to>
        <xdr:sp macro="" textlink="">
          <xdr:nvSpPr>
            <xdr:cNvPr id="105484" name="Check Box 12" hidden="1">
              <a:extLst>
                <a:ext uri="{63B3BB69-23CF-44E3-9099-C40C66FF867C}">
                  <a14:compatExt spid="_x0000_s105484"/>
                </a:ext>
                <a:ext uri="{FF2B5EF4-FFF2-40B4-BE49-F238E27FC236}">
                  <a16:creationId xmlns:a16="http://schemas.microsoft.com/office/drawing/2014/main" id="{00000000-0008-0000-0E00-00000C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50</xdr:row>
          <xdr:rowOff>0</xdr:rowOff>
        </xdr:from>
        <xdr:to>
          <xdr:col>32</xdr:col>
          <xdr:colOff>676275</xdr:colOff>
          <xdr:row>51</xdr:row>
          <xdr:rowOff>9525</xdr:rowOff>
        </xdr:to>
        <xdr:sp macro="" textlink="">
          <xdr:nvSpPr>
            <xdr:cNvPr id="105485" name="Check Box 13" hidden="1">
              <a:extLst>
                <a:ext uri="{63B3BB69-23CF-44E3-9099-C40C66FF867C}">
                  <a14:compatExt spid="_x0000_s105485"/>
                </a:ext>
                <a:ext uri="{FF2B5EF4-FFF2-40B4-BE49-F238E27FC236}">
                  <a16:creationId xmlns:a16="http://schemas.microsoft.com/office/drawing/2014/main" id="{00000000-0008-0000-0E00-00000D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52</xdr:row>
          <xdr:rowOff>9525</xdr:rowOff>
        </xdr:from>
        <xdr:to>
          <xdr:col>32</xdr:col>
          <xdr:colOff>676275</xdr:colOff>
          <xdr:row>53</xdr:row>
          <xdr:rowOff>0</xdr:rowOff>
        </xdr:to>
        <xdr:sp macro="" textlink="">
          <xdr:nvSpPr>
            <xdr:cNvPr id="105486" name="Check Box 14" hidden="1">
              <a:extLst>
                <a:ext uri="{63B3BB69-23CF-44E3-9099-C40C66FF867C}">
                  <a14:compatExt spid="_x0000_s105486"/>
                </a:ext>
                <a:ext uri="{FF2B5EF4-FFF2-40B4-BE49-F238E27FC236}">
                  <a16:creationId xmlns:a16="http://schemas.microsoft.com/office/drawing/2014/main" id="{00000000-0008-0000-0E00-00000E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772685</xdr:colOff>
      <xdr:row>78</xdr:row>
      <xdr:rowOff>26534</xdr:rowOff>
    </xdr:from>
    <xdr:to>
      <xdr:col>30</xdr:col>
      <xdr:colOff>240320</xdr:colOff>
      <xdr:row>101</xdr:row>
      <xdr:rowOff>113853</xdr:rowOff>
    </xdr:to>
    <xdr:graphicFrame macro="">
      <xdr:nvGraphicFramePr>
        <xdr:cNvPr id="5" name="Diagramm 4">
          <a:extLst>
            <a:ext uri="{FF2B5EF4-FFF2-40B4-BE49-F238E27FC236}">
              <a16:creationId xmlns:a16="http://schemas.microsoft.com/office/drawing/2014/main" id="{F6F766DE-E83A-4F55-BBE7-87486A519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514350</xdr:colOff>
          <xdr:row>50</xdr:row>
          <xdr:rowOff>152400</xdr:rowOff>
        </xdr:from>
        <xdr:to>
          <xdr:col>24</xdr:col>
          <xdr:colOff>723900</xdr:colOff>
          <xdr:row>52</xdr:row>
          <xdr:rowOff>0</xdr:rowOff>
        </xdr:to>
        <xdr:sp macro="" textlink="">
          <xdr:nvSpPr>
            <xdr:cNvPr id="105487" name="Check Box 15" hidden="1">
              <a:extLst>
                <a:ext uri="{63B3BB69-23CF-44E3-9099-C40C66FF867C}">
                  <a14:compatExt spid="_x0000_s105487"/>
                </a:ext>
                <a:ext uri="{FF2B5EF4-FFF2-40B4-BE49-F238E27FC236}">
                  <a16:creationId xmlns:a16="http://schemas.microsoft.com/office/drawing/2014/main" id="{00000000-0008-0000-0E00-00000F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51</xdr:row>
          <xdr:rowOff>171450</xdr:rowOff>
        </xdr:from>
        <xdr:to>
          <xdr:col>24</xdr:col>
          <xdr:colOff>723900</xdr:colOff>
          <xdr:row>52</xdr:row>
          <xdr:rowOff>190500</xdr:rowOff>
        </xdr:to>
        <xdr:sp macro="" textlink="">
          <xdr:nvSpPr>
            <xdr:cNvPr id="105488" name="Check Box 16" hidden="1">
              <a:extLst>
                <a:ext uri="{63B3BB69-23CF-44E3-9099-C40C66FF867C}">
                  <a14:compatExt spid="_x0000_s105488"/>
                </a:ext>
                <a:ext uri="{FF2B5EF4-FFF2-40B4-BE49-F238E27FC236}">
                  <a16:creationId xmlns:a16="http://schemas.microsoft.com/office/drawing/2014/main" id="{00000000-0008-0000-0E00-000010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52</xdr:row>
          <xdr:rowOff>180975</xdr:rowOff>
        </xdr:from>
        <xdr:to>
          <xdr:col>24</xdr:col>
          <xdr:colOff>723900</xdr:colOff>
          <xdr:row>53</xdr:row>
          <xdr:rowOff>190500</xdr:rowOff>
        </xdr:to>
        <xdr:sp macro="" textlink="">
          <xdr:nvSpPr>
            <xdr:cNvPr id="105489" name="Check Box 17" hidden="1">
              <a:extLst>
                <a:ext uri="{63B3BB69-23CF-44E3-9099-C40C66FF867C}">
                  <a14:compatExt spid="_x0000_s105489"/>
                </a:ext>
                <a:ext uri="{FF2B5EF4-FFF2-40B4-BE49-F238E27FC236}">
                  <a16:creationId xmlns:a16="http://schemas.microsoft.com/office/drawing/2014/main" id="{00000000-0008-0000-0E00-000011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53</xdr:row>
          <xdr:rowOff>180975</xdr:rowOff>
        </xdr:from>
        <xdr:to>
          <xdr:col>24</xdr:col>
          <xdr:colOff>723900</xdr:colOff>
          <xdr:row>55</xdr:row>
          <xdr:rowOff>0</xdr:rowOff>
        </xdr:to>
        <xdr:sp macro="" textlink="">
          <xdr:nvSpPr>
            <xdr:cNvPr id="105490" name="Check Box 18" hidden="1">
              <a:extLst>
                <a:ext uri="{63B3BB69-23CF-44E3-9099-C40C66FF867C}">
                  <a14:compatExt spid="_x0000_s105490"/>
                </a:ext>
                <a:ext uri="{FF2B5EF4-FFF2-40B4-BE49-F238E27FC236}">
                  <a16:creationId xmlns:a16="http://schemas.microsoft.com/office/drawing/2014/main" id="{00000000-0008-0000-0E00-000012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54</xdr:row>
          <xdr:rowOff>180975</xdr:rowOff>
        </xdr:from>
        <xdr:to>
          <xdr:col>24</xdr:col>
          <xdr:colOff>723900</xdr:colOff>
          <xdr:row>56</xdr:row>
          <xdr:rowOff>0</xdr:rowOff>
        </xdr:to>
        <xdr:sp macro="" textlink="">
          <xdr:nvSpPr>
            <xdr:cNvPr id="105491" name="Check Box 19" hidden="1">
              <a:extLst>
                <a:ext uri="{63B3BB69-23CF-44E3-9099-C40C66FF867C}">
                  <a14:compatExt spid="_x0000_s105491"/>
                </a:ext>
                <a:ext uri="{FF2B5EF4-FFF2-40B4-BE49-F238E27FC236}">
                  <a16:creationId xmlns:a16="http://schemas.microsoft.com/office/drawing/2014/main" id="{00000000-0008-0000-0E00-000013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55</xdr:row>
          <xdr:rowOff>180975</xdr:rowOff>
        </xdr:from>
        <xdr:to>
          <xdr:col>24</xdr:col>
          <xdr:colOff>723900</xdr:colOff>
          <xdr:row>57</xdr:row>
          <xdr:rowOff>0</xdr:rowOff>
        </xdr:to>
        <xdr:sp macro="" textlink="">
          <xdr:nvSpPr>
            <xdr:cNvPr id="105492" name="Check Box 20" hidden="1">
              <a:extLst>
                <a:ext uri="{63B3BB69-23CF-44E3-9099-C40C66FF867C}">
                  <a14:compatExt spid="_x0000_s105492"/>
                </a:ext>
                <a:ext uri="{FF2B5EF4-FFF2-40B4-BE49-F238E27FC236}">
                  <a16:creationId xmlns:a16="http://schemas.microsoft.com/office/drawing/2014/main" id="{00000000-0008-0000-0E00-000014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56</xdr:row>
          <xdr:rowOff>180975</xdr:rowOff>
        </xdr:from>
        <xdr:to>
          <xdr:col>24</xdr:col>
          <xdr:colOff>723900</xdr:colOff>
          <xdr:row>58</xdr:row>
          <xdr:rowOff>0</xdr:rowOff>
        </xdr:to>
        <xdr:sp macro="" textlink="">
          <xdr:nvSpPr>
            <xdr:cNvPr id="105493" name="Check Box 21" hidden="1">
              <a:extLst>
                <a:ext uri="{63B3BB69-23CF-44E3-9099-C40C66FF867C}">
                  <a14:compatExt spid="_x0000_s105493"/>
                </a:ext>
                <a:ext uri="{FF2B5EF4-FFF2-40B4-BE49-F238E27FC236}">
                  <a16:creationId xmlns:a16="http://schemas.microsoft.com/office/drawing/2014/main" id="{00000000-0008-0000-0E00-000015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57</xdr:row>
          <xdr:rowOff>190500</xdr:rowOff>
        </xdr:from>
        <xdr:to>
          <xdr:col>24</xdr:col>
          <xdr:colOff>723900</xdr:colOff>
          <xdr:row>58</xdr:row>
          <xdr:rowOff>190500</xdr:rowOff>
        </xdr:to>
        <xdr:sp macro="" textlink="">
          <xdr:nvSpPr>
            <xdr:cNvPr id="105494" name="Check Box 22" hidden="1">
              <a:extLst>
                <a:ext uri="{63B3BB69-23CF-44E3-9099-C40C66FF867C}">
                  <a14:compatExt spid="_x0000_s105494"/>
                </a:ext>
                <a:ext uri="{FF2B5EF4-FFF2-40B4-BE49-F238E27FC236}">
                  <a16:creationId xmlns:a16="http://schemas.microsoft.com/office/drawing/2014/main" id="{00000000-0008-0000-0E00-000016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58</xdr:row>
          <xdr:rowOff>180975</xdr:rowOff>
        </xdr:from>
        <xdr:to>
          <xdr:col>24</xdr:col>
          <xdr:colOff>723900</xdr:colOff>
          <xdr:row>60</xdr:row>
          <xdr:rowOff>0</xdr:rowOff>
        </xdr:to>
        <xdr:sp macro="" textlink="">
          <xdr:nvSpPr>
            <xdr:cNvPr id="105495" name="Check Box 23" hidden="1">
              <a:extLst>
                <a:ext uri="{63B3BB69-23CF-44E3-9099-C40C66FF867C}">
                  <a14:compatExt spid="_x0000_s105495"/>
                </a:ext>
                <a:ext uri="{FF2B5EF4-FFF2-40B4-BE49-F238E27FC236}">
                  <a16:creationId xmlns:a16="http://schemas.microsoft.com/office/drawing/2014/main" id="{00000000-0008-0000-0E00-000017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59</xdr:row>
          <xdr:rowOff>171450</xdr:rowOff>
        </xdr:from>
        <xdr:to>
          <xdr:col>24</xdr:col>
          <xdr:colOff>723900</xdr:colOff>
          <xdr:row>60</xdr:row>
          <xdr:rowOff>200025</xdr:rowOff>
        </xdr:to>
        <xdr:sp macro="" textlink="">
          <xdr:nvSpPr>
            <xdr:cNvPr id="105496" name="Check Box 24" hidden="1">
              <a:extLst>
                <a:ext uri="{63B3BB69-23CF-44E3-9099-C40C66FF867C}">
                  <a14:compatExt spid="_x0000_s105496"/>
                </a:ext>
                <a:ext uri="{FF2B5EF4-FFF2-40B4-BE49-F238E27FC236}">
                  <a16:creationId xmlns:a16="http://schemas.microsoft.com/office/drawing/2014/main" id="{00000000-0008-0000-0E00-000018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60</xdr:row>
          <xdr:rowOff>171450</xdr:rowOff>
        </xdr:from>
        <xdr:to>
          <xdr:col>24</xdr:col>
          <xdr:colOff>723900</xdr:colOff>
          <xdr:row>61</xdr:row>
          <xdr:rowOff>180975</xdr:rowOff>
        </xdr:to>
        <xdr:sp macro="" textlink="">
          <xdr:nvSpPr>
            <xdr:cNvPr id="105497" name="Check Box 25" hidden="1">
              <a:extLst>
                <a:ext uri="{63B3BB69-23CF-44E3-9099-C40C66FF867C}">
                  <a14:compatExt spid="_x0000_s105497"/>
                </a:ext>
                <a:ext uri="{FF2B5EF4-FFF2-40B4-BE49-F238E27FC236}">
                  <a16:creationId xmlns:a16="http://schemas.microsoft.com/office/drawing/2014/main" id="{00000000-0008-0000-0E00-0000199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707571</xdr:colOff>
      <xdr:row>48</xdr:row>
      <xdr:rowOff>76042</xdr:rowOff>
    </xdr:from>
    <xdr:to>
      <xdr:col>24</xdr:col>
      <xdr:colOff>762000</xdr:colOff>
      <xdr:row>62</xdr:row>
      <xdr:rowOff>155282</xdr:rowOff>
    </xdr:to>
    <xdr:sp macro="" textlink="">
      <xdr:nvSpPr>
        <xdr:cNvPr id="6" name="Rechteck 5">
          <a:extLst>
            <a:ext uri="{FF2B5EF4-FFF2-40B4-BE49-F238E27FC236}">
              <a16:creationId xmlns:a16="http://schemas.microsoft.com/office/drawing/2014/main" id="{83787479-9665-46DC-972E-6813128CD230}"/>
            </a:ext>
          </a:extLst>
        </xdr:cNvPr>
        <xdr:cNvSpPr/>
      </xdr:nvSpPr>
      <xdr:spPr bwMode="auto">
        <a:xfrm>
          <a:off x="8765721" y="13744417"/>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0.23302</cdr:x>
      <cdr:y>0.03526</cdr:y>
    </cdr:from>
    <cdr:to>
      <cdr:x>0.32481</cdr:x>
      <cdr:y>0.07429</cdr:y>
    </cdr:to>
    <cdr:sp macro="" textlink="'M4 Grünstrom'!$R$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88694" y="216638"/>
          <a:ext cx="62581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266,8</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0.07429</cdr:y>
    </cdr:to>
    <cdr:sp macro="" textlink="'M4 Grünstrom'!$S$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551755" y="216638"/>
          <a:ext cx="62581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94,9</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0.07429</cdr:y>
    </cdr:to>
    <cdr:sp macro="" textlink="'M4 Grünstrom'!$T$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472614" y="216638"/>
          <a:ext cx="625742"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94,9</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5.xml><?xml version="1.0" encoding="utf-8"?>
<c:userShapes xmlns:c="http://schemas.openxmlformats.org/drawingml/2006/chart">
  <cdr:relSizeAnchor xmlns:cdr="http://schemas.openxmlformats.org/drawingml/2006/chartDrawing">
    <cdr:from>
      <cdr:x>0.51422</cdr:x>
      <cdr:y>0.04219</cdr:y>
    </cdr:from>
    <cdr:to>
      <cdr:x>0.63321</cdr:x>
      <cdr:y>0.08134</cdr:y>
    </cdr:to>
    <cdr:sp macro="" textlink="'M4 Grünstrom'!$AB$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43209" y="258411"/>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0920F94-A9A5-449A-9EE6-F5964C12E3FE}" type="TxLink">
            <a:rPr lang="en-US" sz="1000" b="1" i="0" u="none" strike="noStrike" dirty="0" err="1">
              <a:solidFill>
                <a:srgbClr val="323232"/>
              </a:solidFill>
              <a:latin typeface="Arial"/>
              <a:cs typeface="Arial"/>
            </a:rPr>
            <a:pPr/>
            <a:t>5.839</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0.08134</cdr:y>
    </cdr:to>
    <cdr:sp macro="" textlink="'M4 Grünstrom'!$AC$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53019" y="258411"/>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5.839</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4 Grünstrom'!$AA$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12B2141-60C4-4F1A-99D6-431617ADEEB4}" type="TxLink">
            <a:rPr lang="en-US" sz="1000" b="1" i="0" u="none" strike="noStrike" dirty="0" err="1" smtClean="0">
              <a:solidFill>
                <a:srgbClr val="323232"/>
              </a:solidFill>
              <a:latin typeface="Arial"/>
              <a:cs typeface="Arial"/>
            </a:rPr>
            <a:pPr/>
            <a:t>6.098</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6.xml><?xml version="1.0" encoding="utf-8"?>
<c:userShapes xmlns:c="http://schemas.openxmlformats.org/drawingml/2006/chart">
  <cdr:relSizeAnchor xmlns:cdr="http://schemas.openxmlformats.org/drawingml/2006/chartDrawing">
    <cdr:from>
      <cdr:x>0.24983</cdr:x>
      <cdr:y>0.03789</cdr:y>
    </cdr:from>
    <cdr:to>
      <cdr:x>0.38319</cdr:x>
      <cdr:y>0.07717</cdr:y>
    </cdr:to>
    <cdr:sp macro="" textlink="'M4 Grünstrom'!$AI$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31353"/>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262.128 €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0.07717</cdr:y>
    </cdr:to>
    <cdr:sp macro="" textlink="'M4 Grünstrom'!$AJ$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31353"/>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373.562 €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0.07717</cdr:y>
    </cdr:to>
    <cdr:sp macro="" textlink="'M4 Grünstrom'!$AK$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31353"/>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577.938 €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7.xml><?xml version="1.0" encoding="utf-8"?>
<c:userShapes xmlns:c="http://schemas.openxmlformats.org/drawingml/2006/chart">
  <cdr:relSizeAnchor xmlns:cdr="http://schemas.openxmlformats.org/drawingml/2006/chartDrawing">
    <cdr:from>
      <cdr:x>0.26001</cdr:x>
      <cdr:y>0</cdr:y>
    </cdr:from>
    <cdr:to>
      <cdr:x>0.35189</cdr:x>
      <cdr:y>1</cdr:y>
    </cdr:to>
    <cdr:sp macro="" textlink="'M4 Grünstrom'!$AA$93">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716550" y="0"/>
          <a:ext cx="606579"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5.691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4 Grünstrom'!$AB$93">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88885" y="0"/>
          <a:ext cx="60664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5.684</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4 Grünstrom'!$AC$93">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07433" y="0"/>
          <a:ext cx="60664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5.684</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28.xml><?xml version="1.0" encoding="utf-8"?>
<xdr:wsDr xmlns:xdr="http://schemas.openxmlformats.org/drawingml/2006/spreadsheetDrawing" xmlns:a="http://schemas.openxmlformats.org/drawingml/2006/main">
  <xdr:twoCellAnchor>
    <xdr:from>
      <xdr:col>15</xdr:col>
      <xdr:colOff>560292</xdr:colOff>
      <xdr:row>5</xdr:row>
      <xdr:rowOff>209550</xdr:rowOff>
    </xdr:from>
    <xdr:to>
      <xdr:col>21</xdr:col>
      <xdr:colOff>539185</xdr:colOff>
      <xdr:row>33</xdr:row>
      <xdr:rowOff>28948</xdr:rowOff>
    </xdr:to>
    <xdr:graphicFrame macro="">
      <xdr:nvGraphicFramePr>
        <xdr:cNvPr id="2" name="Diagramm 1">
          <a:extLst>
            <a:ext uri="{FF2B5EF4-FFF2-40B4-BE49-F238E27FC236}">
              <a16:creationId xmlns:a16="http://schemas.microsoft.com/office/drawing/2014/main" id="{C9EF06EE-27D9-4ADF-B388-189058EE6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799740</xdr:colOff>
      <xdr:row>5</xdr:row>
      <xdr:rowOff>171450</xdr:rowOff>
    </xdr:from>
    <xdr:to>
      <xdr:col>29</xdr:col>
      <xdr:colOff>778217</xdr:colOff>
      <xdr:row>33</xdr:row>
      <xdr:rowOff>57523</xdr:rowOff>
    </xdr:to>
    <xdr:graphicFrame macro="">
      <xdr:nvGraphicFramePr>
        <xdr:cNvPr id="3" name="Diagramm 2">
          <a:extLst>
            <a:ext uri="{FF2B5EF4-FFF2-40B4-BE49-F238E27FC236}">
              <a16:creationId xmlns:a16="http://schemas.microsoft.com/office/drawing/2014/main" id="{CD3AA0EA-0B40-41EE-AC16-BA004A8A99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523875</xdr:colOff>
          <xdr:row>42</xdr:row>
          <xdr:rowOff>28575</xdr:rowOff>
        </xdr:from>
        <xdr:to>
          <xdr:col>15</xdr:col>
          <xdr:colOff>695325</xdr:colOff>
          <xdr:row>43</xdr:row>
          <xdr:rowOff>0</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F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28575</xdr:rowOff>
        </xdr:from>
        <xdr:to>
          <xdr:col>15</xdr:col>
          <xdr:colOff>695325</xdr:colOff>
          <xdr:row>43</xdr:row>
          <xdr:rowOff>190500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F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28575</xdr:rowOff>
        </xdr:from>
        <xdr:to>
          <xdr:col>15</xdr:col>
          <xdr:colOff>695325</xdr:colOff>
          <xdr:row>44</xdr:row>
          <xdr:rowOff>171450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F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19050</xdr:rowOff>
        </xdr:from>
        <xdr:to>
          <xdr:col>15</xdr:col>
          <xdr:colOff>695325</xdr:colOff>
          <xdr:row>45</xdr:row>
          <xdr:rowOff>190500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F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19050</xdr:rowOff>
        </xdr:from>
        <xdr:to>
          <xdr:col>15</xdr:col>
          <xdr:colOff>695325</xdr:colOff>
          <xdr:row>46</xdr:row>
          <xdr:rowOff>171450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F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0</xdr:rowOff>
        </xdr:from>
        <xdr:to>
          <xdr:col>15</xdr:col>
          <xdr:colOff>695325</xdr:colOff>
          <xdr:row>47</xdr:row>
          <xdr:rowOff>171450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F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48</xdr:row>
          <xdr:rowOff>9525</xdr:rowOff>
        </xdr:from>
        <xdr:to>
          <xdr:col>15</xdr:col>
          <xdr:colOff>695325</xdr:colOff>
          <xdr:row>48</xdr:row>
          <xdr:rowOff>190500</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F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665157</xdr:colOff>
      <xdr:row>5</xdr:row>
      <xdr:rowOff>142875</xdr:rowOff>
    </xdr:from>
    <xdr:to>
      <xdr:col>40</xdr:col>
      <xdr:colOff>445249</xdr:colOff>
      <xdr:row>33</xdr:row>
      <xdr:rowOff>28948</xdr:rowOff>
    </xdr:to>
    <xdr:graphicFrame macro="">
      <xdr:nvGraphicFramePr>
        <xdr:cNvPr id="4" name="Diagramm 3">
          <a:extLst>
            <a:ext uri="{FF2B5EF4-FFF2-40B4-BE49-F238E27FC236}">
              <a16:creationId xmlns:a16="http://schemas.microsoft.com/office/drawing/2014/main" id="{0C62AB3F-1576-4E05-AD81-EF7EC4C9E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33</xdr:col>
          <xdr:colOff>457200</xdr:colOff>
          <xdr:row>53</xdr:row>
          <xdr:rowOff>0</xdr:rowOff>
        </xdr:from>
        <xdr:to>
          <xdr:col>33</xdr:col>
          <xdr:colOff>685800</xdr:colOff>
          <xdr:row>53</xdr:row>
          <xdr:rowOff>171450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F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54</xdr:row>
          <xdr:rowOff>19050</xdr:rowOff>
        </xdr:from>
        <xdr:to>
          <xdr:col>34</xdr:col>
          <xdr:colOff>0</xdr:colOff>
          <xdr:row>55</xdr:row>
          <xdr:rowOff>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F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55</xdr:row>
          <xdr:rowOff>19050</xdr:rowOff>
        </xdr:from>
        <xdr:to>
          <xdr:col>34</xdr:col>
          <xdr:colOff>0</xdr:colOff>
          <xdr:row>56</xdr:row>
          <xdr:rowOff>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F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56</xdr:row>
          <xdr:rowOff>9525</xdr:rowOff>
        </xdr:from>
        <xdr:to>
          <xdr:col>34</xdr:col>
          <xdr:colOff>0</xdr:colOff>
          <xdr:row>56</xdr:row>
          <xdr:rowOff>190500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F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51</xdr:row>
          <xdr:rowOff>9525</xdr:rowOff>
        </xdr:from>
        <xdr:to>
          <xdr:col>33</xdr:col>
          <xdr:colOff>685800</xdr:colOff>
          <xdr:row>52</xdr:row>
          <xdr:rowOff>19050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F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50</xdr:row>
          <xdr:rowOff>0</xdr:rowOff>
        </xdr:from>
        <xdr:to>
          <xdr:col>33</xdr:col>
          <xdr:colOff>685800</xdr:colOff>
          <xdr:row>51</xdr:row>
          <xdr:rowOff>19050</xdr:rowOff>
        </xdr:to>
        <xdr:sp macro="" textlink="">
          <xdr:nvSpPr>
            <xdr:cNvPr id="122893" name="Check Box 13" hidden="1">
              <a:extLst>
                <a:ext uri="{63B3BB69-23CF-44E3-9099-C40C66FF867C}">
                  <a14:compatExt spid="_x0000_s122893"/>
                </a:ext>
                <a:ext uri="{FF2B5EF4-FFF2-40B4-BE49-F238E27FC236}">
                  <a16:creationId xmlns:a16="http://schemas.microsoft.com/office/drawing/2014/main" id="{00000000-0008-0000-0F00-00000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52</xdr:row>
          <xdr:rowOff>9525</xdr:rowOff>
        </xdr:from>
        <xdr:to>
          <xdr:col>33</xdr:col>
          <xdr:colOff>685800</xdr:colOff>
          <xdr:row>53</xdr:row>
          <xdr:rowOff>0</xdr:rowOff>
        </xdr:to>
        <xdr:sp macro="" textlink="">
          <xdr:nvSpPr>
            <xdr:cNvPr id="122894" name="Check Box 14" hidden="1">
              <a:extLst>
                <a:ext uri="{63B3BB69-23CF-44E3-9099-C40C66FF867C}">
                  <a14:compatExt spid="_x0000_s122894"/>
                </a:ext>
                <a:ext uri="{FF2B5EF4-FFF2-40B4-BE49-F238E27FC236}">
                  <a16:creationId xmlns:a16="http://schemas.microsoft.com/office/drawing/2014/main" id="{00000000-0008-0000-0F00-00000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740668</xdr:colOff>
      <xdr:row>77</xdr:row>
      <xdr:rowOff>112979</xdr:rowOff>
    </xdr:from>
    <xdr:to>
      <xdr:col>31</xdr:col>
      <xdr:colOff>208303</xdr:colOff>
      <xdr:row>101</xdr:row>
      <xdr:rowOff>37012</xdr:rowOff>
    </xdr:to>
    <xdr:graphicFrame macro="">
      <xdr:nvGraphicFramePr>
        <xdr:cNvPr id="5" name="Diagramm 4">
          <a:extLst>
            <a:ext uri="{FF2B5EF4-FFF2-40B4-BE49-F238E27FC236}">
              <a16:creationId xmlns:a16="http://schemas.microsoft.com/office/drawing/2014/main" id="{E2DEAAFA-A2A4-49B5-A636-14A746E34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514350</xdr:colOff>
          <xdr:row>50</xdr:row>
          <xdr:rowOff>152400</xdr:rowOff>
        </xdr:from>
        <xdr:to>
          <xdr:col>24</xdr:col>
          <xdr:colOff>733425</xdr:colOff>
          <xdr:row>52</xdr:row>
          <xdr:rowOff>0</xdr:rowOff>
        </xdr:to>
        <xdr:sp macro="" textlink="">
          <xdr:nvSpPr>
            <xdr:cNvPr id="122895" name="Check Box 15" hidden="1">
              <a:extLst>
                <a:ext uri="{63B3BB69-23CF-44E3-9099-C40C66FF867C}">
                  <a14:compatExt spid="_x0000_s122895"/>
                </a:ext>
                <a:ext uri="{FF2B5EF4-FFF2-40B4-BE49-F238E27FC236}">
                  <a16:creationId xmlns:a16="http://schemas.microsoft.com/office/drawing/2014/main" id="{00000000-0008-0000-0F00-00000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51</xdr:row>
          <xdr:rowOff>171450</xdr:rowOff>
        </xdr:from>
        <xdr:to>
          <xdr:col>24</xdr:col>
          <xdr:colOff>733425</xdr:colOff>
          <xdr:row>52</xdr:row>
          <xdr:rowOff>190500</xdr:rowOff>
        </xdr:to>
        <xdr:sp macro="" textlink="">
          <xdr:nvSpPr>
            <xdr:cNvPr id="122896" name="Check Box 16" hidden="1">
              <a:extLst>
                <a:ext uri="{63B3BB69-23CF-44E3-9099-C40C66FF867C}">
                  <a14:compatExt spid="_x0000_s122896"/>
                </a:ext>
                <a:ext uri="{FF2B5EF4-FFF2-40B4-BE49-F238E27FC236}">
                  <a16:creationId xmlns:a16="http://schemas.microsoft.com/office/drawing/2014/main" id="{00000000-0008-0000-0F00-000010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52</xdr:row>
          <xdr:rowOff>180975</xdr:rowOff>
        </xdr:from>
        <xdr:to>
          <xdr:col>24</xdr:col>
          <xdr:colOff>733425</xdr:colOff>
          <xdr:row>53</xdr:row>
          <xdr:rowOff>190500</xdr:rowOff>
        </xdr:to>
        <xdr:sp macro="" textlink="">
          <xdr:nvSpPr>
            <xdr:cNvPr id="122897" name="Check Box 17" hidden="1">
              <a:extLst>
                <a:ext uri="{63B3BB69-23CF-44E3-9099-C40C66FF867C}">
                  <a14:compatExt spid="_x0000_s122897"/>
                </a:ext>
                <a:ext uri="{FF2B5EF4-FFF2-40B4-BE49-F238E27FC236}">
                  <a16:creationId xmlns:a16="http://schemas.microsoft.com/office/drawing/2014/main" id="{00000000-0008-0000-0F00-00001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53</xdr:row>
          <xdr:rowOff>180975</xdr:rowOff>
        </xdr:from>
        <xdr:to>
          <xdr:col>24</xdr:col>
          <xdr:colOff>733425</xdr:colOff>
          <xdr:row>55</xdr:row>
          <xdr:rowOff>0</xdr:rowOff>
        </xdr:to>
        <xdr:sp macro="" textlink="">
          <xdr:nvSpPr>
            <xdr:cNvPr id="122898" name="Check Box 18" hidden="1">
              <a:extLst>
                <a:ext uri="{63B3BB69-23CF-44E3-9099-C40C66FF867C}">
                  <a14:compatExt spid="_x0000_s122898"/>
                </a:ext>
                <a:ext uri="{FF2B5EF4-FFF2-40B4-BE49-F238E27FC236}">
                  <a16:creationId xmlns:a16="http://schemas.microsoft.com/office/drawing/2014/main" id="{00000000-0008-0000-0F00-00001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54</xdr:row>
          <xdr:rowOff>180975</xdr:rowOff>
        </xdr:from>
        <xdr:to>
          <xdr:col>24</xdr:col>
          <xdr:colOff>733425</xdr:colOff>
          <xdr:row>56</xdr:row>
          <xdr:rowOff>0</xdr:rowOff>
        </xdr:to>
        <xdr:sp macro="" textlink="">
          <xdr:nvSpPr>
            <xdr:cNvPr id="122899" name="Check Box 19" hidden="1">
              <a:extLst>
                <a:ext uri="{63B3BB69-23CF-44E3-9099-C40C66FF867C}">
                  <a14:compatExt spid="_x0000_s122899"/>
                </a:ext>
                <a:ext uri="{FF2B5EF4-FFF2-40B4-BE49-F238E27FC236}">
                  <a16:creationId xmlns:a16="http://schemas.microsoft.com/office/drawing/2014/main" id="{00000000-0008-0000-0F00-00001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55</xdr:row>
          <xdr:rowOff>180975</xdr:rowOff>
        </xdr:from>
        <xdr:to>
          <xdr:col>24</xdr:col>
          <xdr:colOff>733425</xdr:colOff>
          <xdr:row>57</xdr:row>
          <xdr:rowOff>0</xdr:rowOff>
        </xdr:to>
        <xdr:sp macro="" textlink="">
          <xdr:nvSpPr>
            <xdr:cNvPr id="122900" name="Check Box 20" hidden="1">
              <a:extLst>
                <a:ext uri="{63B3BB69-23CF-44E3-9099-C40C66FF867C}">
                  <a14:compatExt spid="_x0000_s122900"/>
                </a:ext>
                <a:ext uri="{FF2B5EF4-FFF2-40B4-BE49-F238E27FC236}">
                  <a16:creationId xmlns:a16="http://schemas.microsoft.com/office/drawing/2014/main" id="{00000000-0008-0000-0F00-00001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56</xdr:row>
          <xdr:rowOff>180975</xdr:rowOff>
        </xdr:from>
        <xdr:to>
          <xdr:col>24</xdr:col>
          <xdr:colOff>733425</xdr:colOff>
          <xdr:row>58</xdr:row>
          <xdr:rowOff>0</xdr:rowOff>
        </xdr:to>
        <xdr:sp macro="" textlink="">
          <xdr:nvSpPr>
            <xdr:cNvPr id="122901" name="Check Box 21" hidden="1">
              <a:extLst>
                <a:ext uri="{63B3BB69-23CF-44E3-9099-C40C66FF867C}">
                  <a14:compatExt spid="_x0000_s122901"/>
                </a:ext>
                <a:ext uri="{FF2B5EF4-FFF2-40B4-BE49-F238E27FC236}">
                  <a16:creationId xmlns:a16="http://schemas.microsoft.com/office/drawing/2014/main" id="{00000000-0008-0000-0F00-00001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57</xdr:row>
          <xdr:rowOff>190500</xdr:rowOff>
        </xdr:from>
        <xdr:to>
          <xdr:col>24</xdr:col>
          <xdr:colOff>733425</xdr:colOff>
          <xdr:row>58</xdr:row>
          <xdr:rowOff>190500</xdr:rowOff>
        </xdr:to>
        <xdr:sp macro="" textlink="">
          <xdr:nvSpPr>
            <xdr:cNvPr id="122902" name="Check Box 22" hidden="1">
              <a:extLst>
                <a:ext uri="{63B3BB69-23CF-44E3-9099-C40C66FF867C}">
                  <a14:compatExt spid="_x0000_s122902"/>
                </a:ext>
                <a:ext uri="{FF2B5EF4-FFF2-40B4-BE49-F238E27FC236}">
                  <a16:creationId xmlns:a16="http://schemas.microsoft.com/office/drawing/2014/main" id="{00000000-0008-0000-0F00-00001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58</xdr:row>
          <xdr:rowOff>180975</xdr:rowOff>
        </xdr:from>
        <xdr:to>
          <xdr:col>24</xdr:col>
          <xdr:colOff>733425</xdr:colOff>
          <xdr:row>59</xdr:row>
          <xdr:rowOff>190500</xdr:rowOff>
        </xdr:to>
        <xdr:sp macro="" textlink="">
          <xdr:nvSpPr>
            <xdr:cNvPr id="122903" name="Check Box 23" hidden="1">
              <a:extLst>
                <a:ext uri="{63B3BB69-23CF-44E3-9099-C40C66FF867C}">
                  <a14:compatExt spid="_x0000_s122903"/>
                </a:ext>
                <a:ext uri="{FF2B5EF4-FFF2-40B4-BE49-F238E27FC236}">
                  <a16:creationId xmlns:a16="http://schemas.microsoft.com/office/drawing/2014/main" id="{00000000-0008-0000-0F00-00001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59</xdr:row>
          <xdr:rowOff>171450</xdr:rowOff>
        </xdr:from>
        <xdr:to>
          <xdr:col>24</xdr:col>
          <xdr:colOff>733425</xdr:colOff>
          <xdr:row>60</xdr:row>
          <xdr:rowOff>171450</xdr:rowOff>
        </xdr:to>
        <xdr:sp macro="" textlink="">
          <xdr:nvSpPr>
            <xdr:cNvPr id="122904" name="Check Box 24" hidden="1">
              <a:extLst>
                <a:ext uri="{63B3BB69-23CF-44E3-9099-C40C66FF867C}">
                  <a14:compatExt spid="_x0000_s122904"/>
                </a:ext>
                <a:ext uri="{FF2B5EF4-FFF2-40B4-BE49-F238E27FC236}">
                  <a16:creationId xmlns:a16="http://schemas.microsoft.com/office/drawing/2014/main" id="{00000000-0008-0000-0F00-00001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60</xdr:row>
          <xdr:rowOff>171450</xdr:rowOff>
        </xdr:from>
        <xdr:to>
          <xdr:col>24</xdr:col>
          <xdr:colOff>733425</xdr:colOff>
          <xdr:row>61</xdr:row>
          <xdr:rowOff>171450</xdr:rowOff>
        </xdr:to>
        <xdr:sp macro="" textlink="">
          <xdr:nvSpPr>
            <xdr:cNvPr id="122905" name="Check Box 25" hidden="1">
              <a:extLst>
                <a:ext uri="{63B3BB69-23CF-44E3-9099-C40C66FF867C}">
                  <a14:compatExt spid="_x0000_s122905"/>
                </a:ext>
                <a:ext uri="{FF2B5EF4-FFF2-40B4-BE49-F238E27FC236}">
                  <a16:creationId xmlns:a16="http://schemas.microsoft.com/office/drawing/2014/main" id="{00000000-0008-0000-0F00-00001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707571</xdr:colOff>
      <xdr:row>48</xdr:row>
      <xdr:rowOff>76042</xdr:rowOff>
    </xdr:from>
    <xdr:to>
      <xdr:col>24</xdr:col>
      <xdr:colOff>762000</xdr:colOff>
      <xdr:row>62</xdr:row>
      <xdr:rowOff>155282</xdr:rowOff>
    </xdr:to>
    <xdr:sp macro="" textlink="">
      <xdr:nvSpPr>
        <xdr:cNvPr id="6" name="Rechteck 5">
          <a:extLst>
            <a:ext uri="{FF2B5EF4-FFF2-40B4-BE49-F238E27FC236}">
              <a16:creationId xmlns:a16="http://schemas.microsoft.com/office/drawing/2014/main" id="{BD1E34E8-7ED8-414C-91FA-10468FF83460}"/>
            </a:ext>
          </a:extLst>
        </xdr:cNvPr>
        <xdr:cNvSpPr/>
      </xdr:nvSpPr>
      <xdr:spPr bwMode="auto">
        <a:xfrm>
          <a:off x="8622846" y="15611317"/>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2</xdr:col>
      <xdr:colOff>695325</xdr:colOff>
      <xdr:row>20</xdr:row>
      <xdr:rowOff>142875</xdr:rowOff>
    </xdr:from>
    <xdr:to>
      <xdr:col>11</xdr:col>
      <xdr:colOff>1018200</xdr:colOff>
      <xdr:row>20</xdr:row>
      <xdr:rowOff>142875</xdr:rowOff>
    </xdr:to>
    <xdr:cxnSp macro="">
      <xdr:nvCxnSpPr>
        <xdr:cNvPr id="9" name="Gerader Verbinder 8">
          <a:extLst>
            <a:ext uri="{FF2B5EF4-FFF2-40B4-BE49-F238E27FC236}">
              <a16:creationId xmlns:a16="http://schemas.microsoft.com/office/drawing/2014/main" id="{C396E694-0590-4AE2-897A-39933AC2D41E}"/>
            </a:ext>
          </a:extLst>
        </xdr:cNvPr>
        <xdr:cNvCxnSpPr/>
      </xdr:nvCxnSpPr>
      <xdr:spPr bwMode="auto">
        <a:xfrm>
          <a:off x="1228725" y="6000750"/>
          <a:ext cx="932400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11</xdr:col>
      <xdr:colOff>590550</xdr:colOff>
      <xdr:row>11</xdr:row>
      <xdr:rowOff>156883</xdr:rowOff>
    </xdr:from>
    <xdr:to>
      <xdr:col>12</xdr:col>
      <xdr:colOff>562535</xdr:colOff>
      <xdr:row>19</xdr:row>
      <xdr:rowOff>104775</xdr:rowOff>
    </xdr:to>
    <xdr:grpSp>
      <xdr:nvGrpSpPr>
        <xdr:cNvPr id="10" name="Gruppieren 9">
          <a:extLst>
            <a:ext uri="{FF2B5EF4-FFF2-40B4-BE49-F238E27FC236}">
              <a16:creationId xmlns:a16="http://schemas.microsoft.com/office/drawing/2014/main" id="{DEAE48A6-AFEB-4672-BA97-FE9D32B75F38}"/>
            </a:ext>
          </a:extLst>
        </xdr:cNvPr>
        <xdr:cNvGrpSpPr/>
      </xdr:nvGrpSpPr>
      <xdr:grpSpPr>
        <a:xfrm>
          <a:off x="10315575" y="4252633"/>
          <a:ext cx="3248585" cy="1443317"/>
          <a:chOff x="10163735" y="4280648"/>
          <a:chExt cx="3081618" cy="1266262"/>
        </a:xfrm>
      </xdr:grpSpPr>
      <xdr:sp macro="" textlink="$B$107">
        <xdr:nvSpPr>
          <xdr:cNvPr id="11" name="Textfeld 10">
            <a:extLst>
              <a:ext uri="{FF2B5EF4-FFF2-40B4-BE49-F238E27FC236}">
                <a16:creationId xmlns:a16="http://schemas.microsoft.com/office/drawing/2014/main" id="{1DA72E8A-1EC3-3FA1-E192-BBE095E73AE0}"/>
              </a:ext>
            </a:extLst>
          </xdr:cNvPr>
          <xdr:cNvSpPr txBox="1"/>
        </xdr:nvSpPr>
        <xdr:spPr>
          <a:xfrm>
            <a:off x="10163735" y="4650439"/>
            <a:ext cx="3081600" cy="896471"/>
          </a:xfrm>
          <a:prstGeom prst="rect">
            <a:avLst/>
          </a:prstGeom>
          <a:noFill/>
          <a:ln>
            <a:solidFill>
              <a:schemeClr val="bg1">
                <a:lumMod val="50000"/>
              </a:schemeClr>
            </a:solidFill>
          </a:ln>
        </xdr:spPr>
        <xdr:txBody>
          <a:bodyPr vertOverflow="clip" horzOverflow="clip" wrap="square" rtlCol="0" anchor="t">
            <a:noAutofit/>
          </a:bodyPr>
          <a:lstStyle/>
          <a:p>
            <a:pPr algn="ctr"/>
            <a:fld id="{9FE8B345-2C17-4A17-BA41-CD1DE2383173}" type="TxLink">
              <a:rPr lang="en-US" sz="1000" b="0" i="0" u="none" strike="noStrike" dirty="0" err="1" smtClean="0">
                <a:solidFill>
                  <a:srgbClr val="323232"/>
                </a:solidFill>
                <a:latin typeface="Arial"/>
                <a:cs typeface="Arial"/>
              </a:rPr>
              <a:pPr algn="ctr"/>
              <a:t> </a:t>
            </a:fld>
            <a:endParaRPr lang="en-US" sz="1000" b="0" i="0" u="none" strike="noStrike" dirty="0" err="1">
              <a:solidFill>
                <a:sysClr val="windowText" lastClr="000000"/>
              </a:solidFill>
              <a:latin typeface="Arial"/>
              <a:cs typeface="Arial"/>
            </a:endParaRPr>
          </a:p>
        </xdr:txBody>
      </xdr:sp>
      <xdr:sp macro="" textlink="">
        <xdr:nvSpPr>
          <xdr:cNvPr id="12" name="Rechteck 11">
            <a:extLst>
              <a:ext uri="{FF2B5EF4-FFF2-40B4-BE49-F238E27FC236}">
                <a16:creationId xmlns:a16="http://schemas.microsoft.com/office/drawing/2014/main" id="{F11D0FA0-B614-83C9-DC5C-72F17B0B1847}"/>
              </a:ext>
            </a:extLst>
          </xdr:cNvPr>
          <xdr:cNvSpPr/>
        </xdr:nvSpPr>
        <xdr:spPr bwMode="auto">
          <a:xfrm>
            <a:off x="10163735" y="4280648"/>
            <a:ext cx="3081618" cy="369794"/>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grpSp>
    <xdr:clientData/>
  </xdr:twoCellAnchor>
</xdr:wsDr>
</file>

<file path=xl/drawings/drawing29.xml><?xml version="1.0" encoding="utf-8"?>
<c:userShapes xmlns:c="http://schemas.openxmlformats.org/drawingml/2006/chart">
  <cdr:relSizeAnchor xmlns:cdr="http://schemas.openxmlformats.org/drawingml/2006/chartDrawing">
    <cdr:from>
      <cdr:x>0.23302</cdr:x>
      <cdr:y>0.03526</cdr:y>
    </cdr:from>
    <cdr:to>
      <cdr:x>0.32481</cdr:x>
      <cdr:y>0.07057</cdr:y>
    </cdr:to>
    <cdr:sp macro="" textlink="'M5 PV-Anlage'!$R$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55401" y="239475"/>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266,8</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0.07057</cdr:y>
    </cdr:to>
    <cdr:sp macro="" textlink="'M5 PV-Anlage'!$S$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77325" y="239475"/>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192,1</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0.07057</cdr:y>
    </cdr:to>
    <cdr:sp macro="" textlink="'M5 PV-Anlage'!$T$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57930" y="239475"/>
          <a:ext cx="61262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142,8</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xml><?xml version="1.0" encoding="utf-8"?>
<xdr:wsDr xmlns:xdr="http://schemas.openxmlformats.org/drawingml/2006/spreadsheetDrawing" xmlns:a="http://schemas.openxmlformats.org/drawingml/2006/main">
  <xdr:twoCellAnchor>
    <xdr:from>
      <xdr:col>14</xdr:col>
      <xdr:colOff>1217839</xdr:colOff>
      <xdr:row>46</xdr:row>
      <xdr:rowOff>161080</xdr:rowOff>
    </xdr:from>
    <xdr:to>
      <xdr:col>15</xdr:col>
      <xdr:colOff>1439091</xdr:colOff>
      <xdr:row>49</xdr:row>
      <xdr:rowOff>198121</xdr:rowOff>
    </xdr:to>
    <xdr:sp macro="" textlink="$P$86">
      <xdr:nvSpPr>
        <xdr:cNvPr id="12" name="Textfeld 11">
          <a:extLst>
            <a:ext uri="{FF2B5EF4-FFF2-40B4-BE49-F238E27FC236}">
              <a16:creationId xmlns:a16="http://schemas.microsoft.com/office/drawing/2014/main" id="{1606CF76-A3C5-4342-8B05-79C845F39F84}"/>
            </a:ext>
          </a:extLst>
        </xdr:cNvPr>
        <xdr:cNvSpPr txBox="1"/>
      </xdr:nvSpPr>
      <xdr:spPr>
        <a:xfrm>
          <a:off x="17369518" y="10135116"/>
          <a:ext cx="1541144" cy="594934"/>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11</xdr:col>
      <xdr:colOff>542925</xdr:colOff>
      <xdr:row>63</xdr:row>
      <xdr:rowOff>115663</xdr:rowOff>
    </xdr:from>
    <xdr:to>
      <xdr:col>12</xdr:col>
      <xdr:colOff>1492703</xdr:colOff>
      <xdr:row>66</xdr:row>
      <xdr:rowOff>85725</xdr:rowOff>
    </xdr:to>
    <xdr:sp macro="" textlink="$M$87">
      <xdr:nvSpPr>
        <xdr:cNvPr id="14" name="Textfeld 13">
          <a:extLst>
            <a:ext uri="{FF2B5EF4-FFF2-40B4-BE49-F238E27FC236}">
              <a16:creationId xmlns:a16="http://schemas.microsoft.com/office/drawing/2014/main" id="{DF0E2715-0183-43D8-9E0B-067E73A8AA44}"/>
            </a:ext>
          </a:extLst>
        </xdr:cNvPr>
        <xdr:cNvSpPr txBox="1"/>
      </xdr:nvSpPr>
      <xdr:spPr>
        <a:xfrm>
          <a:off x="12753975" y="11831413"/>
          <a:ext cx="2273753" cy="493937"/>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11</xdr:col>
      <xdr:colOff>1171575</xdr:colOff>
      <xdr:row>50</xdr:row>
      <xdr:rowOff>26913</xdr:rowOff>
    </xdr:from>
    <xdr:to>
      <xdr:col>12</xdr:col>
      <xdr:colOff>1266825</xdr:colOff>
      <xdr:row>55</xdr:row>
      <xdr:rowOff>9526</xdr:rowOff>
    </xdr:to>
    <xdr:sp macro="" textlink="$M$86">
      <xdr:nvSpPr>
        <xdr:cNvPr id="15" name="Textfeld 14">
          <a:extLst>
            <a:ext uri="{FF2B5EF4-FFF2-40B4-BE49-F238E27FC236}">
              <a16:creationId xmlns:a16="http://schemas.microsoft.com/office/drawing/2014/main" id="{B2F27240-89A6-4C88-B3F3-8F60FFEF88C0}"/>
            </a:ext>
          </a:extLst>
        </xdr:cNvPr>
        <xdr:cNvSpPr txBox="1"/>
      </xdr:nvSpPr>
      <xdr:spPr>
        <a:xfrm>
          <a:off x="13382625" y="10323438"/>
          <a:ext cx="1419225" cy="982738"/>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11</xdr:col>
      <xdr:colOff>1083128</xdr:colOff>
      <xdr:row>49</xdr:row>
      <xdr:rowOff>176591</xdr:rowOff>
    </xdr:from>
    <xdr:to>
      <xdr:col>12</xdr:col>
      <xdr:colOff>1092653</xdr:colOff>
      <xdr:row>52</xdr:row>
      <xdr:rowOff>186418</xdr:rowOff>
    </xdr:to>
    <xdr:sp macro="" textlink="$M$86">
      <xdr:nvSpPr>
        <xdr:cNvPr id="16" name="Textfeld 15">
          <a:extLst>
            <a:ext uri="{FF2B5EF4-FFF2-40B4-BE49-F238E27FC236}">
              <a16:creationId xmlns:a16="http://schemas.microsoft.com/office/drawing/2014/main" id="{7C000F7B-4E6E-4079-9156-FC51F8ABB93F}"/>
            </a:ext>
          </a:extLst>
        </xdr:cNvPr>
        <xdr:cNvSpPr txBox="1"/>
      </xdr:nvSpPr>
      <xdr:spPr>
        <a:xfrm>
          <a:off x="13275128" y="10381948"/>
          <a:ext cx="1329418" cy="594934"/>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14</xdr:col>
      <xdr:colOff>1238250</xdr:colOff>
      <xdr:row>50</xdr:row>
      <xdr:rowOff>44633</xdr:rowOff>
    </xdr:from>
    <xdr:to>
      <xdr:col>15</xdr:col>
      <xdr:colOff>1547406</xdr:colOff>
      <xdr:row>55</xdr:row>
      <xdr:rowOff>87359</xdr:rowOff>
    </xdr:to>
    <xdr:sp macro="" textlink="$P$87">
      <xdr:nvSpPr>
        <xdr:cNvPr id="3" name="Textfeld 12">
          <a:extLst>
            <a:ext uri="{FF2B5EF4-FFF2-40B4-BE49-F238E27FC236}">
              <a16:creationId xmlns:a16="http://schemas.microsoft.com/office/drawing/2014/main" id="{5B51D4DA-39C4-4353-BE97-25F9059E911D}"/>
            </a:ext>
          </a:extLst>
        </xdr:cNvPr>
        <xdr:cNvSpPr txBox="1"/>
      </xdr:nvSpPr>
      <xdr:spPr>
        <a:xfrm>
          <a:off x="17389929" y="10780669"/>
          <a:ext cx="1629048" cy="655047"/>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0.51422</cdr:x>
      <cdr:y>0.04219</cdr:y>
    </cdr:from>
    <cdr:to>
      <cdr:x>0.63321</cdr:x>
      <cdr:y>0.07716</cdr:y>
    </cdr:to>
    <cdr:sp macro="" textlink="'M5 PV-Anlage'!$AB$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43209" y="289354"/>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D04F997-4F52-454B-A954-00CFFEE3F404}" type="TxLink">
            <a:rPr lang="en-US" sz="1000" b="1" i="0" u="none" strike="noStrike" dirty="0" err="1">
              <a:solidFill>
                <a:srgbClr val="323232"/>
              </a:solidFill>
              <a:latin typeface="Arial"/>
              <a:cs typeface="Arial"/>
            </a:rPr>
            <a:pPr/>
            <a:t>5.938</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0.07716</cdr:y>
    </cdr:to>
    <cdr:sp macro="" textlink="'M5 PV-Anlage'!$AC$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53019" y="289354"/>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5.881</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5 PV-Anlage'!$AA$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85A6EC5-B1AA-4618-9E48-4E64AF7B5DB6}" type="TxLink">
            <a:rPr lang="en-US" sz="1000" b="1" i="0" u="none" strike="noStrike" dirty="0" err="1" smtClean="0">
              <a:solidFill>
                <a:srgbClr val="323232"/>
              </a:solidFill>
              <a:latin typeface="Arial"/>
              <a:cs typeface="Arial"/>
            </a:rPr>
            <a:pPr/>
            <a:t>6.098</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1.xml><?xml version="1.0" encoding="utf-8"?>
<c:userShapes xmlns:c="http://schemas.openxmlformats.org/drawingml/2006/chart">
  <cdr:relSizeAnchor xmlns:cdr="http://schemas.openxmlformats.org/drawingml/2006/chartDrawing">
    <cdr:from>
      <cdr:x>0.24983</cdr:x>
      <cdr:y>0.03789</cdr:y>
    </cdr:from>
    <cdr:to>
      <cdr:x>0.38319</cdr:x>
      <cdr:y>0.07286</cdr:y>
    </cdr:to>
    <cdr:sp macro="" textlink="'M5 PV-Anlage'!$AJ$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59864"/>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262.128 €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0.07286</cdr:y>
    </cdr:to>
    <cdr:sp macro="" textlink="'M5 PV-Anlage'!$AK$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59864"/>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396.674 €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0.07286</cdr:y>
    </cdr:to>
    <cdr:sp macro="" textlink="'M5 PV-Anlage'!$AL$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59864"/>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599.982 €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2.xml><?xml version="1.0" encoding="utf-8"?>
<c:userShapes xmlns:c="http://schemas.openxmlformats.org/drawingml/2006/chart">
  <cdr:relSizeAnchor xmlns:cdr="http://schemas.openxmlformats.org/drawingml/2006/chartDrawing">
    <cdr:from>
      <cdr:x>0.26001</cdr:x>
      <cdr:y>0</cdr:y>
    </cdr:from>
    <cdr:to>
      <cdr:x>0.35189</cdr:x>
      <cdr:y>1</cdr:y>
    </cdr:to>
    <cdr:sp macro="" textlink="'M5 PV-Anlage'!$AA$93">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766082" y="0"/>
          <a:ext cx="624082"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5.691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5 PV-Anlage'!$AB$93">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589558" y="0"/>
          <a:ext cx="62415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5.685</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5 PV-Anlage'!$AC$93">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460582" y="0"/>
          <a:ext cx="62415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5.678</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3.xml><?xml version="1.0" encoding="utf-8"?>
<xdr:wsDr xmlns:xdr="http://schemas.openxmlformats.org/drawingml/2006/spreadsheetDrawing" xmlns:a="http://schemas.openxmlformats.org/drawingml/2006/main">
  <xdr:twoCellAnchor>
    <xdr:from>
      <xdr:col>15</xdr:col>
      <xdr:colOff>560292</xdr:colOff>
      <xdr:row>5</xdr:row>
      <xdr:rowOff>161926</xdr:rowOff>
    </xdr:from>
    <xdr:to>
      <xdr:col>21</xdr:col>
      <xdr:colOff>539185</xdr:colOff>
      <xdr:row>33</xdr:row>
      <xdr:rowOff>28949</xdr:rowOff>
    </xdr:to>
    <xdr:graphicFrame macro="">
      <xdr:nvGraphicFramePr>
        <xdr:cNvPr id="2" name="Diagramm 1">
          <a:extLst>
            <a:ext uri="{FF2B5EF4-FFF2-40B4-BE49-F238E27FC236}">
              <a16:creationId xmlns:a16="http://schemas.microsoft.com/office/drawing/2014/main" id="{9B9FFDBF-F6D0-4009-91BB-B38C68E64D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799740</xdr:colOff>
      <xdr:row>5</xdr:row>
      <xdr:rowOff>209551</xdr:rowOff>
    </xdr:from>
    <xdr:to>
      <xdr:col>29</xdr:col>
      <xdr:colOff>778217</xdr:colOff>
      <xdr:row>33</xdr:row>
      <xdr:rowOff>57524</xdr:rowOff>
    </xdr:to>
    <xdr:graphicFrame macro="">
      <xdr:nvGraphicFramePr>
        <xdr:cNvPr id="3" name="Diagramm 2">
          <a:extLst>
            <a:ext uri="{FF2B5EF4-FFF2-40B4-BE49-F238E27FC236}">
              <a16:creationId xmlns:a16="http://schemas.microsoft.com/office/drawing/2014/main" id="{73775ED0-88B0-4C6E-9EF9-24AA81E73F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523875</xdr:colOff>
          <xdr:row>42</xdr:row>
          <xdr:rowOff>28575</xdr:rowOff>
        </xdr:from>
        <xdr:to>
          <xdr:col>15</xdr:col>
          <xdr:colOff>704850</xdr:colOff>
          <xdr:row>43</xdr:row>
          <xdr:rowOff>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10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43</xdr:row>
          <xdr:rowOff>28575</xdr:rowOff>
        </xdr:from>
        <xdr:to>
          <xdr:col>15</xdr:col>
          <xdr:colOff>704850</xdr:colOff>
          <xdr:row>43</xdr:row>
          <xdr:rowOff>190500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10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44</xdr:row>
          <xdr:rowOff>28575</xdr:rowOff>
        </xdr:from>
        <xdr:to>
          <xdr:col>15</xdr:col>
          <xdr:colOff>704850</xdr:colOff>
          <xdr:row>44</xdr:row>
          <xdr:rowOff>180975</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10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45</xdr:row>
          <xdr:rowOff>19050</xdr:rowOff>
        </xdr:from>
        <xdr:to>
          <xdr:col>15</xdr:col>
          <xdr:colOff>704850</xdr:colOff>
          <xdr:row>45</xdr:row>
          <xdr:rowOff>190500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10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46</xdr:row>
          <xdr:rowOff>19050</xdr:rowOff>
        </xdr:from>
        <xdr:to>
          <xdr:col>15</xdr:col>
          <xdr:colOff>704850</xdr:colOff>
          <xdr:row>46</xdr:row>
          <xdr:rowOff>180975</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10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47</xdr:row>
          <xdr:rowOff>0</xdr:rowOff>
        </xdr:from>
        <xdr:to>
          <xdr:col>15</xdr:col>
          <xdr:colOff>704850</xdr:colOff>
          <xdr:row>47</xdr:row>
          <xdr:rowOff>180975</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10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523875</xdr:colOff>
          <xdr:row>48</xdr:row>
          <xdr:rowOff>9525</xdr:rowOff>
        </xdr:from>
        <xdr:to>
          <xdr:col>15</xdr:col>
          <xdr:colOff>704850</xdr:colOff>
          <xdr:row>48</xdr:row>
          <xdr:rowOff>190500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10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33</xdr:col>
      <xdr:colOff>665157</xdr:colOff>
      <xdr:row>5</xdr:row>
      <xdr:rowOff>209550</xdr:rowOff>
    </xdr:from>
    <xdr:to>
      <xdr:col>40</xdr:col>
      <xdr:colOff>445249</xdr:colOff>
      <xdr:row>33</xdr:row>
      <xdr:rowOff>28949</xdr:rowOff>
    </xdr:to>
    <xdr:graphicFrame macro="">
      <xdr:nvGraphicFramePr>
        <xdr:cNvPr id="4" name="Diagramm 3">
          <a:extLst>
            <a:ext uri="{FF2B5EF4-FFF2-40B4-BE49-F238E27FC236}">
              <a16:creationId xmlns:a16="http://schemas.microsoft.com/office/drawing/2014/main" id="{91BEEFBB-0C3E-4BE9-B8B5-BEAD34D83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33</xdr:col>
          <xdr:colOff>457200</xdr:colOff>
          <xdr:row>53</xdr:row>
          <xdr:rowOff>0</xdr:rowOff>
        </xdr:from>
        <xdr:to>
          <xdr:col>33</xdr:col>
          <xdr:colOff>676275</xdr:colOff>
          <xdr:row>53</xdr:row>
          <xdr:rowOff>180975</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10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54</xdr:row>
          <xdr:rowOff>19050</xdr:rowOff>
        </xdr:from>
        <xdr:to>
          <xdr:col>34</xdr:col>
          <xdr:colOff>0</xdr:colOff>
          <xdr:row>55</xdr:row>
          <xdr:rowOff>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10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55</xdr:row>
          <xdr:rowOff>19050</xdr:rowOff>
        </xdr:from>
        <xdr:to>
          <xdr:col>34</xdr:col>
          <xdr:colOff>0</xdr:colOff>
          <xdr:row>56</xdr:row>
          <xdr:rowOff>0</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10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571500</xdr:colOff>
          <xdr:row>56</xdr:row>
          <xdr:rowOff>9525</xdr:rowOff>
        </xdr:from>
        <xdr:to>
          <xdr:col>34</xdr:col>
          <xdr:colOff>0</xdr:colOff>
          <xdr:row>56</xdr:row>
          <xdr:rowOff>190500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10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51</xdr:row>
          <xdr:rowOff>9525</xdr:rowOff>
        </xdr:from>
        <xdr:to>
          <xdr:col>33</xdr:col>
          <xdr:colOff>676275</xdr:colOff>
          <xdr:row>52</xdr:row>
          <xdr:rowOff>9525</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10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50</xdr:row>
          <xdr:rowOff>0</xdr:rowOff>
        </xdr:from>
        <xdr:to>
          <xdr:col>33</xdr:col>
          <xdr:colOff>676275</xdr:colOff>
          <xdr:row>51</xdr:row>
          <xdr:rowOff>9525</xdr:rowOff>
        </xdr:to>
        <xdr:sp macro="" textlink="">
          <xdr:nvSpPr>
            <xdr:cNvPr id="123917" name="Check Box 13" hidden="1">
              <a:extLst>
                <a:ext uri="{63B3BB69-23CF-44E3-9099-C40C66FF867C}">
                  <a14:compatExt spid="_x0000_s123917"/>
                </a:ext>
                <a:ext uri="{FF2B5EF4-FFF2-40B4-BE49-F238E27FC236}">
                  <a16:creationId xmlns:a16="http://schemas.microsoft.com/office/drawing/2014/main" id="{00000000-0008-0000-1000-00000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457200</xdr:colOff>
          <xdr:row>52</xdr:row>
          <xdr:rowOff>9525</xdr:rowOff>
        </xdr:from>
        <xdr:to>
          <xdr:col>33</xdr:col>
          <xdr:colOff>676275</xdr:colOff>
          <xdr:row>53</xdr:row>
          <xdr:rowOff>0</xdr:rowOff>
        </xdr:to>
        <xdr:sp macro="" textlink="">
          <xdr:nvSpPr>
            <xdr:cNvPr id="123918" name="Check Box 14" hidden="1">
              <a:extLst>
                <a:ext uri="{63B3BB69-23CF-44E3-9099-C40C66FF867C}">
                  <a14:compatExt spid="_x0000_s123918"/>
                </a:ext>
                <a:ext uri="{FF2B5EF4-FFF2-40B4-BE49-F238E27FC236}">
                  <a16:creationId xmlns:a16="http://schemas.microsoft.com/office/drawing/2014/main" id="{00000000-0008-0000-1000-00000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763079</xdr:colOff>
      <xdr:row>78</xdr:row>
      <xdr:rowOff>920</xdr:rowOff>
    </xdr:from>
    <xdr:to>
      <xdr:col>30</xdr:col>
      <xdr:colOff>230714</xdr:colOff>
      <xdr:row>101</xdr:row>
      <xdr:rowOff>81836</xdr:rowOff>
    </xdr:to>
    <xdr:graphicFrame macro="">
      <xdr:nvGraphicFramePr>
        <xdr:cNvPr id="5" name="Diagramm 4">
          <a:extLst>
            <a:ext uri="{FF2B5EF4-FFF2-40B4-BE49-F238E27FC236}">
              <a16:creationId xmlns:a16="http://schemas.microsoft.com/office/drawing/2014/main" id="{CD64018F-2486-4D24-B3B9-54B92F8BE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24</xdr:col>
          <xdr:colOff>514350</xdr:colOff>
          <xdr:row>50</xdr:row>
          <xdr:rowOff>152400</xdr:rowOff>
        </xdr:from>
        <xdr:to>
          <xdr:col>24</xdr:col>
          <xdr:colOff>723900</xdr:colOff>
          <xdr:row>52</xdr:row>
          <xdr:rowOff>0</xdr:rowOff>
        </xdr:to>
        <xdr:sp macro="" textlink="">
          <xdr:nvSpPr>
            <xdr:cNvPr id="123919" name="Check Box 15" hidden="1">
              <a:extLst>
                <a:ext uri="{63B3BB69-23CF-44E3-9099-C40C66FF867C}">
                  <a14:compatExt spid="_x0000_s123919"/>
                </a:ext>
                <a:ext uri="{FF2B5EF4-FFF2-40B4-BE49-F238E27FC236}">
                  <a16:creationId xmlns:a16="http://schemas.microsoft.com/office/drawing/2014/main" id="{00000000-0008-0000-1000-00000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51</xdr:row>
          <xdr:rowOff>171450</xdr:rowOff>
        </xdr:from>
        <xdr:to>
          <xdr:col>24</xdr:col>
          <xdr:colOff>723900</xdr:colOff>
          <xdr:row>52</xdr:row>
          <xdr:rowOff>190500</xdr:rowOff>
        </xdr:to>
        <xdr:sp macro="" textlink="">
          <xdr:nvSpPr>
            <xdr:cNvPr id="123920" name="Check Box 16" hidden="1">
              <a:extLst>
                <a:ext uri="{63B3BB69-23CF-44E3-9099-C40C66FF867C}">
                  <a14:compatExt spid="_x0000_s123920"/>
                </a:ext>
                <a:ext uri="{FF2B5EF4-FFF2-40B4-BE49-F238E27FC236}">
                  <a16:creationId xmlns:a16="http://schemas.microsoft.com/office/drawing/2014/main" id="{00000000-0008-0000-1000-00001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52</xdr:row>
          <xdr:rowOff>180975</xdr:rowOff>
        </xdr:from>
        <xdr:to>
          <xdr:col>24</xdr:col>
          <xdr:colOff>723900</xdr:colOff>
          <xdr:row>53</xdr:row>
          <xdr:rowOff>190500</xdr:rowOff>
        </xdr:to>
        <xdr:sp macro="" textlink="">
          <xdr:nvSpPr>
            <xdr:cNvPr id="123921" name="Check Box 17" hidden="1">
              <a:extLst>
                <a:ext uri="{63B3BB69-23CF-44E3-9099-C40C66FF867C}">
                  <a14:compatExt spid="_x0000_s123921"/>
                </a:ext>
                <a:ext uri="{FF2B5EF4-FFF2-40B4-BE49-F238E27FC236}">
                  <a16:creationId xmlns:a16="http://schemas.microsoft.com/office/drawing/2014/main" id="{00000000-0008-0000-1000-00001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53</xdr:row>
          <xdr:rowOff>180975</xdr:rowOff>
        </xdr:from>
        <xdr:to>
          <xdr:col>24</xdr:col>
          <xdr:colOff>723900</xdr:colOff>
          <xdr:row>55</xdr:row>
          <xdr:rowOff>0</xdr:rowOff>
        </xdr:to>
        <xdr:sp macro="" textlink="">
          <xdr:nvSpPr>
            <xdr:cNvPr id="123922" name="Check Box 18" hidden="1">
              <a:extLst>
                <a:ext uri="{63B3BB69-23CF-44E3-9099-C40C66FF867C}">
                  <a14:compatExt spid="_x0000_s123922"/>
                </a:ext>
                <a:ext uri="{FF2B5EF4-FFF2-40B4-BE49-F238E27FC236}">
                  <a16:creationId xmlns:a16="http://schemas.microsoft.com/office/drawing/2014/main" id="{00000000-0008-0000-1000-00001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54</xdr:row>
          <xdr:rowOff>180975</xdr:rowOff>
        </xdr:from>
        <xdr:to>
          <xdr:col>24</xdr:col>
          <xdr:colOff>723900</xdr:colOff>
          <xdr:row>56</xdr:row>
          <xdr:rowOff>0</xdr:rowOff>
        </xdr:to>
        <xdr:sp macro="" textlink="">
          <xdr:nvSpPr>
            <xdr:cNvPr id="123923" name="Check Box 19" hidden="1">
              <a:extLst>
                <a:ext uri="{63B3BB69-23CF-44E3-9099-C40C66FF867C}">
                  <a14:compatExt spid="_x0000_s123923"/>
                </a:ext>
                <a:ext uri="{FF2B5EF4-FFF2-40B4-BE49-F238E27FC236}">
                  <a16:creationId xmlns:a16="http://schemas.microsoft.com/office/drawing/2014/main" id="{00000000-0008-0000-1000-00001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55</xdr:row>
          <xdr:rowOff>180975</xdr:rowOff>
        </xdr:from>
        <xdr:to>
          <xdr:col>24</xdr:col>
          <xdr:colOff>723900</xdr:colOff>
          <xdr:row>57</xdr:row>
          <xdr:rowOff>0</xdr:rowOff>
        </xdr:to>
        <xdr:sp macro="" textlink="">
          <xdr:nvSpPr>
            <xdr:cNvPr id="123924" name="Check Box 20" hidden="1">
              <a:extLst>
                <a:ext uri="{63B3BB69-23CF-44E3-9099-C40C66FF867C}">
                  <a14:compatExt spid="_x0000_s123924"/>
                </a:ext>
                <a:ext uri="{FF2B5EF4-FFF2-40B4-BE49-F238E27FC236}">
                  <a16:creationId xmlns:a16="http://schemas.microsoft.com/office/drawing/2014/main" id="{00000000-0008-0000-1000-00001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56</xdr:row>
          <xdr:rowOff>180975</xdr:rowOff>
        </xdr:from>
        <xdr:to>
          <xdr:col>24</xdr:col>
          <xdr:colOff>723900</xdr:colOff>
          <xdr:row>58</xdr:row>
          <xdr:rowOff>0</xdr:rowOff>
        </xdr:to>
        <xdr:sp macro="" textlink="">
          <xdr:nvSpPr>
            <xdr:cNvPr id="123925" name="Check Box 21" hidden="1">
              <a:extLst>
                <a:ext uri="{63B3BB69-23CF-44E3-9099-C40C66FF867C}">
                  <a14:compatExt spid="_x0000_s123925"/>
                </a:ext>
                <a:ext uri="{FF2B5EF4-FFF2-40B4-BE49-F238E27FC236}">
                  <a16:creationId xmlns:a16="http://schemas.microsoft.com/office/drawing/2014/main" id="{00000000-0008-0000-1000-00001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57</xdr:row>
          <xdr:rowOff>190500</xdr:rowOff>
        </xdr:from>
        <xdr:to>
          <xdr:col>24</xdr:col>
          <xdr:colOff>723900</xdr:colOff>
          <xdr:row>58</xdr:row>
          <xdr:rowOff>190500</xdr:rowOff>
        </xdr:to>
        <xdr:sp macro="" textlink="">
          <xdr:nvSpPr>
            <xdr:cNvPr id="123926" name="Check Box 22" hidden="1">
              <a:extLst>
                <a:ext uri="{63B3BB69-23CF-44E3-9099-C40C66FF867C}">
                  <a14:compatExt spid="_x0000_s123926"/>
                </a:ext>
                <a:ext uri="{FF2B5EF4-FFF2-40B4-BE49-F238E27FC236}">
                  <a16:creationId xmlns:a16="http://schemas.microsoft.com/office/drawing/2014/main" id="{00000000-0008-0000-1000-00001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58</xdr:row>
          <xdr:rowOff>180975</xdr:rowOff>
        </xdr:from>
        <xdr:to>
          <xdr:col>24</xdr:col>
          <xdr:colOff>723900</xdr:colOff>
          <xdr:row>59</xdr:row>
          <xdr:rowOff>190500</xdr:rowOff>
        </xdr:to>
        <xdr:sp macro="" textlink="">
          <xdr:nvSpPr>
            <xdr:cNvPr id="123927" name="Check Box 23" hidden="1">
              <a:extLst>
                <a:ext uri="{63B3BB69-23CF-44E3-9099-C40C66FF867C}">
                  <a14:compatExt spid="_x0000_s123927"/>
                </a:ext>
                <a:ext uri="{FF2B5EF4-FFF2-40B4-BE49-F238E27FC236}">
                  <a16:creationId xmlns:a16="http://schemas.microsoft.com/office/drawing/2014/main" id="{00000000-0008-0000-1000-00001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59</xdr:row>
          <xdr:rowOff>171450</xdr:rowOff>
        </xdr:from>
        <xdr:to>
          <xdr:col>24</xdr:col>
          <xdr:colOff>723900</xdr:colOff>
          <xdr:row>60</xdr:row>
          <xdr:rowOff>180975</xdr:rowOff>
        </xdr:to>
        <xdr:sp macro="" textlink="">
          <xdr:nvSpPr>
            <xdr:cNvPr id="123928" name="Check Box 24" hidden="1">
              <a:extLst>
                <a:ext uri="{63B3BB69-23CF-44E3-9099-C40C66FF867C}">
                  <a14:compatExt spid="_x0000_s123928"/>
                </a:ext>
                <a:ext uri="{FF2B5EF4-FFF2-40B4-BE49-F238E27FC236}">
                  <a16:creationId xmlns:a16="http://schemas.microsoft.com/office/drawing/2014/main" id="{00000000-0008-0000-1000-00001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514350</xdr:colOff>
          <xdr:row>60</xdr:row>
          <xdr:rowOff>171450</xdr:rowOff>
        </xdr:from>
        <xdr:to>
          <xdr:col>24</xdr:col>
          <xdr:colOff>723900</xdr:colOff>
          <xdr:row>61</xdr:row>
          <xdr:rowOff>180975</xdr:rowOff>
        </xdr:to>
        <xdr:sp macro="" textlink="">
          <xdr:nvSpPr>
            <xdr:cNvPr id="123929" name="Check Box 25" hidden="1">
              <a:extLst>
                <a:ext uri="{63B3BB69-23CF-44E3-9099-C40C66FF867C}">
                  <a14:compatExt spid="_x0000_s123929"/>
                </a:ext>
                <a:ext uri="{FF2B5EF4-FFF2-40B4-BE49-F238E27FC236}">
                  <a16:creationId xmlns:a16="http://schemas.microsoft.com/office/drawing/2014/main" id="{00000000-0008-0000-1000-00001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707571</xdr:colOff>
      <xdr:row>48</xdr:row>
      <xdr:rowOff>76042</xdr:rowOff>
    </xdr:from>
    <xdr:to>
      <xdr:col>24</xdr:col>
      <xdr:colOff>762000</xdr:colOff>
      <xdr:row>62</xdr:row>
      <xdr:rowOff>155282</xdr:rowOff>
    </xdr:to>
    <xdr:sp macro="" textlink="">
      <xdr:nvSpPr>
        <xdr:cNvPr id="6" name="Rechteck 5">
          <a:extLst>
            <a:ext uri="{FF2B5EF4-FFF2-40B4-BE49-F238E27FC236}">
              <a16:creationId xmlns:a16="http://schemas.microsoft.com/office/drawing/2014/main" id="{B9281C63-DB77-4D1D-8658-BBFD735E2E12}"/>
            </a:ext>
          </a:extLst>
        </xdr:cNvPr>
        <xdr:cNvSpPr/>
      </xdr:nvSpPr>
      <xdr:spPr bwMode="auto">
        <a:xfrm>
          <a:off x="8622846" y="18154492"/>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2</xdr:col>
      <xdr:colOff>695325</xdr:colOff>
      <xdr:row>26</xdr:row>
      <xdr:rowOff>142875</xdr:rowOff>
    </xdr:from>
    <xdr:to>
      <xdr:col>11</xdr:col>
      <xdr:colOff>1018200</xdr:colOff>
      <xdr:row>26</xdr:row>
      <xdr:rowOff>142875</xdr:rowOff>
    </xdr:to>
    <xdr:cxnSp macro="">
      <xdr:nvCxnSpPr>
        <xdr:cNvPr id="9" name="Gerader Verbinder 8">
          <a:extLst>
            <a:ext uri="{FF2B5EF4-FFF2-40B4-BE49-F238E27FC236}">
              <a16:creationId xmlns:a16="http://schemas.microsoft.com/office/drawing/2014/main" id="{5369D358-F48E-4D59-A615-AA5DEC3D6201}"/>
            </a:ext>
          </a:extLst>
        </xdr:cNvPr>
        <xdr:cNvCxnSpPr/>
      </xdr:nvCxnSpPr>
      <xdr:spPr bwMode="auto">
        <a:xfrm>
          <a:off x="1228725" y="8543925"/>
          <a:ext cx="932400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695325</xdr:colOff>
      <xdr:row>17</xdr:row>
      <xdr:rowOff>0</xdr:rowOff>
    </xdr:from>
    <xdr:to>
      <xdr:col>11</xdr:col>
      <xdr:colOff>1018200</xdr:colOff>
      <xdr:row>17</xdr:row>
      <xdr:rowOff>0</xdr:rowOff>
    </xdr:to>
    <xdr:cxnSp macro="">
      <xdr:nvCxnSpPr>
        <xdr:cNvPr id="10" name="Gerader Verbinder 9">
          <a:extLst>
            <a:ext uri="{FF2B5EF4-FFF2-40B4-BE49-F238E27FC236}">
              <a16:creationId xmlns:a16="http://schemas.microsoft.com/office/drawing/2014/main" id="{BFB7A6EA-7AC7-46BC-B18A-0334561992A2}"/>
            </a:ext>
          </a:extLst>
        </xdr:cNvPr>
        <xdr:cNvCxnSpPr/>
      </xdr:nvCxnSpPr>
      <xdr:spPr bwMode="auto">
        <a:xfrm>
          <a:off x="1228725" y="6543675"/>
          <a:ext cx="932400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11</xdr:col>
      <xdr:colOff>344580</xdr:colOff>
      <xdr:row>17</xdr:row>
      <xdr:rowOff>137832</xdr:rowOff>
    </xdr:from>
    <xdr:to>
      <xdr:col>12</xdr:col>
      <xdr:colOff>628649</xdr:colOff>
      <xdr:row>24</xdr:row>
      <xdr:rowOff>66675</xdr:rowOff>
    </xdr:to>
    <xdr:grpSp>
      <xdr:nvGrpSpPr>
        <xdr:cNvPr id="11" name="Gruppieren 10">
          <a:extLst>
            <a:ext uri="{FF2B5EF4-FFF2-40B4-BE49-F238E27FC236}">
              <a16:creationId xmlns:a16="http://schemas.microsoft.com/office/drawing/2014/main" id="{7FFEE32D-0CFB-4AB8-B396-DECF47B2E7FC}"/>
            </a:ext>
          </a:extLst>
        </xdr:cNvPr>
        <xdr:cNvGrpSpPr/>
      </xdr:nvGrpSpPr>
      <xdr:grpSpPr>
        <a:xfrm>
          <a:off x="9974355" y="6729132"/>
          <a:ext cx="3560669" cy="1405218"/>
          <a:chOff x="10107706" y="6387353"/>
          <a:chExt cx="3081618" cy="1143001"/>
        </a:xfrm>
      </xdr:grpSpPr>
      <xdr:sp macro="" textlink="$B$113">
        <xdr:nvSpPr>
          <xdr:cNvPr id="12" name="Textfeld 11">
            <a:extLst>
              <a:ext uri="{FF2B5EF4-FFF2-40B4-BE49-F238E27FC236}">
                <a16:creationId xmlns:a16="http://schemas.microsoft.com/office/drawing/2014/main" id="{2930F5EA-6D51-4D0B-41C7-3CD54653A534}"/>
              </a:ext>
            </a:extLst>
          </xdr:cNvPr>
          <xdr:cNvSpPr txBox="1"/>
        </xdr:nvSpPr>
        <xdr:spPr>
          <a:xfrm>
            <a:off x="10107706" y="6757148"/>
            <a:ext cx="3081600" cy="773206"/>
          </a:xfrm>
          <a:prstGeom prst="rect">
            <a:avLst/>
          </a:prstGeom>
          <a:noFill/>
          <a:ln>
            <a:solidFill>
              <a:schemeClr val="bg1">
                <a:lumMod val="50000"/>
              </a:schemeClr>
            </a:solidFill>
          </a:ln>
        </xdr:spPr>
        <xdr:txBody>
          <a:bodyPr vertOverflow="clip" horzOverflow="clip" wrap="square" rtlCol="0" anchor="t">
            <a:noAutofit/>
          </a:bodyPr>
          <a:lstStyle/>
          <a:p>
            <a:pPr algn="ctr"/>
            <a:fld id="{4A01A73E-FE8C-4D31-BC7A-892B6643B255}" type="TxLink">
              <a:rPr lang="en-US" sz="1000" b="0" i="0" u="none" strike="noStrike" dirty="0" err="1" smtClean="0">
                <a:solidFill>
                  <a:srgbClr val="323232"/>
                </a:solidFill>
                <a:latin typeface="Arial"/>
                <a:cs typeface="Arial"/>
              </a:rPr>
              <a:pPr algn="ctr"/>
              <a:t> </a:t>
            </a:fld>
            <a:endParaRPr lang="de-DE" sz="1100" dirty="0" err="1">
              <a:solidFill>
                <a:sysClr val="windowText" lastClr="000000"/>
              </a:solidFill>
            </a:endParaRPr>
          </a:p>
        </xdr:txBody>
      </xdr:sp>
      <xdr:sp macro="" textlink="">
        <xdr:nvSpPr>
          <xdr:cNvPr id="13" name="Rechteck 12">
            <a:extLst>
              <a:ext uri="{FF2B5EF4-FFF2-40B4-BE49-F238E27FC236}">
                <a16:creationId xmlns:a16="http://schemas.microsoft.com/office/drawing/2014/main" id="{91A24CFB-8922-2112-FD4D-C92F1E9F23E7}"/>
              </a:ext>
            </a:extLst>
          </xdr:cNvPr>
          <xdr:cNvSpPr/>
        </xdr:nvSpPr>
        <xdr:spPr bwMode="auto">
          <a:xfrm>
            <a:off x="10107706" y="6387353"/>
            <a:ext cx="3081618" cy="369794"/>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grpSp>
    <xdr:clientData/>
  </xdr:twoCellAnchor>
</xdr:wsDr>
</file>

<file path=xl/drawings/drawing34.xml><?xml version="1.0" encoding="utf-8"?>
<c:userShapes xmlns:c="http://schemas.openxmlformats.org/drawingml/2006/chart">
  <cdr:relSizeAnchor xmlns:cdr="http://schemas.openxmlformats.org/drawingml/2006/chartDrawing">
    <cdr:from>
      <cdr:x>0.23302</cdr:x>
      <cdr:y>0.03526</cdr:y>
    </cdr:from>
    <cdr:to>
      <cdr:x>0.32481</cdr:x>
      <cdr:y>0.06339</cdr:y>
    </cdr:to>
    <cdr:sp macro="" textlink="'M6 allgemeine Effizienz'!$R$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55401" y="300600"/>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266,8</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0.06339</cdr:y>
    </cdr:to>
    <cdr:sp macro="" textlink="'M6 allgemeine Effizienz'!$S$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77325" y="300600"/>
          <a:ext cx="612695"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214,2</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0.06339</cdr:y>
    </cdr:to>
    <cdr:sp macro="" textlink="'M6 allgemeine Effizienz'!$T$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57930" y="300600"/>
          <a:ext cx="61262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153,7</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5.xml><?xml version="1.0" encoding="utf-8"?>
<c:userShapes xmlns:c="http://schemas.openxmlformats.org/drawingml/2006/chart">
  <cdr:relSizeAnchor xmlns:cdr="http://schemas.openxmlformats.org/drawingml/2006/chartDrawing">
    <cdr:from>
      <cdr:x>0.51422</cdr:x>
      <cdr:y>0.04219</cdr:y>
    </cdr:from>
    <cdr:to>
      <cdr:x>0.63321</cdr:x>
      <cdr:y>0.07038</cdr:y>
    </cdr:to>
    <cdr:sp macro="" textlink="'M6 allgemeine Effizienz'!$AB$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43209" y="358876"/>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1692638-4828-4CBE-A9BB-AE0080EB305F}" type="TxLink">
            <a:rPr lang="en-US" sz="1000" b="1" i="0" u="none" strike="noStrike" dirty="0" err="1">
              <a:solidFill>
                <a:srgbClr val="323232"/>
              </a:solidFill>
              <a:latin typeface="Arial"/>
              <a:cs typeface="Arial"/>
            </a:rPr>
            <a:pPr/>
            <a:t>5.958</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0.07038</cdr:y>
    </cdr:to>
    <cdr:sp macro="" textlink="'M6 allgemeine Effizienz'!$AC$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53019" y="358876"/>
          <a:ext cx="72733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5.888</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6 allgemeine Effizienz'!$AA$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93C6129-75EC-48BB-AEB0-5D88F4F44664}" type="TxLink">
            <a:rPr lang="en-US" sz="1000" b="1" i="0" u="none" strike="noStrike" dirty="0" err="1" smtClean="0">
              <a:solidFill>
                <a:srgbClr val="323232"/>
              </a:solidFill>
              <a:latin typeface="Arial"/>
              <a:cs typeface="Arial"/>
            </a:rPr>
            <a:pPr/>
            <a:t>6.098</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6.xml><?xml version="1.0" encoding="utf-8"?>
<c:userShapes xmlns:c="http://schemas.openxmlformats.org/drawingml/2006/chart">
  <cdr:relSizeAnchor xmlns:cdr="http://schemas.openxmlformats.org/drawingml/2006/chartDrawing">
    <cdr:from>
      <cdr:x>0.24983</cdr:x>
      <cdr:y>0.03789</cdr:y>
    </cdr:from>
    <cdr:to>
      <cdr:x>0.38319</cdr:x>
      <cdr:y>0.06618</cdr:y>
    </cdr:to>
    <cdr:sp macro="" textlink="'M6 allgemeine Effizienz'!$AJ$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321217"/>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262.128 €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0.06618</cdr:y>
    </cdr:to>
    <cdr:sp macro="" textlink="'M6 allgemeine Effizienz'!$AK$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321217"/>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376.083 €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0.06618</cdr:y>
    </cdr:to>
    <cdr:sp macro="" textlink="'M6 allgemeine Effizienz'!$AL$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321217"/>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579.053 €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7.xml><?xml version="1.0" encoding="utf-8"?>
<c:userShapes xmlns:c="http://schemas.openxmlformats.org/drawingml/2006/chart">
  <cdr:relSizeAnchor xmlns:cdr="http://schemas.openxmlformats.org/drawingml/2006/chartDrawing">
    <cdr:from>
      <cdr:x>0.26001</cdr:x>
      <cdr:y>0</cdr:y>
    </cdr:from>
    <cdr:to>
      <cdr:x>0.35189</cdr:x>
      <cdr:y>1</cdr:y>
    </cdr:to>
    <cdr:sp macro="" textlink="'M6 allgemeine Effizienz'!$AA$93">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94260" y="0"/>
          <a:ext cx="598703"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5.691</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1</cdr:y>
    </cdr:to>
    <cdr:sp macro="" textlink="'M6 allgemeine Effizienz'!$AB$93">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43582"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5.683</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1</cdr:y>
    </cdr:to>
    <cdr:sp macro="" textlink="'M6 allgemeine Effizienz'!$AC$93">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38516" y="0"/>
          <a:ext cx="59876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5.674</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38.xml><?xml version="1.0" encoding="utf-8"?>
<xdr:wsDr xmlns:xdr="http://schemas.openxmlformats.org/drawingml/2006/spreadsheetDrawing" xmlns:a="http://schemas.openxmlformats.org/drawingml/2006/main">
  <xdr:twoCellAnchor>
    <xdr:from>
      <xdr:col>25</xdr:col>
      <xdr:colOff>799740</xdr:colOff>
      <xdr:row>5</xdr:row>
      <xdr:rowOff>104775</xdr:rowOff>
    </xdr:from>
    <xdr:to>
      <xdr:col>30</xdr:col>
      <xdr:colOff>778217</xdr:colOff>
      <xdr:row>33</xdr:row>
      <xdr:rowOff>57523</xdr:rowOff>
    </xdr:to>
    <xdr:graphicFrame macro="">
      <xdr:nvGraphicFramePr>
        <xdr:cNvPr id="2" name="Diagramm 1">
          <a:extLst>
            <a:ext uri="{FF2B5EF4-FFF2-40B4-BE49-F238E27FC236}">
              <a16:creationId xmlns:a16="http://schemas.microsoft.com/office/drawing/2014/main" id="{7A6EEF7E-DBCF-4D73-A65B-8606A2DA0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25</xdr:col>
          <xdr:colOff>523875</xdr:colOff>
          <xdr:row>51</xdr:row>
          <xdr:rowOff>28575</xdr:rowOff>
        </xdr:from>
        <xdr:to>
          <xdr:col>25</xdr:col>
          <xdr:colOff>704850</xdr:colOff>
          <xdr:row>51</xdr:row>
          <xdr:rowOff>190500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11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52</xdr:row>
          <xdr:rowOff>28575</xdr:rowOff>
        </xdr:from>
        <xdr:to>
          <xdr:col>25</xdr:col>
          <xdr:colOff>704850</xdr:colOff>
          <xdr:row>52</xdr:row>
          <xdr:rowOff>190500</xdr:rowOff>
        </xdr:to>
        <xdr:sp macro="" textlink="">
          <xdr:nvSpPr>
            <xdr:cNvPr id="131074" name="Check Box 2" hidden="1">
              <a:extLst>
                <a:ext uri="{63B3BB69-23CF-44E3-9099-C40C66FF867C}">
                  <a14:compatExt spid="_x0000_s131074"/>
                </a:ext>
                <a:ext uri="{FF2B5EF4-FFF2-40B4-BE49-F238E27FC236}">
                  <a16:creationId xmlns:a16="http://schemas.microsoft.com/office/drawing/2014/main" id="{00000000-0008-0000-1100-00000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53</xdr:row>
          <xdr:rowOff>28575</xdr:rowOff>
        </xdr:from>
        <xdr:to>
          <xdr:col>25</xdr:col>
          <xdr:colOff>704850</xdr:colOff>
          <xdr:row>53</xdr:row>
          <xdr:rowOff>180975</xdr:rowOff>
        </xdr:to>
        <xdr:sp macro="" textlink="">
          <xdr:nvSpPr>
            <xdr:cNvPr id="131075" name="Check Box 3" hidden="1">
              <a:extLst>
                <a:ext uri="{63B3BB69-23CF-44E3-9099-C40C66FF867C}">
                  <a14:compatExt spid="_x0000_s131075"/>
                </a:ext>
                <a:ext uri="{FF2B5EF4-FFF2-40B4-BE49-F238E27FC236}">
                  <a16:creationId xmlns:a16="http://schemas.microsoft.com/office/drawing/2014/main" id="{00000000-0008-0000-1100-00000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54</xdr:row>
          <xdr:rowOff>19050</xdr:rowOff>
        </xdr:from>
        <xdr:to>
          <xdr:col>25</xdr:col>
          <xdr:colOff>704850</xdr:colOff>
          <xdr:row>54</xdr:row>
          <xdr:rowOff>190500</xdr:rowOff>
        </xdr:to>
        <xdr:sp macro="" textlink="">
          <xdr:nvSpPr>
            <xdr:cNvPr id="131076" name="Check Box 4" hidden="1">
              <a:extLst>
                <a:ext uri="{63B3BB69-23CF-44E3-9099-C40C66FF867C}">
                  <a14:compatExt spid="_x0000_s131076"/>
                </a:ext>
                <a:ext uri="{FF2B5EF4-FFF2-40B4-BE49-F238E27FC236}">
                  <a16:creationId xmlns:a16="http://schemas.microsoft.com/office/drawing/2014/main" id="{00000000-0008-0000-1100-00000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55</xdr:row>
          <xdr:rowOff>19050</xdr:rowOff>
        </xdr:from>
        <xdr:to>
          <xdr:col>25</xdr:col>
          <xdr:colOff>704850</xdr:colOff>
          <xdr:row>55</xdr:row>
          <xdr:rowOff>180975</xdr:rowOff>
        </xdr:to>
        <xdr:sp macro="" textlink="">
          <xdr:nvSpPr>
            <xdr:cNvPr id="131077" name="Check Box 5" hidden="1">
              <a:extLst>
                <a:ext uri="{63B3BB69-23CF-44E3-9099-C40C66FF867C}">
                  <a14:compatExt spid="_x0000_s131077"/>
                </a:ext>
                <a:ext uri="{FF2B5EF4-FFF2-40B4-BE49-F238E27FC236}">
                  <a16:creationId xmlns:a16="http://schemas.microsoft.com/office/drawing/2014/main" id="{00000000-0008-0000-1100-00000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56</xdr:row>
          <xdr:rowOff>0</xdr:rowOff>
        </xdr:from>
        <xdr:to>
          <xdr:col>25</xdr:col>
          <xdr:colOff>704850</xdr:colOff>
          <xdr:row>56</xdr:row>
          <xdr:rowOff>180975</xdr:rowOff>
        </xdr:to>
        <xdr:sp macro="" textlink="">
          <xdr:nvSpPr>
            <xdr:cNvPr id="131078" name="Check Box 6" hidden="1">
              <a:extLst>
                <a:ext uri="{63B3BB69-23CF-44E3-9099-C40C66FF867C}">
                  <a14:compatExt spid="_x0000_s131078"/>
                </a:ext>
                <a:ext uri="{FF2B5EF4-FFF2-40B4-BE49-F238E27FC236}">
                  <a16:creationId xmlns:a16="http://schemas.microsoft.com/office/drawing/2014/main" id="{00000000-0008-0000-1100-00000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57</xdr:row>
          <xdr:rowOff>9525</xdr:rowOff>
        </xdr:from>
        <xdr:to>
          <xdr:col>25</xdr:col>
          <xdr:colOff>704850</xdr:colOff>
          <xdr:row>57</xdr:row>
          <xdr:rowOff>190500</xdr:rowOff>
        </xdr:to>
        <xdr:sp macro="" textlink="">
          <xdr:nvSpPr>
            <xdr:cNvPr id="131079" name="Check Box 7" hidden="1">
              <a:extLst>
                <a:ext uri="{63B3BB69-23CF-44E3-9099-C40C66FF867C}">
                  <a14:compatExt spid="_x0000_s131079"/>
                </a:ext>
                <a:ext uri="{FF2B5EF4-FFF2-40B4-BE49-F238E27FC236}">
                  <a16:creationId xmlns:a16="http://schemas.microsoft.com/office/drawing/2014/main" id="{00000000-0008-0000-1100-00000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665157</xdr:colOff>
      <xdr:row>5</xdr:row>
      <xdr:rowOff>95250</xdr:rowOff>
    </xdr:from>
    <xdr:to>
      <xdr:col>41</xdr:col>
      <xdr:colOff>445249</xdr:colOff>
      <xdr:row>33</xdr:row>
      <xdr:rowOff>28948</xdr:rowOff>
    </xdr:to>
    <xdr:graphicFrame macro="">
      <xdr:nvGraphicFramePr>
        <xdr:cNvPr id="3" name="Diagramm 2">
          <a:extLst>
            <a:ext uri="{FF2B5EF4-FFF2-40B4-BE49-F238E27FC236}">
              <a16:creationId xmlns:a16="http://schemas.microsoft.com/office/drawing/2014/main" id="{2ECB4A99-9E14-4B22-802F-BCD312819B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34</xdr:col>
          <xdr:colOff>457200</xdr:colOff>
          <xdr:row>53</xdr:row>
          <xdr:rowOff>0</xdr:rowOff>
        </xdr:from>
        <xdr:to>
          <xdr:col>34</xdr:col>
          <xdr:colOff>676275</xdr:colOff>
          <xdr:row>53</xdr:row>
          <xdr:rowOff>180975</xdr:rowOff>
        </xdr:to>
        <xdr:sp macro="" textlink="">
          <xdr:nvSpPr>
            <xdr:cNvPr id="131080" name="Check Box 8" hidden="1">
              <a:extLst>
                <a:ext uri="{63B3BB69-23CF-44E3-9099-C40C66FF867C}">
                  <a14:compatExt spid="_x0000_s131080"/>
                </a:ext>
                <a:ext uri="{FF2B5EF4-FFF2-40B4-BE49-F238E27FC236}">
                  <a16:creationId xmlns:a16="http://schemas.microsoft.com/office/drawing/2014/main" id="{00000000-0008-0000-1100-00000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54</xdr:row>
          <xdr:rowOff>19050</xdr:rowOff>
        </xdr:from>
        <xdr:to>
          <xdr:col>35</xdr:col>
          <xdr:colOff>0</xdr:colOff>
          <xdr:row>55</xdr:row>
          <xdr:rowOff>0</xdr:rowOff>
        </xdr:to>
        <xdr:sp macro="" textlink="">
          <xdr:nvSpPr>
            <xdr:cNvPr id="131081" name="Check Box 9" hidden="1">
              <a:extLst>
                <a:ext uri="{63B3BB69-23CF-44E3-9099-C40C66FF867C}">
                  <a14:compatExt spid="_x0000_s131081"/>
                </a:ext>
                <a:ext uri="{FF2B5EF4-FFF2-40B4-BE49-F238E27FC236}">
                  <a16:creationId xmlns:a16="http://schemas.microsoft.com/office/drawing/2014/main" id="{00000000-0008-0000-1100-00000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55</xdr:row>
          <xdr:rowOff>19050</xdr:rowOff>
        </xdr:from>
        <xdr:to>
          <xdr:col>35</xdr:col>
          <xdr:colOff>0</xdr:colOff>
          <xdr:row>55</xdr:row>
          <xdr:rowOff>200025</xdr:rowOff>
        </xdr:to>
        <xdr:sp macro="" textlink="">
          <xdr:nvSpPr>
            <xdr:cNvPr id="131082" name="Check Box 10" hidden="1">
              <a:extLst>
                <a:ext uri="{63B3BB69-23CF-44E3-9099-C40C66FF867C}">
                  <a14:compatExt spid="_x0000_s131082"/>
                </a:ext>
                <a:ext uri="{FF2B5EF4-FFF2-40B4-BE49-F238E27FC236}">
                  <a16:creationId xmlns:a16="http://schemas.microsoft.com/office/drawing/2014/main" id="{00000000-0008-0000-1100-00000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56</xdr:row>
          <xdr:rowOff>9525</xdr:rowOff>
        </xdr:from>
        <xdr:to>
          <xdr:col>35</xdr:col>
          <xdr:colOff>0</xdr:colOff>
          <xdr:row>56</xdr:row>
          <xdr:rowOff>190500</xdr:rowOff>
        </xdr:to>
        <xdr:sp macro="" textlink="">
          <xdr:nvSpPr>
            <xdr:cNvPr id="131083" name="Check Box 11" hidden="1">
              <a:extLst>
                <a:ext uri="{63B3BB69-23CF-44E3-9099-C40C66FF867C}">
                  <a14:compatExt spid="_x0000_s131083"/>
                </a:ext>
                <a:ext uri="{FF2B5EF4-FFF2-40B4-BE49-F238E27FC236}">
                  <a16:creationId xmlns:a16="http://schemas.microsoft.com/office/drawing/2014/main" id="{00000000-0008-0000-1100-00000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51</xdr:row>
          <xdr:rowOff>9525</xdr:rowOff>
        </xdr:from>
        <xdr:to>
          <xdr:col>34</xdr:col>
          <xdr:colOff>676275</xdr:colOff>
          <xdr:row>52</xdr:row>
          <xdr:rowOff>9525</xdr:rowOff>
        </xdr:to>
        <xdr:sp macro="" textlink="">
          <xdr:nvSpPr>
            <xdr:cNvPr id="131084" name="Check Box 12" hidden="1">
              <a:extLst>
                <a:ext uri="{63B3BB69-23CF-44E3-9099-C40C66FF867C}">
                  <a14:compatExt spid="_x0000_s131084"/>
                </a:ext>
                <a:ext uri="{FF2B5EF4-FFF2-40B4-BE49-F238E27FC236}">
                  <a16:creationId xmlns:a16="http://schemas.microsoft.com/office/drawing/2014/main" id="{00000000-0008-0000-1100-00000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50</xdr:row>
          <xdr:rowOff>0</xdr:rowOff>
        </xdr:from>
        <xdr:to>
          <xdr:col>34</xdr:col>
          <xdr:colOff>676275</xdr:colOff>
          <xdr:row>50</xdr:row>
          <xdr:rowOff>180975</xdr:rowOff>
        </xdr:to>
        <xdr:sp macro="" textlink="">
          <xdr:nvSpPr>
            <xdr:cNvPr id="131085" name="Check Box 13" hidden="1">
              <a:extLst>
                <a:ext uri="{63B3BB69-23CF-44E3-9099-C40C66FF867C}">
                  <a14:compatExt spid="_x0000_s131085"/>
                </a:ext>
                <a:ext uri="{FF2B5EF4-FFF2-40B4-BE49-F238E27FC236}">
                  <a16:creationId xmlns:a16="http://schemas.microsoft.com/office/drawing/2014/main" id="{00000000-0008-0000-1100-00000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52</xdr:row>
          <xdr:rowOff>9525</xdr:rowOff>
        </xdr:from>
        <xdr:to>
          <xdr:col>34</xdr:col>
          <xdr:colOff>676275</xdr:colOff>
          <xdr:row>53</xdr:row>
          <xdr:rowOff>0</xdr:rowOff>
        </xdr:to>
        <xdr:sp macro="" textlink="">
          <xdr:nvSpPr>
            <xdr:cNvPr id="131086" name="Check Box 14" hidden="1">
              <a:extLst>
                <a:ext uri="{63B3BB69-23CF-44E3-9099-C40C66FF867C}">
                  <a14:compatExt spid="_x0000_s131086"/>
                </a:ext>
                <a:ext uri="{FF2B5EF4-FFF2-40B4-BE49-F238E27FC236}">
                  <a16:creationId xmlns:a16="http://schemas.microsoft.com/office/drawing/2014/main" id="{00000000-0008-0000-1100-00000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504825</xdr:colOff>
          <xdr:row>42</xdr:row>
          <xdr:rowOff>104775</xdr:rowOff>
        </xdr:from>
        <xdr:to>
          <xdr:col>16</xdr:col>
          <xdr:colOff>714375</xdr:colOff>
          <xdr:row>42</xdr:row>
          <xdr:rowOff>323850</xdr:rowOff>
        </xdr:to>
        <xdr:sp macro="" textlink="">
          <xdr:nvSpPr>
            <xdr:cNvPr id="131087" name="Check Box 15" hidden="1">
              <a:extLst>
                <a:ext uri="{63B3BB69-23CF-44E3-9099-C40C66FF867C}">
                  <a14:compatExt spid="_x0000_s131087"/>
                </a:ext>
                <a:ext uri="{FF2B5EF4-FFF2-40B4-BE49-F238E27FC236}">
                  <a16:creationId xmlns:a16="http://schemas.microsoft.com/office/drawing/2014/main" id="{00000000-0008-0000-1100-00000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43</xdr:row>
          <xdr:rowOff>66675</xdr:rowOff>
        </xdr:from>
        <xdr:to>
          <xdr:col>16</xdr:col>
          <xdr:colOff>723900</xdr:colOff>
          <xdr:row>43</xdr:row>
          <xdr:rowOff>285750</xdr:rowOff>
        </xdr:to>
        <xdr:sp macro="" textlink="">
          <xdr:nvSpPr>
            <xdr:cNvPr id="131088" name="Check Box 16" hidden="1">
              <a:extLst>
                <a:ext uri="{63B3BB69-23CF-44E3-9099-C40C66FF867C}">
                  <a14:compatExt spid="_x0000_s131088"/>
                </a:ext>
                <a:ext uri="{FF2B5EF4-FFF2-40B4-BE49-F238E27FC236}">
                  <a16:creationId xmlns:a16="http://schemas.microsoft.com/office/drawing/2014/main" id="{00000000-0008-0000-1100-00001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44</xdr:row>
          <xdr:rowOff>47625</xdr:rowOff>
        </xdr:from>
        <xdr:to>
          <xdr:col>16</xdr:col>
          <xdr:colOff>723900</xdr:colOff>
          <xdr:row>44</xdr:row>
          <xdr:rowOff>266700</xdr:rowOff>
        </xdr:to>
        <xdr:sp macro="" textlink="">
          <xdr:nvSpPr>
            <xdr:cNvPr id="131089" name="Check Box 17" hidden="1">
              <a:extLst>
                <a:ext uri="{63B3BB69-23CF-44E3-9099-C40C66FF867C}">
                  <a14:compatExt spid="_x0000_s131089"/>
                </a:ext>
                <a:ext uri="{FF2B5EF4-FFF2-40B4-BE49-F238E27FC236}">
                  <a16:creationId xmlns:a16="http://schemas.microsoft.com/office/drawing/2014/main" id="{00000000-0008-0000-1100-00001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45</xdr:row>
          <xdr:rowOff>152400</xdr:rowOff>
        </xdr:from>
        <xdr:to>
          <xdr:col>16</xdr:col>
          <xdr:colOff>723900</xdr:colOff>
          <xdr:row>45</xdr:row>
          <xdr:rowOff>381000</xdr:rowOff>
        </xdr:to>
        <xdr:sp macro="" textlink="">
          <xdr:nvSpPr>
            <xdr:cNvPr id="131090" name="Check Box 18" hidden="1">
              <a:extLst>
                <a:ext uri="{63B3BB69-23CF-44E3-9099-C40C66FF867C}">
                  <a14:compatExt spid="_x0000_s131090"/>
                </a:ext>
                <a:ext uri="{FF2B5EF4-FFF2-40B4-BE49-F238E27FC236}">
                  <a16:creationId xmlns:a16="http://schemas.microsoft.com/office/drawing/2014/main" id="{00000000-0008-0000-1100-00001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45</xdr:row>
          <xdr:rowOff>381000</xdr:rowOff>
        </xdr:from>
        <xdr:to>
          <xdr:col>16</xdr:col>
          <xdr:colOff>723900</xdr:colOff>
          <xdr:row>46</xdr:row>
          <xdr:rowOff>190500</xdr:rowOff>
        </xdr:to>
        <xdr:sp macro="" textlink="">
          <xdr:nvSpPr>
            <xdr:cNvPr id="131091" name="Check Box 19" hidden="1">
              <a:extLst>
                <a:ext uri="{63B3BB69-23CF-44E3-9099-C40C66FF867C}">
                  <a14:compatExt spid="_x0000_s131091"/>
                </a:ext>
                <a:ext uri="{FF2B5EF4-FFF2-40B4-BE49-F238E27FC236}">
                  <a16:creationId xmlns:a16="http://schemas.microsoft.com/office/drawing/2014/main" id="{00000000-0008-0000-1100-00001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46</xdr:row>
          <xdr:rowOff>180975</xdr:rowOff>
        </xdr:from>
        <xdr:to>
          <xdr:col>16</xdr:col>
          <xdr:colOff>723900</xdr:colOff>
          <xdr:row>47</xdr:row>
          <xdr:rowOff>190500</xdr:rowOff>
        </xdr:to>
        <xdr:sp macro="" textlink="">
          <xdr:nvSpPr>
            <xdr:cNvPr id="131092" name="Check Box 20" hidden="1">
              <a:extLst>
                <a:ext uri="{63B3BB69-23CF-44E3-9099-C40C66FF867C}">
                  <a14:compatExt spid="_x0000_s131092"/>
                </a:ext>
                <a:ext uri="{FF2B5EF4-FFF2-40B4-BE49-F238E27FC236}">
                  <a16:creationId xmlns:a16="http://schemas.microsoft.com/office/drawing/2014/main" id="{00000000-0008-0000-1100-00001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47</xdr:row>
          <xdr:rowOff>171450</xdr:rowOff>
        </xdr:from>
        <xdr:to>
          <xdr:col>16</xdr:col>
          <xdr:colOff>723900</xdr:colOff>
          <xdr:row>49</xdr:row>
          <xdr:rowOff>0</xdr:rowOff>
        </xdr:to>
        <xdr:sp macro="" textlink="">
          <xdr:nvSpPr>
            <xdr:cNvPr id="131093" name="Check Box 21" hidden="1">
              <a:extLst>
                <a:ext uri="{63B3BB69-23CF-44E3-9099-C40C66FF867C}">
                  <a14:compatExt spid="_x0000_s131093"/>
                </a:ext>
                <a:ext uri="{FF2B5EF4-FFF2-40B4-BE49-F238E27FC236}">
                  <a16:creationId xmlns:a16="http://schemas.microsoft.com/office/drawing/2014/main" id="{00000000-0008-0000-1100-00001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49</xdr:row>
          <xdr:rowOff>190500</xdr:rowOff>
        </xdr:from>
        <xdr:to>
          <xdr:col>16</xdr:col>
          <xdr:colOff>723900</xdr:colOff>
          <xdr:row>51</xdr:row>
          <xdr:rowOff>0</xdr:rowOff>
        </xdr:to>
        <xdr:sp macro="" textlink="">
          <xdr:nvSpPr>
            <xdr:cNvPr id="131094" name="Check Box 22" hidden="1">
              <a:extLst>
                <a:ext uri="{63B3BB69-23CF-44E3-9099-C40C66FF867C}">
                  <a14:compatExt spid="_x0000_s131094"/>
                </a:ext>
                <a:ext uri="{FF2B5EF4-FFF2-40B4-BE49-F238E27FC236}">
                  <a16:creationId xmlns:a16="http://schemas.microsoft.com/office/drawing/2014/main" id="{00000000-0008-0000-1100-00001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50</xdr:row>
          <xdr:rowOff>180975</xdr:rowOff>
        </xdr:from>
        <xdr:to>
          <xdr:col>16</xdr:col>
          <xdr:colOff>723900</xdr:colOff>
          <xdr:row>52</xdr:row>
          <xdr:rowOff>0</xdr:rowOff>
        </xdr:to>
        <xdr:sp macro="" textlink="">
          <xdr:nvSpPr>
            <xdr:cNvPr id="131095" name="Check Box 23" hidden="1">
              <a:extLst>
                <a:ext uri="{63B3BB69-23CF-44E3-9099-C40C66FF867C}">
                  <a14:compatExt spid="_x0000_s131095"/>
                </a:ext>
                <a:ext uri="{FF2B5EF4-FFF2-40B4-BE49-F238E27FC236}">
                  <a16:creationId xmlns:a16="http://schemas.microsoft.com/office/drawing/2014/main" id="{00000000-0008-0000-1100-00001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51</xdr:row>
          <xdr:rowOff>180975</xdr:rowOff>
        </xdr:from>
        <xdr:to>
          <xdr:col>16</xdr:col>
          <xdr:colOff>723900</xdr:colOff>
          <xdr:row>53</xdr:row>
          <xdr:rowOff>0</xdr:rowOff>
        </xdr:to>
        <xdr:sp macro="" textlink="">
          <xdr:nvSpPr>
            <xdr:cNvPr id="131096" name="Check Box 24" hidden="1">
              <a:extLst>
                <a:ext uri="{63B3BB69-23CF-44E3-9099-C40C66FF867C}">
                  <a14:compatExt spid="_x0000_s131096"/>
                </a:ext>
                <a:ext uri="{FF2B5EF4-FFF2-40B4-BE49-F238E27FC236}">
                  <a16:creationId xmlns:a16="http://schemas.microsoft.com/office/drawing/2014/main" id="{00000000-0008-0000-1100-00001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52</xdr:row>
          <xdr:rowOff>180975</xdr:rowOff>
        </xdr:from>
        <xdr:to>
          <xdr:col>16</xdr:col>
          <xdr:colOff>723900</xdr:colOff>
          <xdr:row>54</xdr:row>
          <xdr:rowOff>9525</xdr:rowOff>
        </xdr:to>
        <xdr:sp macro="" textlink="">
          <xdr:nvSpPr>
            <xdr:cNvPr id="131097" name="Check Box 25" hidden="1">
              <a:extLst>
                <a:ext uri="{63B3BB69-23CF-44E3-9099-C40C66FF867C}">
                  <a14:compatExt spid="_x0000_s131097"/>
                </a:ext>
                <a:ext uri="{FF2B5EF4-FFF2-40B4-BE49-F238E27FC236}">
                  <a16:creationId xmlns:a16="http://schemas.microsoft.com/office/drawing/2014/main" id="{00000000-0008-0000-1100-00001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695325</xdr:colOff>
      <xdr:row>37</xdr:row>
      <xdr:rowOff>142875</xdr:rowOff>
    </xdr:from>
    <xdr:to>
      <xdr:col>11</xdr:col>
      <xdr:colOff>3061800</xdr:colOff>
      <xdr:row>37</xdr:row>
      <xdr:rowOff>142875</xdr:rowOff>
    </xdr:to>
    <xdr:cxnSp macro="">
      <xdr:nvCxnSpPr>
        <xdr:cNvPr id="6" name="Gerader Verbinder 5">
          <a:extLst>
            <a:ext uri="{FF2B5EF4-FFF2-40B4-BE49-F238E27FC236}">
              <a16:creationId xmlns:a16="http://schemas.microsoft.com/office/drawing/2014/main" id="{30A4AE5A-D6B6-4E61-9D57-216ABCEC55AF}"/>
            </a:ext>
          </a:extLst>
        </xdr:cNvPr>
        <xdr:cNvCxnSpPr/>
      </xdr:nvCxnSpPr>
      <xdr:spPr bwMode="auto">
        <a:xfrm>
          <a:off x="1228725" y="8410575"/>
          <a:ext cx="9624525"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695325</xdr:colOff>
      <xdr:row>32</xdr:row>
      <xdr:rowOff>133353</xdr:rowOff>
    </xdr:from>
    <xdr:to>
      <xdr:col>11</xdr:col>
      <xdr:colOff>3061800</xdr:colOff>
      <xdr:row>32</xdr:row>
      <xdr:rowOff>133353</xdr:rowOff>
    </xdr:to>
    <xdr:cxnSp macro="">
      <xdr:nvCxnSpPr>
        <xdr:cNvPr id="7" name="Gerader Verbinder 6">
          <a:extLst>
            <a:ext uri="{FF2B5EF4-FFF2-40B4-BE49-F238E27FC236}">
              <a16:creationId xmlns:a16="http://schemas.microsoft.com/office/drawing/2014/main" id="{6D8D2240-964D-4FCC-B2D7-55AF6FB76EA2}"/>
            </a:ext>
          </a:extLst>
        </xdr:cNvPr>
        <xdr:cNvCxnSpPr/>
      </xdr:nvCxnSpPr>
      <xdr:spPr bwMode="auto">
        <a:xfrm>
          <a:off x="1228725" y="7534278"/>
          <a:ext cx="9624525"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16</xdr:col>
      <xdr:colOff>683561</xdr:colOff>
      <xdr:row>77</xdr:row>
      <xdr:rowOff>67238</xdr:rowOff>
    </xdr:from>
    <xdr:to>
      <xdr:col>22</xdr:col>
      <xdr:colOff>662453</xdr:colOff>
      <xdr:row>98</xdr:row>
      <xdr:rowOff>124200</xdr:rowOff>
    </xdr:to>
    <xdr:graphicFrame macro="">
      <xdr:nvGraphicFramePr>
        <xdr:cNvPr id="8" name="Diagramm 7">
          <a:extLst>
            <a:ext uri="{FF2B5EF4-FFF2-40B4-BE49-F238E27FC236}">
              <a16:creationId xmlns:a16="http://schemas.microsoft.com/office/drawing/2014/main" id="{86C5F45C-0A59-41C2-9339-428D436A4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529479</xdr:colOff>
      <xdr:row>5</xdr:row>
      <xdr:rowOff>200025</xdr:rowOff>
    </xdr:from>
    <xdr:to>
      <xdr:col>22</xdr:col>
      <xdr:colOff>180890</xdr:colOff>
      <xdr:row>36</xdr:row>
      <xdr:rowOff>82597</xdr:rowOff>
    </xdr:to>
    <xdr:graphicFrame macro="">
      <xdr:nvGraphicFramePr>
        <xdr:cNvPr id="9" name="Diagramm 8">
          <a:extLst>
            <a:ext uri="{FF2B5EF4-FFF2-40B4-BE49-F238E27FC236}">
              <a16:creationId xmlns:a16="http://schemas.microsoft.com/office/drawing/2014/main" id="{CDDEDA9B-C0EC-4D30-B4FD-65BB429E56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514350</xdr:colOff>
          <xdr:row>48</xdr:row>
          <xdr:rowOff>180975</xdr:rowOff>
        </xdr:from>
        <xdr:to>
          <xdr:col>16</xdr:col>
          <xdr:colOff>723900</xdr:colOff>
          <xdr:row>50</xdr:row>
          <xdr:rowOff>9525</xdr:rowOff>
        </xdr:to>
        <xdr:sp macro="" textlink="">
          <xdr:nvSpPr>
            <xdr:cNvPr id="131098" name="Check Box 26" hidden="1">
              <a:extLst>
                <a:ext uri="{63B3BB69-23CF-44E3-9099-C40C66FF867C}">
                  <a14:compatExt spid="_x0000_s131098"/>
                </a:ext>
                <a:ext uri="{FF2B5EF4-FFF2-40B4-BE49-F238E27FC236}">
                  <a16:creationId xmlns:a16="http://schemas.microsoft.com/office/drawing/2014/main" id="{00000000-0008-0000-1100-00001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694764</xdr:colOff>
      <xdr:row>46</xdr:row>
      <xdr:rowOff>134472</xdr:rowOff>
    </xdr:from>
    <xdr:to>
      <xdr:col>25</xdr:col>
      <xdr:colOff>750314</xdr:colOff>
      <xdr:row>60</xdr:row>
      <xdr:rowOff>124625</xdr:rowOff>
    </xdr:to>
    <xdr:sp macro="" textlink="">
      <xdr:nvSpPr>
        <xdr:cNvPr id="10" name="Rechteck 9">
          <a:extLst>
            <a:ext uri="{FF2B5EF4-FFF2-40B4-BE49-F238E27FC236}">
              <a16:creationId xmlns:a16="http://schemas.microsoft.com/office/drawing/2014/main" id="{068E3E30-2BFD-4ADE-9C69-083FA2881D5C}"/>
            </a:ext>
          </a:extLst>
        </xdr:cNvPr>
        <xdr:cNvSpPr/>
      </xdr:nvSpPr>
      <xdr:spPr bwMode="auto">
        <a:xfrm>
          <a:off x="8838639" y="18308172"/>
          <a:ext cx="874700" cy="2847653"/>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11</xdr:col>
      <xdr:colOff>1071562</xdr:colOff>
      <xdr:row>21</xdr:row>
      <xdr:rowOff>95251</xdr:rowOff>
    </xdr:from>
    <xdr:to>
      <xdr:col>13</xdr:col>
      <xdr:colOff>619123</xdr:colOff>
      <xdr:row>26</xdr:row>
      <xdr:rowOff>130969</xdr:rowOff>
    </xdr:to>
    <xdr:sp macro="" textlink="$B$78">
      <xdr:nvSpPr>
        <xdr:cNvPr id="5" name="Textfeld 4">
          <a:extLst>
            <a:ext uri="{FF2B5EF4-FFF2-40B4-BE49-F238E27FC236}">
              <a16:creationId xmlns:a16="http://schemas.microsoft.com/office/drawing/2014/main" id="{4DF1B777-D190-48CE-9BB9-3BE1847927EA}"/>
            </a:ext>
          </a:extLst>
        </xdr:cNvPr>
        <xdr:cNvSpPr txBox="1"/>
      </xdr:nvSpPr>
      <xdr:spPr>
        <a:xfrm>
          <a:off x="8798718" y="6203157"/>
          <a:ext cx="3893343" cy="869156"/>
        </a:xfrm>
        <a:prstGeom prst="rect">
          <a:avLst/>
        </a:prstGeom>
        <a:noFill/>
        <a:ln>
          <a:solidFill>
            <a:schemeClr val="bg1">
              <a:lumMod val="50000"/>
            </a:schemeClr>
          </a:solidFill>
        </a:ln>
      </xdr:spPr>
      <xdr:txBody>
        <a:bodyPr vertOverflow="clip" horzOverflow="clip" wrap="square" rtlCol="0" anchor="t">
          <a:noAutofit/>
        </a:bodyPr>
        <a:lstStyle/>
        <a:p>
          <a:pPr algn="ctr"/>
          <a:fld id="{D5A33B56-F49F-44D4-8E84-5BF7483AF566}" type="TxLink">
            <a:rPr lang="en-US" sz="1000" b="0" i="0" u="none" strike="noStrike" dirty="0" err="1" smtClean="0">
              <a:solidFill>
                <a:srgbClr val="323232"/>
              </a:solidFill>
              <a:latin typeface="Arial"/>
              <a:cs typeface="Arial"/>
            </a:rPr>
            <a:pPr algn="ctr"/>
            <a:t> </a:t>
          </a:fld>
          <a:endParaRPr lang="de-DE" sz="1100" dirty="0" err="1">
            <a:solidFill>
              <a:sysClr val="windowText" lastClr="000000"/>
            </a:solidFill>
          </a:endParaRPr>
        </a:p>
      </xdr:txBody>
    </xdr:sp>
    <xdr:clientData/>
  </xdr:twoCellAnchor>
  <xdr:twoCellAnchor>
    <xdr:from>
      <xdr:col>12</xdr:col>
      <xdr:colOff>0</xdr:colOff>
      <xdr:row>20</xdr:row>
      <xdr:rowOff>23812</xdr:rowOff>
    </xdr:from>
    <xdr:to>
      <xdr:col>13</xdr:col>
      <xdr:colOff>619124</xdr:colOff>
      <xdr:row>21</xdr:row>
      <xdr:rowOff>95250</xdr:rowOff>
    </xdr:to>
    <xdr:sp macro="" textlink="">
      <xdr:nvSpPr>
        <xdr:cNvPr id="11" name="Rechteck 10">
          <a:extLst>
            <a:ext uri="{FF2B5EF4-FFF2-40B4-BE49-F238E27FC236}">
              <a16:creationId xmlns:a16="http://schemas.microsoft.com/office/drawing/2014/main" id="{DA5D0A73-C523-4C07-87FA-A080BFC20699}"/>
            </a:ext>
          </a:extLst>
        </xdr:cNvPr>
        <xdr:cNvSpPr/>
      </xdr:nvSpPr>
      <xdr:spPr bwMode="auto">
        <a:xfrm>
          <a:off x="8798719" y="5965031"/>
          <a:ext cx="3893343" cy="238125"/>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clientData/>
  </xdr:twoCellAnchor>
</xdr:wsDr>
</file>

<file path=xl/drawings/drawing39.xml><?xml version="1.0" encoding="utf-8"?>
<c:userShapes xmlns:c="http://schemas.openxmlformats.org/drawingml/2006/chart">
  <cdr:relSizeAnchor xmlns:cdr="http://schemas.openxmlformats.org/drawingml/2006/chartDrawing">
    <cdr:from>
      <cdr:x>0.51422</cdr:x>
      <cdr:y>0.04219</cdr:y>
    </cdr:from>
    <cdr:to>
      <cdr:x>0.63321</cdr:x>
      <cdr:y>0.07598</cdr:y>
    </cdr:to>
    <cdr:sp macro="" textlink="'M7 Rezeptur, Einsatzmenge'!$AC$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280352" y="299402"/>
          <a:ext cx="75907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380477C-7707-4B9E-B81E-4A2F6B311F2D}" type="TxLink">
            <a:rPr lang="en-US" sz="1000" b="1" i="0" u="none" strike="noStrike" dirty="0" err="1">
              <a:solidFill>
                <a:srgbClr val="323232"/>
              </a:solidFill>
              <a:latin typeface="Arial"/>
              <a:cs typeface="Arial"/>
            </a:rPr>
            <a:pPr/>
            <a:t>5.875</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0.07598</cdr:y>
    </cdr:to>
    <cdr:sp macro="" textlink="'M7 Rezeptur, Einsatzmenge'!$AD$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5064763" y="299402"/>
          <a:ext cx="75907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5.668</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7 Rezeptur, Einsatzmenge'!$AB$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FA31DEF-89D9-43ED-818A-5237D8469971}" type="TxLink">
            <a:rPr lang="en-US" sz="1000" b="1" i="0" u="none" strike="noStrike" dirty="0" err="1" smtClean="0">
              <a:solidFill>
                <a:srgbClr val="323232"/>
              </a:solidFill>
              <a:latin typeface="Arial"/>
              <a:cs typeface="Arial"/>
            </a:rPr>
            <a:pPr/>
            <a:t>6.098</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1228725</xdr:colOff>
      <xdr:row>46</xdr:row>
      <xdr:rowOff>104775</xdr:rowOff>
    </xdr:from>
    <xdr:to>
      <xdr:col>15</xdr:col>
      <xdr:colOff>1445894</xdr:colOff>
      <xdr:row>49</xdr:row>
      <xdr:rowOff>152974</xdr:rowOff>
    </xdr:to>
    <xdr:sp macro="" textlink="$P$86">
      <xdr:nvSpPr>
        <xdr:cNvPr id="2" name="Textfeld 11">
          <a:extLst>
            <a:ext uri="{FF2B5EF4-FFF2-40B4-BE49-F238E27FC236}">
              <a16:creationId xmlns:a16="http://schemas.microsoft.com/office/drawing/2014/main" id="{02A583B5-0022-4AF8-B70A-3E9E773CA070}"/>
            </a:ext>
          </a:extLst>
        </xdr:cNvPr>
        <xdr:cNvSpPr txBox="1"/>
      </xdr:nvSpPr>
      <xdr:spPr>
        <a:xfrm>
          <a:off x="17411700" y="9848850"/>
          <a:ext cx="1541144" cy="591124"/>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14</xdr:col>
      <xdr:colOff>1240155</xdr:colOff>
      <xdr:row>49</xdr:row>
      <xdr:rowOff>188595</xdr:rowOff>
    </xdr:from>
    <xdr:to>
      <xdr:col>15</xdr:col>
      <xdr:colOff>1535703</xdr:colOff>
      <xdr:row>55</xdr:row>
      <xdr:rowOff>51162</xdr:rowOff>
    </xdr:to>
    <xdr:sp macro="" textlink="$P$87">
      <xdr:nvSpPr>
        <xdr:cNvPr id="3" name="Textfeld 12">
          <a:extLst>
            <a:ext uri="{FF2B5EF4-FFF2-40B4-BE49-F238E27FC236}">
              <a16:creationId xmlns:a16="http://schemas.microsoft.com/office/drawing/2014/main" id="{D39CDCE8-7B93-40C0-92D0-2023C96D0B50}"/>
            </a:ext>
          </a:extLst>
        </xdr:cNvPr>
        <xdr:cNvSpPr txBox="1"/>
      </xdr:nvSpPr>
      <xdr:spPr>
        <a:xfrm>
          <a:off x="17423130" y="10475595"/>
          <a:ext cx="1619523" cy="662667"/>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0.24983</cdr:x>
      <cdr:y>0.03789</cdr:y>
    </cdr:from>
    <cdr:to>
      <cdr:x>0.38319</cdr:x>
      <cdr:y>0.07177</cdr:y>
    </cdr:to>
    <cdr:sp macro="" textlink="'M7 Rezeptur, Einsatzmenge'!$AK$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68165"/>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262.128 €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0.07177</cdr:y>
    </cdr:to>
    <cdr:sp macro="" textlink="'M7 Rezeptur, Einsatzmenge'!$AL$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68165"/>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374.059 €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0.07177</cdr:y>
    </cdr:to>
    <cdr:sp macro="" textlink="'M7 Rezeptur, Einsatzmenge'!$AM$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68165"/>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563.120 €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1.xml><?xml version="1.0" encoding="utf-8"?>
<c:userShapes xmlns:c="http://schemas.openxmlformats.org/drawingml/2006/chart">
  <cdr:relSizeAnchor xmlns:cdr="http://schemas.openxmlformats.org/drawingml/2006/chartDrawing">
    <cdr:from>
      <cdr:x>0.23302</cdr:x>
      <cdr:y>0</cdr:y>
    </cdr:from>
    <cdr:to>
      <cdr:x>0.32481</cdr:x>
      <cdr:y>1</cdr:y>
    </cdr:to>
    <cdr:sp macro="" textlink="'M7 Rezeptur, Einsatzmenge'!$S$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19767" y="0"/>
          <a:ext cx="63805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266,8</a:t>
          </a:fld>
          <a:endParaRPr lang="en-GB" sz="1100" dirty="0" err="1">
            <a:solidFill>
              <a:schemeClr val="tx1"/>
            </a:solidFill>
          </a:endParaRPr>
        </a:p>
      </cdr:txBody>
    </cdr:sp>
  </cdr:relSizeAnchor>
  <cdr:relSizeAnchor xmlns:cdr="http://schemas.openxmlformats.org/drawingml/2006/chartDrawing">
    <cdr:from>
      <cdr:x>0.52095</cdr:x>
      <cdr:y>0</cdr:y>
    </cdr:from>
    <cdr:to>
      <cdr:x>0.61274</cdr:x>
      <cdr:y>1</cdr:y>
    </cdr:to>
    <cdr:sp macro="" textlink="'M7 Rezeptur, Einsatzmenge'!$T$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621223" y="0"/>
          <a:ext cx="63805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219,8</a:t>
          </a:fld>
          <a:endParaRPr lang="en-GB" sz="1100" dirty="0" err="1">
            <a:solidFill>
              <a:schemeClr val="tx1"/>
            </a:solidFill>
          </a:endParaRPr>
        </a:p>
      </cdr:txBody>
    </cdr:sp>
  </cdr:relSizeAnchor>
  <cdr:relSizeAnchor xmlns:cdr="http://schemas.openxmlformats.org/drawingml/2006/chartDrawing">
    <cdr:from>
      <cdr:x>0.80269</cdr:x>
      <cdr:y>0</cdr:y>
    </cdr:from>
    <cdr:to>
      <cdr:x>0.89447</cdr:x>
      <cdr:y>1</cdr:y>
    </cdr:to>
    <cdr:sp macro="" textlink="'M7 Rezeptur, Einsatzmenge'!$U$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579652" y="0"/>
          <a:ext cx="63798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156,5</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2.xml><?xml version="1.0" encoding="utf-8"?>
<c:userShapes xmlns:c="http://schemas.openxmlformats.org/drawingml/2006/chart">
  <cdr:relSizeAnchor xmlns:cdr="http://schemas.openxmlformats.org/drawingml/2006/chartDrawing">
    <cdr:from>
      <cdr:x>0.26001</cdr:x>
      <cdr:y>0</cdr:y>
    </cdr:from>
    <cdr:to>
      <cdr:x>0.35189</cdr:x>
      <cdr:y>0.04985</cdr:y>
    </cdr:to>
    <cdr:sp macro="" textlink="'M7 Rezeptur, Einsatzmenge'!$AB$94">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722231" y="0"/>
          <a:ext cx="608587"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5.832</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0.03125</cdr:y>
    </cdr:to>
    <cdr:sp macro="" textlink="'M7 Rezeptur, Einsatzmenge'!$AC$94">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500433" y="0"/>
          <a:ext cx="608652"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5.655</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0.03125</cdr:y>
    </cdr:to>
    <cdr:sp macro="" textlink="'M7 Rezeptur, Einsatzmenge'!$AD$94">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325000" y="0"/>
          <a:ext cx="608653"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5.512</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3.xml><?xml version="1.0" encoding="utf-8"?>
<xdr:wsDr xmlns:xdr="http://schemas.openxmlformats.org/drawingml/2006/spreadsheetDrawing" xmlns:a="http://schemas.openxmlformats.org/drawingml/2006/main">
  <xdr:twoCellAnchor>
    <xdr:from>
      <xdr:col>25</xdr:col>
      <xdr:colOff>799740</xdr:colOff>
      <xdr:row>5</xdr:row>
      <xdr:rowOff>276226</xdr:rowOff>
    </xdr:from>
    <xdr:to>
      <xdr:col>30</xdr:col>
      <xdr:colOff>778217</xdr:colOff>
      <xdr:row>33</xdr:row>
      <xdr:rowOff>57524</xdr:rowOff>
    </xdr:to>
    <xdr:graphicFrame macro="">
      <xdr:nvGraphicFramePr>
        <xdr:cNvPr id="2" name="Diagramm 1">
          <a:extLst>
            <a:ext uri="{FF2B5EF4-FFF2-40B4-BE49-F238E27FC236}">
              <a16:creationId xmlns:a16="http://schemas.microsoft.com/office/drawing/2014/main" id="{CD052492-0AC0-49D7-B073-AE1ACF561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25</xdr:col>
          <xdr:colOff>523875</xdr:colOff>
          <xdr:row>51</xdr:row>
          <xdr:rowOff>28575</xdr:rowOff>
        </xdr:from>
        <xdr:to>
          <xdr:col>25</xdr:col>
          <xdr:colOff>704850</xdr:colOff>
          <xdr:row>51</xdr:row>
          <xdr:rowOff>190500</xdr:rowOff>
        </xdr:to>
        <xdr:sp macro="" textlink="">
          <xdr:nvSpPr>
            <xdr:cNvPr id="138241" name="Check Box 1" hidden="1">
              <a:extLst>
                <a:ext uri="{63B3BB69-23CF-44E3-9099-C40C66FF867C}">
                  <a14:compatExt spid="_x0000_s138241"/>
                </a:ext>
                <a:ext uri="{FF2B5EF4-FFF2-40B4-BE49-F238E27FC236}">
                  <a16:creationId xmlns:a16="http://schemas.microsoft.com/office/drawing/2014/main" id="{00000000-0008-0000-1200-00000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52</xdr:row>
          <xdr:rowOff>28575</xdr:rowOff>
        </xdr:from>
        <xdr:to>
          <xdr:col>25</xdr:col>
          <xdr:colOff>704850</xdr:colOff>
          <xdr:row>52</xdr:row>
          <xdr:rowOff>190500</xdr:rowOff>
        </xdr:to>
        <xdr:sp macro="" textlink="">
          <xdr:nvSpPr>
            <xdr:cNvPr id="138242" name="Check Box 2" hidden="1">
              <a:extLst>
                <a:ext uri="{63B3BB69-23CF-44E3-9099-C40C66FF867C}">
                  <a14:compatExt spid="_x0000_s138242"/>
                </a:ext>
                <a:ext uri="{FF2B5EF4-FFF2-40B4-BE49-F238E27FC236}">
                  <a16:creationId xmlns:a16="http://schemas.microsoft.com/office/drawing/2014/main" id="{00000000-0008-0000-1200-00000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53</xdr:row>
          <xdr:rowOff>28575</xdr:rowOff>
        </xdr:from>
        <xdr:to>
          <xdr:col>25</xdr:col>
          <xdr:colOff>704850</xdr:colOff>
          <xdr:row>53</xdr:row>
          <xdr:rowOff>180975</xdr:rowOff>
        </xdr:to>
        <xdr:sp macro="" textlink="">
          <xdr:nvSpPr>
            <xdr:cNvPr id="138243" name="Check Box 3" hidden="1">
              <a:extLst>
                <a:ext uri="{63B3BB69-23CF-44E3-9099-C40C66FF867C}">
                  <a14:compatExt spid="_x0000_s138243"/>
                </a:ext>
                <a:ext uri="{FF2B5EF4-FFF2-40B4-BE49-F238E27FC236}">
                  <a16:creationId xmlns:a16="http://schemas.microsoft.com/office/drawing/2014/main" id="{00000000-0008-0000-1200-00000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54</xdr:row>
          <xdr:rowOff>19050</xdr:rowOff>
        </xdr:from>
        <xdr:to>
          <xdr:col>25</xdr:col>
          <xdr:colOff>704850</xdr:colOff>
          <xdr:row>54</xdr:row>
          <xdr:rowOff>190500</xdr:rowOff>
        </xdr:to>
        <xdr:sp macro="" textlink="">
          <xdr:nvSpPr>
            <xdr:cNvPr id="138244" name="Check Box 4" hidden="1">
              <a:extLst>
                <a:ext uri="{63B3BB69-23CF-44E3-9099-C40C66FF867C}">
                  <a14:compatExt spid="_x0000_s138244"/>
                </a:ext>
                <a:ext uri="{FF2B5EF4-FFF2-40B4-BE49-F238E27FC236}">
                  <a16:creationId xmlns:a16="http://schemas.microsoft.com/office/drawing/2014/main" id="{00000000-0008-0000-1200-00000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55</xdr:row>
          <xdr:rowOff>19050</xdr:rowOff>
        </xdr:from>
        <xdr:to>
          <xdr:col>25</xdr:col>
          <xdr:colOff>704850</xdr:colOff>
          <xdr:row>55</xdr:row>
          <xdr:rowOff>180975</xdr:rowOff>
        </xdr:to>
        <xdr:sp macro="" textlink="">
          <xdr:nvSpPr>
            <xdr:cNvPr id="138245" name="Check Box 5" hidden="1">
              <a:extLst>
                <a:ext uri="{63B3BB69-23CF-44E3-9099-C40C66FF867C}">
                  <a14:compatExt spid="_x0000_s138245"/>
                </a:ext>
                <a:ext uri="{FF2B5EF4-FFF2-40B4-BE49-F238E27FC236}">
                  <a16:creationId xmlns:a16="http://schemas.microsoft.com/office/drawing/2014/main" id="{00000000-0008-0000-1200-00000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56</xdr:row>
          <xdr:rowOff>0</xdr:rowOff>
        </xdr:from>
        <xdr:to>
          <xdr:col>25</xdr:col>
          <xdr:colOff>704850</xdr:colOff>
          <xdr:row>56</xdr:row>
          <xdr:rowOff>180975</xdr:rowOff>
        </xdr:to>
        <xdr:sp macro="" textlink="">
          <xdr:nvSpPr>
            <xdr:cNvPr id="138246" name="Check Box 6" hidden="1">
              <a:extLst>
                <a:ext uri="{63B3BB69-23CF-44E3-9099-C40C66FF867C}">
                  <a14:compatExt spid="_x0000_s138246"/>
                </a:ext>
                <a:ext uri="{FF2B5EF4-FFF2-40B4-BE49-F238E27FC236}">
                  <a16:creationId xmlns:a16="http://schemas.microsoft.com/office/drawing/2014/main" id="{00000000-0008-0000-1200-00000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523875</xdr:colOff>
          <xdr:row>57</xdr:row>
          <xdr:rowOff>9525</xdr:rowOff>
        </xdr:from>
        <xdr:to>
          <xdr:col>25</xdr:col>
          <xdr:colOff>704850</xdr:colOff>
          <xdr:row>57</xdr:row>
          <xdr:rowOff>190500</xdr:rowOff>
        </xdr:to>
        <xdr:sp macro="" textlink="">
          <xdr:nvSpPr>
            <xdr:cNvPr id="138247" name="Check Box 7" hidden="1">
              <a:extLst>
                <a:ext uri="{63B3BB69-23CF-44E3-9099-C40C66FF867C}">
                  <a14:compatExt spid="_x0000_s138247"/>
                </a:ext>
                <a:ext uri="{FF2B5EF4-FFF2-40B4-BE49-F238E27FC236}">
                  <a16:creationId xmlns:a16="http://schemas.microsoft.com/office/drawing/2014/main" id="{00000000-0008-0000-1200-00000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34</xdr:col>
      <xdr:colOff>665157</xdr:colOff>
      <xdr:row>5</xdr:row>
      <xdr:rowOff>247649</xdr:rowOff>
    </xdr:from>
    <xdr:to>
      <xdr:col>41</xdr:col>
      <xdr:colOff>445249</xdr:colOff>
      <xdr:row>33</xdr:row>
      <xdr:rowOff>28948</xdr:rowOff>
    </xdr:to>
    <xdr:graphicFrame macro="">
      <xdr:nvGraphicFramePr>
        <xdr:cNvPr id="3" name="Diagramm 2">
          <a:extLst>
            <a:ext uri="{FF2B5EF4-FFF2-40B4-BE49-F238E27FC236}">
              <a16:creationId xmlns:a16="http://schemas.microsoft.com/office/drawing/2014/main" id="{4B2B76B1-17A9-474D-842C-E4E667EDD4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34</xdr:col>
          <xdr:colOff>457200</xdr:colOff>
          <xdr:row>53</xdr:row>
          <xdr:rowOff>0</xdr:rowOff>
        </xdr:from>
        <xdr:to>
          <xdr:col>34</xdr:col>
          <xdr:colOff>676275</xdr:colOff>
          <xdr:row>53</xdr:row>
          <xdr:rowOff>180975</xdr:rowOff>
        </xdr:to>
        <xdr:sp macro="" textlink="">
          <xdr:nvSpPr>
            <xdr:cNvPr id="138248" name="Check Box 8" hidden="1">
              <a:extLst>
                <a:ext uri="{63B3BB69-23CF-44E3-9099-C40C66FF867C}">
                  <a14:compatExt spid="_x0000_s138248"/>
                </a:ext>
                <a:ext uri="{FF2B5EF4-FFF2-40B4-BE49-F238E27FC236}">
                  <a16:creationId xmlns:a16="http://schemas.microsoft.com/office/drawing/2014/main" id="{00000000-0008-0000-1200-00000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54</xdr:row>
          <xdr:rowOff>19050</xdr:rowOff>
        </xdr:from>
        <xdr:to>
          <xdr:col>35</xdr:col>
          <xdr:colOff>0</xdr:colOff>
          <xdr:row>54</xdr:row>
          <xdr:rowOff>200025</xdr:rowOff>
        </xdr:to>
        <xdr:sp macro="" textlink="">
          <xdr:nvSpPr>
            <xdr:cNvPr id="138249" name="Check Box 9" hidden="1">
              <a:extLst>
                <a:ext uri="{63B3BB69-23CF-44E3-9099-C40C66FF867C}">
                  <a14:compatExt spid="_x0000_s138249"/>
                </a:ext>
                <a:ext uri="{FF2B5EF4-FFF2-40B4-BE49-F238E27FC236}">
                  <a16:creationId xmlns:a16="http://schemas.microsoft.com/office/drawing/2014/main" id="{00000000-0008-0000-1200-00000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55</xdr:row>
          <xdr:rowOff>19050</xdr:rowOff>
        </xdr:from>
        <xdr:to>
          <xdr:col>35</xdr:col>
          <xdr:colOff>0</xdr:colOff>
          <xdr:row>55</xdr:row>
          <xdr:rowOff>200025</xdr:rowOff>
        </xdr:to>
        <xdr:sp macro="" textlink="">
          <xdr:nvSpPr>
            <xdr:cNvPr id="138250" name="Check Box 10" hidden="1">
              <a:extLst>
                <a:ext uri="{63B3BB69-23CF-44E3-9099-C40C66FF867C}">
                  <a14:compatExt spid="_x0000_s138250"/>
                </a:ext>
                <a:ext uri="{FF2B5EF4-FFF2-40B4-BE49-F238E27FC236}">
                  <a16:creationId xmlns:a16="http://schemas.microsoft.com/office/drawing/2014/main" id="{00000000-0008-0000-1200-00000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571500</xdr:colOff>
          <xdr:row>56</xdr:row>
          <xdr:rowOff>9525</xdr:rowOff>
        </xdr:from>
        <xdr:to>
          <xdr:col>35</xdr:col>
          <xdr:colOff>0</xdr:colOff>
          <xdr:row>56</xdr:row>
          <xdr:rowOff>190500</xdr:rowOff>
        </xdr:to>
        <xdr:sp macro="" textlink="">
          <xdr:nvSpPr>
            <xdr:cNvPr id="138251" name="Check Box 11" hidden="1">
              <a:extLst>
                <a:ext uri="{63B3BB69-23CF-44E3-9099-C40C66FF867C}">
                  <a14:compatExt spid="_x0000_s138251"/>
                </a:ext>
                <a:ext uri="{FF2B5EF4-FFF2-40B4-BE49-F238E27FC236}">
                  <a16:creationId xmlns:a16="http://schemas.microsoft.com/office/drawing/2014/main" id="{00000000-0008-0000-1200-00000B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51</xdr:row>
          <xdr:rowOff>9525</xdr:rowOff>
        </xdr:from>
        <xdr:to>
          <xdr:col>34</xdr:col>
          <xdr:colOff>676275</xdr:colOff>
          <xdr:row>52</xdr:row>
          <xdr:rowOff>9525</xdr:rowOff>
        </xdr:to>
        <xdr:sp macro="" textlink="">
          <xdr:nvSpPr>
            <xdr:cNvPr id="138252" name="Check Box 12" hidden="1">
              <a:extLst>
                <a:ext uri="{63B3BB69-23CF-44E3-9099-C40C66FF867C}">
                  <a14:compatExt spid="_x0000_s138252"/>
                </a:ext>
                <a:ext uri="{FF2B5EF4-FFF2-40B4-BE49-F238E27FC236}">
                  <a16:creationId xmlns:a16="http://schemas.microsoft.com/office/drawing/2014/main" id="{00000000-0008-0000-1200-00000C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50</xdr:row>
          <xdr:rowOff>0</xdr:rowOff>
        </xdr:from>
        <xdr:to>
          <xdr:col>34</xdr:col>
          <xdr:colOff>676275</xdr:colOff>
          <xdr:row>50</xdr:row>
          <xdr:rowOff>180975</xdr:rowOff>
        </xdr:to>
        <xdr:sp macro="" textlink="">
          <xdr:nvSpPr>
            <xdr:cNvPr id="138253" name="Check Box 13" hidden="1">
              <a:extLst>
                <a:ext uri="{63B3BB69-23CF-44E3-9099-C40C66FF867C}">
                  <a14:compatExt spid="_x0000_s138253"/>
                </a:ext>
                <a:ext uri="{FF2B5EF4-FFF2-40B4-BE49-F238E27FC236}">
                  <a16:creationId xmlns:a16="http://schemas.microsoft.com/office/drawing/2014/main" id="{00000000-0008-0000-1200-00000D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457200</xdr:colOff>
          <xdr:row>52</xdr:row>
          <xdr:rowOff>9525</xdr:rowOff>
        </xdr:from>
        <xdr:to>
          <xdr:col>34</xdr:col>
          <xdr:colOff>676275</xdr:colOff>
          <xdr:row>53</xdr:row>
          <xdr:rowOff>0</xdr:rowOff>
        </xdr:to>
        <xdr:sp macro="" textlink="">
          <xdr:nvSpPr>
            <xdr:cNvPr id="138254" name="Check Box 14" hidden="1">
              <a:extLst>
                <a:ext uri="{63B3BB69-23CF-44E3-9099-C40C66FF867C}">
                  <a14:compatExt spid="_x0000_s138254"/>
                </a:ext>
                <a:ext uri="{FF2B5EF4-FFF2-40B4-BE49-F238E27FC236}">
                  <a16:creationId xmlns:a16="http://schemas.microsoft.com/office/drawing/2014/main" id="{00000000-0008-0000-1200-00000E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41</xdr:row>
          <xdr:rowOff>152400</xdr:rowOff>
        </xdr:from>
        <xdr:to>
          <xdr:col>16</xdr:col>
          <xdr:colOff>723900</xdr:colOff>
          <xdr:row>43</xdr:row>
          <xdr:rowOff>9525</xdr:rowOff>
        </xdr:to>
        <xdr:sp macro="" textlink="">
          <xdr:nvSpPr>
            <xdr:cNvPr id="138255" name="Check Box 15" hidden="1">
              <a:extLst>
                <a:ext uri="{63B3BB69-23CF-44E3-9099-C40C66FF867C}">
                  <a14:compatExt spid="_x0000_s138255"/>
                </a:ext>
                <a:ext uri="{FF2B5EF4-FFF2-40B4-BE49-F238E27FC236}">
                  <a16:creationId xmlns:a16="http://schemas.microsoft.com/office/drawing/2014/main" id="{00000000-0008-0000-1200-00000F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42</xdr:row>
          <xdr:rowOff>190500</xdr:rowOff>
        </xdr:from>
        <xdr:to>
          <xdr:col>16</xdr:col>
          <xdr:colOff>723900</xdr:colOff>
          <xdr:row>44</xdr:row>
          <xdr:rowOff>9525</xdr:rowOff>
        </xdr:to>
        <xdr:sp macro="" textlink="">
          <xdr:nvSpPr>
            <xdr:cNvPr id="138256" name="Check Box 16" hidden="1">
              <a:extLst>
                <a:ext uri="{63B3BB69-23CF-44E3-9099-C40C66FF867C}">
                  <a14:compatExt spid="_x0000_s138256"/>
                </a:ext>
                <a:ext uri="{FF2B5EF4-FFF2-40B4-BE49-F238E27FC236}">
                  <a16:creationId xmlns:a16="http://schemas.microsoft.com/office/drawing/2014/main" id="{00000000-0008-0000-1200-000010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43</xdr:row>
          <xdr:rowOff>190500</xdr:rowOff>
        </xdr:from>
        <xdr:to>
          <xdr:col>16</xdr:col>
          <xdr:colOff>723900</xdr:colOff>
          <xdr:row>45</xdr:row>
          <xdr:rowOff>9525</xdr:rowOff>
        </xdr:to>
        <xdr:sp macro="" textlink="">
          <xdr:nvSpPr>
            <xdr:cNvPr id="138257" name="Check Box 17" hidden="1">
              <a:extLst>
                <a:ext uri="{63B3BB69-23CF-44E3-9099-C40C66FF867C}">
                  <a14:compatExt spid="_x0000_s138257"/>
                </a:ext>
                <a:ext uri="{FF2B5EF4-FFF2-40B4-BE49-F238E27FC236}">
                  <a16:creationId xmlns:a16="http://schemas.microsoft.com/office/drawing/2014/main" id="{00000000-0008-0000-1200-000011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44</xdr:row>
          <xdr:rowOff>190500</xdr:rowOff>
        </xdr:from>
        <xdr:to>
          <xdr:col>16</xdr:col>
          <xdr:colOff>723900</xdr:colOff>
          <xdr:row>46</xdr:row>
          <xdr:rowOff>0</xdr:rowOff>
        </xdr:to>
        <xdr:sp macro="" textlink="">
          <xdr:nvSpPr>
            <xdr:cNvPr id="138258" name="Check Box 18" hidden="1">
              <a:extLst>
                <a:ext uri="{63B3BB69-23CF-44E3-9099-C40C66FF867C}">
                  <a14:compatExt spid="_x0000_s138258"/>
                </a:ext>
                <a:ext uri="{FF2B5EF4-FFF2-40B4-BE49-F238E27FC236}">
                  <a16:creationId xmlns:a16="http://schemas.microsoft.com/office/drawing/2014/main" id="{00000000-0008-0000-1200-000012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45</xdr:row>
          <xdr:rowOff>190500</xdr:rowOff>
        </xdr:from>
        <xdr:to>
          <xdr:col>16</xdr:col>
          <xdr:colOff>723900</xdr:colOff>
          <xdr:row>46</xdr:row>
          <xdr:rowOff>200025</xdr:rowOff>
        </xdr:to>
        <xdr:sp macro="" textlink="">
          <xdr:nvSpPr>
            <xdr:cNvPr id="138259" name="Check Box 19" hidden="1">
              <a:extLst>
                <a:ext uri="{63B3BB69-23CF-44E3-9099-C40C66FF867C}">
                  <a14:compatExt spid="_x0000_s138259"/>
                </a:ext>
                <a:ext uri="{FF2B5EF4-FFF2-40B4-BE49-F238E27FC236}">
                  <a16:creationId xmlns:a16="http://schemas.microsoft.com/office/drawing/2014/main" id="{00000000-0008-0000-1200-000013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46</xdr:row>
          <xdr:rowOff>180975</xdr:rowOff>
        </xdr:from>
        <xdr:to>
          <xdr:col>16</xdr:col>
          <xdr:colOff>723900</xdr:colOff>
          <xdr:row>47</xdr:row>
          <xdr:rowOff>190500</xdr:rowOff>
        </xdr:to>
        <xdr:sp macro="" textlink="">
          <xdr:nvSpPr>
            <xdr:cNvPr id="138260" name="Check Box 20" hidden="1">
              <a:extLst>
                <a:ext uri="{63B3BB69-23CF-44E3-9099-C40C66FF867C}">
                  <a14:compatExt spid="_x0000_s138260"/>
                </a:ext>
                <a:ext uri="{FF2B5EF4-FFF2-40B4-BE49-F238E27FC236}">
                  <a16:creationId xmlns:a16="http://schemas.microsoft.com/office/drawing/2014/main" id="{00000000-0008-0000-1200-000014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47</xdr:row>
          <xdr:rowOff>171450</xdr:rowOff>
        </xdr:from>
        <xdr:to>
          <xdr:col>16</xdr:col>
          <xdr:colOff>723900</xdr:colOff>
          <xdr:row>49</xdr:row>
          <xdr:rowOff>0</xdr:rowOff>
        </xdr:to>
        <xdr:sp macro="" textlink="">
          <xdr:nvSpPr>
            <xdr:cNvPr id="138261" name="Check Box 21" hidden="1">
              <a:extLst>
                <a:ext uri="{63B3BB69-23CF-44E3-9099-C40C66FF867C}">
                  <a14:compatExt spid="_x0000_s138261"/>
                </a:ext>
                <a:ext uri="{FF2B5EF4-FFF2-40B4-BE49-F238E27FC236}">
                  <a16:creationId xmlns:a16="http://schemas.microsoft.com/office/drawing/2014/main" id="{00000000-0008-0000-1200-000015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49</xdr:row>
          <xdr:rowOff>190500</xdr:rowOff>
        </xdr:from>
        <xdr:to>
          <xdr:col>16</xdr:col>
          <xdr:colOff>723900</xdr:colOff>
          <xdr:row>51</xdr:row>
          <xdr:rowOff>0</xdr:rowOff>
        </xdr:to>
        <xdr:sp macro="" textlink="">
          <xdr:nvSpPr>
            <xdr:cNvPr id="138262" name="Check Box 22" hidden="1">
              <a:extLst>
                <a:ext uri="{63B3BB69-23CF-44E3-9099-C40C66FF867C}">
                  <a14:compatExt spid="_x0000_s138262"/>
                </a:ext>
                <a:ext uri="{FF2B5EF4-FFF2-40B4-BE49-F238E27FC236}">
                  <a16:creationId xmlns:a16="http://schemas.microsoft.com/office/drawing/2014/main" id="{00000000-0008-0000-1200-000016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50</xdr:row>
          <xdr:rowOff>180975</xdr:rowOff>
        </xdr:from>
        <xdr:to>
          <xdr:col>16</xdr:col>
          <xdr:colOff>723900</xdr:colOff>
          <xdr:row>52</xdr:row>
          <xdr:rowOff>0</xdr:rowOff>
        </xdr:to>
        <xdr:sp macro="" textlink="">
          <xdr:nvSpPr>
            <xdr:cNvPr id="138263" name="Check Box 23" hidden="1">
              <a:extLst>
                <a:ext uri="{63B3BB69-23CF-44E3-9099-C40C66FF867C}">
                  <a14:compatExt spid="_x0000_s138263"/>
                </a:ext>
                <a:ext uri="{FF2B5EF4-FFF2-40B4-BE49-F238E27FC236}">
                  <a16:creationId xmlns:a16="http://schemas.microsoft.com/office/drawing/2014/main" id="{00000000-0008-0000-1200-000017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51</xdr:row>
          <xdr:rowOff>180975</xdr:rowOff>
        </xdr:from>
        <xdr:to>
          <xdr:col>16</xdr:col>
          <xdr:colOff>723900</xdr:colOff>
          <xdr:row>53</xdr:row>
          <xdr:rowOff>0</xdr:rowOff>
        </xdr:to>
        <xdr:sp macro="" textlink="">
          <xdr:nvSpPr>
            <xdr:cNvPr id="138264" name="Check Box 24" hidden="1">
              <a:extLst>
                <a:ext uri="{63B3BB69-23CF-44E3-9099-C40C66FF867C}">
                  <a14:compatExt spid="_x0000_s138264"/>
                </a:ext>
                <a:ext uri="{FF2B5EF4-FFF2-40B4-BE49-F238E27FC236}">
                  <a16:creationId xmlns:a16="http://schemas.microsoft.com/office/drawing/2014/main" id="{00000000-0008-0000-1200-000018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514350</xdr:colOff>
          <xdr:row>52</xdr:row>
          <xdr:rowOff>180975</xdr:rowOff>
        </xdr:from>
        <xdr:to>
          <xdr:col>16</xdr:col>
          <xdr:colOff>723900</xdr:colOff>
          <xdr:row>54</xdr:row>
          <xdr:rowOff>9525</xdr:rowOff>
        </xdr:to>
        <xdr:sp macro="" textlink="">
          <xdr:nvSpPr>
            <xdr:cNvPr id="138265" name="Check Box 25" hidden="1">
              <a:extLst>
                <a:ext uri="{63B3BB69-23CF-44E3-9099-C40C66FF867C}">
                  <a14:compatExt spid="_x0000_s138265"/>
                </a:ext>
                <a:ext uri="{FF2B5EF4-FFF2-40B4-BE49-F238E27FC236}">
                  <a16:creationId xmlns:a16="http://schemas.microsoft.com/office/drawing/2014/main" id="{00000000-0008-0000-1200-000019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695325</xdr:colOff>
      <xdr:row>32</xdr:row>
      <xdr:rowOff>142875</xdr:rowOff>
    </xdr:from>
    <xdr:to>
      <xdr:col>10</xdr:col>
      <xdr:colOff>3061800</xdr:colOff>
      <xdr:row>32</xdr:row>
      <xdr:rowOff>142875</xdr:rowOff>
    </xdr:to>
    <xdr:cxnSp macro="">
      <xdr:nvCxnSpPr>
        <xdr:cNvPr id="6" name="Gerader Verbinder 5">
          <a:extLst>
            <a:ext uri="{FF2B5EF4-FFF2-40B4-BE49-F238E27FC236}">
              <a16:creationId xmlns:a16="http://schemas.microsoft.com/office/drawing/2014/main" id="{EA397280-D6FE-48FC-91E0-F0BCB17B6E5D}"/>
            </a:ext>
          </a:extLst>
        </xdr:cNvPr>
        <xdr:cNvCxnSpPr/>
      </xdr:nvCxnSpPr>
      <xdr:spPr bwMode="auto">
        <a:xfrm>
          <a:off x="1228725" y="8039100"/>
          <a:ext cx="936735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xdr:col>
      <xdr:colOff>695325</xdr:colOff>
      <xdr:row>27</xdr:row>
      <xdr:rowOff>133353</xdr:rowOff>
    </xdr:from>
    <xdr:to>
      <xdr:col>10</xdr:col>
      <xdr:colOff>3061800</xdr:colOff>
      <xdr:row>27</xdr:row>
      <xdr:rowOff>133353</xdr:rowOff>
    </xdr:to>
    <xdr:cxnSp macro="">
      <xdr:nvCxnSpPr>
        <xdr:cNvPr id="7" name="Gerader Verbinder 6">
          <a:extLst>
            <a:ext uri="{FF2B5EF4-FFF2-40B4-BE49-F238E27FC236}">
              <a16:creationId xmlns:a16="http://schemas.microsoft.com/office/drawing/2014/main" id="{F6D06F05-D0B6-42B6-8508-581F84630D0C}"/>
            </a:ext>
          </a:extLst>
        </xdr:cNvPr>
        <xdr:cNvCxnSpPr/>
      </xdr:nvCxnSpPr>
      <xdr:spPr bwMode="auto">
        <a:xfrm>
          <a:off x="1228725" y="7162803"/>
          <a:ext cx="936735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16</xdr:col>
      <xdr:colOff>620247</xdr:colOff>
      <xdr:row>77</xdr:row>
      <xdr:rowOff>126068</xdr:rowOff>
    </xdr:from>
    <xdr:to>
      <xdr:col>22</xdr:col>
      <xdr:colOff>601381</xdr:colOff>
      <xdr:row>99</xdr:row>
      <xdr:rowOff>21106</xdr:rowOff>
    </xdr:to>
    <xdr:graphicFrame macro="">
      <xdr:nvGraphicFramePr>
        <xdr:cNvPr id="8" name="Diagramm 7">
          <a:extLst>
            <a:ext uri="{FF2B5EF4-FFF2-40B4-BE49-F238E27FC236}">
              <a16:creationId xmlns:a16="http://schemas.microsoft.com/office/drawing/2014/main" id="{140C86AB-3339-4B98-A71C-60D3B3F36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529479</xdr:colOff>
      <xdr:row>5</xdr:row>
      <xdr:rowOff>171451</xdr:rowOff>
    </xdr:from>
    <xdr:to>
      <xdr:col>22</xdr:col>
      <xdr:colOff>180890</xdr:colOff>
      <xdr:row>36</xdr:row>
      <xdr:rowOff>82598</xdr:rowOff>
    </xdr:to>
    <xdr:graphicFrame macro="">
      <xdr:nvGraphicFramePr>
        <xdr:cNvPr id="9" name="Diagramm 8">
          <a:extLst>
            <a:ext uri="{FF2B5EF4-FFF2-40B4-BE49-F238E27FC236}">
              <a16:creationId xmlns:a16="http://schemas.microsoft.com/office/drawing/2014/main" id="{B8784F96-9048-4381-AF60-B19F58598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16</xdr:col>
          <xdr:colOff>514350</xdr:colOff>
          <xdr:row>48</xdr:row>
          <xdr:rowOff>180975</xdr:rowOff>
        </xdr:from>
        <xdr:to>
          <xdr:col>16</xdr:col>
          <xdr:colOff>723900</xdr:colOff>
          <xdr:row>50</xdr:row>
          <xdr:rowOff>9525</xdr:rowOff>
        </xdr:to>
        <xdr:sp macro="" textlink="">
          <xdr:nvSpPr>
            <xdr:cNvPr id="138266" name="Check Box 26" hidden="1">
              <a:extLst>
                <a:ext uri="{63B3BB69-23CF-44E3-9099-C40C66FF867C}">
                  <a14:compatExt spid="_x0000_s138266"/>
                </a:ext>
                <a:ext uri="{FF2B5EF4-FFF2-40B4-BE49-F238E27FC236}">
                  <a16:creationId xmlns:a16="http://schemas.microsoft.com/office/drawing/2014/main" id="{00000000-0008-0000-1200-00001A1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694764</xdr:colOff>
      <xdr:row>46</xdr:row>
      <xdr:rowOff>134472</xdr:rowOff>
    </xdr:from>
    <xdr:to>
      <xdr:col>25</xdr:col>
      <xdr:colOff>750314</xdr:colOff>
      <xdr:row>60</xdr:row>
      <xdr:rowOff>124625</xdr:rowOff>
    </xdr:to>
    <xdr:sp macro="" textlink="">
      <xdr:nvSpPr>
        <xdr:cNvPr id="10" name="Rechteck 9">
          <a:extLst>
            <a:ext uri="{FF2B5EF4-FFF2-40B4-BE49-F238E27FC236}">
              <a16:creationId xmlns:a16="http://schemas.microsoft.com/office/drawing/2014/main" id="{535B1C29-D922-4B33-A0BF-3EC887A2E86C}"/>
            </a:ext>
          </a:extLst>
        </xdr:cNvPr>
        <xdr:cNvSpPr/>
      </xdr:nvSpPr>
      <xdr:spPr bwMode="auto">
        <a:xfrm>
          <a:off x="8810064" y="17936697"/>
          <a:ext cx="874700" cy="2847653"/>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11</xdr:col>
      <xdr:colOff>1</xdr:colOff>
      <xdr:row>30</xdr:row>
      <xdr:rowOff>9524</xdr:rowOff>
    </xdr:from>
    <xdr:to>
      <xdr:col>12</xdr:col>
      <xdr:colOff>28576</xdr:colOff>
      <xdr:row>35</xdr:row>
      <xdr:rowOff>57150</xdr:rowOff>
    </xdr:to>
    <xdr:sp macro="" textlink="$B$120">
      <xdr:nvSpPr>
        <xdr:cNvPr id="4" name="Textfeld 3">
          <a:extLst>
            <a:ext uri="{FF2B5EF4-FFF2-40B4-BE49-F238E27FC236}">
              <a16:creationId xmlns:a16="http://schemas.microsoft.com/office/drawing/2014/main" id="{4678F5C3-F039-4386-B5F5-8AA8F1D6BE21}"/>
            </a:ext>
          </a:extLst>
        </xdr:cNvPr>
        <xdr:cNvSpPr txBox="1"/>
      </xdr:nvSpPr>
      <xdr:spPr>
        <a:xfrm>
          <a:off x="9344026" y="7077074"/>
          <a:ext cx="3181350" cy="895351"/>
        </a:xfrm>
        <a:prstGeom prst="rect">
          <a:avLst/>
        </a:prstGeom>
        <a:noFill/>
        <a:ln>
          <a:solidFill>
            <a:schemeClr val="bg1">
              <a:lumMod val="50000"/>
            </a:schemeClr>
          </a:solidFill>
        </a:ln>
      </xdr:spPr>
      <xdr:txBody>
        <a:bodyPr vertOverflow="clip" horzOverflow="clip" wrap="square" rtlCol="0" anchor="t">
          <a:noAutofit/>
        </a:bodyPr>
        <a:lstStyle/>
        <a:p>
          <a:pPr algn="ctr"/>
          <a:fld id="{08C2AF1D-4D0C-4146-829F-0E29EFC8CD8F}" type="TxLink">
            <a:rPr lang="en-US" sz="1000" b="0" i="0" u="none" strike="noStrike" dirty="0" err="1" smtClean="0">
              <a:solidFill>
                <a:srgbClr val="323232"/>
              </a:solidFill>
              <a:latin typeface="Arial"/>
              <a:cs typeface="Arial"/>
            </a:rPr>
            <a:pPr algn="ctr"/>
            <a:t> </a:t>
          </a:fld>
          <a:endParaRPr lang="de-DE" sz="1100" dirty="0" err="1">
            <a:solidFill>
              <a:sysClr val="windowText" lastClr="000000"/>
            </a:solidFill>
          </a:endParaRPr>
        </a:p>
      </xdr:txBody>
    </xdr:sp>
    <xdr:clientData/>
  </xdr:twoCellAnchor>
  <xdr:twoCellAnchor>
    <xdr:from>
      <xdr:col>11</xdr:col>
      <xdr:colOff>2</xdr:colOff>
      <xdr:row>28</xdr:row>
      <xdr:rowOff>0</xdr:rowOff>
    </xdr:from>
    <xdr:to>
      <xdr:col>12</xdr:col>
      <xdr:colOff>28577</xdr:colOff>
      <xdr:row>29</xdr:row>
      <xdr:rowOff>174712</xdr:rowOff>
    </xdr:to>
    <xdr:sp macro="" textlink="">
      <xdr:nvSpPr>
        <xdr:cNvPr id="5" name="Rechteck 4">
          <a:extLst>
            <a:ext uri="{FF2B5EF4-FFF2-40B4-BE49-F238E27FC236}">
              <a16:creationId xmlns:a16="http://schemas.microsoft.com/office/drawing/2014/main" id="{2B949A29-49A9-46C0-A582-45B0EB835D02}"/>
            </a:ext>
          </a:extLst>
        </xdr:cNvPr>
        <xdr:cNvSpPr/>
      </xdr:nvSpPr>
      <xdr:spPr bwMode="auto">
        <a:xfrm>
          <a:off x="9344027" y="6724650"/>
          <a:ext cx="3181350" cy="336637"/>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clientData/>
  </xdr:twoCellAnchor>
</xdr:wsDr>
</file>

<file path=xl/drawings/drawing44.xml><?xml version="1.0" encoding="utf-8"?>
<c:userShapes xmlns:c="http://schemas.openxmlformats.org/drawingml/2006/chart">
  <cdr:relSizeAnchor xmlns:cdr="http://schemas.openxmlformats.org/drawingml/2006/chartDrawing">
    <cdr:from>
      <cdr:x>0.51422</cdr:x>
      <cdr:y>0.04219</cdr:y>
    </cdr:from>
    <cdr:to>
      <cdr:x>0.63321</cdr:x>
      <cdr:y>0.07993</cdr:y>
    </cdr:to>
    <cdr:sp macro="" textlink="'M8 Rezeptur, geringerer EF'!$AC$4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67699" y="268056"/>
          <a:ext cx="733003"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E7766C1-E1A2-48BE-891C-ADD23BEA6D94}" type="TxLink">
            <a:rPr lang="en-US" sz="1000" b="1" i="0" u="none" strike="noStrike" dirty="0" err="1">
              <a:solidFill>
                <a:srgbClr val="323232"/>
              </a:solidFill>
              <a:latin typeface="Arial"/>
              <a:cs typeface="Arial"/>
            </a:rPr>
            <a:pPr/>
            <a:t>5.737</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0.07993</cdr:y>
    </cdr:to>
    <cdr:sp macro="" textlink="'M8 Rezeptur, geringerer EF'!$AD$46">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90831" y="268056"/>
          <a:ext cx="733002"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5.437</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8 Rezeptur, geringerer EF'!$AB$46">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14F70C3-F7DC-42C2-A3A8-AE9400D1CAB8}" type="TxLink">
            <a:rPr lang="en-US" sz="1000" b="1" i="0" u="none" strike="noStrike" dirty="0" err="1" smtClean="0">
              <a:solidFill>
                <a:srgbClr val="323232"/>
              </a:solidFill>
              <a:latin typeface="Arial"/>
              <a:cs typeface="Arial"/>
            </a:rPr>
            <a:pPr/>
            <a:t>6.098</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5.xml><?xml version="1.0" encoding="utf-8"?>
<c:userShapes xmlns:c="http://schemas.openxmlformats.org/drawingml/2006/chart">
  <cdr:relSizeAnchor xmlns:cdr="http://schemas.openxmlformats.org/drawingml/2006/chartDrawing">
    <cdr:from>
      <cdr:x>0.24983</cdr:x>
      <cdr:y>0.03789</cdr:y>
    </cdr:from>
    <cdr:to>
      <cdr:x>0.38319</cdr:x>
      <cdr:y>0.07563</cdr:y>
    </cdr:to>
    <cdr:sp macro="" textlink="'M8 Rezeptur, geringerer EF'!$AK$97">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40736"/>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262.128 €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0.07563</cdr:y>
    </cdr:to>
    <cdr:sp macro="" textlink="'M8 Rezeptur, geringerer EF'!$AL$97">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40736"/>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367.821 €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0.07563</cdr:y>
    </cdr:to>
    <cdr:sp macro="" textlink="'M8 Rezeptur, geringerer EF'!$AM$97">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40736"/>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544.602 €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6.xml><?xml version="1.0" encoding="utf-8"?>
<c:userShapes xmlns:c="http://schemas.openxmlformats.org/drawingml/2006/chart">
  <cdr:relSizeAnchor xmlns:cdr="http://schemas.openxmlformats.org/drawingml/2006/chartDrawing">
    <cdr:from>
      <cdr:x>0.23302</cdr:x>
      <cdr:y>0</cdr:y>
    </cdr:from>
    <cdr:to>
      <cdr:x>0.32481</cdr:x>
      <cdr:y>1</cdr:y>
    </cdr:to>
    <cdr:sp macro="" textlink="'M8 Rezeptur, geringerer EF'!$S$8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02533" y="0"/>
          <a:ext cx="63126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266,8</a:t>
          </a:fld>
          <a:endParaRPr lang="en-GB" sz="1100" dirty="0" err="1">
            <a:solidFill>
              <a:schemeClr val="tx1"/>
            </a:solidFill>
          </a:endParaRPr>
        </a:p>
      </cdr:txBody>
    </cdr:sp>
  </cdr:relSizeAnchor>
  <cdr:relSizeAnchor xmlns:cdr="http://schemas.openxmlformats.org/drawingml/2006/chartDrawing">
    <cdr:from>
      <cdr:x>0.52095</cdr:x>
      <cdr:y>0</cdr:y>
    </cdr:from>
    <cdr:to>
      <cdr:x>0.61274</cdr:x>
      <cdr:y>1</cdr:y>
    </cdr:to>
    <cdr:sp macro="" textlink="'M8 Rezeptur, geringerer EF'!$T$8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582695" y="0"/>
          <a:ext cx="63126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219,8</a:t>
          </a:fld>
          <a:endParaRPr lang="en-GB" sz="1100" dirty="0" err="1">
            <a:solidFill>
              <a:schemeClr val="tx1"/>
            </a:solidFill>
          </a:endParaRPr>
        </a:p>
      </cdr:txBody>
    </cdr:sp>
  </cdr:relSizeAnchor>
  <cdr:relSizeAnchor xmlns:cdr="http://schemas.openxmlformats.org/drawingml/2006/chartDrawing">
    <cdr:from>
      <cdr:x>0.80269</cdr:x>
      <cdr:y>0</cdr:y>
    </cdr:from>
    <cdr:to>
      <cdr:x>0.89447</cdr:x>
      <cdr:y>1</cdr:y>
    </cdr:to>
    <cdr:sp macro="" textlink="'M8 Rezeptur, geringerer EF'!$U$8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520287" y="0"/>
          <a:ext cx="631192"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156,5</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7.xml><?xml version="1.0" encoding="utf-8"?>
<c:userShapes xmlns:c="http://schemas.openxmlformats.org/drawingml/2006/chart">
  <cdr:relSizeAnchor xmlns:cdr="http://schemas.openxmlformats.org/drawingml/2006/chartDrawing">
    <cdr:from>
      <cdr:x>0.26001</cdr:x>
      <cdr:y>0</cdr:y>
    </cdr:from>
    <cdr:to>
      <cdr:x>0.35189</cdr:x>
      <cdr:y>0.05467</cdr:y>
    </cdr:to>
    <cdr:sp macro="" textlink="'M8 Rezeptur, geringerer EF'!$AB$94">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702418" y="0"/>
          <a:ext cx="601586"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5.832</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0.03441</cdr:y>
    </cdr:to>
    <cdr:sp macro="" textlink="'M8 Rezeptur, geringerer EF'!$AC$94">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60163" y="0"/>
          <a:ext cx="60165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5.517</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0.03441</cdr:y>
    </cdr:to>
    <cdr:sp macro="" textlink="'M8 Rezeptur, geringerer EF'!$AD$94">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63741" y="0"/>
          <a:ext cx="601650"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5.280</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48.xml><?xml version="1.0" encoding="utf-8"?>
<xdr:wsDr xmlns:xdr="http://schemas.openxmlformats.org/drawingml/2006/spreadsheetDrawing" xmlns:a="http://schemas.openxmlformats.org/drawingml/2006/main">
  <xdr:twoCellAnchor>
    <xdr:from>
      <xdr:col>26</xdr:col>
      <xdr:colOff>799740</xdr:colOff>
      <xdr:row>5</xdr:row>
      <xdr:rowOff>152400</xdr:rowOff>
    </xdr:from>
    <xdr:to>
      <xdr:col>31</xdr:col>
      <xdr:colOff>778217</xdr:colOff>
      <xdr:row>35</xdr:row>
      <xdr:rowOff>57523</xdr:rowOff>
    </xdr:to>
    <xdr:graphicFrame macro="">
      <xdr:nvGraphicFramePr>
        <xdr:cNvPr id="2" name="Diagramm 1">
          <a:extLst>
            <a:ext uri="{FF2B5EF4-FFF2-40B4-BE49-F238E27FC236}">
              <a16:creationId xmlns:a16="http://schemas.microsoft.com/office/drawing/2014/main" id="{64445381-B681-4612-B30C-3466EA745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26</xdr:col>
          <xdr:colOff>523875</xdr:colOff>
          <xdr:row>53</xdr:row>
          <xdr:rowOff>28575</xdr:rowOff>
        </xdr:from>
        <xdr:to>
          <xdr:col>26</xdr:col>
          <xdr:colOff>704850</xdr:colOff>
          <xdr:row>53</xdr:row>
          <xdr:rowOff>190500</xdr:rowOff>
        </xdr:to>
        <xdr:sp macro="" textlink="">
          <xdr:nvSpPr>
            <xdr:cNvPr id="139265" name="Check Box 1" hidden="1">
              <a:extLst>
                <a:ext uri="{63B3BB69-23CF-44E3-9099-C40C66FF867C}">
                  <a14:compatExt spid="_x0000_s139265"/>
                </a:ext>
                <a:ext uri="{FF2B5EF4-FFF2-40B4-BE49-F238E27FC236}">
                  <a16:creationId xmlns:a16="http://schemas.microsoft.com/office/drawing/2014/main" id="{00000000-0008-0000-1300-00000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54</xdr:row>
          <xdr:rowOff>28575</xdr:rowOff>
        </xdr:from>
        <xdr:to>
          <xdr:col>26</xdr:col>
          <xdr:colOff>704850</xdr:colOff>
          <xdr:row>54</xdr:row>
          <xdr:rowOff>190500</xdr:rowOff>
        </xdr:to>
        <xdr:sp macro="" textlink="">
          <xdr:nvSpPr>
            <xdr:cNvPr id="139266" name="Check Box 2" hidden="1">
              <a:extLst>
                <a:ext uri="{63B3BB69-23CF-44E3-9099-C40C66FF867C}">
                  <a14:compatExt spid="_x0000_s139266"/>
                </a:ext>
                <a:ext uri="{FF2B5EF4-FFF2-40B4-BE49-F238E27FC236}">
                  <a16:creationId xmlns:a16="http://schemas.microsoft.com/office/drawing/2014/main" id="{00000000-0008-0000-1300-00000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55</xdr:row>
          <xdr:rowOff>28575</xdr:rowOff>
        </xdr:from>
        <xdr:to>
          <xdr:col>26</xdr:col>
          <xdr:colOff>704850</xdr:colOff>
          <xdr:row>55</xdr:row>
          <xdr:rowOff>180975</xdr:rowOff>
        </xdr:to>
        <xdr:sp macro="" textlink="">
          <xdr:nvSpPr>
            <xdr:cNvPr id="139267" name="Check Box 3" hidden="1">
              <a:extLst>
                <a:ext uri="{63B3BB69-23CF-44E3-9099-C40C66FF867C}">
                  <a14:compatExt spid="_x0000_s139267"/>
                </a:ext>
                <a:ext uri="{FF2B5EF4-FFF2-40B4-BE49-F238E27FC236}">
                  <a16:creationId xmlns:a16="http://schemas.microsoft.com/office/drawing/2014/main" id="{00000000-0008-0000-1300-00000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56</xdr:row>
          <xdr:rowOff>19050</xdr:rowOff>
        </xdr:from>
        <xdr:to>
          <xdr:col>26</xdr:col>
          <xdr:colOff>704850</xdr:colOff>
          <xdr:row>56</xdr:row>
          <xdr:rowOff>190500</xdr:rowOff>
        </xdr:to>
        <xdr:sp macro="" textlink="">
          <xdr:nvSpPr>
            <xdr:cNvPr id="139268" name="Check Box 4" hidden="1">
              <a:extLst>
                <a:ext uri="{63B3BB69-23CF-44E3-9099-C40C66FF867C}">
                  <a14:compatExt spid="_x0000_s139268"/>
                </a:ext>
                <a:ext uri="{FF2B5EF4-FFF2-40B4-BE49-F238E27FC236}">
                  <a16:creationId xmlns:a16="http://schemas.microsoft.com/office/drawing/2014/main" id="{00000000-0008-0000-1300-00000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57</xdr:row>
          <xdr:rowOff>19050</xdr:rowOff>
        </xdr:from>
        <xdr:to>
          <xdr:col>26</xdr:col>
          <xdr:colOff>704850</xdr:colOff>
          <xdr:row>57</xdr:row>
          <xdr:rowOff>180975</xdr:rowOff>
        </xdr:to>
        <xdr:sp macro="" textlink="">
          <xdr:nvSpPr>
            <xdr:cNvPr id="139269" name="Check Box 5" hidden="1">
              <a:extLst>
                <a:ext uri="{63B3BB69-23CF-44E3-9099-C40C66FF867C}">
                  <a14:compatExt spid="_x0000_s139269"/>
                </a:ext>
                <a:ext uri="{FF2B5EF4-FFF2-40B4-BE49-F238E27FC236}">
                  <a16:creationId xmlns:a16="http://schemas.microsoft.com/office/drawing/2014/main" id="{00000000-0008-0000-1300-00000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58</xdr:row>
          <xdr:rowOff>0</xdr:rowOff>
        </xdr:from>
        <xdr:to>
          <xdr:col>26</xdr:col>
          <xdr:colOff>704850</xdr:colOff>
          <xdr:row>58</xdr:row>
          <xdr:rowOff>180975</xdr:rowOff>
        </xdr:to>
        <xdr:sp macro="" textlink="">
          <xdr:nvSpPr>
            <xdr:cNvPr id="139270" name="Check Box 6" hidden="1">
              <a:extLst>
                <a:ext uri="{63B3BB69-23CF-44E3-9099-C40C66FF867C}">
                  <a14:compatExt spid="_x0000_s139270"/>
                </a:ext>
                <a:ext uri="{FF2B5EF4-FFF2-40B4-BE49-F238E27FC236}">
                  <a16:creationId xmlns:a16="http://schemas.microsoft.com/office/drawing/2014/main" id="{00000000-0008-0000-1300-00000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523875</xdr:colOff>
          <xdr:row>59</xdr:row>
          <xdr:rowOff>9525</xdr:rowOff>
        </xdr:from>
        <xdr:to>
          <xdr:col>26</xdr:col>
          <xdr:colOff>704850</xdr:colOff>
          <xdr:row>59</xdr:row>
          <xdr:rowOff>190500</xdr:rowOff>
        </xdr:to>
        <xdr:sp macro="" textlink="">
          <xdr:nvSpPr>
            <xdr:cNvPr id="139271" name="Check Box 7" hidden="1">
              <a:extLst>
                <a:ext uri="{63B3BB69-23CF-44E3-9099-C40C66FF867C}">
                  <a14:compatExt spid="_x0000_s139271"/>
                </a:ext>
                <a:ext uri="{FF2B5EF4-FFF2-40B4-BE49-F238E27FC236}">
                  <a16:creationId xmlns:a16="http://schemas.microsoft.com/office/drawing/2014/main" id="{00000000-0008-0000-1300-00000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35</xdr:col>
      <xdr:colOff>665157</xdr:colOff>
      <xdr:row>5</xdr:row>
      <xdr:rowOff>142875</xdr:rowOff>
    </xdr:from>
    <xdr:to>
      <xdr:col>42</xdr:col>
      <xdr:colOff>445249</xdr:colOff>
      <xdr:row>35</xdr:row>
      <xdr:rowOff>28948</xdr:rowOff>
    </xdr:to>
    <xdr:graphicFrame macro="">
      <xdr:nvGraphicFramePr>
        <xdr:cNvPr id="3" name="Diagramm 2">
          <a:extLst>
            <a:ext uri="{FF2B5EF4-FFF2-40B4-BE49-F238E27FC236}">
              <a16:creationId xmlns:a16="http://schemas.microsoft.com/office/drawing/2014/main" id="{5D74D4A4-76A0-4AE8-8A16-90163A59B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35</xdr:col>
          <xdr:colOff>457200</xdr:colOff>
          <xdr:row>55</xdr:row>
          <xdr:rowOff>0</xdr:rowOff>
        </xdr:from>
        <xdr:to>
          <xdr:col>35</xdr:col>
          <xdr:colOff>676275</xdr:colOff>
          <xdr:row>55</xdr:row>
          <xdr:rowOff>180975</xdr:rowOff>
        </xdr:to>
        <xdr:sp macro="" textlink="">
          <xdr:nvSpPr>
            <xdr:cNvPr id="139272" name="Check Box 8" hidden="1">
              <a:extLst>
                <a:ext uri="{63B3BB69-23CF-44E3-9099-C40C66FF867C}">
                  <a14:compatExt spid="_x0000_s139272"/>
                </a:ext>
                <a:ext uri="{FF2B5EF4-FFF2-40B4-BE49-F238E27FC236}">
                  <a16:creationId xmlns:a16="http://schemas.microsoft.com/office/drawing/2014/main" id="{00000000-0008-0000-1300-00000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571500</xdr:colOff>
          <xdr:row>56</xdr:row>
          <xdr:rowOff>19050</xdr:rowOff>
        </xdr:from>
        <xdr:to>
          <xdr:col>36</xdr:col>
          <xdr:colOff>0</xdr:colOff>
          <xdr:row>57</xdr:row>
          <xdr:rowOff>0</xdr:rowOff>
        </xdr:to>
        <xdr:sp macro="" textlink="">
          <xdr:nvSpPr>
            <xdr:cNvPr id="139273" name="Check Box 9" hidden="1">
              <a:extLst>
                <a:ext uri="{63B3BB69-23CF-44E3-9099-C40C66FF867C}">
                  <a14:compatExt spid="_x0000_s139273"/>
                </a:ext>
                <a:ext uri="{FF2B5EF4-FFF2-40B4-BE49-F238E27FC236}">
                  <a16:creationId xmlns:a16="http://schemas.microsoft.com/office/drawing/2014/main" id="{00000000-0008-0000-1300-00000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571500</xdr:colOff>
          <xdr:row>57</xdr:row>
          <xdr:rowOff>19050</xdr:rowOff>
        </xdr:from>
        <xdr:to>
          <xdr:col>36</xdr:col>
          <xdr:colOff>0</xdr:colOff>
          <xdr:row>57</xdr:row>
          <xdr:rowOff>200025</xdr:rowOff>
        </xdr:to>
        <xdr:sp macro="" textlink="">
          <xdr:nvSpPr>
            <xdr:cNvPr id="139274" name="Check Box 10" hidden="1">
              <a:extLst>
                <a:ext uri="{63B3BB69-23CF-44E3-9099-C40C66FF867C}">
                  <a14:compatExt spid="_x0000_s139274"/>
                </a:ext>
                <a:ext uri="{FF2B5EF4-FFF2-40B4-BE49-F238E27FC236}">
                  <a16:creationId xmlns:a16="http://schemas.microsoft.com/office/drawing/2014/main" id="{00000000-0008-0000-1300-00000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571500</xdr:colOff>
          <xdr:row>58</xdr:row>
          <xdr:rowOff>9525</xdr:rowOff>
        </xdr:from>
        <xdr:to>
          <xdr:col>36</xdr:col>
          <xdr:colOff>0</xdr:colOff>
          <xdr:row>58</xdr:row>
          <xdr:rowOff>190500</xdr:rowOff>
        </xdr:to>
        <xdr:sp macro="" textlink="">
          <xdr:nvSpPr>
            <xdr:cNvPr id="139275" name="Check Box 11" hidden="1">
              <a:extLst>
                <a:ext uri="{63B3BB69-23CF-44E3-9099-C40C66FF867C}">
                  <a14:compatExt spid="_x0000_s139275"/>
                </a:ext>
                <a:ext uri="{FF2B5EF4-FFF2-40B4-BE49-F238E27FC236}">
                  <a16:creationId xmlns:a16="http://schemas.microsoft.com/office/drawing/2014/main" id="{00000000-0008-0000-1300-00000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457200</xdr:colOff>
          <xdr:row>53</xdr:row>
          <xdr:rowOff>9525</xdr:rowOff>
        </xdr:from>
        <xdr:to>
          <xdr:col>35</xdr:col>
          <xdr:colOff>676275</xdr:colOff>
          <xdr:row>54</xdr:row>
          <xdr:rowOff>9525</xdr:rowOff>
        </xdr:to>
        <xdr:sp macro="" textlink="">
          <xdr:nvSpPr>
            <xdr:cNvPr id="139276" name="Check Box 12" hidden="1">
              <a:extLst>
                <a:ext uri="{63B3BB69-23CF-44E3-9099-C40C66FF867C}">
                  <a14:compatExt spid="_x0000_s139276"/>
                </a:ext>
                <a:ext uri="{FF2B5EF4-FFF2-40B4-BE49-F238E27FC236}">
                  <a16:creationId xmlns:a16="http://schemas.microsoft.com/office/drawing/2014/main" id="{00000000-0008-0000-1300-00000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457200</xdr:colOff>
          <xdr:row>52</xdr:row>
          <xdr:rowOff>0</xdr:rowOff>
        </xdr:from>
        <xdr:to>
          <xdr:col>35</xdr:col>
          <xdr:colOff>676275</xdr:colOff>
          <xdr:row>52</xdr:row>
          <xdr:rowOff>180975</xdr:rowOff>
        </xdr:to>
        <xdr:sp macro="" textlink="">
          <xdr:nvSpPr>
            <xdr:cNvPr id="139277" name="Check Box 13" hidden="1">
              <a:extLst>
                <a:ext uri="{63B3BB69-23CF-44E3-9099-C40C66FF867C}">
                  <a14:compatExt spid="_x0000_s139277"/>
                </a:ext>
                <a:ext uri="{FF2B5EF4-FFF2-40B4-BE49-F238E27FC236}">
                  <a16:creationId xmlns:a16="http://schemas.microsoft.com/office/drawing/2014/main" id="{00000000-0008-0000-1300-00000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457200</xdr:colOff>
          <xdr:row>54</xdr:row>
          <xdr:rowOff>9525</xdr:rowOff>
        </xdr:from>
        <xdr:to>
          <xdr:col>35</xdr:col>
          <xdr:colOff>676275</xdr:colOff>
          <xdr:row>55</xdr:row>
          <xdr:rowOff>0</xdr:rowOff>
        </xdr:to>
        <xdr:sp macro="" textlink="">
          <xdr:nvSpPr>
            <xdr:cNvPr id="139278" name="Check Box 14" hidden="1">
              <a:extLst>
                <a:ext uri="{63B3BB69-23CF-44E3-9099-C40C66FF867C}">
                  <a14:compatExt spid="_x0000_s139278"/>
                </a:ext>
                <a:ext uri="{FF2B5EF4-FFF2-40B4-BE49-F238E27FC236}">
                  <a16:creationId xmlns:a16="http://schemas.microsoft.com/office/drawing/2014/main" id="{00000000-0008-0000-1300-00000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43</xdr:row>
          <xdr:rowOff>152400</xdr:rowOff>
        </xdr:from>
        <xdr:to>
          <xdr:col>17</xdr:col>
          <xdr:colOff>723900</xdr:colOff>
          <xdr:row>45</xdr:row>
          <xdr:rowOff>9525</xdr:rowOff>
        </xdr:to>
        <xdr:sp macro="" textlink="">
          <xdr:nvSpPr>
            <xdr:cNvPr id="139279" name="Check Box 15" hidden="1">
              <a:extLst>
                <a:ext uri="{63B3BB69-23CF-44E3-9099-C40C66FF867C}">
                  <a14:compatExt spid="_x0000_s139279"/>
                </a:ext>
                <a:ext uri="{FF2B5EF4-FFF2-40B4-BE49-F238E27FC236}">
                  <a16:creationId xmlns:a16="http://schemas.microsoft.com/office/drawing/2014/main" id="{00000000-0008-0000-1300-00000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44</xdr:row>
          <xdr:rowOff>190500</xdr:rowOff>
        </xdr:from>
        <xdr:to>
          <xdr:col>17</xdr:col>
          <xdr:colOff>723900</xdr:colOff>
          <xdr:row>46</xdr:row>
          <xdr:rowOff>9525</xdr:rowOff>
        </xdr:to>
        <xdr:sp macro="" textlink="">
          <xdr:nvSpPr>
            <xdr:cNvPr id="139280" name="Check Box 16" hidden="1">
              <a:extLst>
                <a:ext uri="{63B3BB69-23CF-44E3-9099-C40C66FF867C}">
                  <a14:compatExt spid="_x0000_s139280"/>
                </a:ext>
                <a:ext uri="{FF2B5EF4-FFF2-40B4-BE49-F238E27FC236}">
                  <a16:creationId xmlns:a16="http://schemas.microsoft.com/office/drawing/2014/main" id="{00000000-0008-0000-1300-00001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45</xdr:row>
          <xdr:rowOff>190500</xdr:rowOff>
        </xdr:from>
        <xdr:to>
          <xdr:col>17</xdr:col>
          <xdr:colOff>723900</xdr:colOff>
          <xdr:row>47</xdr:row>
          <xdr:rowOff>9525</xdr:rowOff>
        </xdr:to>
        <xdr:sp macro="" textlink="">
          <xdr:nvSpPr>
            <xdr:cNvPr id="139281" name="Check Box 17" hidden="1">
              <a:extLst>
                <a:ext uri="{63B3BB69-23CF-44E3-9099-C40C66FF867C}">
                  <a14:compatExt spid="_x0000_s139281"/>
                </a:ext>
                <a:ext uri="{FF2B5EF4-FFF2-40B4-BE49-F238E27FC236}">
                  <a16:creationId xmlns:a16="http://schemas.microsoft.com/office/drawing/2014/main" id="{00000000-0008-0000-1300-00001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46</xdr:row>
          <xdr:rowOff>190500</xdr:rowOff>
        </xdr:from>
        <xdr:to>
          <xdr:col>17</xdr:col>
          <xdr:colOff>723900</xdr:colOff>
          <xdr:row>48</xdr:row>
          <xdr:rowOff>0</xdr:rowOff>
        </xdr:to>
        <xdr:sp macro="" textlink="">
          <xdr:nvSpPr>
            <xdr:cNvPr id="139282" name="Check Box 18" hidden="1">
              <a:extLst>
                <a:ext uri="{63B3BB69-23CF-44E3-9099-C40C66FF867C}">
                  <a14:compatExt spid="_x0000_s139282"/>
                </a:ext>
                <a:ext uri="{FF2B5EF4-FFF2-40B4-BE49-F238E27FC236}">
                  <a16:creationId xmlns:a16="http://schemas.microsoft.com/office/drawing/2014/main" id="{00000000-0008-0000-1300-00001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47</xdr:row>
          <xdr:rowOff>190500</xdr:rowOff>
        </xdr:from>
        <xdr:to>
          <xdr:col>17</xdr:col>
          <xdr:colOff>723900</xdr:colOff>
          <xdr:row>48</xdr:row>
          <xdr:rowOff>200025</xdr:rowOff>
        </xdr:to>
        <xdr:sp macro="" textlink="">
          <xdr:nvSpPr>
            <xdr:cNvPr id="139283" name="Check Box 19" hidden="1">
              <a:extLst>
                <a:ext uri="{63B3BB69-23CF-44E3-9099-C40C66FF867C}">
                  <a14:compatExt spid="_x0000_s139283"/>
                </a:ext>
                <a:ext uri="{FF2B5EF4-FFF2-40B4-BE49-F238E27FC236}">
                  <a16:creationId xmlns:a16="http://schemas.microsoft.com/office/drawing/2014/main" id="{00000000-0008-0000-1300-00001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48</xdr:row>
          <xdr:rowOff>180975</xdr:rowOff>
        </xdr:from>
        <xdr:to>
          <xdr:col>17</xdr:col>
          <xdr:colOff>723900</xdr:colOff>
          <xdr:row>49</xdr:row>
          <xdr:rowOff>190500</xdr:rowOff>
        </xdr:to>
        <xdr:sp macro="" textlink="">
          <xdr:nvSpPr>
            <xdr:cNvPr id="139284" name="Check Box 20" hidden="1">
              <a:extLst>
                <a:ext uri="{63B3BB69-23CF-44E3-9099-C40C66FF867C}">
                  <a14:compatExt spid="_x0000_s139284"/>
                </a:ext>
                <a:ext uri="{FF2B5EF4-FFF2-40B4-BE49-F238E27FC236}">
                  <a16:creationId xmlns:a16="http://schemas.microsoft.com/office/drawing/2014/main" id="{00000000-0008-0000-1300-00001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49</xdr:row>
          <xdr:rowOff>171450</xdr:rowOff>
        </xdr:from>
        <xdr:to>
          <xdr:col>17</xdr:col>
          <xdr:colOff>723900</xdr:colOff>
          <xdr:row>51</xdr:row>
          <xdr:rowOff>0</xdr:rowOff>
        </xdr:to>
        <xdr:sp macro="" textlink="">
          <xdr:nvSpPr>
            <xdr:cNvPr id="139285" name="Check Box 21" hidden="1">
              <a:extLst>
                <a:ext uri="{63B3BB69-23CF-44E3-9099-C40C66FF867C}">
                  <a14:compatExt spid="_x0000_s139285"/>
                </a:ext>
                <a:ext uri="{FF2B5EF4-FFF2-40B4-BE49-F238E27FC236}">
                  <a16:creationId xmlns:a16="http://schemas.microsoft.com/office/drawing/2014/main" id="{00000000-0008-0000-1300-00001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51</xdr:row>
          <xdr:rowOff>190500</xdr:rowOff>
        </xdr:from>
        <xdr:to>
          <xdr:col>17</xdr:col>
          <xdr:colOff>723900</xdr:colOff>
          <xdr:row>53</xdr:row>
          <xdr:rowOff>0</xdr:rowOff>
        </xdr:to>
        <xdr:sp macro="" textlink="">
          <xdr:nvSpPr>
            <xdr:cNvPr id="139286" name="Check Box 22" hidden="1">
              <a:extLst>
                <a:ext uri="{63B3BB69-23CF-44E3-9099-C40C66FF867C}">
                  <a14:compatExt spid="_x0000_s139286"/>
                </a:ext>
                <a:ext uri="{FF2B5EF4-FFF2-40B4-BE49-F238E27FC236}">
                  <a16:creationId xmlns:a16="http://schemas.microsoft.com/office/drawing/2014/main" id="{00000000-0008-0000-1300-00001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52</xdr:row>
          <xdr:rowOff>180975</xdr:rowOff>
        </xdr:from>
        <xdr:to>
          <xdr:col>17</xdr:col>
          <xdr:colOff>723900</xdr:colOff>
          <xdr:row>54</xdr:row>
          <xdr:rowOff>0</xdr:rowOff>
        </xdr:to>
        <xdr:sp macro="" textlink="">
          <xdr:nvSpPr>
            <xdr:cNvPr id="139287" name="Check Box 23" hidden="1">
              <a:extLst>
                <a:ext uri="{63B3BB69-23CF-44E3-9099-C40C66FF867C}">
                  <a14:compatExt spid="_x0000_s139287"/>
                </a:ext>
                <a:ext uri="{FF2B5EF4-FFF2-40B4-BE49-F238E27FC236}">
                  <a16:creationId xmlns:a16="http://schemas.microsoft.com/office/drawing/2014/main" id="{00000000-0008-0000-1300-00001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53</xdr:row>
          <xdr:rowOff>180975</xdr:rowOff>
        </xdr:from>
        <xdr:to>
          <xdr:col>17</xdr:col>
          <xdr:colOff>723900</xdr:colOff>
          <xdr:row>55</xdr:row>
          <xdr:rowOff>0</xdr:rowOff>
        </xdr:to>
        <xdr:sp macro="" textlink="">
          <xdr:nvSpPr>
            <xdr:cNvPr id="139288" name="Check Box 24" hidden="1">
              <a:extLst>
                <a:ext uri="{63B3BB69-23CF-44E3-9099-C40C66FF867C}">
                  <a14:compatExt spid="_x0000_s139288"/>
                </a:ext>
                <a:ext uri="{FF2B5EF4-FFF2-40B4-BE49-F238E27FC236}">
                  <a16:creationId xmlns:a16="http://schemas.microsoft.com/office/drawing/2014/main" id="{00000000-0008-0000-1300-00001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514350</xdr:colOff>
          <xdr:row>54</xdr:row>
          <xdr:rowOff>180975</xdr:rowOff>
        </xdr:from>
        <xdr:to>
          <xdr:col>17</xdr:col>
          <xdr:colOff>723900</xdr:colOff>
          <xdr:row>56</xdr:row>
          <xdr:rowOff>9525</xdr:rowOff>
        </xdr:to>
        <xdr:sp macro="" textlink="">
          <xdr:nvSpPr>
            <xdr:cNvPr id="139289" name="Check Box 25" hidden="1">
              <a:extLst>
                <a:ext uri="{63B3BB69-23CF-44E3-9099-C40C66FF867C}">
                  <a14:compatExt spid="_x0000_s139289"/>
                </a:ext>
                <a:ext uri="{FF2B5EF4-FFF2-40B4-BE49-F238E27FC236}">
                  <a16:creationId xmlns:a16="http://schemas.microsoft.com/office/drawing/2014/main" id="{00000000-0008-0000-1300-00001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695325</xdr:colOff>
      <xdr:row>35</xdr:row>
      <xdr:rowOff>142875</xdr:rowOff>
    </xdr:from>
    <xdr:to>
      <xdr:col>11</xdr:col>
      <xdr:colOff>3061800</xdr:colOff>
      <xdr:row>35</xdr:row>
      <xdr:rowOff>142875</xdr:rowOff>
    </xdr:to>
    <xdr:cxnSp macro="">
      <xdr:nvCxnSpPr>
        <xdr:cNvPr id="6" name="Gerader Verbinder 5">
          <a:extLst>
            <a:ext uri="{FF2B5EF4-FFF2-40B4-BE49-F238E27FC236}">
              <a16:creationId xmlns:a16="http://schemas.microsoft.com/office/drawing/2014/main" id="{F5B85D62-06E0-4B8F-92F2-73C9A6AE4464}"/>
            </a:ext>
          </a:extLst>
        </xdr:cNvPr>
        <xdr:cNvCxnSpPr/>
      </xdr:nvCxnSpPr>
      <xdr:spPr bwMode="auto">
        <a:xfrm>
          <a:off x="1228725" y="7315200"/>
          <a:ext cx="9338775"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2</xdr:col>
      <xdr:colOff>695325</xdr:colOff>
      <xdr:row>30</xdr:row>
      <xdr:rowOff>133353</xdr:rowOff>
    </xdr:from>
    <xdr:to>
      <xdr:col>11</xdr:col>
      <xdr:colOff>3061800</xdr:colOff>
      <xdr:row>30</xdr:row>
      <xdr:rowOff>133353</xdr:rowOff>
    </xdr:to>
    <xdr:cxnSp macro="">
      <xdr:nvCxnSpPr>
        <xdr:cNvPr id="7" name="Gerader Verbinder 6">
          <a:extLst>
            <a:ext uri="{FF2B5EF4-FFF2-40B4-BE49-F238E27FC236}">
              <a16:creationId xmlns:a16="http://schemas.microsoft.com/office/drawing/2014/main" id="{96878504-1C5E-4DA6-A131-CA674269012D}"/>
            </a:ext>
          </a:extLst>
        </xdr:cNvPr>
        <xdr:cNvCxnSpPr/>
      </xdr:nvCxnSpPr>
      <xdr:spPr bwMode="auto">
        <a:xfrm>
          <a:off x="1228725" y="6438903"/>
          <a:ext cx="9338775"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17</xdr:col>
      <xdr:colOff>705972</xdr:colOff>
      <xdr:row>81</xdr:row>
      <xdr:rowOff>11768</xdr:rowOff>
    </xdr:from>
    <xdr:to>
      <xdr:col>25</xdr:col>
      <xdr:colOff>1306</xdr:colOff>
      <xdr:row>102</xdr:row>
      <xdr:rowOff>106831</xdr:rowOff>
    </xdr:to>
    <xdr:graphicFrame macro="">
      <xdr:nvGraphicFramePr>
        <xdr:cNvPr id="8" name="Diagramm 7">
          <a:extLst>
            <a:ext uri="{FF2B5EF4-FFF2-40B4-BE49-F238E27FC236}">
              <a16:creationId xmlns:a16="http://schemas.microsoft.com/office/drawing/2014/main" id="{14EA6D50-4F46-467B-9B30-D09AEBB7E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529479</xdr:colOff>
      <xdr:row>5</xdr:row>
      <xdr:rowOff>152400</xdr:rowOff>
    </xdr:from>
    <xdr:to>
      <xdr:col>23</xdr:col>
      <xdr:colOff>180890</xdr:colOff>
      <xdr:row>38</xdr:row>
      <xdr:rowOff>82597</xdr:rowOff>
    </xdr:to>
    <xdr:graphicFrame macro="">
      <xdr:nvGraphicFramePr>
        <xdr:cNvPr id="9" name="Diagramm 8">
          <a:extLst>
            <a:ext uri="{FF2B5EF4-FFF2-40B4-BE49-F238E27FC236}">
              <a16:creationId xmlns:a16="http://schemas.microsoft.com/office/drawing/2014/main" id="{F82AADC5-E2DE-43D0-BF7B-8FF531A7B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514350</xdr:colOff>
          <xdr:row>50</xdr:row>
          <xdr:rowOff>180975</xdr:rowOff>
        </xdr:from>
        <xdr:to>
          <xdr:col>17</xdr:col>
          <xdr:colOff>723900</xdr:colOff>
          <xdr:row>52</xdr:row>
          <xdr:rowOff>9525</xdr:rowOff>
        </xdr:to>
        <xdr:sp macro="" textlink="">
          <xdr:nvSpPr>
            <xdr:cNvPr id="139290" name="Check Box 26" hidden="1">
              <a:extLst>
                <a:ext uri="{63B3BB69-23CF-44E3-9099-C40C66FF867C}">
                  <a14:compatExt spid="_x0000_s139290"/>
                </a:ext>
                <a:ext uri="{FF2B5EF4-FFF2-40B4-BE49-F238E27FC236}">
                  <a16:creationId xmlns:a16="http://schemas.microsoft.com/office/drawing/2014/main" id="{00000000-0008-0000-1300-00001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25</xdr:col>
      <xdr:colOff>694764</xdr:colOff>
      <xdr:row>48</xdr:row>
      <xdr:rowOff>134472</xdr:rowOff>
    </xdr:from>
    <xdr:to>
      <xdr:col>26</xdr:col>
      <xdr:colOff>750314</xdr:colOff>
      <xdr:row>62</xdr:row>
      <xdr:rowOff>124625</xdr:rowOff>
    </xdr:to>
    <xdr:sp macro="" textlink="">
      <xdr:nvSpPr>
        <xdr:cNvPr id="10" name="Rechteck 9">
          <a:extLst>
            <a:ext uri="{FF2B5EF4-FFF2-40B4-BE49-F238E27FC236}">
              <a16:creationId xmlns:a16="http://schemas.microsoft.com/office/drawing/2014/main" id="{85634EC8-074E-4EF0-B49C-68A4604E9F93}"/>
            </a:ext>
          </a:extLst>
        </xdr:cNvPr>
        <xdr:cNvSpPr/>
      </xdr:nvSpPr>
      <xdr:spPr bwMode="auto">
        <a:xfrm>
          <a:off x="8800539" y="17365197"/>
          <a:ext cx="874700" cy="2847653"/>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12</xdr:col>
      <xdr:colOff>0</xdr:colOff>
      <xdr:row>33</xdr:row>
      <xdr:rowOff>9524</xdr:rowOff>
    </xdr:from>
    <xdr:to>
      <xdr:col>13</xdr:col>
      <xdr:colOff>76200</xdr:colOff>
      <xdr:row>38</xdr:row>
      <xdr:rowOff>95250</xdr:rowOff>
    </xdr:to>
    <xdr:sp macro="" textlink="$B$80">
      <xdr:nvSpPr>
        <xdr:cNvPr id="5" name="Textfeld 4">
          <a:extLst>
            <a:ext uri="{FF2B5EF4-FFF2-40B4-BE49-F238E27FC236}">
              <a16:creationId xmlns:a16="http://schemas.microsoft.com/office/drawing/2014/main" id="{733C2AC9-1D06-47D8-A9ED-987B217CA15C}"/>
            </a:ext>
          </a:extLst>
        </xdr:cNvPr>
        <xdr:cNvSpPr txBox="1"/>
      </xdr:nvSpPr>
      <xdr:spPr>
        <a:xfrm>
          <a:off x="10353675" y="7315199"/>
          <a:ext cx="3181350" cy="933451"/>
        </a:xfrm>
        <a:prstGeom prst="rect">
          <a:avLst/>
        </a:prstGeom>
        <a:noFill/>
        <a:ln>
          <a:solidFill>
            <a:schemeClr val="bg1">
              <a:lumMod val="50000"/>
            </a:schemeClr>
          </a:solidFill>
        </a:ln>
      </xdr:spPr>
      <xdr:txBody>
        <a:bodyPr vertOverflow="clip" horzOverflow="clip" wrap="square" rtlCol="0" anchor="t">
          <a:noAutofit/>
        </a:bodyPr>
        <a:lstStyle/>
        <a:p>
          <a:pPr algn="ctr"/>
          <a:fld id="{828806DA-3D15-4EE8-8652-32FA0916AD4F}" type="TxLink">
            <a:rPr lang="en-US" sz="1000" b="0" i="0" u="none" strike="noStrike" dirty="0" err="1" smtClean="0">
              <a:solidFill>
                <a:srgbClr val="323232"/>
              </a:solidFill>
              <a:latin typeface="Arial"/>
              <a:cs typeface="Arial"/>
            </a:rPr>
            <a:pPr algn="ctr"/>
            <a:t> </a:t>
          </a:fld>
          <a:endParaRPr lang="de-DE" sz="1100" dirty="0" err="1">
            <a:solidFill>
              <a:sysClr val="windowText" lastClr="000000"/>
            </a:solidFill>
          </a:endParaRPr>
        </a:p>
      </xdr:txBody>
    </xdr:sp>
    <xdr:clientData/>
  </xdr:twoCellAnchor>
  <xdr:twoCellAnchor>
    <xdr:from>
      <xdr:col>12</xdr:col>
      <xdr:colOff>1</xdr:colOff>
      <xdr:row>31</xdr:row>
      <xdr:rowOff>0</xdr:rowOff>
    </xdr:from>
    <xdr:to>
      <xdr:col>13</xdr:col>
      <xdr:colOff>76201</xdr:colOff>
      <xdr:row>32</xdr:row>
      <xdr:rowOff>174712</xdr:rowOff>
    </xdr:to>
    <xdr:sp macro="" textlink="">
      <xdr:nvSpPr>
        <xdr:cNvPr id="11" name="Rechteck 10">
          <a:extLst>
            <a:ext uri="{FF2B5EF4-FFF2-40B4-BE49-F238E27FC236}">
              <a16:creationId xmlns:a16="http://schemas.microsoft.com/office/drawing/2014/main" id="{636212E9-912E-440D-8C51-0093EAC2A220}"/>
            </a:ext>
          </a:extLst>
        </xdr:cNvPr>
        <xdr:cNvSpPr/>
      </xdr:nvSpPr>
      <xdr:spPr bwMode="auto">
        <a:xfrm>
          <a:off x="10353676" y="6962775"/>
          <a:ext cx="3181350" cy="336637"/>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clientData/>
  </xdr:twoCellAnchor>
</xdr:wsDr>
</file>

<file path=xl/drawings/drawing49.xml><?xml version="1.0" encoding="utf-8"?>
<c:userShapes xmlns:c="http://schemas.openxmlformats.org/drawingml/2006/chart">
  <cdr:relSizeAnchor xmlns:cdr="http://schemas.openxmlformats.org/drawingml/2006/chartDrawing">
    <cdr:from>
      <cdr:x>0.51422</cdr:x>
      <cdr:y>0.04219</cdr:y>
    </cdr:from>
    <cdr:to>
      <cdr:x>0.63321</cdr:x>
      <cdr:y>0.07878</cdr:y>
    </cdr:to>
    <cdr:sp macro="" textlink="'M9 Rezeptur, Recycling'!$AD$48">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3133413" y="276495"/>
          <a:ext cx="72506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FCFE672-DD26-4F5B-ADF4-CEAEBF5BADE6}" type="TxLink">
            <a:rPr lang="en-US" sz="1000" b="1" i="0" u="none" strike="noStrike" dirty="0" err="1">
              <a:solidFill>
                <a:srgbClr val="323232"/>
              </a:solidFill>
              <a:latin typeface="Arial"/>
              <a:cs typeface="Arial"/>
            </a:rPr>
            <a:pPr/>
            <a:t>5.964</a:t>
          </a:fld>
          <a:endParaRPr lang="en-GB" sz="1100" dirty="0" err="1">
            <a:solidFill>
              <a:schemeClr val="tx1"/>
            </a:solidFill>
          </a:endParaRPr>
        </a:p>
      </cdr:txBody>
    </cdr:sp>
  </cdr:relSizeAnchor>
  <cdr:relSizeAnchor xmlns:cdr="http://schemas.openxmlformats.org/drawingml/2006/chartDrawing">
    <cdr:from>
      <cdr:x>0.79394</cdr:x>
      <cdr:y>0.04219</cdr:y>
    </cdr:from>
    <cdr:to>
      <cdr:x>0.91293</cdr:x>
      <cdr:y>0.07878</cdr:y>
    </cdr:to>
    <cdr:sp macro="" textlink="'M9 Rezeptur, Recycling'!$AE$48">
      <cdr:nvSpPr>
        <cdr:cNvPr id="3" name="Textfeld 4">
          <a:extLst xmlns:a="http://schemas.openxmlformats.org/drawingml/2006/main">
            <a:ext uri="{FF2B5EF4-FFF2-40B4-BE49-F238E27FC236}">
              <a16:creationId xmlns:a16="http://schemas.microsoft.com/office/drawing/2014/main" id="{7886FBD3-66B9-1243-4F27-8624812B2D8D}"/>
            </a:ext>
          </a:extLst>
        </cdr:cNvPr>
        <cdr:cNvSpPr txBox="1"/>
      </cdr:nvSpPr>
      <cdr:spPr>
        <a:xfrm xmlns:a="http://schemas.openxmlformats.org/drawingml/2006/main">
          <a:off x="4837895" y="276495"/>
          <a:ext cx="72506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8188C18-1010-42AD-8E3F-5EF9E9001ADE}" type="TxLink">
            <a:rPr lang="en-US" sz="1000" b="1" i="0" u="none" strike="noStrike" dirty="0" err="1">
              <a:solidFill>
                <a:srgbClr val="323232"/>
              </a:solidFill>
              <a:latin typeface="Arial"/>
              <a:cs typeface="Arial"/>
            </a:rPr>
            <a:pPr/>
            <a:t>5.892</a:t>
          </a:fld>
          <a:endParaRPr lang="en-GB" sz="1100" dirty="0" err="1">
            <a:solidFill>
              <a:schemeClr val="tx1"/>
            </a:solidFill>
          </a:endParaRPr>
        </a:p>
      </cdr:txBody>
    </cdr:sp>
  </cdr:relSizeAnchor>
  <cdr:relSizeAnchor xmlns:cdr="http://schemas.openxmlformats.org/drawingml/2006/chartDrawing">
    <cdr:from>
      <cdr:x>0.2312</cdr:x>
      <cdr:y>0.04219</cdr:y>
    </cdr:from>
    <cdr:to>
      <cdr:x>0.35019</cdr:x>
      <cdr:y>0.12105</cdr:y>
    </cdr:to>
    <cdr:sp macro="" textlink="'M9 Rezeptur, Recycling'!$AC$48">
      <cdr:nvSpPr>
        <cdr:cNvPr id="4"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329092" y="154083"/>
          <a:ext cx="684000" cy="288000"/>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94FEF26-4589-4134-B856-94839CA76836}" type="TxLink">
            <a:rPr lang="en-US" sz="1000" b="1" i="0" u="none" strike="noStrike" dirty="0" err="1" smtClean="0">
              <a:solidFill>
                <a:srgbClr val="323232"/>
              </a:solidFill>
              <a:latin typeface="Arial"/>
              <a:cs typeface="Arial"/>
            </a:rPr>
            <a:pPr/>
            <a:t>6.098</a:t>
          </a:fld>
          <a:endParaRPr lang="en-GB" sz="1100" dirty="0" err="1">
            <a:solidFill>
              <a:schemeClr val="tx1"/>
            </a:solidFill>
          </a:endParaRPr>
        </a:p>
      </cdr:txBody>
    </cdr:sp>
  </cdr:relSizeAnchor>
  <cdr:relSizeAnchor xmlns:cdr="http://schemas.openxmlformats.org/drawingml/2006/chartDrawing">
    <cdr:from>
      <cdr:x>0.13792</cdr:x>
      <cdr:y>0.02941</cdr:y>
    </cdr:from>
    <cdr:to>
      <cdr:x>0.18534</cdr:x>
      <cdr:y>0.0958</cdr:y>
    </cdr:to>
    <cdr:sp macro="" textlink="">
      <cdr:nvSpPr>
        <cdr:cNvPr id="5" name="Textfeld 7">
          <a:extLst xmlns:a="http://schemas.openxmlformats.org/drawingml/2006/main">
            <a:ext uri="{FF2B5EF4-FFF2-40B4-BE49-F238E27FC236}">
              <a16:creationId xmlns:a16="http://schemas.microsoft.com/office/drawing/2014/main" id="{3D70A982-A824-884F-4E0F-74E18E6F5FB8}"/>
            </a:ext>
          </a:extLst>
        </cdr:cNvPr>
        <cdr:cNvSpPr txBox="1"/>
      </cdr:nvSpPr>
      <cdr:spPr>
        <a:xfrm xmlns:a="http://schemas.openxmlformats.org/drawingml/2006/main">
          <a:off x="846417" y="106829"/>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5.xml><?xml version="1.0" encoding="utf-8"?>
<xdr:wsDr xmlns:xdr="http://schemas.openxmlformats.org/drawingml/2006/spreadsheetDrawing" xmlns:a="http://schemas.openxmlformats.org/drawingml/2006/main">
  <xdr:twoCellAnchor>
    <xdr:from>
      <xdr:col>14</xdr:col>
      <xdr:colOff>1238250</xdr:colOff>
      <xdr:row>46</xdr:row>
      <xdr:rowOff>152400</xdr:rowOff>
    </xdr:from>
    <xdr:to>
      <xdr:col>15</xdr:col>
      <xdr:colOff>1451609</xdr:colOff>
      <xdr:row>50</xdr:row>
      <xdr:rowOff>6289</xdr:rowOff>
    </xdr:to>
    <xdr:sp macro="" textlink="$P$86">
      <xdr:nvSpPr>
        <xdr:cNvPr id="2" name="Textfeld 11">
          <a:extLst>
            <a:ext uri="{FF2B5EF4-FFF2-40B4-BE49-F238E27FC236}">
              <a16:creationId xmlns:a16="http://schemas.microsoft.com/office/drawing/2014/main" id="{978B993C-5EDD-4B03-89C4-6FD26F4C4F57}"/>
            </a:ext>
          </a:extLst>
        </xdr:cNvPr>
        <xdr:cNvSpPr txBox="1"/>
      </xdr:nvSpPr>
      <xdr:spPr>
        <a:xfrm>
          <a:off x="17421225" y="9963150"/>
          <a:ext cx="1537334" cy="596839"/>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14</xdr:col>
      <xdr:colOff>1234440</xdr:colOff>
      <xdr:row>50</xdr:row>
      <xdr:rowOff>28575</xdr:rowOff>
    </xdr:from>
    <xdr:to>
      <xdr:col>15</xdr:col>
      <xdr:colOff>1545228</xdr:colOff>
      <xdr:row>55</xdr:row>
      <xdr:rowOff>98787</xdr:rowOff>
    </xdr:to>
    <xdr:sp macro="" textlink="$P$87">
      <xdr:nvSpPr>
        <xdr:cNvPr id="3" name="Textfeld 12">
          <a:extLst>
            <a:ext uri="{FF2B5EF4-FFF2-40B4-BE49-F238E27FC236}">
              <a16:creationId xmlns:a16="http://schemas.microsoft.com/office/drawing/2014/main" id="{4B5E47BF-2AE4-47C5-80C1-3799CDF01DC1}"/>
            </a:ext>
          </a:extLst>
        </xdr:cNvPr>
        <xdr:cNvSpPr txBox="1"/>
      </xdr:nvSpPr>
      <xdr:spPr>
        <a:xfrm>
          <a:off x="17417415" y="10982325"/>
          <a:ext cx="1634763" cy="1070337"/>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wsDr>
</file>

<file path=xl/drawings/drawing50.xml><?xml version="1.0" encoding="utf-8"?>
<c:userShapes xmlns:c="http://schemas.openxmlformats.org/drawingml/2006/chart">
  <cdr:relSizeAnchor xmlns:cdr="http://schemas.openxmlformats.org/drawingml/2006/chartDrawing">
    <cdr:from>
      <cdr:x>0.24983</cdr:x>
      <cdr:y>0.03789</cdr:y>
    </cdr:from>
    <cdr:to>
      <cdr:x>0.38319</cdr:x>
      <cdr:y>0.07459</cdr:y>
    </cdr:to>
    <cdr:sp macro="" textlink="'M9 Rezeptur, Recycling'!$AL$99">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70293" y="247593"/>
          <a:ext cx="891607"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07223D5-F632-40C2-B510-1CEB9A834B29}" type="TxLink">
            <a:rPr lang="en-US" sz="1000" b="1" i="0" u="none" strike="noStrike" dirty="0" err="1">
              <a:solidFill>
                <a:srgbClr val="323232"/>
              </a:solidFill>
              <a:latin typeface="Arial"/>
              <a:cs typeface="Arial"/>
            </a:rPr>
            <a:pPr/>
            <a:t>262.128 €</a:t>
          </a:fld>
          <a:endParaRPr lang="en-GB" sz="1100" dirty="0" err="1">
            <a:solidFill>
              <a:schemeClr val="tx1"/>
            </a:solidFill>
          </a:endParaRPr>
        </a:p>
      </cdr:txBody>
    </cdr:sp>
  </cdr:relSizeAnchor>
  <cdr:relSizeAnchor xmlns:cdr="http://schemas.openxmlformats.org/drawingml/2006/chartDrawing">
    <cdr:from>
      <cdr:x>0.5075</cdr:x>
      <cdr:y>0.03789</cdr:y>
    </cdr:from>
    <cdr:to>
      <cdr:x>0.64087</cdr:x>
      <cdr:y>0.07459</cdr:y>
    </cdr:to>
    <cdr:sp macro="" textlink="'M9 Rezeptur, Recycling'!$AM$99">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393001" y="247593"/>
          <a:ext cx="89167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D1617B2-C270-4A98-AFA8-ECFCD2AD3321}" type="TxLink">
            <a:rPr lang="en-US" sz="1000" b="1" i="0" u="none" strike="noStrike" dirty="0" err="1">
              <a:solidFill>
                <a:srgbClr val="323232"/>
              </a:solidFill>
              <a:latin typeface="Arial"/>
              <a:cs typeface="Arial"/>
            </a:rPr>
            <a:pPr/>
            <a:t>378.055 €</a:t>
          </a:fld>
          <a:endParaRPr lang="en-GB" sz="1100" dirty="0" err="1">
            <a:solidFill>
              <a:schemeClr val="tx1"/>
            </a:solidFill>
          </a:endParaRPr>
        </a:p>
      </cdr:txBody>
    </cdr:sp>
  </cdr:relSizeAnchor>
  <cdr:relSizeAnchor xmlns:cdr="http://schemas.openxmlformats.org/drawingml/2006/chartDrawing">
    <cdr:from>
      <cdr:x>0.77748</cdr:x>
      <cdr:y>0.03789</cdr:y>
    </cdr:from>
    <cdr:to>
      <cdr:x>0.91083</cdr:x>
      <cdr:y>0.07459</cdr:y>
    </cdr:to>
    <cdr:sp macro="" textlink="'M9 Rezeptur, Recycling'!$AN$99">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198011" y="247593"/>
          <a:ext cx="891541"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CD93D49-5F9B-4993-9775-20FA25A1E3F5}" type="TxLink">
            <a:rPr lang="en-US" sz="1000" b="1" i="0" u="none" strike="noStrike" dirty="0" err="1">
              <a:solidFill>
                <a:srgbClr val="323232"/>
              </a:solidFill>
              <a:latin typeface="Arial"/>
              <a:cs typeface="Arial"/>
            </a:rPr>
            <a:pPr/>
            <a:t>580.991 €</a:t>
          </a:fld>
          <a:endParaRPr lang="en-GB" sz="1100" dirty="0" err="1">
            <a:solidFill>
              <a:schemeClr val="tx1"/>
            </a:solidFill>
          </a:endParaRPr>
        </a:p>
      </cdr:txBody>
    </cdr:sp>
  </cdr:relSizeAnchor>
  <cdr:relSizeAnchor xmlns:cdr="http://schemas.openxmlformats.org/drawingml/2006/chartDrawing">
    <cdr:from>
      <cdr:x>0.16375</cdr:x>
      <cdr:y>0.02306</cdr:y>
    </cdr:from>
    <cdr:to>
      <cdr:x>0.20735</cdr:x>
      <cdr:y>0.08122</cdr:y>
    </cdr:to>
    <cdr:sp macro="" textlink="">
      <cdr:nvSpPr>
        <cdr:cNvPr id="5" name="Textfeld 7">
          <a:extLst xmlns:a="http://schemas.openxmlformats.org/drawingml/2006/main">
            <a:ext uri="{FF2B5EF4-FFF2-40B4-BE49-F238E27FC236}">
              <a16:creationId xmlns:a16="http://schemas.microsoft.com/office/drawing/2014/main" id="{90D891BE-721B-956D-8016-AD77BF3D49A4}"/>
            </a:ext>
          </a:extLst>
        </cdr:cNvPr>
        <cdr:cNvSpPr txBox="1"/>
      </cdr:nvSpPr>
      <cdr:spPr>
        <a:xfrm xmlns:a="http://schemas.openxmlformats.org/drawingml/2006/main">
          <a:off x="1092946"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51.xml><?xml version="1.0" encoding="utf-8"?>
<c:userShapes xmlns:c="http://schemas.openxmlformats.org/drawingml/2006/chart">
  <cdr:relSizeAnchor xmlns:cdr="http://schemas.openxmlformats.org/drawingml/2006/chartDrawing">
    <cdr:from>
      <cdr:x>0.23302</cdr:x>
      <cdr:y>0</cdr:y>
    </cdr:from>
    <cdr:to>
      <cdr:x>0.32481</cdr:x>
      <cdr:y>1</cdr:y>
    </cdr:to>
    <cdr:sp macro="" textlink="'M9 Rezeptur, Recycling'!$T$91">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42484" y="0"/>
          <a:ext cx="64699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266,8</a:t>
          </a:fld>
          <a:endParaRPr lang="en-GB" sz="1100" dirty="0" err="1">
            <a:solidFill>
              <a:schemeClr val="tx1"/>
            </a:solidFill>
          </a:endParaRPr>
        </a:p>
      </cdr:txBody>
    </cdr:sp>
  </cdr:relSizeAnchor>
  <cdr:relSizeAnchor xmlns:cdr="http://schemas.openxmlformats.org/drawingml/2006/chartDrawing">
    <cdr:from>
      <cdr:x>0.52095</cdr:x>
      <cdr:y>0</cdr:y>
    </cdr:from>
    <cdr:to>
      <cdr:x>0.61274</cdr:x>
      <cdr:y>1</cdr:y>
    </cdr:to>
    <cdr:sp macro="" textlink="'M9 Rezeptur, Recycling'!$U$91">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672012" y="0"/>
          <a:ext cx="646999"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219,8</a:t>
          </a:fld>
          <a:endParaRPr lang="en-GB" sz="1100" dirty="0" err="1">
            <a:solidFill>
              <a:schemeClr val="tx1"/>
            </a:solidFill>
          </a:endParaRPr>
        </a:p>
      </cdr:txBody>
    </cdr:sp>
  </cdr:relSizeAnchor>
  <cdr:relSizeAnchor xmlns:cdr="http://schemas.openxmlformats.org/drawingml/2006/chartDrawing">
    <cdr:from>
      <cdr:x>0.80269</cdr:x>
      <cdr:y>0</cdr:y>
    </cdr:from>
    <cdr:to>
      <cdr:x>0.89447</cdr:x>
      <cdr:y>1</cdr:y>
    </cdr:to>
    <cdr:sp macro="" textlink="'M9 Rezeptur, Recycling'!$V$91">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657908" y="0"/>
          <a:ext cx="646928"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156,5</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52.xml><?xml version="1.0" encoding="utf-8"?>
<c:userShapes xmlns:c="http://schemas.openxmlformats.org/drawingml/2006/chart">
  <cdr:relSizeAnchor xmlns:cdr="http://schemas.openxmlformats.org/drawingml/2006/chartDrawing">
    <cdr:from>
      <cdr:x>0.26001</cdr:x>
      <cdr:y>0</cdr:y>
    </cdr:from>
    <cdr:to>
      <cdr:x>0.35189</cdr:x>
      <cdr:y>0.05395</cdr:y>
    </cdr:to>
    <cdr:sp macro="" textlink="'M9 Rezeptur, Recycling'!$AC$96">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699942" y="0"/>
          <a:ext cx="600710" cy="387286"/>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3C91213-6B8D-4CC0-8E0B-FB5E5FB7B566}" type="TxLink">
            <a:rPr lang="en-US" sz="1000" b="1" i="0" u="none" strike="noStrike" dirty="0" err="1">
              <a:solidFill>
                <a:srgbClr val="323232"/>
              </a:solidFill>
              <a:latin typeface="Arial"/>
              <a:cs typeface="Arial"/>
            </a:rPr>
            <a:pPr/>
            <a:t>5.832</a:t>
          </a:fld>
          <a:endParaRPr lang="en-GB" sz="1100" dirty="0" err="1">
            <a:solidFill>
              <a:schemeClr val="tx1"/>
            </a:solidFill>
          </a:endParaRPr>
        </a:p>
      </cdr:txBody>
    </cdr:sp>
  </cdr:relSizeAnchor>
  <cdr:relSizeAnchor xmlns:cdr="http://schemas.openxmlformats.org/drawingml/2006/chartDrawing">
    <cdr:from>
      <cdr:x>0.52847</cdr:x>
      <cdr:y>0</cdr:y>
    </cdr:from>
    <cdr:to>
      <cdr:x>0.62036</cdr:x>
      <cdr:y>0.03395</cdr:y>
    </cdr:to>
    <cdr:sp macro="" textlink="'M9 Rezeptur, Recycling'!$AD$96">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455129" y="0"/>
          <a:ext cx="60077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1231624-E9A0-47AE-B94D-3EC779352B37}" type="TxLink">
            <a:rPr lang="en-US" sz="1000" b="1" i="0" u="none" strike="noStrike" dirty="0" err="1">
              <a:solidFill>
                <a:srgbClr val="323232"/>
              </a:solidFill>
              <a:latin typeface="Arial"/>
              <a:cs typeface="Arial"/>
            </a:rPr>
            <a:pPr/>
            <a:t>5.744</a:t>
          </a:fld>
          <a:endParaRPr lang="en-GB" sz="1100" dirty="0" err="1">
            <a:solidFill>
              <a:schemeClr val="tx1"/>
            </a:solidFill>
          </a:endParaRPr>
        </a:p>
      </cdr:txBody>
    </cdr:sp>
  </cdr:relSizeAnchor>
  <cdr:relSizeAnchor xmlns:cdr="http://schemas.openxmlformats.org/drawingml/2006/chartDrawing">
    <cdr:from>
      <cdr:x>0.80393</cdr:x>
      <cdr:y>0</cdr:y>
    </cdr:from>
    <cdr:to>
      <cdr:x>0.89582</cdr:x>
      <cdr:y>0.03395</cdr:y>
    </cdr:to>
    <cdr:sp macro="" textlink="'M9 Rezeptur, Recycling'!$AE$96">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256083" y="0"/>
          <a:ext cx="60077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9EDABD0-74FB-4593-86EC-DC358D7A7CC6}" type="TxLink">
            <a:rPr lang="en-US" sz="1000" b="1" i="0" u="none" strike="noStrike" dirty="0" err="1">
              <a:solidFill>
                <a:srgbClr val="323232"/>
              </a:solidFill>
              <a:latin typeface="Arial"/>
              <a:cs typeface="Arial"/>
            </a:rPr>
            <a:pPr/>
            <a:t>5.735</a:t>
          </a:fld>
          <a:endParaRPr lang="en-GB" sz="1100" dirty="0" err="1">
            <a:solidFill>
              <a:schemeClr val="tx1"/>
            </a:solidFill>
          </a:endParaRPr>
        </a:p>
      </cdr:txBody>
    </cdr:sp>
  </cdr:relSizeAnchor>
  <cdr:relSizeAnchor xmlns:cdr="http://schemas.openxmlformats.org/drawingml/2006/chartDrawing">
    <cdr:from>
      <cdr:x>0.16488</cdr:x>
      <cdr:y>0</cdr:y>
    </cdr:from>
    <cdr:to>
      <cdr:x>0.20844</cdr:x>
      <cdr:y>0.05816</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1098160" y="0"/>
          <a:ext cx="290121" cy="26660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drawings/drawing53.xml><?xml version="1.0" encoding="utf-8"?>
<xdr:wsDr xmlns:xdr="http://schemas.openxmlformats.org/drawingml/2006/spreadsheetDrawing" xmlns:a="http://schemas.openxmlformats.org/drawingml/2006/main">
  <xdr:oneCellAnchor>
    <xdr:from>
      <xdr:col>0</xdr:col>
      <xdr:colOff>95250</xdr:colOff>
      <xdr:row>1</xdr:row>
      <xdr:rowOff>57152</xdr:rowOff>
    </xdr:from>
    <xdr:ext cx="9639300" cy="30394274"/>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95250" y="219077"/>
          <a:ext cx="9639300" cy="30394274"/>
        </a:xfrm>
        <a:prstGeom prst="rect">
          <a:avLst/>
        </a:prstGeom>
        <a:solidFill>
          <a:schemeClr val="bg1">
            <a:lumMod val="95000"/>
          </a:schemeClr>
        </a:solidFill>
      </xdr:spPr>
      <xdr:txBody>
        <a:bodyPr vertOverflow="clip" horzOverflow="clip" wrap="square" rtlCol="0" anchor="t">
          <a:noAutofit/>
        </a:bodyPr>
        <a:lstStyle/>
        <a:p>
          <a:pPr algn="l">
            <a:spcBef>
              <a:spcPts val="900"/>
            </a:spcBef>
            <a:spcAft>
              <a:spcPts val="300"/>
            </a:spcAft>
          </a:pPr>
          <a:r>
            <a:rPr lang="de-DE" sz="2400">
              <a:effectLst/>
              <a:latin typeface="Verdana" panose="020B0604030504040204" pitchFamily="34" charset="0"/>
              <a:ea typeface="Times New Roman" panose="02020603050405020304" pitchFamily="18" charset="0"/>
              <a:cs typeface="Times New Roman" panose="02020603050405020304" pitchFamily="18" charset="0"/>
            </a:rPr>
            <a:t>Nutzungsbedingungen von ecoinvent Emissionsfaktoren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800"/>
            </a:spcAft>
          </a:pPr>
          <a:r>
            <a:rPr lang="de-DE" sz="1050">
              <a:effectLst/>
              <a:latin typeface="Helvetica LT Pro"/>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lnSpc>
              <a:spcPct val="107000"/>
            </a:lnSpc>
            <a:spcAft>
              <a:spcPts val="800"/>
            </a:spcAft>
          </a:pPr>
          <a:r>
            <a:rPr lang="de-DE" sz="1100">
              <a:effectLst/>
              <a:latin typeface="Verdana" panose="020B0604030504040204" pitchFamily="34" charset="0"/>
              <a:ea typeface="Calibri" panose="020F0502020204030204" pitchFamily="34" charset="0"/>
              <a:cs typeface="Times New Roman" panose="02020603050405020304" pitchFamily="18" charset="0"/>
            </a:rPr>
            <a:t>Für Scope 1- und Scope 2-Emissionen sind derzeit Emissionsfaktoren von frei verfügbaren Quellen verwendbar. Speziell im Bereich der Scope 3-Emissionen kann es notwendig sein, dass Emissionsfaktoren aus der Datenbank „ecoinvent“ verwendet werden müssen, da diese in anderen Datenbanken nicht vorhanden sind. </a:t>
          </a:r>
          <a:r>
            <a:rPr lang="de-DE" sz="1100" b="1">
              <a:effectLst/>
              <a:latin typeface="Verdana" panose="020B0604030504040204" pitchFamily="34" charset="0"/>
              <a:ea typeface="Calibri" panose="020F0502020204030204" pitchFamily="34" charset="0"/>
              <a:cs typeface="Times New Roman" panose="02020603050405020304" pitchFamily="18" charset="0"/>
            </a:rPr>
            <a:t>Im vorliegenden Vermeidungskostenrechner wurde ein</a:t>
          </a:r>
          <a:r>
            <a:rPr lang="de-DE" sz="1100" b="1" baseline="0">
              <a:effectLst/>
              <a:latin typeface="Verdana" panose="020B0604030504040204" pitchFamily="34" charset="0"/>
              <a:ea typeface="Calibri" panose="020F0502020204030204" pitchFamily="34" charset="0"/>
              <a:cs typeface="Times New Roman" panose="02020603050405020304" pitchFamily="18" charset="0"/>
            </a:rPr>
            <a:t> Emissionsfaktor von ecoinvent verwendet. Die Lizenzgebühr für die Verwendung dieses (statischen) Emissionsfaktors </a:t>
          </a:r>
          <a:r>
            <a:rPr lang="de-DE" sz="1100" b="1" baseline="0">
              <a:effectLst/>
              <a:latin typeface="+mn-lt"/>
              <a:ea typeface="+mn-ea"/>
              <a:cs typeface="+mn-cs"/>
            </a:rPr>
            <a:t>wurde von FutureCamp Climate im Rahmen des Projektes übernommen. </a:t>
          </a:r>
          <a:r>
            <a:rPr lang="de-DE" sz="1100" b="0" baseline="0">
              <a:effectLst/>
              <a:latin typeface="Verdana" panose="020B0604030504040204" pitchFamily="34" charset="0"/>
              <a:ea typeface="Calibri" panose="020F0502020204030204" pitchFamily="34" charset="0"/>
              <a:cs typeface="Times New Roman" panose="02020603050405020304" pitchFamily="18" charset="0"/>
            </a:rPr>
            <a:t>Das Tool wird durch die Mitglieder des Betonverband SLG genutzt. </a:t>
          </a:r>
        </a:p>
        <a:p>
          <a:pPr algn="l">
            <a:lnSpc>
              <a:spcPct val="107000"/>
            </a:lnSpc>
            <a:spcAft>
              <a:spcPts val="200"/>
            </a:spcAft>
          </a:pPr>
          <a:r>
            <a:rPr lang="de-DE" sz="1100" b="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Im Folgenden</a:t>
          </a:r>
          <a:r>
            <a:rPr lang="de-DE" sz="1100" b="0" baseline="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sind die Nutzungsbedingungen für ecoinvent-Daten dargestellt.</a:t>
          </a:r>
          <a:endParaRPr lang="de-DE" sz="1100" b="0">
            <a:solidFill>
              <a:srgbClr val="000000"/>
            </a:solidFill>
            <a:effectLst/>
            <a:latin typeface="Verdana" panose="020B0604030504040204" pitchFamily="34" charset="0"/>
            <a:ea typeface="Calibri" panose="020F0502020204030204" pitchFamily="34" charset="0"/>
            <a:cs typeface="Times New Roman" panose="02020603050405020304" pitchFamily="18" charset="0"/>
          </a:endParaRPr>
        </a:p>
        <a:p>
          <a:pPr algn="l">
            <a:lnSpc>
              <a:spcPct val="107000"/>
            </a:lnSpc>
            <a:spcAft>
              <a:spcPts val="200"/>
            </a:spcAft>
          </a:pP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200"/>
            </a:spcAft>
          </a:pPr>
          <a:r>
            <a:rPr lang="de-DE" sz="20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Anlage:</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200"/>
            </a:spcAft>
          </a:pPr>
          <a:r>
            <a:rPr lang="de-DE" sz="20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Nutzungsbedingungen (NB) für Benutzer des Tools des Lizenznehmers FutureCamp Climate GmbH, die ecoinvent-Daten verwenden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spcBef>
              <a:spcPts val="200"/>
            </a:spcBef>
            <a:spcAft>
              <a:spcPts val="300"/>
            </a:spcAft>
          </a:pPr>
          <a:r>
            <a:rPr lang="de-DE" sz="1600">
              <a:solidFill>
                <a:srgbClr val="000000"/>
              </a:solidFill>
              <a:effectLst/>
              <a:latin typeface="Verdana" panose="020B0604030504040204" pitchFamily="34" charset="0"/>
              <a:ea typeface="Calibri" panose="020F0502020204030204" pitchFamily="34" charset="0"/>
              <a:cs typeface="Segoe UI" panose="020B0502040204020203" pitchFamily="34"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spcBef>
              <a:spcPts val="200"/>
            </a:spcBef>
            <a:spcAft>
              <a:spcPts val="3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Version 1.0 / 28. Juli 2022</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Präambel</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Der Lizenznehmer FutureCamp Climate GmbH ist Lizenznehmer der ecoinvent Association.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Der Lizenznehmer hat eine Teilmenge der</a:t>
          </a:r>
          <a:r>
            <a:rPr lang="de-DE" sz="1100">
              <a:effectLst/>
              <a:latin typeface="Verdana" panose="020B0604030504040204" pitchFamily="34" charset="0"/>
              <a:ea typeface="Calibri" panose="020F0502020204030204" pitchFamily="34" charset="0"/>
              <a:cs typeface="Times New Roman" panose="02020603050405020304" pitchFamily="18" charset="0"/>
            </a:rPr>
            <a:t> LCIA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 bzw. Limited Life Cycle Impact Assessment Results)</a:t>
          </a:r>
          <a:r>
            <a:rPr lang="de-DE" sz="1100">
              <a:effectLst/>
              <a:latin typeface="Verdana" panose="020B0604030504040204" pitchFamily="34" charset="0"/>
              <a:ea typeface="Calibri" panose="020F0502020204030204" pitchFamily="34" charset="0"/>
              <a:cs typeface="Times New Roman" panose="02020603050405020304" pitchFamily="18" charset="0"/>
            </a:rPr>
            <a:t>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im Tool für seinen kundenseitigen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a:t>
          </a:r>
          <a:r>
            <a:rPr lang="de-DE" sz="1100">
              <a:effectLst/>
              <a:latin typeface="Verdana" panose="020B0604030504040204" pitchFamily="34" charset="0"/>
              <a:ea typeface="Calibri" panose="020F0502020204030204" pitchFamily="34" charset="0"/>
              <a:cs typeface="Times New Roman" panose="02020603050405020304" pitchFamily="18" charset="0"/>
            </a:rPr>
            <a:t> implementiert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t>
          </a:r>
          <a:r>
            <a:rPr lang="de-DE" sz="1100">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Der </a:t>
          </a:r>
          <a:r>
            <a:rPr lang="de-DE" sz="1100">
              <a:effectLst/>
              <a:latin typeface="Verdana" panose="020B0604030504040204" pitchFamily="34" charset="0"/>
              <a:ea typeface="Calibri" panose="020F0502020204030204" pitchFamily="34" charset="0"/>
              <a:cs typeface="Times New Roman" panose="02020603050405020304" pitchFamily="18" charset="0"/>
            </a:rPr>
            <a:t>Lizenznehmer FutureCamp Climate GmbH unterlizenziert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eine solche eingeschränkte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LCIA</a:t>
          </a:r>
          <a:r>
            <a:rPr lang="de-DE" sz="1100">
              <a:effectLst/>
              <a:latin typeface="Verdana" panose="020B0604030504040204" pitchFamily="34" charset="0"/>
              <a:ea typeface="Calibri" panose="020F0502020204030204" pitchFamily="34" charset="0"/>
              <a:cs typeface="Times New Roman" panose="02020603050405020304" pitchFamily="18" charset="0"/>
            </a:rPr>
            <a:t> an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den Tool-Benutzer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(in der Regel Kunde von FutureCamp Climate).</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 Parteien vereinbaren daher Folgendes: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endParaRPr lang="de-DE" sz="1100" b="1">
            <a:effectLst/>
            <a:latin typeface="Verdana" panose="020B0604030504040204" pitchFamily="34" charset="0"/>
            <a:ea typeface="Calibri" panose="020F0502020204030204" pitchFamily="34"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1 Begriffsbestimmungen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 folgenden definierten Begriffe, die groß geschrieben und in fetten Buchstaben gedruckt werden, müssen sowohl im Singular als auch im Plural die gleiche Bedeutung haben: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die juristische Person oder Organisation, die das Tool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Lizenznehmers</a:t>
          </a:r>
          <a:r>
            <a:rPr lang="de-DE" sz="1100">
              <a:effectLst/>
              <a:latin typeface="Verdana" panose="020B0604030504040204" pitchFamily="34" charset="0"/>
              <a:ea typeface="Calibri" panose="020F0502020204030204" pitchFamily="34" charset="0"/>
              <a:cs typeface="Times New Roman" panose="02020603050405020304" pitchFamily="18" charset="0"/>
            </a:rPr>
            <a:t> entwickelt hat (FutureCamp)</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die in diesem Dokument festgelegten Nutzungsbedingungen.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die Anwendung/der Rechner basierend auf Excel oder ähnlicher Applikation, die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dem Toolbenutzer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vom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a:t>
          </a:r>
          <a:r>
            <a:rPr lang="de-DE" sz="1100">
              <a:effectLst/>
              <a:latin typeface="Verdana" panose="020B0604030504040204" pitchFamily="34" charset="0"/>
              <a:ea typeface="Calibri" panose="020F0502020204030204" pitchFamily="34" charset="0"/>
              <a:cs typeface="Times New Roman" panose="02020603050405020304" pitchFamily="18" charset="0"/>
            </a:rPr>
            <a:t> zur Verfügung gestellt wird</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Benutzer des </a:t>
          </a:r>
          <a:r>
            <a:rPr lang="de-DE" sz="1100" b="1">
              <a:effectLst/>
              <a:latin typeface="Verdana" panose="020B0604030504040204" pitchFamily="34" charset="0"/>
              <a:ea typeface="Calibri" panose="020F0502020204030204" pitchFamily="34" charset="0"/>
              <a:cs typeface="Times New Roman" panose="02020603050405020304" pitchFamily="18" charset="0"/>
            </a:rPr>
            <a:t>Tools des Lizenznehmers</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individueller (End)Nutzer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Tools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und Lizenznehmer von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Ergebnisse der Ökobilanz.</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eine Teilmenge der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Laufzeit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gemäß der Definition unter § 5</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2 Geltungsbereich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Diese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ergänzen und gelten für das Vertragsverhältnis zwischen</a:t>
          </a:r>
          <a:r>
            <a:rPr lang="de-DE" sz="1100">
              <a:effectLst/>
              <a:latin typeface="Verdana" panose="020B0604030504040204" pitchFamily="34" charset="0"/>
              <a:ea typeface="Calibri" panose="020F0502020204030204" pitchFamily="34" charset="0"/>
              <a:cs typeface="Times New Roman" panose="02020603050405020304" pitchFamily="18" charset="0"/>
            </a:rPr>
            <a:t> dem Lizenznehmer</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und </a:t>
          </a:r>
          <a:r>
            <a:rPr lang="de-DE" sz="1100">
              <a:effectLst/>
              <a:latin typeface="Verdana" panose="020B0604030504040204" pitchFamily="34" charset="0"/>
              <a:ea typeface="Calibri" panose="020F0502020204030204" pitchFamily="34" charset="0"/>
              <a:cs typeface="Times New Roman" panose="02020603050405020304" pitchFamily="18" charset="0"/>
            </a:rPr>
            <a:t>dem Tool-Benutzer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in dem </a:t>
          </a:r>
          <a:r>
            <a:rPr lang="de-DE" sz="1100">
              <a:effectLst/>
              <a:latin typeface="Verdana" panose="020B0604030504040204" pitchFamily="34" charset="0"/>
              <a:ea typeface="Calibri" panose="020F0502020204030204" pitchFamily="34" charset="0"/>
              <a:cs typeface="Times New Roman" panose="02020603050405020304" pitchFamily="18" charset="0"/>
            </a:rPr>
            <a:t>der Lizenznehmer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den Tool-Benutzer</a:t>
          </a:r>
          <a:r>
            <a:rPr lang="de-DE" sz="1100">
              <a:effectLst/>
              <a:latin typeface="Verdana" panose="020B0604030504040204" pitchFamily="34" charset="0"/>
              <a:ea typeface="Calibri" panose="020F0502020204030204" pitchFamily="34" charset="0"/>
              <a:cs typeface="Times New Roman" panose="02020603050405020304" pitchFamily="18" charset="0"/>
            </a:rPr>
            <a:t>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im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 seines</a:t>
          </a:r>
          <a:r>
            <a:rPr lang="de-DE" sz="1100">
              <a:effectLst/>
              <a:latin typeface="Verdana" panose="020B0604030504040204" pitchFamily="34" charset="0"/>
              <a:ea typeface="Calibri" panose="020F0502020204030204" pitchFamily="34" charset="0"/>
              <a:cs typeface="Times New Roman" panose="02020603050405020304" pitchFamily="18" charset="0"/>
            </a:rPr>
            <a:t>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lizenziert.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3 Gewerblicher Rechtsschutz und sonstige Rechte</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ist alleiniges Eigentum von ecoinvent. </a:t>
          </a:r>
          <a:r>
            <a:rPr lang="de-DE" sz="1100">
              <a:effectLst/>
              <a:latin typeface="Verdana" panose="020B0604030504040204" pitchFamily="34" charset="0"/>
              <a:ea typeface="Calibri" panose="020F0502020204030204" pitchFamily="34" charset="0"/>
              <a:cs typeface="Times New Roman" panose="02020603050405020304" pitchFamily="18" charset="0"/>
            </a:rPr>
            <a:t>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wird nur lizenziert, nicht verkauft.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ist durch nationale und internationale Gesetze wie Urheberrechtsgesetze, Datenbankrechte und/oder Verträge geschützt. ecoinvent behält sich alle geistigen Eigentumsrechte an und für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effectLst/>
              <a:latin typeface="Verdana" panose="020B0604030504040204" pitchFamily="34" charset="0"/>
              <a:ea typeface="Calibri" panose="020F0502020204030204" pitchFamily="34" charset="0"/>
              <a:cs typeface="Times New Roman" panose="02020603050405020304" pitchFamily="18" charset="0"/>
            </a:rPr>
            <a:t> vor</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Dem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Tool-Nutzer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wird das Recht eingeräumt, die ecoinvent-Daten wie hierin dargelegt zu nutzen.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Vorbehaltlich §4 gewährt</a:t>
          </a:r>
          <a:r>
            <a:rPr lang="de-DE" sz="1100">
              <a:effectLst/>
              <a:latin typeface="Verdana" panose="020B0604030504040204" pitchFamily="34" charset="0"/>
              <a:ea typeface="Calibri" panose="020F0502020204030204" pitchFamily="34" charset="0"/>
              <a:cs typeface="Times New Roman" panose="02020603050405020304" pitchFamily="18" charset="0"/>
            </a:rPr>
            <a:t> der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 dem Tool-Benutzer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ein nicht ausschließliches, nicht übertragbares, beschränktes, widerrufliches und gebührenpflichtiges Recht während der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Laufzeit</a:t>
          </a:r>
          <a:r>
            <a:rPr lang="de-DE" sz="1100">
              <a:effectLst/>
              <a:latin typeface="Verdana" panose="020B0604030504040204" pitchFamily="34" charset="0"/>
              <a:ea typeface="Calibri" panose="020F0502020204030204" pitchFamily="34" charset="0"/>
              <a:cs typeface="Times New Roman" panose="02020603050405020304" pitchFamily="18" charset="0"/>
            </a:rPr>
            <a:t> zur Nutzung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zur Erstellung einer unbegrenzten Anzahl von internen oder externen, kommerziellen oder akademischen Studien und Berichten mit Hilfe</a:t>
          </a:r>
          <a:r>
            <a:rPr lang="de-DE" sz="1100">
              <a:effectLst/>
              <a:latin typeface="Verdana" panose="020B0604030504040204" pitchFamily="34" charset="0"/>
              <a:ea typeface="Calibri" panose="020F0502020204030204" pitchFamily="34" charset="0"/>
              <a:cs typeface="Times New Roman" panose="02020603050405020304" pitchFamily="18" charset="0"/>
            </a:rPr>
            <a:t>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Tools des Lizenznehmers</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t>
          </a:r>
          <a:r>
            <a:rPr lang="de-DE" sz="1100">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wird vom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Tool-Benutzer</a:t>
          </a:r>
          <a:r>
            <a:rPr lang="de-DE" sz="1100">
              <a:effectLst/>
              <a:latin typeface="Verdana" panose="020B0604030504040204" pitchFamily="34" charset="0"/>
              <a:ea typeface="Calibri" panose="020F0502020204030204" pitchFamily="34" charset="0"/>
              <a:cs typeface="Times New Roman" panose="02020603050405020304" pitchFamily="18" charset="0"/>
            </a:rPr>
            <a:t> des Lizenznehmers unter Angabe von "ecoinvent Data", wie sie im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 des Lizenznehmers</a:t>
          </a:r>
          <a:r>
            <a:rPr lang="de-DE" sz="1100">
              <a:effectLst/>
              <a:latin typeface="Verdana" panose="020B0604030504040204" pitchFamily="34" charset="0"/>
              <a:ea typeface="Calibri" panose="020F0502020204030204" pitchFamily="34" charset="0"/>
              <a:cs typeface="Times New Roman" panose="02020603050405020304" pitchFamily="18" charset="0"/>
            </a:rPr>
            <a:t> implementiert sind</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unter Angabe der verwendeten ecoinvent Data Version 3.x zitiert.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4 Nutzungsbeschränkungen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Der Lizenznehmer erklärt und garantiert, dass seine Tool-Benutzer nicht:</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Limited LCIA weder ganz noch teilweise verwenden, kopieren, anpassen, ändern, übersetzen, modifizieren, unterlizenzieren, verkaufen oder vertreiben, außer ausdrücklich in dieser Vereinbarung unterlizenziert oder anderweitig ausdrücklich durch zwingendes Recht vorgeschrieben;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Limited LCIA oder einen Teil oder eine Ableitung (Derivate) davon, die nicht in dieser Vereinbarung gewährt wurde, reproduzieren, verbreiten oder veröffentlichen;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Dritten Rechte in Bezug auf die Limited LCIA gewähren (z. B. Unterlizenzierungsrecht);</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Derivate Datenbanken oder Datensätze oder datenbankähnliche Produkte unter Verwendung der Limited LCIA oder deren Ableitung ganz oder teilweise veröffentlichen oder anderen zur Verfügung stellen;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Extrakte der Limited LCIA oder eines Teils oder einer Ableitung davon erarbeiten;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Limited LCIA oder einen Teil oder eine Ableitung davon in einem anderen Produkt oder einer anderen Dienstleistung verwenden;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Limited LCIA oder einen Teil oder eine Ableitung davon verwenden, um Dienstleistungen für Dritte zu erbringen, mit Ausnahme der in dieser Vereinbarung gewährten Studien und Berichte;</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Webcrawler oder andere Arten von Software- oder Hardwaretechnologie verwenden, um die Limited LCIA automatisch herunterzuladen oder zu indizieren;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das Tool zurückentwickeln, dekompilieren und disassemblieren, um daraus die Limited LCIA abzuleiten;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Anmeldedaten für den Zugriff auf das Tool an Dritte weitergeben oder Dritten den Zugriff auf das Tool ermöglichen;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Die Unterlizenzrechte an Dritte übertragen.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Der Lizenznehmer wird gegenüber dem Tool-Nutzer geltend machen, dass ecoinvent Begünstigtenrechte hinsichtlich der Durchsetzung der Einschränkungen gemäß dem vorstehenden Absatz hat.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marL="449580" algn="l">
            <a:lnSpc>
              <a:spcPct val="107000"/>
            </a:lnSpc>
            <a:spcBef>
              <a:spcPts val="600"/>
            </a:spcBef>
            <a:spcAft>
              <a:spcPts val="600"/>
            </a:spcAft>
          </a:pPr>
          <a:r>
            <a:rPr lang="de-DE" sz="1100">
              <a:solidFill>
                <a:srgbClr val="000000"/>
              </a:solidFill>
              <a:effectLst/>
              <a:latin typeface="Verdana" panose="020B0604030504040204" pitchFamily="34" charset="0"/>
              <a:ea typeface="Calibri" panose="020F0502020204030204" pitchFamily="34" charset="0"/>
              <a:cs typeface="Segoe UI" panose="020B0502040204020203" pitchFamily="34" charset="0"/>
            </a:rPr>
            <a:t>Wenn der Lizenznehmer feststellt, dass sein Tool-Benutzer gegen eine der Einschränkungen gemäß diesem Abschnitt verstößt, muss der Lizenznehmer ecoinvent unverzüglich schriftlich über den Verstoß informieren.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5 Laufzeit und Kündigung</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Das Tool darf vom Tool-Benutzer auf unbeschränkte Zeit verwendet werden, solange diese NB eingehalten werden.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Der Lizenznehmer</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kann die hierunter gewährten Rechte mit sofortiger Wirkung kündigen, wenn der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Tool-Benutzer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gegen diese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effectLst/>
              <a:latin typeface="Verdana" panose="020B0604030504040204" pitchFamily="34" charset="0"/>
              <a:ea typeface="Calibri" panose="020F0502020204030204" pitchFamily="34" charset="0"/>
              <a:cs typeface="Times New Roman" panose="02020603050405020304" pitchFamily="18" charset="0"/>
            </a:rPr>
            <a:t> verstößt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Nach Ablauf oder Beendigung der hierunter gewährten Rechte ist</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der Tool-Benutzer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verpflichtet, alle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von seinen Hard- und Softwaregeräten zu löschen und dem Lizenznehmer eine unaufgeforderte Löschung zu bestätigen.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endParaRPr lang="de-DE" sz="1100" b="1">
            <a:effectLst/>
            <a:latin typeface="Verdana" panose="020B0604030504040204" pitchFamily="34" charset="0"/>
            <a:ea typeface="Calibri" panose="020F0502020204030204" pitchFamily="34"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6 Lizenzgebühr</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 Lizenzgebühr für die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richtet sich nach</a:t>
          </a:r>
          <a:r>
            <a:rPr lang="de-DE" sz="1100">
              <a:effectLst/>
              <a:latin typeface="Verdana" panose="020B0604030504040204" pitchFamily="34" charset="0"/>
              <a:ea typeface="Calibri" panose="020F0502020204030204" pitchFamily="34" charset="0"/>
              <a:cs typeface="Times New Roman" panose="02020603050405020304" pitchFamily="18" charset="0"/>
            </a:rPr>
            <a:t> der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zum Zeitpunkt der Bestellung gültigen Preisliste des Lizenznehmers oder vorbehaltlich einer schriftlichen Vereinbarung zwischen den Parteien über den Preis.</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endParaRPr lang="de-DE" sz="1100" b="1">
            <a:effectLst/>
            <a:latin typeface="Verdana" panose="020B0604030504040204" pitchFamily="34" charset="0"/>
            <a:ea typeface="Calibri" panose="020F0502020204030204" pitchFamily="34"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7 Zusicherungen und Gewährleistungen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Begrenzte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wird "wie vorliegend" zur Verfügung gestellt. Es liegt in der Verantwortung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Tool-Benutzers des Lizenznehmers</a:t>
          </a:r>
          <a:r>
            <a:rPr lang="de-DE" sz="1100">
              <a:effectLst/>
              <a:latin typeface="Verdana" panose="020B0604030504040204" pitchFamily="34" charset="0"/>
              <a:ea typeface="Calibri" panose="020F0502020204030204" pitchFamily="34" charset="0"/>
              <a:cs typeface="Times New Roman" panose="02020603050405020304" pitchFamily="18" charset="0"/>
            </a:rPr>
            <a:t>, die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Gültigkeit und Integrität von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effectLst/>
              <a:latin typeface="Verdana" panose="020B0604030504040204" pitchFamily="34" charset="0"/>
              <a:ea typeface="Calibri" panose="020F0502020204030204" pitchFamily="34" charset="0"/>
              <a:cs typeface="Times New Roman" panose="02020603050405020304" pitchFamily="18" charset="0"/>
            </a:rPr>
            <a:t> für seine Verwendung zu überprüfen, zu bewerten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und zu entscheiden, ob es für die beabsichtigte Verwendung geeignet ist oder nicht.</a:t>
          </a:r>
          <a:r>
            <a:rPr lang="de-DE" sz="1100">
              <a:effectLst/>
              <a:latin typeface="Verdana" panose="020B0604030504040204" pitchFamily="34" charset="0"/>
              <a:ea typeface="Calibri" panose="020F0502020204030204" pitchFamily="34" charset="0"/>
              <a:cs typeface="Times New Roman" panose="02020603050405020304" pitchFamily="18" charset="0"/>
            </a:rPr>
            <a:t>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Der Tool-Benutzer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verwendet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auf eigenes Risiko.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ecoinvent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lehnt alle ausdrücklichen oder implizierten Zusicherungen und Gewährleistungen von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effectLst/>
              <a:latin typeface="Verdana" panose="020B0604030504040204" pitchFamily="34" charset="0"/>
              <a:ea typeface="Calibri" panose="020F0502020204030204" pitchFamily="34" charset="0"/>
              <a:cs typeface="Times New Roman" panose="02020603050405020304" pitchFamily="18" charset="0"/>
            </a:rPr>
            <a:t> ab,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einschließlich, aber nicht beschränkt auf Marktfähigkeit, Eignung für einen bestimmten Zweck, Genauigkeit, Vollständigkeit, Richtigkeit und Verletzung der geistigen Eigentumsrechte Dritter.</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ecoinvent</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hat wirtschaftlich angemessene Anstrengungen unternommen, um zu reduzieren, </a:t>
          </a:r>
          <a:r>
            <a:rPr lang="de-DE" sz="1100">
              <a:effectLst/>
              <a:latin typeface="Verdana" panose="020B0604030504040204" pitchFamily="34" charset="0"/>
              <a:ea typeface="Calibri" panose="020F0502020204030204" pitchFamily="34" charset="0"/>
              <a:cs typeface="Times New Roman" panose="02020603050405020304" pitchFamily="18" charset="0"/>
            </a:rPr>
            <a:t>dass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den Rechten Dritter unterliegt.</a:t>
          </a:r>
          <a:r>
            <a:rPr lang="de-DE" sz="1100">
              <a:effectLst/>
              <a:latin typeface="Verdana" panose="020B0604030504040204" pitchFamily="34" charset="0"/>
              <a:ea typeface="Calibri" panose="020F0502020204030204" pitchFamily="34" charset="0"/>
              <a:cs typeface="Times New Roman" panose="02020603050405020304" pitchFamily="18" charset="0"/>
            </a:rPr>
            <a:t> ecoinvent</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lehnt jedoch ausdrücklich jede Zusicherung ab, dass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nicht den Rechten Dritter unterliegt. </a:t>
          </a:r>
          <a:r>
            <a:rPr lang="de-DE" sz="1100">
              <a:effectLst/>
              <a:latin typeface="Verdana" panose="020B0604030504040204" pitchFamily="34" charset="0"/>
              <a:ea typeface="Calibri" panose="020F0502020204030204" pitchFamily="34" charset="0"/>
              <a:cs typeface="Times New Roman" panose="02020603050405020304" pitchFamily="18" charset="0"/>
            </a:rPr>
            <a:t>Der Tool-Benutzer des Lizenznehmers hat den Lizenznehmer unverzüglich und schriftlich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zu benachrichtigen, wenn ein Dritter im Zusammenhang mit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Limited LCIA</a:t>
          </a:r>
          <a:r>
            <a:rPr lang="de-DE" sz="1100">
              <a:effectLst/>
              <a:latin typeface="Verdana" panose="020B0604030504040204" pitchFamily="34" charset="0"/>
              <a:ea typeface="Calibri" panose="020F0502020204030204" pitchFamily="34" charset="0"/>
              <a:cs typeface="Times New Roman" panose="02020603050405020304" pitchFamily="18" charset="0"/>
            </a:rPr>
            <a:t> einen Verletzungsanspruch gegen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den Tool-Benutzer</a:t>
          </a:r>
          <a:r>
            <a:rPr lang="de-DE" sz="1100">
              <a:effectLst/>
              <a:latin typeface="Verdana" panose="020B0604030504040204" pitchFamily="34" charset="0"/>
              <a:ea typeface="Calibri" panose="020F0502020204030204" pitchFamily="34" charset="0"/>
              <a:cs typeface="Times New Roman" panose="02020603050405020304" pitchFamily="18" charset="0"/>
            </a:rPr>
            <a:t>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Lizenznehmers </a:t>
          </a:r>
          <a:r>
            <a:rPr lang="de-DE" sz="1100">
              <a:effectLst/>
              <a:latin typeface="Verdana" panose="020B0604030504040204" pitchFamily="34" charset="0"/>
              <a:ea typeface="Calibri" panose="020F0502020204030204" pitchFamily="34" charset="0"/>
              <a:cs typeface="Times New Roman" panose="02020603050405020304" pitchFamily="18" charset="0"/>
            </a:rPr>
            <a:t>geltend machen sollte.</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endParaRPr lang="de-DE" sz="1100" b="1">
            <a:effectLst/>
            <a:latin typeface="Verdana" panose="020B0604030504040204" pitchFamily="34" charset="0"/>
            <a:ea typeface="Calibri" panose="020F0502020204030204" pitchFamily="34"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8 Haftungsbeschränkung</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Soweit dies nach geltendem Recht zulässig ist, lehnt ecoinvent jegliche Haftung für direkte Schäden und/oder indirekte Schäden (z. B. Folgeschäden, Einkommens-, Geschäfts- oder Gewinnverluste, Reputation) ab, die im Rahmen dieser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effectLst/>
              <a:latin typeface="Verdana" panose="020B0604030504040204" pitchFamily="34" charset="0"/>
              <a:ea typeface="Calibri" panose="020F0502020204030204" pitchFamily="34" charset="0"/>
              <a:cs typeface="Times New Roman" panose="02020603050405020304" pitchFamily="18" charset="0"/>
            </a:rPr>
            <a:t> auftreten</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Soweit dies nach geltendem Recht zulässig ist, ist hiermit jegliche Haftung für die Erfüllungsgehilfen von ecoinvent ausgeschlossen.</a:t>
          </a:r>
          <a:r>
            <a:rPr lang="de-DE" sz="1100">
              <a:effectLst/>
              <a:latin typeface="Verdana" panose="020B0604030504040204" pitchFamily="34" charset="0"/>
              <a:ea typeface="Calibri" panose="020F0502020204030204" pitchFamily="34" charset="0"/>
              <a:cs typeface="Times New Roman" panose="02020603050405020304" pitchFamily="18" charset="0"/>
            </a:rPr>
            <a:t>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just">
            <a:spcAft>
              <a:spcPts val="600"/>
            </a:spcAft>
          </a:pPr>
          <a:endParaRPr lang="de-DE" sz="1100" b="1">
            <a:effectLst/>
            <a:latin typeface="Verdana" panose="020B0604030504040204" pitchFamily="34" charset="0"/>
            <a:ea typeface="Calibri" panose="020F0502020204030204" pitchFamily="34" charset="0"/>
            <a:cs typeface="Times New Roman" panose="02020603050405020304" pitchFamily="18" charset="0"/>
          </a:endParaRPr>
        </a:p>
        <a:p>
          <a:pPr algn="just">
            <a:spcAft>
              <a:spcPts val="600"/>
            </a:spcAft>
          </a:pPr>
          <a:r>
            <a:rPr lang="de-DE" sz="1100" b="1">
              <a:effectLst/>
              <a:latin typeface="Verdana" panose="020B0604030504040204" pitchFamily="34" charset="0"/>
              <a:ea typeface="Calibri" panose="020F0502020204030204" pitchFamily="34" charset="0"/>
              <a:cs typeface="Times New Roman" panose="02020603050405020304" pitchFamily="18" charset="0"/>
            </a:rPr>
            <a:t>§ 9 Anwendbares Recht und Gerichtsstand</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Allgemeine Geschäftsbedingungen des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Tool-Nutzers des Lizenznehmers </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werden ausdrücklich ausgeschlossen.</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Diese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unterstehen ausschließlich schweizerischem Recht, ohne Rücksicht auf die Grundsätze des Kollisionsrechts. </a:t>
          </a:r>
          <a:endParaRPr lang="de-DE" sz="1100">
            <a:effectLst/>
            <a:latin typeface="Verdana" panose="020B0604030504040204" pitchFamily="34" charset="0"/>
            <a:ea typeface="Times New Roman" panose="02020603050405020304" pitchFamily="18" charset="0"/>
            <a:cs typeface="Times New Roman" panose="02020603050405020304" pitchFamily="18" charset="0"/>
          </a:endParaRPr>
        </a:p>
        <a:p>
          <a:pPr algn="l">
            <a:lnSpc>
              <a:spcPct val="107000"/>
            </a:lnSpc>
            <a:spcAft>
              <a:spcPts val="1400"/>
            </a:spcAft>
          </a:pP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Meinungsverschiedenheiten über die Auslegung dieser </a:t>
          </a:r>
          <a:r>
            <a:rPr lang="de-DE" sz="1100" b="1">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NB</a:t>
          </a:r>
          <a:r>
            <a:rPr lang="de-DE" sz="1100">
              <a:solidFill>
                <a:srgbClr val="000000"/>
              </a:solidFill>
              <a:effectLst/>
              <a:latin typeface="Verdana" panose="020B0604030504040204" pitchFamily="34" charset="0"/>
              <a:ea typeface="Calibri" panose="020F0502020204030204" pitchFamily="34" charset="0"/>
              <a:cs typeface="Times New Roman" panose="02020603050405020304" pitchFamily="18" charset="0"/>
            </a:rPr>
            <a:t> oder andere Meinungsverschiedenheiten zwischen den Parteien über den oben beschriebenen Anwendungsbereich werden zuerst gütlich beigelegt. Für den Fall, dass keine gütliche Einigung erzielt wird, werden die sich aus oder im Zusammenhang mit diesen NB ergebenden Streitigkeiten ausschließlich vor dem zuständigen Gericht der Stadt Zürich verhandelt.</a:t>
          </a:r>
          <a:br>
            <a:rPr lang="de-DE" sz="1100" b="1" i="1">
              <a:solidFill>
                <a:srgbClr val="C00000"/>
              </a:solidFill>
              <a:effectLst/>
              <a:latin typeface="Verdana" panose="020B0604030504040204" pitchFamily="34" charset="0"/>
              <a:ea typeface="Times New Roman" panose="02020603050405020304" pitchFamily="18" charset="0"/>
              <a:cs typeface="Times New Roman" panose="02020603050405020304" pitchFamily="18" charset="0"/>
            </a:rPr>
          </a:br>
          <a:endParaRPr lang="de-DE" sz="1100" dirty="0" err="1">
            <a:solidFill>
              <a:schemeClr val="tx1"/>
            </a:solidFill>
          </a:endParaRPr>
        </a:p>
      </xdr:txBody>
    </xdr:sp>
    <xdr:clientData/>
  </xdr:oneCellAnchor>
</xdr:wsDr>
</file>

<file path=xl/drawings/drawing54.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3</xdr:col>
      <xdr:colOff>1557617</xdr:colOff>
      <xdr:row>4</xdr:row>
      <xdr:rowOff>50805</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0" y="313765"/>
          <a:ext cx="3115235" cy="364569"/>
        </a:xfrm>
        <a:prstGeom prst="rect">
          <a:avLst/>
        </a:prstGeom>
      </xdr:spPr>
    </xdr:pic>
    <xdr:clientData/>
  </xdr:twoCellAnchor>
  <xdr:twoCellAnchor editAs="oneCell">
    <xdr:from>
      <xdr:col>8</xdr:col>
      <xdr:colOff>1602444</xdr:colOff>
      <xdr:row>3</xdr:row>
      <xdr:rowOff>0</xdr:rowOff>
    </xdr:from>
    <xdr:to>
      <xdr:col>9</xdr:col>
      <xdr:colOff>1206615</xdr:colOff>
      <xdr:row>6</xdr:row>
      <xdr:rowOff>18225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7956179" y="470647"/>
          <a:ext cx="2629760" cy="4888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542925</xdr:colOff>
      <xdr:row>63</xdr:row>
      <xdr:rowOff>115663</xdr:rowOff>
    </xdr:from>
    <xdr:to>
      <xdr:col>12</xdr:col>
      <xdr:colOff>1492703</xdr:colOff>
      <xdr:row>66</xdr:row>
      <xdr:rowOff>85725</xdr:rowOff>
    </xdr:to>
    <xdr:sp macro="" textlink="$M$87">
      <xdr:nvSpPr>
        <xdr:cNvPr id="14" name="Textfeld 13">
          <a:extLst>
            <a:ext uri="{FF2B5EF4-FFF2-40B4-BE49-F238E27FC236}">
              <a16:creationId xmlns:a16="http://schemas.microsoft.com/office/drawing/2014/main" id="{4D19AC92-714C-407B-9B80-C1D241B61F34}"/>
            </a:ext>
          </a:extLst>
        </xdr:cNvPr>
        <xdr:cNvSpPr txBox="1"/>
      </xdr:nvSpPr>
      <xdr:spPr>
        <a:xfrm>
          <a:off x="12753975" y="11831413"/>
          <a:ext cx="2273753" cy="493937"/>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14</xdr:col>
      <xdr:colOff>1257300</xdr:colOff>
      <xdr:row>46</xdr:row>
      <xdr:rowOff>142875</xdr:rowOff>
    </xdr:from>
    <xdr:to>
      <xdr:col>15</xdr:col>
      <xdr:colOff>1474469</xdr:colOff>
      <xdr:row>50</xdr:row>
      <xdr:rowOff>574</xdr:rowOff>
    </xdr:to>
    <xdr:sp macro="" textlink="$P$86">
      <xdr:nvSpPr>
        <xdr:cNvPr id="2" name="Textfeld 11">
          <a:extLst>
            <a:ext uri="{FF2B5EF4-FFF2-40B4-BE49-F238E27FC236}">
              <a16:creationId xmlns:a16="http://schemas.microsoft.com/office/drawing/2014/main" id="{20F1F0D5-2286-4028-B6A0-86D09F1D74EE}"/>
            </a:ext>
          </a:extLst>
        </xdr:cNvPr>
        <xdr:cNvSpPr txBox="1"/>
      </xdr:nvSpPr>
      <xdr:spPr>
        <a:xfrm>
          <a:off x="17440275" y="9944100"/>
          <a:ext cx="1541144" cy="600649"/>
        </a:xfrm>
        <a:prstGeom prst="rect">
          <a:avLst/>
        </a:prstGeom>
        <a:noFill/>
        <a:ln>
          <a:solidFill>
            <a:schemeClr val="bg1"/>
          </a:solidFill>
        </a:ln>
      </xdr:spPr>
      <xdr:txBody>
        <a:bodyPr vertOverflow="clip" horzOverflow="clip" wrap="square" rtlCol="0" anchor="t">
          <a:noAutofit/>
        </a:bodyPr>
        <a:lstStyle/>
        <a:p>
          <a:pPr algn="l"/>
          <a:fld id="{286C9B7C-2B0F-4743-A673-23669128C1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twoCellAnchor>
    <xdr:from>
      <xdr:col>14</xdr:col>
      <xdr:colOff>1247775</xdr:colOff>
      <xdr:row>50</xdr:row>
      <xdr:rowOff>36195</xdr:rowOff>
    </xdr:from>
    <xdr:to>
      <xdr:col>15</xdr:col>
      <xdr:colOff>1560468</xdr:colOff>
      <xdr:row>55</xdr:row>
      <xdr:rowOff>112122</xdr:rowOff>
    </xdr:to>
    <xdr:sp macro="" textlink="$P$87">
      <xdr:nvSpPr>
        <xdr:cNvPr id="3" name="Textfeld 12">
          <a:extLst>
            <a:ext uri="{FF2B5EF4-FFF2-40B4-BE49-F238E27FC236}">
              <a16:creationId xmlns:a16="http://schemas.microsoft.com/office/drawing/2014/main" id="{A9A1C8B6-0B2A-4BCB-8893-62566EE74EB8}"/>
            </a:ext>
          </a:extLst>
        </xdr:cNvPr>
        <xdr:cNvSpPr txBox="1"/>
      </xdr:nvSpPr>
      <xdr:spPr>
        <a:xfrm>
          <a:off x="17430750" y="10580370"/>
          <a:ext cx="1636668" cy="676002"/>
        </a:xfrm>
        <a:prstGeom prst="rect">
          <a:avLst/>
        </a:prstGeom>
        <a:noFill/>
        <a:ln>
          <a:solidFill>
            <a:schemeClr val="bg1"/>
          </a:solidFill>
        </a:ln>
      </xdr:spPr>
      <xdr:txBody>
        <a:bodyPr vertOverflow="clip" horzOverflow="clip" wrap="square" rtlCol="0" anchor="t">
          <a:noAutofit/>
        </a:bodyPr>
        <a:lstStyle/>
        <a:p>
          <a:pPr algn="l"/>
          <a:fld id="{DBD63111-8C1B-4515-B951-2293F8E71763}" type="TxLink">
            <a:rPr lang="en-US" sz="1000" b="0" i="0" u="none" strike="noStrike" dirty="0" err="1" smtClean="0">
              <a:solidFill>
                <a:srgbClr val="323232"/>
              </a:solidFill>
              <a:latin typeface="Arial"/>
              <a:cs typeface="Arial"/>
            </a:rPr>
            <a:pPr algn="l"/>
            <a:t> </a:t>
          </a:fld>
          <a:endParaRPr lang="de-DE" sz="1100" dirty="0" err="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273367</xdr:colOff>
      <xdr:row>47</xdr:row>
      <xdr:rowOff>179071</xdr:rowOff>
    </xdr:from>
    <xdr:to>
      <xdr:col>33</xdr:col>
      <xdr:colOff>358140</xdr:colOff>
      <xdr:row>78</xdr:row>
      <xdr:rowOff>91441</xdr:rowOff>
    </xdr:to>
    <xdr:graphicFrame macro="">
      <xdr:nvGraphicFramePr>
        <xdr:cNvPr id="3" name="Chart 2">
          <a:extLst>
            <a:ext uri="{FF2B5EF4-FFF2-40B4-BE49-F238E27FC236}">
              <a16:creationId xmlns:a16="http://schemas.microsoft.com/office/drawing/2014/main" id="{63CF018C-81D9-3DEB-E863-9C2E3715C7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245745</xdr:colOff>
      <xdr:row>5</xdr:row>
      <xdr:rowOff>169545</xdr:rowOff>
    </xdr:from>
    <xdr:to>
      <xdr:col>33</xdr:col>
      <xdr:colOff>340043</xdr:colOff>
      <xdr:row>38</xdr:row>
      <xdr:rowOff>134303</xdr:rowOff>
    </xdr:to>
    <xdr:graphicFrame macro="">
      <xdr:nvGraphicFramePr>
        <xdr:cNvPr id="4" name="Chart 3">
          <a:extLst>
            <a:ext uri="{FF2B5EF4-FFF2-40B4-BE49-F238E27FC236}">
              <a16:creationId xmlns:a16="http://schemas.microsoft.com/office/drawing/2014/main" id="{84BFC678-5A27-4FFD-852B-028E7BCC3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438150</xdr:colOff>
      <xdr:row>6</xdr:row>
      <xdr:rowOff>152400</xdr:rowOff>
    </xdr:from>
    <xdr:to>
      <xdr:col>20</xdr:col>
      <xdr:colOff>38398</xdr:colOff>
      <xdr:row>9</xdr:row>
      <xdr:rowOff>29026</xdr:rowOff>
    </xdr:to>
    <xdr:sp macro="" textlink="">
      <xdr:nvSpPr>
        <xdr:cNvPr id="5" name="Textfeld 7">
          <a:extLst>
            <a:ext uri="{FF2B5EF4-FFF2-40B4-BE49-F238E27FC236}">
              <a16:creationId xmlns:a16="http://schemas.microsoft.com/office/drawing/2014/main" id="{5481AC05-9815-4DB9-3F6C-76370B7E6079}"/>
            </a:ext>
          </a:extLst>
        </xdr:cNvPr>
        <xdr:cNvSpPr txBox="1"/>
      </xdr:nvSpPr>
      <xdr:spPr>
        <a:xfrm>
          <a:off x="16621125" y="1285875"/>
          <a:ext cx="286048" cy="44812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400" b="1" i="0" u="none" strike="noStrike">
              <a:solidFill>
                <a:srgbClr val="000000"/>
              </a:solidFill>
              <a:latin typeface="Symbol" panose="05050102010706020507" pitchFamily="18" charset="2"/>
              <a:cs typeface="Arial"/>
            </a:rPr>
            <a:t>S</a:t>
          </a:r>
        </a:p>
      </xdr:txBody>
    </xdr:sp>
    <xdr:clientData/>
  </xdr:twoCellAnchor>
  <xdr:twoCellAnchor>
    <xdr:from>
      <xdr:col>19</xdr:col>
      <xdr:colOff>434340</xdr:colOff>
      <xdr:row>6</xdr:row>
      <xdr:rowOff>152400</xdr:rowOff>
    </xdr:from>
    <xdr:to>
      <xdr:col>20</xdr:col>
      <xdr:colOff>38398</xdr:colOff>
      <xdr:row>9</xdr:row>
      <xdr:rowOff>21406</xdr:rowOff>
    </xdr:to>
    <xdr:sp macro="" textlink="">
      <xdr:nvSpPr>
        <xdr:cNvPr id="6" name="Textfeld 7">
          <a:extLst>
            <a:ext uri="{FF2B5EF4-FFF2-40B4-BE49-F238E27FC236}">
              <a16:creationId xmlns:a16="http://schemas.microsoft.com/office/drawing/2014/main" id="{8EC85183-12C5-484A-8BC3-DCE4FB3A5AA6}"/>
            </a:ext>
          </a:extLst>
        </xdr:cNvPr>
        <xdr:cNvSpPr txBox="1"/>
      </xdr:nvSpPr>
      <xdr:spPr>
        <a:xfrm>
          <a:off x="16617315" y="1285875"/>
          <a:ext cx="289858" cy="44050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400" b="1" i="0" u="none" strike="noStrike">
              <a:solidFill>
                <a:srgbClr val="000000"/>
              </a:solidFill>
              <a:latin typeface="Symbol" panose="05050102010706020507" pitchFamily="18" charset="2"/>
              <a:cs typeface="Arial"/>
            </a:rPr>
            <a:t>S</a:t>
          </a:r>
        </a:p>
      </xdr:txBody>
    </xdr:sp>
    <xdr:clientData/>
  </xdr:twoCellAnchor>
  <xdr:twoCellAnchor>
    <xdr:from>
      <xdr:col>19</xdr:col>
      <xdr:colOff>409575</xdr:colOff>
      <xdr:row>48</xdr:row>
      <xdr:rowOff>133350</xdr:rowOff>
    </xdr:from>
    <xdr:to>
      <xdr:col>20</xdr:col>
      <xdr:colOff>6013</xdr:colOff>
      <xdr:row>51</xdr:row>
      <xdr:rowOff>2356</xdr:rowOff>
    </xdr:to>
    <xdr:sp macro="" textlink="">
      <xdr:nvSpPr>
        <xdr:cNvPr id="7" name="Textfeld 7">
          <a:extLst>
            <a:ext uri="{FF2B5EF4-FFF2-40B4-BE49-F238E27FC236}">
              <a16:creationId xmlns:a16="http://schemas.microsoft.com/office/drawing/2014/main" id="{536E451F-FC8F-4240-8FE3-21DA525B240F}"/>
            </a:ext>
          </a:extLst>
        </xdr:cNvPr>
        <xdr:cNvSpPr txBox="1"/>
      </xdr:nvSpPr>
      <xdr:spPr>
        <a:xfrm>
          <a:off x="16592550" y="8515350"/>
          <a:ext cx="282238" cy="440506"/>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r>
            <a:rPr lang="en-US" sz="1400" b="1" i="0" u="none" strike="noStrike">
              <a:solidFill>
                <a:srgbClr val="000000"/>
              </a:solidFill>
              <a:latin typeface="Symbol" panose="05050102010706020507" pitchFamily="18" charset="2"/>
              <a:cs typeface="Arial"/>
            </a:rPr>
            <a:t>S</a:t>
          </a:r>
        </a:p>
      </xdr:txBody>
    </xdr:sp>
    <xdr:clientData/>
  </xdr:twoCellAnchor>
  <xdr:twoCellAnchor>
    <xdr:from>
      <xdr:col>20</xdr:col>
      <xdr:colOff>81915</xdr:colOff>
      <xdr:row>48</xdr:row>
      <xdr:rowOff>91441</xdr:rowOff>
    </xdr:from>
    <xdr:to>
      <xdr:col>21</xdr:col>
      <xdr:colOff>438150</xdr:colOff>
      <xdr:row>50</xdr:row>
      <xdr:rowOff>120016</xdr:rowOff>
    </xdr:to>
    <xdr:sp macro="" textlink="$M$67">
      <xdr:nvSpPr>
        <xdr:cNvPr id="8" name="Textfeld 12">
          <a:extLst>
            <a:ext uri="{FF2B5EF4-FFF2-40B4-BE49-F238E27FC236}">
              <a16:creationId xmlns:a16="http://schemas.microsoft.com/office/drawing/2014/main" id="{2C6D33CB-E4B5-4740-A47B-EBF2DEB65E21}"/>
            </a:ext>
          </a:extLst>
        </xdr:cNvPr>
        <xdr:cNvSpPr txBox="1"/>
      </xdr:nvSpPr>
      <xdr:spPr>
        <a:xfrm>
          <a:off x="16950690" y="8473441"/>
          <a:ext cx="1042035" cy="428625"/>
        </a:xfrm>
        <a:prstGeom prst="rect">
          <a:avLst/>
        </a:prstGeom>
        <a:noFill/>
        <a:ln>
          <a:noFill/>
        </a:ln>
      </xdr:spPr>
      <xdr:txBody>
        <a:bodyPr vertOverflow="clip" horzOverflow="clip" wrap="square" rtlCol="0" anchor="ctr">
          <a:noAutofit/>
        </a:bodyPr>
        <a:lstStyle/>
        <a:p>
          <a:pPr algn="ctr"/>
          <a:fld id="{C7F97AA0-A97D-43B2-8D8A-EDBA42136DA7}" type="TxLink">
            <a:rPr lang="en-US" sz="1000" b="1" i="0" u="none" strike="noStrike" dirty="0" err="1" smtClean="0">
              <a:solidFill>
                <a:srgbClr val="323232"/>
              </a:solidFill>
              <a:latin typeface="Arial"/>
              <a:cs typeface="Arial"/>
            </a:rPr>
            <a:pPr algn="ctr"/>
            <a:t>6.098,4</a:t>
          </a:fld>
          <a:endParaRPr lang="de-DE" sz="1100" dirty="0" err="1">
            <a:solidFill>
              <a:sysClr val="windowText" lastClr="000000"/>
            </a:solidFill>
          </a:endParaRPr>
        </a:p>
      </xdr:txBody>
    </xdr:sp>
    <xdr:clientData/>
  </xdr:twoCellAnchor>
  <xdr:twoCellAnchor>
    <xdr:from>
      <xdr:col>22</xdr:col>
      <xdr:colOff>647700</xdr:colOff>
      <xdr:row>48</xdr:row>
      <xdr:rowOff>114300</xdr:rowOff>
    </xdr:from>
    <xdr:to>
      <xdr:col>24</xdr:col>
      <xdr:colOff>316230</xdr:colOff>
      <xdr:row>50</xdr:row>
      <xdr:rowOff>144780</xdr:rowOff>
    </xdr:to>
    <xdr:sp macro="" textlink="$N$67">
      <xdr:nvSpPr>
        <xdr:cNvPr id="10" name="Textfeld 12">
          <a:extLst>
            <a:ext uri="{FF2B5EF4-FFF2-40B4-BE49-F238E27FC236}">
              <a16:creationId xmlns:a16="http://schemas.microsoft.com/office/drawing/2014/main" id="{5D0DAE6E-CB78-439C-9C1F-73A9C8A66224}"/>
            </a:ext>
          </a:extLst>
        </xdr:cNvPr>
        <xdr:cNvSpPr txBox="1"/>
      </xdr:nvSpPr>
      <xdr:spPr>
        <a:xfrm>
          <a:off x="18888075" y="8496300"/>
          <a:ext cx="1040130" cy="430530"/>
        </a:xfrm>
        <a:prstGeom prst="rect">
          <a:avLst/>
        </a:prstGeom>
        <a:noFill/>
        <a:ln>
          <a:noFill/>
        </a:ln>
      </xdr:spPr>
      <xdr:txBody>
        <a:bodyPr vertOverflow="clip" horzOverflow="clip" wrap="square" rtlCol="0" anchor="ctr">
          <a:noAutofit/>
        </a:bodyPr>
        <a:lstStyle/>
        <a:p>
          <a:pPr algn="ctr"/>
          <a:fld id="{899C15C4-FCB9-48BD-8577-2F378863B8D0}" type="TxLink">
            <a:rPr lang="en-US" sz="1000" b="1" i="0" u="none" strike="noStrike" dirty="0" err="1" smtClean="0">
              <a:solidFill>
                <a:srgbClr val="323232"/>
              </a:solidFill>
              <a:latin typeface="Arial"/>
              <a:cs typeface="Arial"/>
            </a:rPr>
            <a:pPr algn="ctr"/>
            <a:t>6.098,4</a:t>
          </a:fld>
          <a:endParaRPr lang="de-DE" sz="1100" dirty="0" err="1">
            <a:solidFill>
              <a:sysClr val="windowText" lastClr="000000"/>
            </a:solidFill>
          </a:endParaRPr>
        </a:p>
      </xdr:txBody>
    </xdr:sp>
    <xdr:clientData/>
  </xdr:twoCellAnchor>
  <xdr:twoCellAnchor>
    <xdr:from>
      <xdr:col>25</xdr:col>
      <xdr:colOff>476250</xdr:colOff>
      <xdr:row>48</xdr:row>
      <xdr:rowOff>123825</xdr:rowOff>
    </xdr:from>
    <xdr:to>
      <xdr:col>27</xdr:col>
      <xdr:colOff>144780</xdr:colOff>
      <xdr:row>50</xdr:row>
      <xdr:rowOff>154305</xdr:rowOff>
    </xdr:to>
    <xdr:sp macro="" textlink="$O$67">
      <xdr:nvSpPr>
        <xdr:cNvPr id="11" name="Textfeld 12">
          <a:extLst>
            <a:ext uri="{FF2B5EF4-FFF2-40B4-BE49-F238E27FC236}">
              <a16:creationId xmlns:a16="http://schemas.microsoft.com/office/drawing/2014/main" id="{FB91AAE6-D3A9-41B2-BC5F-86078D28D1FD}"/>
            </a:ext>
          </a:extLst>
        </xdr:cNvPr>
        <xdr:cNvSpPr txBox="1"/>
      </xdr:nvSpPr>
      <xdr:spPr>
        <a:xfrm>
          <a:off x="20774025" y="8505825"/>
          <a:ext cx="1040130" cy="430530"/>
        </a:xfrm>
        <a:prstGeom prst="rect">
          <a:avLst/>
        </a:prstGeom>
        <a:noFill/>
        <a:ln>
          <a:noFill/>
        </a:ln>
      </xdr:spPr>
      <xdr:txBody>
        <a:bodyPr vertOverflow="clip" horzOverflow="clip" wrap="square" rtlCol="0" anchor="ctr">
          <a:noAutofit/>
        </a:bodyPr>
        <a:lstStyle/>
        <a:p>
          <a:pPr algn="ctr"/>
          <a:fld id="{819EE864-D321-444F-B8A3-F0729D0FD3D2}" type="TxLink">
            <a:rPr lang="en-US" sz="1000" b="1" i="0" u="none" strike="noStrike" dirty="0" err="1" smtClean="0">
              <a:solidFill>
                <a:srgbClr val="323232"/>
              </a:solidFill>
              <a:latin typeface="Arial"/>
              <a:cs typeface="Arial"/>
            </a:rPr>
            <a:pPr algn="ctr"/>
            <a:t>6.098,4</a:t>
          </a:fld>
          <a:endParaRPr lang="de-DE" sz="1100" dirty="0" err="1">
            <a:solidFill>
              <a:sysClr val="windowText" lastClr="000000"/>
            </a:solidFill>
          </a:endParaRPr>
        </a:p>
      </xdr:txBody>
    </xdr:sp>
    <xdr:clientData/>
  </xdr:twoCellAnchor>
  <xdr:twoCellAnchor>
    <xdr:from>
      <xdr:col>28</xdr:col>
      <xdr:colOff>285750</xdr:colOff>
      <xdr:row>48</xdr:row>
      <xdr:rowOff>140970</xdr:rowOff>
    </xdr:from>
    <xdr:to>
      <xdr:col>29</xdr:col>
      <xdr:colOff>643890</xdr:colOff>
      <xdr:row>51</xdr:row>
      <xdr:rowOff>5715</xdr:rowOff>
    </xdr:to>
    <xdr:sp macro="" textlink="$P$67">
      <xdr:nvSpPr>
        <xdr:cNvPr id="12" name="Textfeld 12">
          <a:extLst>
            <a:ext uri="{FF2B5EF4-FFF2-40B4-BE49-F238E27FC236}">
              <a16:creationId xmlns:a16="http://schemas.microsoft.com/office/drawing/2014/main" id="{ADB94C40-6403-4204-96F2-DEDB3F6A48BA}"/>
            </a:ext>
          </a:extLst>
        </xdr:cNvPr>
        <xdr:cNvSpPr txBox="1"/>
      </xdr:nvSpPr>
      <xdr:spPr>
        <a:xfrm>
          <a:off x="22640925" y="8522970"/>
          <a:ext cx="1043940" cy="436245"/>
        </a:xfrm>
        <a:prstGeom prst="rect">
          <a:avLst/>
        </a:prstGeom>
        <a:noFill/>
        <a:ln>
          <a:noFill/>
        </a:ln>
      </xdr:spPr>
      <xdr:txBody>
        <a:bodyPr vertOverflow="clip" horzOverflow="clip" wrap="square" rtlCol="0" anchor="ctr">
          <a:noAutofit/>
        </a:bodyPr>
        <a:lstStyle/>
        <a:p>
          <a:pPr algn="ctr"/>
          <a:fld id="{D82FA885-2068-4F44-A507-23B60C4F8897}" type="TxLink">
            <a:rPr lang="en-US" sz="1000" b="1" i="0" u="none" strike="noStrike" dirty="0" err="1" smtClean="0">
              <a:solidFill>
                <a:srgbClr val="323232"/>
              </a:solidFill>
              <a:latin typeface="Arial"/>
              <a:cs typeface="Arial"/>
            </a:rPr>
            <a:pPr algn="ctr"/>
            <a:t>6.098,4</a:t>
          </a:fld>
          <a:endParaRPr lang="de-DE" sz="1100" dirty="0" err="1">
            <a:solidFill>
              <a:sysClr val="windowText" lastClr="000000"/>
            </a:solidFill>
          </a:endParaRPr>
        </a:p>
      </xdr:txBody>
    </xdr:sp>
    <xdr:clientData/>
  </xdr:twoCellAnchor>
  <xdr:twoCellAnchor>
    <xdr:from>
      <xdr:col>31</xdr:col>
      <xdr:colOff>142875</xdr:colOff>
      <xdr:row>48</xdr:row>
      <xdr:rowOff>152400</xdr:rowOff>
    </xdr:from>
    <xdr:to>
      <xdr:col>32</xdr:col>
      <xdr:colOff>497205</xdr:colOff>
      <xdr:row>51</xdr:row>
      <xdr:rowOff>11430</xdr:rowOff>
    </xdr:to>
    <xdr:sp macro="" textlink="$Q$67">
      <xdr:nvSpPr>
        <xdr:cNvPr id="13" name="Textfeld 12">
          <a:extLst>
            <a:ext uri="{FF2B5EF4-FFF2-40B4-BE49-F238E27FC236}">
              <a16:creationId xmlns:a16="http://schemas.microsoft.com/office/drawing/2014/main" id="{EFEB935E-B74D-458C-B786-3DEF8E0E2C1C}"/>
            </a:ext>
          </a:extLst>
        </xdr:cNvPr>
        <xdr:cNvSpPr txBox="1"/>
      </xdr:nvSpPr>
      <xdr:spPr>
        <a:xfrm>
          <a:off x="24555450" y="8534400"/>
          <a:ext cx="1040130" cy="430530"/>
        </a:xfrm>
        <a:prstGeom prst="rect">
          <a:avLst/>
        </a:prstGeom>
        <a:noFill/>
        <a:ln>
          <a:noFill/>
        </a:ln>
      </xdr:spPr>
      <xdr:txBody>
        <a:bodyPr vertOverflow="clip" horzOverflow="clip" wrap="square" rtlCol="0" anchor="ctr">
          <a:noAutofit/>
        </a:bodyPr>
        <a:lstStyle/>
        <a:p>
          <a:pPr algn="ctr"/>
          <a:fld id="{53ECD6C7-0263-46D3-ACEB-3248458B84F9}" type="TxLink">
            <a:rPr lang="en-US" sz="1000" b="1" i="0" u="none" strike="noStrike" dirty="0" err="1" smtClean="0">
              <a:solidFill>
                <a:srgbClr val="323232"/>
              </a:solidFill>
              <a:latin typeface="Arial"/>
              <a:cs typeface="Arial"/>
            </a:rPr>
            <a:pPr algn="ctr"/>
            <a:t>6.098,4</a:t>
          </a:fld>
          <a:endParaRPr lang="de-DE" sz="1100" dirty="0" err="1">
            <a:solidFill>
              <a:sysClr val="windowText" lastClr="000000"/>
            </a:solidFill>
          </a:endParaRPr>
        </a:p>
      </xdr:txBody>
    </xdr:sp>
    <xdr:clientData/>
  </xdr:twoCellAnchor>
  <xdr:twoCellAnchor>
    <xdr:from>
      <xdr:col>20</xdr:col>
      <xdr:colOff>59055</xdr:colOff>
      <xdr:row>6</xdr:row>
      <xdr:rowOff>112395</xdr:rowOff>
    </xdr:from>
    <xdr:to>
      <xdr:col>21</xdr:col>
      <xdr:colOff>407670</xdr:colOff>
      <xdr:row>8</xdr:row>
      <xdr:rowOff>144780</xdr:rowOff>
    </xdr:to>
    <xdr:sp macro="" textlink="$D$85">
      <xdr:nvSpPr>
        <xdr:cNvPr id="9" name="Textfeld 12">
          <a:extLst>
            <a:ext uri="{FF2B5EF4-FFF2-40B4-BE49-F238E27FC236}">
              <a16:creationId xmlns:a16="http://schemas.microsoft.com/office/drawing/2014/main" id="{18D98659-DA6E-4DAC-87AD-2A5D52BC03CD}"/>
            </a:ext>
          </a:extLst>
        </xdr:cNvPr>
        <xdr:cNvSpPr txBox="1"/>
      </xdr:nvSpPr>
      <xdr:spPr>
        <a:xfrm>
          <a:off x="16927830" y="1245870"/>
          <a:ext cx="1034415" cy="432435"/>
        </a:xfrm>
        <a:prstGeom prst="rect">
          <a:avLst/>
        </a:prstGeom>
        <a:noFill/>
        <a:ln>
          <a:noFill/>
        </a:ln>
      </xdr:spPr>
      <xdr:txBody>
        <a:bodyPr vertOverflow="clip" horzOverflow="clip" wrap="square" rtlCol="0" anchor="ctr">
          <a:noAutofit/>
        </a:bodyPr>
        <a:lstStyle/>
        <a:p>
          <a:pPr algn="ctr"/>
          <a:fld id="{641FCE47-132B-4F40-B8F0-A5C5696ED692}" type="TxLink">
            <a:rPr lang="en-US" sz="1000" b="1" i="0" u="none" strike="noStrike" dirty="0" err="1" smtClean="0">
              <a:solidFill>
                <a:srgbClr val="323232"/>
              </a:solidFill>
              <a:latin typeface="Arial"/>
              <a:cs typeface="Arial"/>
            </a:rPr>
            <a:pPr algn="ctr"/>
            <a:t>35.800</a:t>
          </a:fld>
          <a:endParaRPr lang="de-DE" sz="1100" b="1" dirty="0" err="1">
            <a:solidFill>
              <a:sysClr val="windowText" lastClr="000000"/>
            </a:solidFill>
          </a:endParaRPr>
        </a:p>
      </xdr:txBody>
    </xdr:sp>
    <xdr:clientData/>
  </xdr:twoCellAnchor>
  <xdr:twoCellAnchor>
    <xdr:from>
      <xdr:col>22</xdr:col>
      <xdr:colOff>609600</xdr:colOff>
      <xdr:row>6</xdr:row>
      <xdr:rowOff>123825</xdr:rowOff>
    </xdr:from>
    <xdr:to>
      <xdr:col>24</xdr:col>
      <xdr:colOff>266700</xdr:colOff>
      <xdr:row>8</xdr:row>
      <xdr:rowOff>148590</xdr:rowOff>
    </xdr:to>
    <xdr:sp macro="" textlink="$E$85">
      <xdr:nvSpPr>
        <xdr:cNvPr id="14" name="Textfeld 12">
          <a:extLst>
            <a:ext uri="{FF2B5EF4-FFF2-40B4-BE49-F238E27FC236}">
              <a16:creationId xmlns:a16="http://schemas.microsoft.com/office/drawing/2014/main" id="{8F3E8168-8AC6-49E0-8A7B-5C7DCAF8FC37}"/>
            </a:ext>
          </a:extLst>
        </xdr:cNvPr>
        <xdr:cNvSpPr txBox="1"/>
      </xdr:nvSpPr>
      <xdr:spPr>
        <a:xfrm>
          <a:off x="18849975" y="1257300"/>
          <a:ext cx="1028700" cy="424815"/>
        </a:xfrm>
        <a:prstGeom prst="rect">
          <a:avLst/>
        </a:prstGeom>
        <a:noFill/>
        <a:ln>
          <a:noFill/>
        </a:ln>
      </xdr:spPr>
      <xdr:txBody>
        <a:bodyPr vertOverflow="clip" horzOverflow="clip" wrap="square" rtlCol="0" anchor="ctr">
          <a:noAutofit/>
        </a:bodyPr>
        <a:lstStyle/>
        <a:p>
          <a:pPr algn="ctr"/>
          <a:fld id="{AEAC50A0-6227-4D9C-B557-EEE54F44219D}" type="TxLink">
            <a:rPr lang="en-US" sz="1000" b="1" i="0" u="none" strike="noStrike" dirty="0" err="1" smtClean="0">
              <a:solidFill>
                <a:srgbClr val="323232"/>
              </a:solidFill>
              <a:latin typeface="Arial"/>
              <a:cs typeface="Arial"/>
            </a:rPr>
            <a:pPr algn="ctr"/>
            <a:t>35.800</a:t>
          </a:fld>
          <a:endParaRPr lang="de-DE" sz="1100" b="1" dirty="0" err="1">
            <a:solidFill>
              <a:sysClr val="windowText" lastClr="000000"/>
            </a:solidFill>
          </a:endParaRPr>
        </a:p>
      </xdr:txBody>
    </xdr:sp>
    <xdr:clientData/>
  </xdr:twoCellAnchor>
  <xdr:twoCellAnchor>
    <xdr:from>
      <xdr:col>25</xdr:col>
      <xdr:colOff>447675</xdr:colOff>
      <xdr:row>6</xdr:row>
      <xdr:rowOff>133350</xdr:rowOff>
    </xdr:from>
    <xdr:to>
      <xdr:col>27</xdr:col>
      <xdr:colOff>104775</xdr:colOff>
      <xdr:row>8</xdr:row>
      <xdr:rowOff>160020</xdr:rowOff>
    </xdr:to>
    <xdr:sp macro="" textlink="$F$85">
      <xdr:nvSpPr>
        <xdr:cNvPr id="15" name="Textfeld 12">
          <a:extLst>
            <a:ext uri="{FF2B5EF4-FFF2-40B4-BE49-F238E27FC236}">
              <a16:creationId xmlns:a16="http://schemas.microsoft.com/office/drawing/2014/main" id="{89DE6C99-0EAE-41E7-AA9A-8D2205F5C287}"/>
            </a:ext>
          </a:extLst>
        </xdr:cNvPr>
        <xdr:cNvSpPr txBox="1"/>
      </xdr:nvSpPr>
      <xdr:spPr>
        <a:xfrm>
          <a:off x="20745450" y="1266825"/>
          <a:ext cx="1028700" cy="426720"/>
        </a:xfrm>
        <a:prstGeom prst="rect">
          <a:avLst/>
        </a:prstGeom>
        <a:noFill/>
        <a:ln>
          <a:noFill/>
        </a:ln>
      </xdr:spPr>
      <xdr:txBody>
        <a:bodyPr vertOverflow="clip" horzOverflow="clip" wrap="square" rtlCol="0" anchor="ctr">
          <a:noAutofit/>
        </a:bodyPr>
        <a:lstStyle/>
        <a:p>
          <a:pPr algn="ctr"/>
          <a:fld id="{9CD481CF-386F-4904-822C-C0F7B478BF6F}" type="TxLink">
            <a:rPr lang="en-US" sz="1000" b="1" i="0" u="none" strike="noStrike" dirty="0" err="1" smtClean="0">
              <a:solidFill>
                <a:srgbClr val="323232"/>
              </a:solidFill>
              <a:latin typeface="Arial"/>
              <a:cs typeface="Arial"/>
            </a:rPr>
            <a:pPr algn="ctr"/>
            <a:t>35.800</a:t>
          </a:fld>
          <a:endParaRPr lang="de-DE" sz="1100" b="1" dirty="0" err="1">
            <a:solidFill>
              <a:sysClr val="windowText" lastClr="000000"/>
            </a:solidFill>
          </a:endParaRPr>
        </a:p>
      </xdr:txBody>
    </xdr:sp>
    <xdr:clientData/>
  </xdr:twoCellAnchor>
  <xdr:twoCellAnchor>
    <xdr:from>
      <xdr:col>28</xdr:col>
      <xdr:colOff>295275</xdr:colOff>
      <xdr:row>6</xdr:row>
      <xdr:rowOff>133350</xdr:rowOff>
    </xdr:from>
    <xdr:to>
      <xdr:col>29</xdr:col>
      <xdr:colOff>638175</xdr:colOff>
      <xdr:row>8</xdr:row>
      <xdr:rowOff>160020</xdr:rowOff>
    </xdr:to>
    <xdr:sp macro="" textlink="$G$85">
      <xdr:nvSpPr>
        <xdr:cNvPr id="16" name="Textfeld 12">
          <a:extLst>
            <a:ext uri="{FF2B5EF4-FFF2-40B4-BE49-F238E27FC236}">
              <a16:creationId xmlns:a16="http://schemas.microsoft.com/office/drawing/2014/main" id="{F1586185-1A5A-4EEF-96E8-CBCCF2BEC63F}"/>
            </a:ext>
          </a:extLst>
        </xdr:cNvPr>
        <xdr:cNvSpPr txBox="1"/>
      </xdr:nvSpPr>
      <xdr:spPr>
        <a:xfrm>
          <a:off x="22650450" y="1266825"/>
          <a:ext cx="1028700" cy="426720"/>
        </a:xfrm>
        <a:prstGeom prst="rect">
          <a:avLst/>
        </a:prstGeom>
        <a:noFill/>
        <a:ln>
          <a:noFill/>
        </a:ln>
      </xdr:spPr>
      <xdr:txBody>
        <a:bodyPr vertOverflow="clip" horzOverflow="clip" wrap="square" rtlCol="0" anchor="ctr">
          <a:noAutofit/>
        </a:bodyPr>
        <a:lstStyle/>
        <a:p>
          <a:pPr algn="ctr"/>
          <a:fld id="{14063464-C844-4DB3-8315-7132748ECD5D}" type="TxLink">
            <a:rPr lang="en-US" sz="1000" b="1" i="0" u="none" strike="noStrike" dirty="0" err="1" smtClean="0">
              <a:solidFill>
                <a:srgbClr val="323232"/>
              </a:solidFill>
              <a:latin typeface="Arial"/>
              <a:cs typeface="Arial"/>
            </a:rPr>
            <a:pPr algn="ctr"/>
            <a:t>35.800</a:t>
          </a:fld>
          <a:endParaRPr lang="de-DE" sz="1100" b="1" dirty="0" err="1">
            <a:solidFill>
              <a:sysClr val="windowText" lastClr="000000"/>
            </a:solidFill>
          </a:endParaRPr>
        </a:p>
      </xdr:txBody>
    </xdr:sp>
    <xdr:clientData/>
  </xdr:twoCellAnchor>
  <xdr:twoCellAnchor>
    <xdr:from>
      <xdr:col>31</xdr:col>
      <xdr:colOff>123825</xdr:colOff>
      <xdr:row>6</xdr:row>
      <xdr:rowOff>142875</xdr:rowOff>
    </xdr:from>
    <xdr:to>
      <xdr:col>32</xdr:col>
      <xdr:colOff>466725</xdr:colOff>
      <xdr:row>8</xdr:row>
      <xdr:rowOff>169545</xdr:rowOff>
    </xdr:to>
    <xdr:sp macro="" textlink="$H$85">
      <xdr:nvSpPr>
        <xdr:cNvPr id="18" name="Textfeld 12">
          <a:extLst>
            <a:ext uri="{FF2B5EF4-FFF2-40B4-BE49-F238E27FC236}">
              <a16:creationId xmlns:a16="http://schemas.microsoft.com/office/drawing/2014/main" id="{3CECC8DB-33C9-4E11-A04A-B29DC7ACAB96}"/>
            </a:ext>
          </a:extLst>
        </xdr:cNvPr>
        <xdr:cNvSpPr txBox="1"/>
      </xdr:nvSpPr>
      <xdr:spPr>
        <a:xfrm>
          <a:off x="24536400" y="1276350"/>
          <a:ext cx="1028700" cy="426720"/>
        </a:xfrm>
        <a:prstGeom prst="rect">
          <a:avLst/>
        </a:prstGeom>
        <a:noFill/>
        <a:ln>
          <a:noFill/>
        </a:ln>
      </xdr:spPr>
      <xdr:txBody>
        <a:bodyPr vertOverflow="clip" horzOverflow="clip" wrap="square" rtlCol="0" anchor="ctr">
          <a:noAutofit/>
        </a:bodyPr>
        <a:lstStyle/>
        <a:p>
          <a:pPr algn="ctr"/>
          <a:fld id="{DD2CDEFD-DE5C-409C-B46C-B1B00158C4BB}" type="TxLink">
            <a:rPr lang="en-US" sz="1000" b="1" i="0" u="none" strike="noStrike" dirty="0" err="1" smtClean="0">
              <a:solidFill>
                <a:srgbClr val="323232"/>
              </a:solidFill>
              <a:latin typeface="Arial"/>
              <a:cs typeface="Arial"/>
            </a:rPr>
            <a:pPr algn="ctr"/>
            <a:t>35.800</a:t>
          </a:fld>
          <a:endParaRPr lang="de-DE" sz="1100" b="1" dirty="0" err="1">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560292</xdr:colOff>
      <xdr:row>5</xdr:row>
      <xdr:rowOff>117661</xdr:rowOff>
    </xdr:from>
    <xdr:to>
      <xdr:col>20</xdr:col>
      <xdr:colOff>539185</xdr:colOff>
      <xdr:row>32</xdr:row>
      <xdr:rowOff>28948</xdr:rowOff>
    </xdr:to>
    <xdr:graphicFrame macro="">
      <xdr:nvGraphicFramePr>
        <xdr:cNvPr id="2" name="Diagramm 1">
          <a:extLst>
            <a:ext uri="{FF2B5EF4-FFF2-40B4-BE49-F238E27FC236}">
              <a16:creationId xmlns:a16="http://schemas.microsoft.com/office/drawing/2014/main" id="{3170FC3B-938F-4673-97B6-72FFDB592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799740</xdr:colOff>
      <xdr:row>5</xdr:row>
      <xdr:rowOff>209550</xdr:rowOff>
    </xdr:from>
    <xdr:to>
      <xdr:col>28</xdr:col>
      <xdr:colOff>778217</xdr:colOff>
      <xdr:row>32</xdr:row>
      <xdr:rowOff>57523</xdr:rowOff>
    </xdr:to>
    <xdr:graphicFrame macro="">
      <xdr:nvGraphicFramePr>
        <xdr:cNvPr id="3" name="Diagramm 2">
          <a:extLst>
            <a:ext uri="{FF2B5EF4-FFF2-40B4-BE49-F238E27FC236}">
              <a16:creationId xmlns:a16="http://schemas.microsoft.com/office/drawing/2014/main" id="{3BF9853C-1784-4ADD-B7B4-7A1ABA2169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523875</xdr:colOff>
          <xdr:row>41</xdr:row>
          <xdr:rowOff>28575</xdr:rowOff>
        </xdr:from>
        <xdr:to>
          <xdr:col>14</xdr:col>
          <xdr:colOff>723900</xdr:colOff>
          <xdr:row>42</xdr:row>
          <xdr:rowOff>0</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0B00-00000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42</xdr:row>
          <xdr:rowOff>28575</xdr:rowOff>
        </xdr:from>
        <xdr:to>
          <xdr:col>14</xdr:col>
          <xdr:colOff>733425</xdr:colOff>
          <xdr:row>42</xdr:row>
          <xdr:rowOff>190500</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0B00-00000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43</xdr:row>
          <xdr:rowOff>28575</xdr:rowOff>
        </xdr:from>
        <xdr:to>
          <xdr:col>14</xdr:col>
          <xdr:colOff>733425</xdr:colOff>
          <xdr:row>43</xdr:row>
          <xdr:rowOff>190500</xdr:rowOff>
        </xdr:to>
        <xdr:sp macro="" textlink="">
          <xdr:nvSpPr>
            <xdr:cNvPr id="102403" name="Check Box 3" hidden="1">
              <a:extLst>
                <a:ext uri="{63B3BB69-23CF-44E3-9099-C40C66FF867C}">
                  <a14:compatExt spid="_x0000_s102403"/>
                </a:ext>
                <a:ext uri="{FF2B5EF4-FFF2-40B4-BE49-F238E27FC236}">
                  <a16:creationId xmlns:a16="http://schemas.microsoft.com/office/drawing/2014/main" id="{00000000-0008-0000-0B00-00000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44</xdr:row>
          <xdr:rowOff>19050</xdr:rowOff>
        </xdr:from>
        <xdr:to>
          <xdr:col>14</xdr:col>
          <xdr:colOff>733425</xdr:colOff>
          <xdr:row>44</xdr:row>
          <xdr:rowOff>190500</xdr:rowOff>
        </xdr:to>
        <xdr:sp macro="" textlink="">
          <xdr:nvSpPr>
            <xdr:cNvPr id="102404" name="Check Box 4" hidden="1">
              <a:extLst>
                <a:ext uri="{63B3BB69-23CF-44E3-9099-C40C66FF867C}">
                  <a14:compatExt spid="_x0000_s102404"/>
                </a:ext>
                <a:ext uri="{FF2B5EF4-FFF2-40B4-BE49-F238E27FC236}">
                  <a16:creationId xmlns:a16="http://schemas.microsoft.com/office/drawing/2014/main" id="{00000000-0008-0000-0B00-00000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45</xdr:row>
          <xdr:rowOff>19050</xdr:rowOff>
        </xdr:from>
        <xdr:to>
          <xdr:col>14</xdr:col>
          <xdr:colOff>733425</xdr:colOff>
          <xdr:row>45</xdr:row>
          <xdr:rowOff>190500</xdr:rowOff>
        </xdr:to>
        <xdr:sp macro="" textlink="">
          <xdr:nvSpPr>
            <xdr:cNvPr id="102405" name="Check Box 5" hidden="1">
              <a:extLst>
                <a:ext uri="{63B3BB69-23CF-44E3-9099-C40C66FF867C}">
                  <a14:compatExt spid="_x0000_s102405"/>
                </a:ext>
                <a:ext uri="{FF2B5EF4-FFF2-40B4-BE49-F238E27FC236}">
                  <a16:creationId xmlns:a16="http://schemas.microsoft.com/office/drawing/2014/main" id="{00000000-0008-0000-0B00-00000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46</xdr:row>
          <xdr:rowOff>0</xdr:rowOff>
        </xdr:from>
        <xdr:to>
          <xdr:col>14</xdr:col>
          <xdr:colOff>733425</xdr:colOff>
          <xdr:row>46</xdr:row>
          <xdr:rowOff>190500</xdr:rowOff>
        </xdr:to>
        <xdr:sp macro="" textlink="">
          <xdr:nvSpPr>
            <xdr:cNvPr id="102406" name="Check Box 6" hidden="1">
              <a:extLst>
                <a:ext uri="{63B3BB69-23CF-44E3-9099-C40C66FF867C}">
                  <a14:compatExt spid="_x0000_s102406"/>
                </a:ext>
                <a:ext uri="{FF2B5EF4-FFF2-40B4-BE49-F238E27FC236}">
                  <a16:creationId xmlns:a16="http://schemas.microsoft.com/office/drawing/2014/main" id="{00000000-0008-0000-0B00-00000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523875</xdr:colOff>
          <xdr:row>47</xdr:row>
          <xdr:rowOff>9525</xdr:rowOff>
        </xdr:from>
        <xdr:to>
          <xdr:col>14</xdr:col>
          <xdr:colOff>733425</xdr:colOff>
          <xdr:row>47</xdr:row>
          <xdr:rowOff>190500</xdr:rowOff>
        </xdr:to>
        <xdr:sp macro="" textlink="">
          <xdr:nvSpPr>
            <xdr:cNvPr id="102407" name="Check Box 7" hidden="1">
              <a:extLst>
                <a:ext uri="{63B3BB69-23CF-44E3-9099-C40C66FF867C}">
                  <a14:compatExt spid="_x0000_s102407"/>
                </a:ext>
                <a:ext uri="{FF2B5EF4-FFF2-40B4-BE49-F238E27FC236}">
                  <a16:creationId xmlns:a16="http://schemas.microsoft.com/office/drawing/2014/main" id="{00000000-0008-0000-0B00-00000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32</xdr:col>
      <xdr:colOff>665157</xdr:colOff>
      <xdr:row>5</xdr:row>
      <xdr:rowOff>117663</xdr:rowOff>
    </xdr:from>
    <xdr:to>
      <xdr:col>39</xdr:col>
      <xdr:colOff>445249</xdr:colOff>
      <xdr:row>32</xdr:row>
      <xdr:rowOff>28948</xdr:rowOff>
    </xdr:to>
    <xdr:graphicFrame macro="">
      <xdr:nvGraphicFramePr>
        <xdr:cNvPr id="4" name="Diagramm 3">
          <a:extLst>
            <a:ext uri="{FF2B5EF4-FFF2-40B4-BE49-F238E27FC236}">
              <a16:creationId xmlns:a16="http://schemas.microsoft.com/office/drawing/2014/main" id="{99CF4059-57E1-4F20-A3C3-F14F9D302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32</xdr:col>
          <xdr:colOff>457200</xdr:colOff>
          <xdr:row>52</xdr:row>
          <xdr:rowOff>0</xdr:rowOff>
        </xdr:from>
        <xdr:to>
          <xdr:col>32</xdr:col>
          <xdr:colOff>685800</xdr:colOff>
          <xdr:row>52</xdr:row>
          <xdr:rowOff>190500</xdr:rowOff>
        </xdr:to>
        <xdr:sp macro="" textlink="">
          <xdr:nvSpPr>
            <xdr:cNvPr id="102408" name="Check Box 8" hidden="1">
              <a:extLst>
                <a:ext uri="{63B3BB69-23CF-44E3-9099-C40C66FF867C}">
                  <a14:compatExt spid="_x0000_s102408"/>
                </a:ext>
                <a:ext uri="{FF2B5EF4-FFF2-40B4-BE49-F238E27FC236}">
                  <a16:creationId xmlns:a16="http://schemas.microsoft.com/office/drawing/2014/main" id="{00000000-0008-0000-0B00-00000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53</xdr:row>
          <xdr:rowOff>19050</xdr:rowOff>
        </xdr:from>
        <xdr:to>
          <xdr:col>33</xdr:col>
          <xdr:colOff>0</xdr:colOff>
          <xdr:row>54</xdr:row>
          <xdr:rowOff>0</xdr:rowOff>
        </xdr:to>
        <xdr:sp macro="" textlink="">
          <xdr:nvSpPr>
            <xdr:cNvPr id="102409" name="Check Box 9" hidden="1">
              <a:extLst>
                <a:ext uri="{63B3BB69-23CF-44E3-9099-C40C66FF867C}">
                  <a14:compatExt spid="_x0000_s102409"/>
                </a:ext>
                <a:ext uri="{FF2B5EF4-FFF2-40B4-BE49-F238E27FC236}">
                  <a16:creationId xmlns:a16="http://schemas.microsoft.com/office/drawing/2014/main" id="{00000000-0008-0000-0B00-000009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54</xdr:row>
          <xdr:rowOff>19050</xdr:rowOff>
        </xdr:from>
        <xdr:to>
          <xdr:col>33</xdr:col>
          <xdr:colOff>0</xdr:colOff>
          <xdr:row>55</xdr:row>
          <xdr:rowOff>0</xdr:rowOff>
        </xdr:to>
        <xdr:sp macro="" textlink="">
          <xdr:nvSpPr>
            <xdr:cNvPr id="102410" name="Check Box 10" hidden="1">
              <a:extLst>
                <a:ext uri="{63B3BB69-23CF-44E3-9099-C40C66FF867C}">
                  <a14:compatExt spid="_x0000_s102410"/>
                </a:ext>
                <a:ext uri="{FF2B5EF4-FFF2-40B4-BE49-F238E27FC236}">
                  <a16:creationId xmlns:a16="http://schemas.microsoft.com/office/drawing/2014/main" id="{00000000-0008-0000-0B00-00000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571500</xdr:colOff>
          <xdr:row>55</xdr:row>
          <xdr:rowOff>9525</xdr:rowOff>
        </xdr:from>
        <xdr:to>
          <xdr:col>33</xdr:col>
          <xdr:colOff>0</xdr:colOff>
          <xdr:row>55</xdr:row>
          <xdr:rowOff>190500</xdr:rowOff>
        </xdr:to>
        <xdr:sp macro="" textlink="">
          <xdr:nvSpPr>
            <xdr:cNvPr id="102411" name="Check Box 11" hidden="1">
              <a:extLst>
                <a:ext uri="{63B3BB69-23CF-44E3-9099-C40C66FF867C}">
                  <a14:compatExt spid="_x0000_s102411"/>
                </a:ext>
                <a:ext uri="{FF2B5EF4-FFF2-40B4-BE49-F238E27FC236}">
                  <a16:creationId xmlns:a16="http://schemas.microsoft.com/office/drawing/2014/main" id="{00000000-0008-0000-0B00-00000B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50</xdr:row>
          <xdr:rowOff>9525</xdr:rowOff>
        </xdr:from>
        <xdr:to>
          <xdr:col>32</xdr:col>
          <xdr:colOff>685800</xdr:colOff>
          <xdr:row>51</xdr:row>
          <xdr:rowOff>0</xdr:rowOff>
        </xdr:to>
        <xdr:sp macro="" textlink="">
          <xdr:nvSpPr>
            <xdr:cNvPr id="102412" name="Check Box 12" hidden="1">
              <a:extLst>
                <a:ext uri="{63B3BB69-23CF-44E3-9099-C40C66FF867C}">
                  <a14:compatExt spid="_x0000_s102412"/>
                </a:ext>
                <a:ext uri="{FF2B5EF4-FFF2-40B4-BE49-F238E27FC236}">
                  <a16:creationId xmlns:a16="http://schemas.microsoft.com/office/drawing/2014/main" id="{00000000-0008-0000-0B00-00000C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49</xdr:row>
          <xdr:rowOff>0</xdr:rowOff>
        </xdr:from>
        <xdr:to>
          <xdr:col>32</xdr:col>
          <xdr:colOff>685800</xdr:colOff>
          <xdr:row>50</xdr:row>
          <xdr:rowOff>0</xdr:rowOff>
        </xdr:to>
        <xdr:sp macro="" textlink="">
          <xdr:nvSpPr>
            <xdr:cNvPr id="102413" name="Check Box 13" hidden="1">
              <a:extLst>
                <a:ext uri="{63B3BB69-23CF-44E3-9099-C40C66FF867C}">
                  <a14:compatExt spid="_x0000_s102413"/>
                </a:ext>
                <a:ext uri="{FF2B5EF4-FFF2-40B4-BE49-F238E27FC236}">
                  <a16:creationId xmlns:a16="http://schemas.microsoft.com/office/drawing/2014/main" id="{00000000-0008-0000-0B00-00000D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457200</xdr:colOff>
          <xdr:row>51</xdr:row>
          <xdr:rowOff>9525</xdr:rowOff>
        </xdr:from>
        <xdr:to>
          <xdr:col>32</xdr:col>
          <xdr:colOff>685800</xdr:colOff>
          <xdr:row>52</xdr:row>
          <xdr:rowOff>0</xdr:rowOff>
        </xdr:to>
        <xdr:sp macro="" textlink="">
          <xdr:nvSpPr>
            <xdr:cNvPr id="102414" name="Check Box 14" hidden="1">
              <a:extLst>
                <a:ext uri="{63B3BB69-23CF-44E3-9099-C40C66FF867C}">
                  <a14:compatExt spid="_x0000_s102414"/>
                </a:ext>
                <a:ext uri="{FF2B5EF4-FFF2-40B4-BE49-F238E27FC236}">
                  <a16:creationId xmlns:a16="http://schemas.microsoft.com/office/drawing/2014/main" id="{00000000-0008-0000-0B00-00000E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673432</xdr:colOff>
      <xdr:row>76</xdr:row>
      <xdr:rowOff>90567</xdr:rowOff>
    </xdr:from>
    <xdr:to>
      <xdr:col>29</xdr:col>
      <xdr:colOff>141067</xdr:colOff>
      <xdr:row>100</xdr:row>
      <xdr:rowOff>14600</xdr:rowOff>
    </xdr:to>
    <xdr:graphicFrame macro="">
      <xdr:nvGraphicFramePr>
        <xdr:cNvPr id="5" name="Diagramm 4">
          <a:extLst>
            <a:ext uri="{FF2B5EF4-FFF2-40B4-BE49-F238E27FC236}">
              <a16:creationId xmlns:a16="http://schemas.microsoft.com/office/drawing/2014/main" id="{E38033D1-104C-41E6-A60F-7B9487ED0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23</xdr:col>
          <xdr:colOff>514350</xdr:colOff>
          <xdr:row>49</xdr:row>
          <xdr:rowOff>152400</xdr:rowOff>
        </xdr:from>
        <xdr:to>
          <xdr:col>23</xdr:col>
          <xdr:colOff>733425</xdr:colOff>
          <xdr:row>51</xdr:row>
          <xdr:rowOff>0</xdr:rowOff>
        </xdr:to>
        <xdr:sp macro="" textlink="">
          <xdr:nvSpPr>
            <xdr:cNvPr id="102415" name="Check Box 15" hidden="1">
              <a:extLst>
                <a:ext uri="{63B3BB69-23CF-44E3-9099-C40C66FF867C}">
                  <a14:compatExt spid="_x0000_s102415"/>
                </a:ext>
                <a:ext uri="{FF2B5EF4-FFF2-40B4-BE49-F238E27FC236}">
                  <a16:creationId xmlns:a16="http://schemas.microsoft.com/office/drawing/2014/main" id="{00000000-0008-0000-0B00-00000F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50</xdr:row>
          <xdr:rowOff>171450</xdr:rowOff>
        </xdr:from>
        <xdr:to>
          <xdr:col>23</xdr:col>
          <xdr:colOff>733425</xdr:colOff>
          <xdr:row>51</xdr:row>
          <xdr:rowOff>190500</xdr:rowOff>
        </xdr:to>
        <xdr:sp macro="" textlink="">
          <xdr:nvSpPr>
            <xdr:cNvPr id="102416" name="Check Box 16" hidden="1">
              <a:extLst>
                <a:ext uri="{63B3BB69-23CF-44E3-9099-C40C66FF867C}">
                  <a14:compatExt spid="_x0000_s102416"/>
                </a:ext>
                <a:ext uri="{FF2B5EF4-FFF2-40B4-BE49-F238E27FC236}">
                  <a16:creationId xmlns:a16="http://schemas.microsoft.com/office/drawing/2014/main" id="{00000000-0008-0000-0B00-00001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51</xdr:row>
          <xdr:rowOff>180975</xdr:rowOff>
        </xdr:from>
        <xdr:to>
          <xdr:col>23</xdr:col>
          <xdr:colOff>733425</xdr:colOff>
          <xdr:row>52</xdr:row>
          <xdr:rowOff>190500</xdr:rowOff>
        </xdr:to>
        <xdr:sp macro="" textlink="">
          <xdr:nvSpPr>
            <xdr:cNvPr id="102417" name="Check Box 17" hidden="1">
              <a:extLst>
                <a:ext uri="{63B3BB69-23CF-44E3-9099-C40C66FF867C}">
                  <a14:compatExt spid="_x0000_s102417"/>
                </a:ext>
                <a:ext uri="{FF2B5EF4-FFF2-40B4-BE49-F238E27FC236}">
                  <a16:creationId xmlns:a16="http://schemas.microsoft.com/office/drawing/2014/main" id="{00000000-0008-0000-0B00-000011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52</xdr:row>
          <xdr:rowOff>180975</xdr:rowOff>
        </xdr:from>
        <xdr:to>
          <xdr:col>23</xdr:col>
          <xdr:colOff>733425</xdr:colOff>
          <xdr:row>54</xdr:row>
          <xdr:rowOff>0</xdr:rowOff>
        </xdr:to>
        <xdr:sp macro="" textlink="">
          <xdr:nvSpPr>
            <xdr:cNvPr id="102418" name="Check Box 18" hidden="1">
              <a:extLst>
                <a:ext uri="{63B3BB69-23CF-44E3-9099-C40C66FF867C}">
                  <a14:compatExt spid="_x0000_s102418"/>
                </a:ext>
                <a:ext uri="{FF2B5EF4-FFF2-40B4-BE49-F238E27FC236}">
                  <a16:creationId xmlns:a16="http://schemas.microsoft.com/office/drawing/2014/main" id="{00000000-0008-0000-0B00-00001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53</xdr:row>
          <xdr:rowOff>180975</xdr:rowOff>
        </xdr:from>
        <xdr:to>
          <xdr:col>23</xdr:col>
          <xdr:colOff>733425</xdr:colOff>
          <xdr:row>55</xdr:row>
          <xdr:rowOff>0</xdr:rowOff>
        </xdr:to>
        <xdr:sp macro="" textlink="">
          <xdr:nvSpPr>
            <xdr:cNvPr id="102419" name="Check Box 19" hidden="1">
              <a:extLst>
                <a:ext uri="{63B3BB69-23CF-44E3-9099-C40C66FF867C}">
                  <a14:compatExt spid="_x0000_s102419"/>
                </a:ext>
                <a:ext uri="{FF2B5EF4-FFF2-40B4-BE49-F238E27FC236}">
                  <a16:creationId xmlns:a16="http://schemas.microsoft.com/office/drawing/2014/main" id="{00000000-0008-0000-0B00-000013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54</xdr:row>
          <xdr:rowOff>180975</xdr:rowOff>
        </xdr:from>
        <xdr:to>
          <xdr:col>23</xdr:col>
          <xdr:colOff>733425</xdr:colOff>
          <xdr:row>56</xdr:row>
          <xdr:rowOff>0</xdr:rowOff>
        </xdr:to>
        <xdr:sp macro="" textlink="">
          <xdr:nvSpPr>
            <xdr:cNvPr id="102420" name="Check Box 20" hidden="1">
              <a:extLst>
                <a:ext uri="{63B3BB69-23CF-44E3-9099-C40C66FF867C}">
                  <a14:compatExt spid="_x0000_s102420"/>
                </a:ext>
                <a:ext uri="{FF2B5EF4-FFF2-40B4-BE49-F238E27FC236}">
                  <a16:creationId xmlns:a16="http://schemas.microsoft.com/office/drawing/2014/main" id="{00000000-0008-0000-0B00-00001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55</xdr:row>
          <xdr:rowOff>180975</xdr:rowOff>
        </xdr:from>
        <xdr:to>
          <xdr:col>23</xdr:col>
          <xdr:colOff>733425</xdr:colOff>
          <xdr:row>57</xdr:row>
          <xdr:rowOff>0</xdr:rowOff>
        </xdr:to>
        <xdr:sp macro="" textlink="">
          <xdr:nvSpPr>
            <xdr:cNvPr id="102421" name="Check Box 21" hidden="1">
              <a:extLst>
                <a:ext uri="{63B3BB69-23CF-44E3-9099-C40C66FF867C}">
                  <a14:compatExt spid="_x0000_s102421"/>
                </a:ext>
                <a:ext uri="{FF2B5EF4-FFF2-40B4-BE49-F238E27FC236}">
                  <a16:creationId xmlns:a16="http://schemas.microsoft.com/office/drawing/2014/main" id="{00000000-0008-0000-0B00-000015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56</xdr:row>
          <xdr:rowOff>190500</xdr:rowOff>
        </xdr:from>
        <xdr:to>
          <xdr:col>23</xdr:col>
          <xdr:colOff>733425</xdr:colOff>
          <xdr:row>57</xdr:row>
          <xdr:rowOff>190500</xdr:rowOff>
        </xdr:to>
        <xdr:sp macro="" textlink="">
          <xdr:nvSpPr>
            <xdr:cNvPr id="102422" name="Check Box 22" hidden="1">
              <a:extLst>
                <a:ext uri="{63B3BB69-23CF-44E3-9099-C40C66FF867C}">
                  <a14:compatExt spid="_x0000_s102422"/>
                </a:ext>
                <a:ext uri="{FF2B5EF4-FFF2-40B4-BE49-F238E27FC236}">
                  <a16:creationId xmlns:a16="http://schemas.microsoft.com/office/drawing/2014/main" id="{00000000-0008-0000-0B00-00001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57</xdr:row>
          <xdr:rowOff>180975</xdr:rowOff>
        </xdr:from>
        <xdr:to>
          <xdr:col>23</xdr:col>
          <xdr:colOff>733425</xdr:colOff>
          <xdr:row>58</xdr:row>
          <xdr:rowOff>190500</xdr:rowOff>
        </xdr:to>
        <xdr:sp macro="" textlink="">
          <xdr:nvSpPr>
            <xdr:cNvPr id="102423" name="Check Box 23" hidden="1">
              <a:extLst>
                <a:ext uri="{63B3BB69-23CF-44E3-9099-C40C66FF867C}">
                  <a14:compatExt spid="_x0000_s102423"/>
                </a:ext>
                <a:ext uri="{FF2B5EF4-FFF2-40B4-BE49-F238E27FC236}">
                  <a16:creationId xmlns:a16="http://schemas.microsoft.com/office/drawing/2014/main" id="{00000000-0008-0000-0B00-000017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58</xdr:row>
          <xdr:rowOff>171450</xdr:rowOff>
        </xdr:from>
        <xdr:to>
          <xdr:col>23</xdr:col>
          <xdr:colOff>733425</xdr:colOff>
          <xdr:row>59</xdr:row>
          <xdr:rowOff>190500</xdr:rowOff>
        </xdr:to>
        <xdr:sp macro="" textlink="">
          <xdr:nvSpPr>
            <xdr:cNvPr id="102424" name="Check Box 24" hidden="1">
              <a:extLst>
                <a:ext uri="{63B3BB69-23CF-44E3-9099-C40C66FF867C}">
                  <a14:compatExt spid="_x0000_s102424"/>
                </a:ext>
                <a:ext uri="{FF2B5EF4-FFF2-40B4-BE49-F238E27FC236}">
                  <a16:creationId xmlns:a16="http://schemas.microsoft.com/office/drawing/2014/main" id="{00000000-0008-0000-0B00-00001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59</xdr:row>
          <xdr:rowOff>171450</xdr:rowOff>
        </xdr:from>
        <xdr:to>
          <xdr:col>23</xdr:col>
          <xdr:colOff>733425</xdr:colOff>
          <xdr:row>60</xdr:row>
          <xdr:rowOff>190500</xdr:rowOff>
        </xdr:to>
        <xdr:sp macro="" textlink="">
          <xdr:nvSpPr>
            <xdr:cNvPr id="102425" name="Check Box 25" hidden="1">
              <a:extLst>
                <a:ext uri="{63B3BB69-23CF-44E3-9099-C40C66FF867C}">
                  <a14:compatExt spid="_x0000_s102425"/>
                </a:ext>
                <a:ext uri="{FF2B5EF4-FFF2-40B4-BE49-F238E27FC236}">
                  <a16:creationId xmlns:a16="http://schemas.microsoft.com/office/drawing/2014/main" id="{00000000-0008-0000-0B00-000019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707571</xdr:colOff>
      <xdr:row>47</xdr:row>
      <xdr:rowOff>76042</xdr:rowOff>
    </xdr:from>
    <xdr:to>
      <xdr:col>23</xdr:col>
      <xdr:colOff>762000</xdr:colOff>
      <xdr:row>61</xdr:row>
      <xdr:rowOff>155282</xdr:rowOff>
    </xdr:to>
    <xdr:sp macro="" textlink="">
      <xdr:nvSpPr>
        <xdr:cNvPr id="6" name="Rechteck 5">
          <a:extLst>
            <a:ext uri="{FF2B5EF4-FFF2-40B4-BE49-F238E27FC236}">
              <a16:creationId xmlns:a16="http://schemas.microsoft.com/office/drawing/2014/main" id="{D73318A9-B72B-4D2D-A5EB-3C0610441FF9}"/>
            </a:ext>
          </a:extLst>
        </xdr:cNvPr>
        <xdr:cNvSpPr/>
      </xdr:nvSpPr>
      <xdr:spPr bwMode="auto">
        <a:xfrm>
          <a:off x="8775246" y="15239842"/>
          <a:ext cx="873579" cy="2889115"/>
        </a:xfrm>
        <a:prstGeom prst="rect">
          <a:avLst/>
        </a:prstGeom>
        <a:solidFill>
          <a:schemeClr val="bg1"/>
        </a:solidFill>
        <a:ln>
          <a:solidFill>
            <a:schemeClr val="bg1"/>
          </a:solidFill>
        </a:ln>
        <a:effectLst/>
      </xdr:spPr>
      <xdr:txBody>
        <a:bodyPr vert="horz" wrap="square" lIns="91440" tIns="45720" rIns="91440" bIns="45720" numCol="1" rtlCol="0" anchor="ctr" anchorCtr="0" compatLnSpc="1">
          <a:prstTxWarp prst="textNoShape">
            <a:avLst/>
          </a:prstTxWarp>
          <a:noAutofit/>
        </a:bodyPr>
        <a:lstStyle/>
        <a:p>
          <a:pPr algn="ctr"/>
          <a:endParaRPr lang="de-DE" sz="1100" dirty="0">
            <a:solidFill>
              <a:schemeClr val="tx1"/>
            </a:solidFill>
          </a:endParaRPr>
        </a:p>
      </xdr:txBody>
    </xdr:sp>
    <xdr:clientData/>
  </xdr:twoCellAnchor>
  <xdr:twoCellAnchor>
    <xdr:from>
      <xdr:col>1</xdr:col>
      <xdr:colOff>695325</xdr:colOff>
      <xdr:row>20</xdr:row>
      <xdr:rowOff>142875</xdr:rowOff>
    </xdr:from>
    <xdr:to>
      <xdr:col>10</xdr:col>
      <xdr:colOff>1018200</xdr:colOff>
      <xdr:row>20</xdr:row>
      <xdr:rowOff>142875</xdr:rowOff>
    </xdr:to>
    <xdr:cxnSp macro="">
      <xdr:nvCxnSpPr>
        <xdr:cNvPr id="9" name="Gerader Verbinder 8">
          <a:extLst>
            <a:ext uri="{FF2B5EF4-FFF2-40B4-BE49-F238E27FC236}">
              <a16:creationId xmlns:a16="http://schemas.microsoft.com/office/drawing/2014/main" id="{964BB36F-CE24-40AD-8FAB-5E0645A033B3}"/>
            </a:ext>
          </a:extLst>
        </xdr:cNvPr>
        <xdr:cNvCxnSpPr/>
      </xdr:nvCxnSpPr>
      <xdr:spPr bwMode="auto">
        <a:xfrm>
          <a:off x="1228725" y="5629275"/>
          <a:ext cx="9476400" cy="0"/>
        </a:xfrm>
        <a:prstGeom prst="line">
          <a:avLst/>
        </a:prstGeom>
        <a:noFill/>
        <a:ln w="9525" cap="flat" cmpd="sng" algn="ctr">
          <a:solidFill>
            <a:schemeClr val="accent4">
              <a:lumMod val="90000"/>
              <a:lumOff val="10000"/>
            </a:schemeClr>
          </a:solidFill>
          <a:prstDash val="solid"/>
          <a:round/>
          <a:headEnd type="none" w="med" len="med"/>
          <a:tailEnd type="non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cxnSp>
    <xdr:clientData/>
  </xdr:twoCellAnchor>
  <xdr:twoCellAnchor>
    <xdr:from>
      <xdr:col>10</xdr:col>
      <xdr:colOff>201081</xdr:colOff>
      <xdr:row>12</xdr:row>
      <xdr:rowOff>5</xdr:rowOff>
    </xdr:from>
    <xdr:to>
      <xdr:col>11</xdr:col>
      <xdr:colOff>359834</xdr:colOff>
      <xdr:row>17</xdr:row>
      <xdr:rowOff>257175</xdr:rowOff>
    </xdr:to>
    <xdr:grpSp>
      <xdr:nvGrpSpPr>
        <xdr:cNvPr id="10" name="Gruppieren 9">
          <a:extLst>
            <a:ext uri="{FF2B5EF4-FFF2-40B4-BE49-F238E27FC236}">
              <a16:creationId xmlns:a16="http://schemas.microsoft.com/office/drawing/2014/main" id="{0F1E8017-8331-4987-BF16-C82CC6132394}"/>
            </a:ext>
          </a:extLst>
        </xdr:cNvPr>
        <xdr:cNvGrpSpPr/>
      </xdr:nvGrpSpPr>
      <xdr:grpSpPr>
        <a:xfrm>
          <a:off x="9564156" y="4086230"/>
          <a:ext cx="3435353" cy="1228720"/>
          <a:chOff x="9884831" y="3598338"/>
          <a:chExt cx="3725336" cy="938738"/>
        </a:xfrm>
      </xdr:grpSpPr>
      <xdr:sp macro="" textlink="$B$76">
        <xdr:nvSpPr>
          <xdr:cNvPr id="11" name="Textfeld 10">
            <a:extLst>
              <a:ext uri="{FF2B5EF4-FFF2-40B4-BE49-F238E27FC236}">
                <a16:creationId xmlns:a16="http://schemas.microsoft.com/office/drawing/2014/main" id="{1EE2615E-7794-61F1-39AA-2B50EC400C1D}"/>
              </a:ext>
            </a:extLst>
          </xdr:cNvPr>
          <xdr:cNvSpPr txBox="1"/>
        </xdr:nvSpPr>
        <xdr:spPr>
          <a:xfrm>
            <a:off x="9885891" y="3894668"/>
            <a:ext cx="3724276" cy="642408"/>
          </a:xfrm>
          <a:prstGeom prst="rect">
            <a:avLst/>
          </a:prstGeom>
          <a:noFill/>
          <a:ln>
            <a:solidFill>
              <a:schemeClr val="bg1">
                <a:lumMod val="50000"/>
              </a:schemeClr>
            </a:solidFill>
          </a:ln>
        </xdr:spPr>
        <xdr:txBody>
          <a:bodyPr vertOverflow="clip" horzOverflow="clip" wrap="square" rtlCol="0" anchor="t">
            <a:noAutofit/>
          </a:bodyPr>
          <a:lstStyle/>
          <a:p>
            <a:pPr algn="ctr"/>
            <a:fld id="{94E85306-6D76-4C5A-AB62-77CB5ED37578}" type="TxLink">
              <a:rPr lang="en-US" sz="1000" b="0" i="0" u="none" strike="noStrike" dirty="0" err="1" smtClean="0">
                <a:solidFill>
                  <a:srgbClr val="323232"/>
                </a:solidFill>
                <a:latin typeface="Arial"/>
                <a:cs typeface="Arial"/>
              </a:rPr>
              <a:pPr algn="ctr"/>
              <a:t> </a:t>
            </a:fld>
            <a:endParaRPr lang="de-DE" sz="1100" dirty="0" err="1">
              <a:solidFill>
                <a:sysClr val="windowText" lastClr="000000"/>
              </a:solidFill>
            </a:endParaRPr>
          </a:p>
        </xdr:txBody>
      </xdr:sp>
      <xdr:sp macro="" textlink="">
        <xdr:nvSpPr>
          <xdr:cNvPr id="12" name="Rechteck 11">
            <a:extLst>
              <a:ext uri="{FF2B5EF4-FFF2-40B4-BE49-F238E27FC236}">
                <a16:creationId xmlns:a16="http://schemas.microsoft.com/office/drawing/2014/main" id="{925645D9-54B9-C297-9FA4-8E45EA69F31D}"/>
              </a:ext>
            </a:extLst>
          </xdr:cNvPr>
          <xdr:cNvSpPr/>
        </xdr:nvSpPr>
        <xdr:spPr bwMode="auto">
          <a:xfrm>
            <a:off x="9884831" y="3598338"/>
            <a:ext cx="3725336" cy="306911"/>
          </a:xfrm>
          <a:prstGeom prst="rect">
            <a:avLst/>
          </a:prstGeom>
          <a:solidFill>
            <a:schemeClr val="bg1">
              <a:lumMod val="95000"/>
            </a:schemeClr>
          </a:solidFill>
          <a:ln w="3175">
            <a:solidFill>
              <a:schemeClr val="bg1">
                <a:lumMod val="50000"/>
              </a:schemeClr>
            </a:solidFill>
          </a:ln>
          <a:effectLst/>
        </xdr:spPr>
        <xdr:txBody>
          <a:bodyPr vert="horz" wrap="square" lIns="91440" tIns="45720" rIns="91440" bIns="45720" numCol="1" rtlCol="0" anchor="ctr" anchorCtr="0" compatLnSpc="1">
            <a:prstTxWarp prst="textNoShape">
              <a:avLst/>
            </a:prstTxWarp>
            <a:noAutofit/>
          </a:bodyPr>
          <a:lstStyle/>
          <a:p>
            <a:pPr algn="ctr"/>
            <a:r>
              <a:rPr lang="de-DE" sz="1000" dirty="0">
                <a:solidFill>
                  <a:schemeClr val="tx1"/>
                </a:solidFill>
              </a:rPr>
              <a:t>Hinweis</a:t>
            </a:r>
          </a:p>
        </xdr:txBody>
      </xdr:sp>
    </xdr:grpSp>
    <xdr:clientData/>
  </xdr:twoCellAnchor>
</xdr:wsDr>
</file>

<file path=xl/drawings/drawing9.xml><?xml version="1.0" encoding="utf-8"?>
<c:userShapes xmlns:c="http://schemas.openxmlformats.org/drawingml/2006/chart">
  <cdr:relSizeAnchor xmlns:cdr="http://schemas.openxmlformats.org/drawingml/2006/chartDrawing">
    <cdr:from>
      <cdr:x>0.23302</cdr:x>
      <cdr:y>0.03526</cdr:y>
    </cdr:from>
    <cdr:to>
      <cdr:x>0.32481</cdr:x>
      <cdr:y>0.0714</cdr:y>
    </cdr:to>
    <cdr:sp macro="" textlink="'M1 Härtekammern'!$Q$88">
      <cdr:nvSpPr>
        <cdr:cNvPr id="2" name="Textfeld 4">
          <a:extLst xmlns:a="http://schemas.openxmlformats.org/drawingml/2006/main">
            <a:ext uri="{FF2B5EF4-FFF2-40B4-BE49-F238E27FC236}">
              <a16:creationId xmlns:a16="http://schemas.microsoft.com/office/drawing/2014/main" id="{D88C153D-788E-268B-4C99-1D5B066C04A3}"/>
            </a:ext>
          </a:extLst>
        </cdr:cNvPr>
        <cdr:cNvSpPr txBox="1"/>
      </cdr:nvSpPr>
      <cdr:spPr>
        <a:xfrm xmlns:a="http://schemas.openxmlformats.org/drawingml/2006/main">
          <a:off x="1590913" y="233983"/>
          <a:ext cx="62668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EE0C056-CE22-4495-9A6F-E80649B82A50}" type="TxLink">
            <a:rPr lang="en-US" sz="1000" b="1" i="0" u="none" strike="noStrike" dirty="0" err="1">
              <a:solidFill>
                <a:srgbClr val="323232"/>
              </a:solidFill>
              <a:latin typeface="Arial"/>
              <a:cs typeface="Arial"/>
            </a:rPr>
            <a:pPr/>
            <a:t>266,8</a:t>
          </a:fld>
          <a:endParaRPr lang="en-GB" sz="1100" dirty="0" err="1">
            <a:solidFill>
              <a:schemeClr val="tx1"/>
            </a:solidFill>
          </a:endParaRPr>
        </a:p>
      </cdr:txBody>
    </cdr:sp>
  </cdr:relSizeAnchor>
  <cdr:relSizeAnchor xmlns:cdr="http://schemas.openxmlformats.org/drawingml/2006/chartDrawing">
    <cdr:from>
      <cdr:x>0.52095</cdr:x>
      <cdr:y>0.03526</cdr:y>
    </cdr:from>
    <cdr:to>
      <cdr:x>0.61274</cdr:x>
      <cdr:y>0.0714</cdr:y>
    </cdr:to>
    <cdr:sp macro="" textlink="'M1 Härtekammern'!$R$88">
      <cdr:nvSpPr>
        <cdr:cNvPr id="3" name="Textfeld 4">
          <a:extLst xmlns:a="http://schemas.openxmlformats.org/drawingml/2006/main">
            <a:ext uri="{FF2B5EF4-FFF2-40B4-BE49-F238E27FC236}">
              <a16:creationId xmlns:a16="http://schemas.microsoft.com/office/drawing/2014/main" id="{031BECEF-92B7-F69B-EA56-7F729BD337D4}"/>
            </a:ext>
          </a:extLst>
        </cdr:cNvPr>
        <cdr:cNvSpPr txBox="1"/>
      </cdr:nvSpPr>
      <cdr:spPr>
        <a:xfrm xmlns:a="http://schemas.openxmlformats.org/drawingml/2006/main">
          <a:off x="3556717" y="233983"/>
          <a:ext cx="626684"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BC939AB-7089-44DB-97F2-08EE2AF4CB03}" type="TxLink">
            <a:rPr lang="en-US" sz="1000" b="1" i="0" u="none" strike="noStrike" dirty="0" err="1">
              <a:solidFill>
                <a:srgbClr val="323232"/>
              </a:solidFill>
              <a:latin typeface="Arial"/>
              <a:cs typeface="Arial"/>
            </a:rPr>
            <a:pPr/>
            <a:t>203,8</a:t>
          </a:fld>
          <a:endParaRPr lang="en-GB" sz="1100" dirty="0" err="1">
            <a:solidFill>
              <a:schemeClr val="tx1"/>
            </a:solidFill>
          </a:endParaRPr>
        </a:p>
      </cdr:txBody>
    </cdr:sp>
  </cdr:relSizeAnchor>
  <cdr:relSizeAnchor xmlns:cdr="http://schemas.openxmlformats.org/drawingml/2006/chartDrawing">
    <cdr:from>
      <cdr:x>0.80269</cdr:x>
      <cdr:y>0.03526</cdr:y>
    </cdr:from>
    <cdr:to>
      <cdr:x>0.89447</cdr:x>
      <cdr:y>0.0714</cdr:y>
    </cdr:to>
    <cdr:sp macro="" textlink="'M1 Härtekammern'!$S$88">
      <cdr:nvSpPr>
        <cdr:cNvPr id="4" name="Textfeld 4">
          <a:extLst xmlns:a="http://schemas.openxmlformats.org/drawingml/2006/main">
            <a:ext uri="{FF2B5EF4-FFF2-40B4-BE49-F238E27FC236}">
              <a16:creationId xmlns:a16="http://schemas.microsoft.com/office/drawing/2014/main" id="{10596E9B-EEFA-3A03-3E21-99DE579A7DC0}"/>
            </a:ext>
          </a:extLst>
        </cdr:cNvPr>
        <cdr:cNvSpPr txBox="1"/>
      </cdr:nvSpPr>
      <cdr:spPr>
        <a:xfrm xmlns:a="http://schemas.openxmlformats.org/drawingml/2006/main">
          <a:off x="5480260" y="233983"/>
          <a:ext cx="626616" cy="239809"/>
        </a:xfrm>
        <a:prstGeom xmlns:a="http://schemas.openxmlformats.org/drawingml/2006/main" prst="rect">
          <a:avLst/>
        </a:prstGeom>
        <a:noFill xmlns:a="http://schemas.openxmlformats.org/drawingml/2006/main"/>
      </cdr:spPr>
      <cdr:txBody>
        <a:bodyPr xmlns:a="http://schemas.openxmlformats.org/drawingml/2006/main" wrap="square" rtlCol="0" anchor="t">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7FCAB81-A713-4613-A1FF-8425E77F27F9}" type="TxLink">
            <a:rPr lang="en-US" sz="1000" b="1" i="0" u="none" strike="noStrike" dirty="0" err="1">
              <a:solidFill>
                <a:srgbClr val="323232"/>
              </a:solidFill>
              <a:latin typeface="Arial"/>
              <a:cs typeface="Arial"/>
            </a:rPr>
            <a:pPr/>
            <a:t>142,4</a:t>
          </a:fld>
          <a:endParaRPr lang="en-GB" sz="1100" dirty="0" err="1">
            <a:solidFill>
              <a:schemeClr val="tx1"/>
            </a:solidFill>
          </a:endParaRPr>
        </a:p>
      </cdr:txBody>
    </cdr:sp>
  </cdr:relSizeAnchor>
  <cdr:relSizeAnchor xmlns:cdr="http://schemas.openxmlformats.org/drawingml/2006/chartDrawing">
    <cdr:from>
      <cdr:x>0.13342</cdr:x>
      <cdr:y>0.02306</cdr:y>
    </cdr:from>
    <cdr:to>
      <cdr:x>0.17698</cdr:x>
      <cdr:y>0.08122</cdr:y>
    </cdr:to>
    <cdr:sp macro="" textlink="">
      <cdr:nvSpPr>
        <cdr:cNvPr id="5" name="Textfeld 7">
          <a:extLst xmlns:a="http://schemas.openxmlformats.org/drawingml/2006/main">
            <a:ext uri="{FF2B5EF4-FFF2-40B4-BE49-F238E27FC236}">
              <a16:creationId xmlns:a16="http://schemas.microsoft.com/office/drawing/2014/main" id="{00000000-0008-0000-0300-000008000000}"/>
            </a:ext>
          </a:extLst>
        </cdr:cNvPr>
        <cdr:cNvSpPr txBox="1"/>
      </cdr:nvSpPr>
      <cdr:spPr>
        <a:xfrm xmlns:a="http://schemas.openxmlformats.org/drawingml/2006/main">
          <a:off x="891242" y="95624"/>
          <a:ext cx="290977" cy="24120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n-US" sz="1400" b="1" i="0" u="none" strike="noStrike">
              <a:solidFill>
                <a:srgbClr val="000000"/>
              </a:solidFill>
              <a:latin typeface="Symbol" panose="05050102010706020507" pitchFamily="18" charset="2"/>
              <a:cs typeface="Arial"/>
            </a:rPr>
            <a:t>S</a:t>
          </a:r>
        </a:p>
      </cdr:txBody>
    </cdr:sp>
  </cdr:relSizeAnchor>
</c:userShapes>
</file>

<file path=xl/theme/theme1.xml><?xml version="1.0" encoding="utf-8"?>
<a:theme xmlns:a="http://schemas.openxmlformats.org/drawingml/2006/main" name="FC-Climate">
  <a:themeElements>
    <a:clrScheme name="Betonverband">
      <a:dk1>
        <a:srgbClr val="323232"/>
      </a:dk1>
      <a:lt1>
        <a:srgbClr val="FFFFFF"/>
      </a:lt1>
      <a:dk2>
        <a:srgbClr val="323232"/>
      </a:dk2>
      <a:lt2>
        <a:srgbClr val="FFFFFF"/>
      </a:lt2>
      <a:accent1>
        <a:srgbClr val="B9B9B9"/>
      </a:accent1>
      <a:accent2>
        <a:srgbClr val="97CDFF"/>
      </a:accent2>
      <a:accent3>
        <a:srgbClr val="00549F"/>
      </a:accent3>
      <a:accent4>
        <a:srgbClr val="002546"/>
      </a:accent4>
      <a:accent5>
        <a:srgbClr val="32AF64"/>
      </a:accent5>
      <a:accent6>
        <a:srgbClr val="FAC832"/>
      </a:accent6>
      <a:hlink>
        <a:srgbClr val="323232"/>
      </a:hlink>
      <a:folHlink>
        <a:srgbClr val="323232"/>
      </a:folHlink>
    </a:clrScheme>
    <a:fontScheme name="FC-Excel">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tx1">
            <a:lumMod val="10000"/>
            <a:lumOff val="90000"/>
          </a:schemeClr>
        </a:solidFill>
        <a:ln>
          <a:solidFill>
            <a:schemeClr val="bg1">
              <a:lumMod val="75000"/>
            </a:schemeClr>
          </a:solidFill>
        </a:ln>
        <a:effectLst/>
      </a:spPr>
      <a:bodyPr vert="horz" wrap="square" lIns="91440" tIns="45720" rIns="91440" bIns="45720" numCol="1" rtlCol="0" anchor="ctr" anchorCtr="0" compatLnSpc="1">
        <a:prstTxWarp prst="textNoShape">
          <a:avLst/>
        </a:prstTxWarp>
        <a:noAutofit/>
      </a:bodyPr>
      <a:lstStyle>
        <a:defPPr algn="ctr">
          <a:defRPr dirty="0">
            <a:solidFill>
              <a:schemeClr val="tx1"/>
            </a:solidFill>
          </a:defRPr>
        </a:defPPr>
      </a:lstStyle>
    </a:spDef>
    <a:lnDef>
      <a:spPr bwMode="auto">
        <a:noFill/>
        <a:ln w="9525" cap="flat" cmpd="sng" algn="ctr">
          <a:solidFill>
            <a:srgbClr val="646464"/>
          </a:solidFill>
          <a:prstDash val="solid"/>
          <a:round/>
          <a:headEnd type="none" w="med" len="med"/>
          <a:tailEnd type="triangle" w="lg" len="me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a:spPr>
      <a:bodyPr/>
      <a:lstStyle/>
    </a:lnDef>
    <a:txDef>
      <a:spPr>
        <a:noFill/>
      </a:spPr>
      <a:bodyPr wrap="square" rtlCol="0">
        <a:spAutoFit/>
      </a:bodyPr>
      <a:lstStyle>
        <a:defPPr>
          <a:defRPr dirty="0" err="1" smtClean="0">
            <a:solidFill>
              <a:schemeClr val="tx1"/>
            </a:solidFill>
          </a:defRPr>
        </a:defPPr>
      </a:lstStyle>
    </a:txDef>
  </a:objectDefaults>
  <a:extraClrSchemeLst>
    <a:extraClrScheme>
      <a:clrScheme name="Larissa 1">
        <a:dk1>
          <a:srgbClr val="000000"/>
        </a:dk1>
        <a:lt1>
          <a:srgbClr val="FFFFFF"/>
        </a:lt1>
        <a:dk2>
          <a:srgbClr val="000000"/>
        </a:dk2>
        <a:lt2>
          <a:srgbClr val="333333"/>
        </a:lt2>
        <a:accent1>
          <a:srgbClr val="DDDDDD"/>
        </a:accent1>
        <a:accent2>
          <a:srgbClr val="808080"/>
        </a:accent2>
        <a:accent3>
          <a:srgbClr val="FFFFFF"/>
        </a:accent3>
        <a:accent4>
          <a:srgbClr val="000000"/>
        </a:accent4>
        <a:accent5>
          <a:srgbClr val="EBEBEB"/>
        </a:accent5>
        <a:accent6>
          <a:srgbClr val="737373"/>
        </a:accent6>
        <a:hlink>
          <a:srgbClr val="4D4D4D"/>
        </a:hlink>
        <a:folHlink>
          <a:srgbClr val="EAEAEA"/>
        </a:folHlink>
      </a:clrScheme>
      <a:clrMap bg1="lt1" tx1="dk1" bg2="lt2" tx2="dk2" accent1="accent1" accent2="accent2" accent3="accent3" accent4="accent4" accent5="accent5" accent6="accent6" hlink="hlink" folHlink="folHlink"/>
    </a:extraClrScheme>
  </a:extraClrSchemeLst>
</a:theme>
</file>

<file path=xl/threadedComments/threadedComment1.xml><?xml version="1.0" encoding="utf-8"?>
<ThreadedComments xmlns="http://schemas.microsoft.com/office/spreadsheetml/2018/threadedcomments" xmlns:x="http://schemas.openxmlformats.org/spreadsheetml/2006/main">
  <threadedComment ref="K14" dT="2023-01-26T11:58:32.95" personId="{00000000-0000-0000-0000-000000000000}" id="{0E065EF0-DFFD-4D1F-B989-F951284EC5D0}">
    <text>Der erscheinende Hinweis zur Handeingabe für das Jahr 2030 sollte wieder verschwinden, wenn für 2030 ein Wert größer/gleich dem Wert für 2025 erfolgt ist. Gilt auch für z. B. M5 PV-Anlage und M6</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8.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omments" Target="../comments1.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30.xml"/><Relationship Id="rId13" Type="http://schemas.openxmlformats.org/officeDocument/2006/relationships/ctrlProp" Target="../ctrlProps/ctrlProp35.xml"/><Relationship Id="rId18" Type="http://schemas.openxmlformats.org/officeDocument/2006/relationships/ctrlProp" Target="../ctrlProps/ctrlProp40.xml"/><Relationship Id="rId26" Type="http://schemas.openxmlformats.org/officeDocument/2006/relationships/ctrlProp" Target="../ctrlProps/ctrlProp48.xml"/><Relationship Id="rId3" Type="http://schemas.openxmlformats.org/officeDocument/2006/relationships/vmlDrawing" Target="../drawings/vmlDrawing2.vml"/><Relationship Id="rId21" Type="http://schemas.openxmlformats.org/officeDocument/2006/relationships/ctrlProp" Target="../ctrlProps/ctrlProp43.xml"/><Relationship Id="rId7" Type="http://schemas.openxmlformats.org/officeDocument/2006/relationships/ctrlProp" Target="../ctrlProps/ctrlProp29.xml"/><Relationship Id="rId12" Type="http://schemas.openxmlformats.org/officeDocument/2006/relationships/ctrlProp" Target="../ctrlProps/ctrlProp34.xml"/><Relationship Id="rId17" Type="http://schemas.openxmlformats.org/officeDocument/2006/relationships/ctrlProp" Target="../ctrlProps/ctrlProp39.xml"/><Relationship Id="rId25" Type="http://schemas.openxmlformats.org/officeDocument/2006/relationships/ctrlProp" Target="../ctrlProps/ctrlProp47.xml"/><Relationship Id="rId2" Type="http://schemas.openxmlformats.org/officeDocument/2006/relationships/drawing" Target="../drawings/drawing13.xml"/><Relationship Id="rId16" Type="http://schemas.openxmlformats.org/officeDocument/2006/relationships/ctrlProp" Target="../ctrlProps/ctrlProp38.xml"/><Relationship Id="rId20" Type="http://schemas.openxmlformats.org/officeDocument/2006/relationships/ctrlProp" Target="../ctrlProps/ctrlProp42.xml"/><Relationship Id="rId1" Type="http://schemas.openxmlformats.org/officeDocument/2006/relationships/printerSettings" Target="../printerSettings/printerSettings13.bin"/><Relationship Id="rId6" Type="http://schemas.openxmlformats.org/officeDocument/2006/relationships/ctrlProp" Target="../ctrlProps/ctrlProp28.xml"/><Relationship Id="rId11" Type="http://schemas.openxmlformats.org/officeDocument/2006/relationships/ctrlProp" Target="../ctrlProps/ctrlProp33.xml"/><Relationship Id="rId24" Type="http://schemas.openxmlformats.org/officeDocument/2006/relationships/ctrlProp" Target="../ctrlProps/ctrlProp46.xml"/><Relationship Id="rId5" Type="http://schemas.openxmlformats.org/officeDocument/2006/relationships/ctrlProp" Target="../ctrlProps/ctrlProp27.xml"/><Relationship Id="rId15" Type="http://schemas.openxmlformats.org/officeDocument/2006/relationships/ctrlProp" Target="../ctrlProps/ctrlProp37.xml"/><Relationship Id="rId23" Type="http://schemas.openxmlformats.org/officeDocument/2006/relationships/ctrlProp" Target="../ctrlProps/ctrlProp45.xml"/><Relationship Id="rId28" Type="http://schemas.openxmlformats.org/officeDocument/2006/relationships/ctrlProp" Target="../ctrlProps/ctrlProp50.xml"/><Relationship Id="rId10" Type="http://schemas.openxmlformats.org/officeDocument/2006/relationships/ctrlProp" Target="../ctrlProps/ctrlProp32.xml"/><Relationship Id="rId19" Type="http://schemas.openxmlformats.org/officeDocument/2006/relationships/ctrlProp" Target="../ctrlProps/ctrlProp41.xml"/><Relationship Id="rId4" Type="http://schemas.openxmlformats.org/officeDocument/2006/relationships/ctrlProp" Target="../ctrlProps/ctrlProp26.xml"/><Relationship Id="rId9" Type="http://schemas.openxmlformats.org/officeDocument/2006/relationships/ctrlProp" Target="../ctrlProps/ctrlProp31.xml"/><Relationship Id="rId14" Type="http://schemas.openxmlformats.org/officeDocument/2006/relationships/ctrlProp" Target="../ctrlProps/ctrlProp36.xml"/><Relationship Id="rId22" Type="http://schemas.openxmlformats.org/officeDocument/2006/relationships/ctrlProp" Target="../ctrlProps/ctrlProp44.xml"/><Relationship Id="rId27" Type="http://schemas.openxmlformats.org/officeDocument/2006/relationships/ctrlProp" Target="../ctrlProps/ctrlProp49.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5.xml"/><Relationship Id="rId13" Type="http://schemas.openxmlformats.org/officeDocument/2006/relationships/ctrlProp" Target="../ctrlProps/ctrlProp60.xml"/><Relationship Id="rId18" Type="http://schemas.openxmlformats.org/officeDocument/2006/relationships/ctrlProp" Target="../ctrlProps/ctrlProp65.xml"/><Relationship Id="rId26" Type="http://schemas.openxmlformats.org/officeDocument/2006/relationships/ctrlProp" Target="../ctrlProps/ctrlProp73.xml"/><Relationship Id="rId3" Type="http://schemas.openxmlformats.org/officeDocument/2006/relationships/vmlDrawing" Target="../drawings/vmlDrawing3.vml"/><Relationship Id="rId21" Type="http://schemas.openxmlformats.org/officeDocument/2006/relationships/ctrlProp" Target="../ctrlProps/ctrlProp68.xml"/><Relationship Id="rId7" Type="http://schemas.openxmlformats.org/officeDocument/2006/relationships/ctrlProp" Target="../ctrlProps/ctrlProp54.xml"/><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trlProp" Target="../ctrlProps/ctrlProp72.xml"/><Relationship Id="rId2" Type="http://schemas.openxmlformats.org/officeDocument/2006/relationships/drawing" Target="../drawings/drawing18.xm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printerSettings" Target="../printerSettings/printerSettings14.bin"/><Relationship Id="rId6" Type="http://schemas.openxmlformats.org/officeDocument/2006/relationships/ctrlProp" Target="../ctrlProps/ctrlProp53.xml"/><Relationship Id="rId11" Type="http://schemas.openxmlformats.org/officeDocument/2006/relationships/ctrlProp" Target="../ctrlProps/ctrlProp58.xml"/><Relationship Id="rId24" Type="http://schemas.openxmlformats.org/officeDocument/2006/relationships/ctrlProp" Target="../ctrlProps/ctrlProp71.xml"/><Relationship Id="rId5" Type="http://schemas.openxmlformats.org/officeDocument/2006/relationships/ctrlProp" Target="../ctrlProps/ctrlProp52.xml"/><Relationship Id="rId15" Type="http://schemas.openxmlformats.org/officeDocument/2006/relationships/ctrlProp" Target="../ctrlProps/ctrlProp62.xml"/><Relationship Id="rId23" Type="http://schemas.openxmlformats.org/officeDocument/2006/relationships/ctrlProp" Target="../ctrlProps/ctrlProp70.xml"/><Relationship Id="rId28" Type="http://schemas.openxmlformats.org/officeDocument/2006/relationships/ctrlProp" Target="../ctrlProps/ctrlProp75.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ctrlProp" Target="../ctrlProps/ctrlProp51.xml"/><Relationship Id="rId9" Type="http://schemas.openxmlformats.org/officeDocument/2006/relationships/ctrlProp" Target="../ctrlProps/ctrlProp56.xml"/><Relationship Id="rId14" Type="http://schemas.openxmlformats.org/officeDocument/2006/relationships/ctrlProp" Target="../ctrlProps/ctrlProp61.xml"/><Relationship Id="rId22" Type="http://schemas.openxmlformats.org/officeDocument/2006/relationships/ctrlProp" Target="../ctrlProps/ctrlProp69.xml"/><Relationship Id="rId27" Type="http://schemas.openxmlformats.org/officeDocument/2006/relationships/ctrlProp" Target="../ctrlProps/ctrlProp74.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 Type="http://schemas.openxmlformats.org/officeDocument/2006/relationships/vmlDrawing" Target="../drawings/vmlDrawing4.vml"/><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drawing" Target="../drawings/drawing23.xml"/><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15.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ctrlProp" Target="../ctrlProps/ctrlProp77.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05.xml"/><Relationship Id="rId13" Type="http://schemas.openxmlformats.org/officeDocument/2006/relationships/ctrlProp" Target="../ctrlProps/ctrlProp110.xml"/><Relationship Id="rId18" Type="http://schemas.openxmlformats.org/officeDocument/2006/relationships/ctrlProp" Target="../ctrlProps/ctrlProp115.xml"/><Relationship Id="rId26" Type="http://schemas.openxmlformats.org/officeDocument/2006/relationships/ctrlProp" Target="../ctrlProps/ctrlProp123.xml"/><Relationship Id="rId3" Type="http://schemas.openxmlformats.org/officeDocument/2006/relationships/vmlDrawing" Target="../drawings/vmlDrawing5.vml"/><Relationship Id="rId21" Type="http://schemas.openxmlformats.org/officeDocument/2006/relationships/ctrlProp" Target="../ctrlProps/ctrlProp118.xml"/><Relationship Id="rId7" Type="http://schemas.openxmlformats.org/officeDocument/2006/relationships/ctrlProp" Target="../ctrlProps/ctrlProp104.xml"/><Relationship Id="rId12" Type="http://schemas.openxmlformats.org/officeDocument/2006/relationships/ctrlProp" Target="../ctrlProps/ctrlProp109.xml"/><Relationship Id="rId17" Type="http://schemas.openxmlformats.org/officeDocument/2006/relationships/ctrlProp" Target="../ctrlProps/ctrlProp114.xml"/><Relationship Id="rId25" Type="http://schemas.openxmlformats.org/officeDocument/2006/relationships/ctrlProp" Target="../ctrlProps/ctrlProp122.xml"/><Relationship Id="rId2" Type="http://schemas.openxmlformats.org/officeDocument/2006/relationships/drawing" Target="../drawings/drawing28.xml"/><Relationship Id="rId16" Type="http://schemas.openxmlformats.org/officeDocument/2006/relationships/ctrlProp" Target="../ctrlProps/ctrlProp113.xml"/><Relationship Id="rId20" Type="http://schemas.openxmlformats.org/officeDocument/2006/relationships/ctrlProp" Target="../ctrlProps/ctrlProp117.xml"/><Relationship Id="rId1" Type="http://schemas.openxmlformats.org/officeDocument/2006/relationships/printerSettings" Target="../printerSettings/printerSettings16.bin"/><Relationship Id="rId6" Type="http://schemas.openxmlformats.org/officeDocument/2006/relationships/ctrlProp" Target="../ctrlProps/ctrlProp103.xml"/><Relationship Id="rId11" Type="http://schemas.openxmlformats.org/officeDocument/2006/relationships/ctrlProp" Target="../ctrlProps/ctrlProp108.xml"/><Relationship Id="rId24" Type="http://schemas.openxmlformats.org/officeDocument/2006/relationships/ctrlProp" Target="../ctrlProps/ctrlProp121.xml"/><Relationship Id="rId5" Type="http://schemas.openxmlformats.org/officeDocument/2006/relationships/ctrlProp" Target="../ctrlProps/ctrlProp102.xml"/><Relationship Id="rId15" Type="http://schemas.openxmlformats.org/officeDocument/2006/relationships/ctrlProp" Target="../ctrlProps/ctrlProp112.xml"/><Relationship Id="rId23" Type="http://schemas.openxmlformats.org/officeDocument/2006/relationships/ctrlProp" Target="../ctrlProps/ctrlProp120.xml"/><Relationship Id="rId28" Type="http://schemas.openxmlformats.org/officeDocument/2006/relationships/ctrlProp" Target="../ctrlProps/ctrlProp125.xml"/><Relationship Id="rId10" Type="http://schemas.openxmlformats.org/officeDocument/2006/relationships/ctrlProp" Target="../ctrlProps/ctrlProp107.xml"/><Relationship Id="rId19" Type="http://schemas.openxmlformats.org/officeDocument/2006/relationships/ctrlProp" Target="../ctrlProps/ctrlProp116.xml"/><Relationship Id="rId4" Type="http://schemas.openxmlformats.org/officeDocument/2006/relationships/ctrlProp" Target="../ctrlProps/ctrlProp101.xml"/><Relationship Id="rId9" Type="http://schemas.openxmlformats.org/officeDocument/2006/relationships/ctrlProp" Target="../ctrlProps/ctrlProp106.xml"/><Relationship Id="rId14" Type="http://schemas.openxmlformats.org/officeDocument/2006/relationships/ctrlProp" Target="../ctrlProps/ctrlProp111.xml"/><Relationship Id="rId22" Type="http://schemas.openxmlformats.org/officeDocument/2006/relationships/ctrlProp" Target="../ctrlProps/ctrlProp119.xml"/><Relationship Id="rId27" Type="http://schemas.openxmlformats.org/officeDocument/2006/relationships/ctrlProp" Target="../ctrlProps/ctrlProp12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30.xml"/><Relationship Id="rId13" Type="http://schemas.openxmlformats.org/officeDocument/2006/relationships/ctrlProp" Target="../ctrlProps/ctrlProp135.xml"/><Relationship Id="rId18" Type="http://schemas.openxmlformats.org/officeDocument/2006/relationships/ctrlProp" Target="../ctrlProps/ctrlProp140.xml"/><Relationship Id="rId26" Type="http://schemas.openxmlformats.org/officeDocument/2006/relationships/ctrlProp" Target="../ctrlProps/ctrlProp148.xml"/><Relationship Id="rId3" Type="http://schemas.openxmlformats.org/officeDocument/2006/relationships/vmlDrawing" Target="../drawings/vmlDrawing6.vml"/><Relationship Id="rId21" Type="http://schemas.openxmlformats.org/officeDocument/2006/relationships/ctrlProp" Target="../ctrlProps/ctrlProp143.xml"/><Relationship Id="rId7" Type="http://schemas.openxmlformats.org/officeDocument/2006/relationships/ctrlProp" Target="../ctrlProps/ctrlProp129.xml"/><Relationship Id="rId12" Type="http://schemas.openxmlformats.org/officeDocument/2006/relationships/ctrlProp" Target="../ctrlProps/ctrlProp134.xml"/><Relationship Id="rId17" Type="http://schemas.openxmlformats.org/officeDocument/2006/relationships/ctrlProp" Target="../ctrlProps/ctrlProp139.xml"/><Relationship Id="rId25" Type="http://schemas.openxmlformats.org/officeDocument/2006/relationships/ctrlProp" Target="../ctrlProps/ctrlProp147.xml"/><Relationship Id="rId2" Type="http://schemas.openxmlformats.org/officeDocument/2006/relationships/drawing" Target="../drawings/drawing33.xml"/><Relationship Id="rId16" Type="http://schemas.openxmlformats.org/officeDocument/2006/relationships/ctrlProp" Target="../ctrlProps/ctrlProp138.xml"/><Relationship Id="rId20" Type="http://schemas.openxmlformats.org/officeDocument/2006/relationships/ctrlProp" Target="../ctrlProps/ctrlProp142.xml"/><Relationship Id="rId1" Type="http://schemas.openxmlformats.org/officeDocument/2006/relationships/printerSettings" Target="../printerSettings/printerSettings17.bin"/><Relationship Id="rId6" Type="http://schemas.openxmlformats.org/officeDocument/2006/relationships/ctrlProp" Target="../ctrlProps/ctrlProp128.xml"/><Relationship Id="rId11" Type="http://schemas.openxmlformats.org/officeDocument/2006/relationships/ctrlProp" Target="../ctrlProps/ctrlProp133.xml"/><Relationship Id="rId24" Type="http://schemas.openxmlformats.org/officeDocument/2006/relationships/ctrlProp" Target="../ctrlProps/ctrlProp146.xml"/><Relationship Id="rId5" Type="http://schemas.openxmlformats.org/officeDocument/2006/relationships/ctrlProp" Target="../ctrlProps/ctrlProp127.xml"/><Relationship Id="rId15" Type="http://schemas.openxmlformats.org/officeDocument/2006/relationships/ctrlProp" Target="../ctrlProps/ctrlProp137.xml"/><Relationship Id="rId23" Type="http://schemas.openxmlformats.org/officeDocument/2006/relationships/ctrlProp" Target="../ctrlProps/ctrlProp145.xml"/><Relationship Id="rId28" Type="http://schemas.openxmlformats.org/officeDocument/2006/relationships/ctrlProp" Target="../ctrlProps/ctrlProp150.xml"/><Relationship Id="rId10" Type="http://schemas.openxmlformats.org/officeDocument/2006/relationships/ctrlProp" Target="../ctrlProps/ctrlProp132.xml"/><Relationship Id="rId19" Type="http://schemas.openxmlformats.org/officeDocument/2006/relationships/ctrlProp" Target="../ctrlProps/ctrlProp141.xml"/><Relationship Id="rId4" Type="http://schemas.openxmlformats.org/officeDocument/2006/relationships/ctrlProp" Target="../ctrlProps/ctrlProp126.xml"/><Relationship Id="rId9" Type="http://schemas.openxmlformats.org/officeDocument/2006/relationships/ctrlProp" Target="../ctrlProps/ctrlProp131.xml"/><Relationship Id="rId14" Type="http://schemas.openxmlformats.org/officeDocument/2006/relationships/ctrlProp" Target="../ctrlProps/ctrlProp136.xml"/><Relationship Id="rId22" Type="http://schemas.openxmlformats.org/officeDocument/2006/relationships/ctrlProp" Target="../ctrlProps/ctrlProp144.xml"/><Relationship Id="rId27" Type="http://schemas.openxmlformats.org/officeDocument/2006/relationships/ctrlProp" Target="../ctrlProps/ctrlProp149.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18" Type="http://schemas.openxmlformats.org/officeDocument/2006/relationships/ctrlProp" Target="../ctrlProps/ctrlProp165.xml"/><Relationship Id="rId26" Type="http://schemas.openxmlformats.org/officeDocument/2006/relationships/ctrlProp" Target="../ctrlProps/ctrlProp173.xml"/><Relationship Id="rId3" Type="http://schemas.openxmlformats.org/officeDocument/2006/relationships/vmlDrawing" Target="../drawings/vmlDrawing7.vml"/><Relationship Id="rId21" Type="http://schemas.openxmlformats.org/officeDocument/2006/relationships/ctrlProp" Target="../ctrlProps/ctrlProp168.xml"/><Relationship Id="rId7" Type="http://schemas.openxmlformats.org/officeDocument/2006/relationships/ctrlProp" Target="../ctrlProps/ctrlProp154.x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2" Type="http://schemas.openxmlformats.org/officeDocument/2006/relationships/drawing" Target="../drawings/drawing38.xml"/><Relationship Id="rId16" Type="http://schemas.openxmlformats.org/officeDocument/2006/relationships/ctrlProp" Target="../ctrlProps/ctrlProp163.xml"/><Relationship Id="rId20" Type="http://schemas.openxmlformats.org/officeDocument/2006/relationships/ctrlProp" Target="../ctrlProps/ctrlProp167.xml"/><Relationship Id="rId29" Type="http://schemas.openxmlformats.org/officeDocument/2006/relationships/ctrlProp" Target="../ctrlProps/ctrlProp176.xml"/><Relationship Id="rId1" Type="http://schemas.openxmlformats.org/officeDocument/2006/relationships/printerSettings" Target="../printerSettings/printerSettings18.bin"/><Relationship Id="rId6" Type="http://schemas.openxmlformats.org/officeDocument/2006/relationships/ctrlProp" Target="../ctrlProps/ctrlProp153.xml"/><Relationship Id="rId11" Type="http://schemas.openxmlformats.org/officeDocument/2006/relationships/ctrlProp" Target="../ctrlProps/ctrlProp158.xml"/><Relationship Id="rId24" Type="http://schemas.openxmlformats.org/officeDocument/2006/relationships/ctrlProp" Target="../ctrlProps/ctrlProp171.xml"/><Relationship Id="rId5" Type="http://schemas.openxmlformats.org/officeDocument/2006/relationships/ctrlProp" Target="../ctrlProps/ctrlProp152.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10" Type="http://schemas.openxmlformats.org/officeDocument/2006/relationships/ctrlProp" Target="../ctrlProps/ctrlProp157.xml"/><Relationship Id="rId19" Type="http://schemas.openxmlformats.org/officeDocument/2006/relationships/ctrlProp" Target="../ctrlProps/ctrlProp166.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 Id="rId22" Type="http://schemas.openxmlformats.org/officeDocument/2006/relationships/ctrlProp" Target="../ctrlProps/ctrlProp169.xml"/><Relationship Id="rId27" Type="http://schemas.openxmlformats.org/officeDocument/2006/relationships/ctrlProp" Target="../ctrlProps/ctrlProp174.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81.xml"/><Relationship Id="rId13" Type="http://schemas.openxmlformats.org/officeDocument/2006/relationships/ctrlProp" Target="../ctrlProps/ctrlProp186.xml"/><Relationship Id="rId18" Type="http://schemas.openxmlformats.org/officeDocument/2006/relationships/ctrlProp" Target="../ctrlProps/ctrlProp191.xml"/><Relationship Id="rId26" Type="http://schemas.openxmlformats.org/officeDocument/2006/relationships/ctrlProp" Target="../ctrlProps/ctrlProp199.xml"/><Relationship Id="rId3" Type="http://schemas.openxmlformats.org/officeDocument/2006/relationships/vmlDrawing" Target="../drawings/vmlDrawing8.vml"/><Relationship Id="rId21" Type="http://schemas.openxmlformats.org/officeDocument/2006/relationships/ctrlProp" Target="../ctrlProps/ctrlProp194.xml"/><Relationship Id="rId7" Type="http://schemas.openxmlformats.org/officeDocument/2006/relationships/ctrlProp" Target="../ctrlProps/ctrlProp180.xml"/><Relationship Id="rId12" Type="http://schemas.openxmlformats.org/officeDocument/2006/relationships/ctrlProp" Target="../ctrlProps/ctrlProp185.xml"/><Relationship Id="rId17" Type="http://schemas.openxmlformats.org/officeDocument/2006/relationships/ctrlProp" Target="../ctrlProps/ctrlProp190.xml"/><Relationship Id="rId25" Type="http://schemas.openxmlformats.org/officeDocument/2006/relationships/ctrlProp" Target="../ctrlProps/ctrlProp198.xml"/><Relationship Id="rId2" Type="http://schemas.openxmlformats.org/officeDocument/2006/relationships/drawing" Target="../drawings/drawing43.xml"/><Relationship Id="rId16" Type="http://schemas.openxmlformats.org/officeDocument/2006/relationships/ctrlProp" Target="../ctrlProps/ctrlProp189.xml"/><Relationship Id="rId20" Type="http://schemas.openxmlformats.org/officeDocument/2006/relationships/ctrlProp" Target="../ctrlProps/ctrlProp193.xml"/><Relationship Id="rId29" Type="http://schemas.openxmlformats.org/officeDocument/2006/relationships/ctrlProp" Target="../ctrlProps/ctrlProp202.xml"/><Relationship Id="rId1" Type="http://schemas.openxmlformats.org/officeDocument/2006/relationships/printerSettings" Target="../printerSettings/printerSettings19.bin"/><Relationship Id="rId6" Type="http://schemas.openxmlformats.org/officeDocument/2006/relationships/ctrlProp" Target="../ctrlProps/ctrlProp179.xml"/><Relationship Id="rId11" Type="http://schemas.openxmlformats.org/officeDocument/2006/relationships/ctrlProp" Target="../ctrlProps/ctrlProp184.xml"/><Relationship Id="rId24" Type="http://schemas.openxmlformats.org/officeDocument/2006/relationships/ctrlProp" Target="../ctrlProps/ctrlProp197.xml"/><Relationship Id="rId5" Type="http://schemas.openxmlformats.org/officeDocument/2006/relationships/ctrlProp" Target="../ctrlProps/ctrlProp178.xml"/><Relationship Id="rId15" Type="http://schemas.openxmlformats.org/officeDocument/2006/relationships/ctrlProp" Target="../ctrlProps/ctrlProp188.xml"/><Relationship Id="rId23" Type="http://schemas.openxmlformats.org/officeDocument/2006/relationships/ctrlProp" Target="../ctrlProps/ctrlProp196.xml"/><Relationship Id="rId28" Type="http://schemas.openxmlformats.org/officeDocument/2006/relationships/ctrlProp" Target="../ctrlProps/ctrlProp201.xml"/><Relationship Id="rId10" Type="http://schemas.openxmlformats.org/officeDocument/2006/relationships/ctrlProp" Target="../ctrlProps/ctrlProp183.xml"/><Relationship Id="rId19" Type="http://schemas.openxmlformats.org/officeDocument/2006/relationships/ctrlProp" Target="../ctrlProps/ctrlProp192.xml"/><Relationship Id="rId4" Type="http://schemas.openxmlformats.org/officeDocument/2006/relationships/ctrlProp" Target="../ctrlProps/ctrlProp177.xml"/><Relationship Id="rId9" Type="http://schemas.openxmlformats.org/officeDocument/2006/relationships/ctrlProp" Target="../ctrlProps/ctrlProp182.xml"/><Relationship Id="rId14" Type="http://schemas.openxmlformats.org/officeDocument/2006/relationships/ctrlProp" Target="../ctrlProps/ctrlProp187.xml"/><Relationship Id="rId22" Type="http://schemas.openxmlformats.org/officeDocument/2006/relationships/ctrlProp" Target="../ctrlProps/ctrlProp195.xml"/><Relationship Id="rId27" Type="http://schemas.openxmlformats.org/officeDocument/2006/relationships/ctrlProp" Target="../ctrlProps/ctrlProp20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07.xml"/><Relationship Id="rId13" Type="http://schemas.openxmlformats.org/officeDocument/2006/relationships/ctrlProp" Target="../ctrlProps/ctrlProp212.xml"/><Relationship Id="rId18" Type="http://schemas.openxmlformats.org/officeDocument/2006/relationships/ctrlProp" Target="../ctrlProps/ctrlProp217.xml"/><Relationship Id="rId26" Type="http://schemas.openxmlformats.org/officeDocument/2006/relationships/ctrlProp" Target="../ctrlProps/ctrlProp225.xml"/><Relationship Id="rId3" Type="http://schemas.openxmlformats.org/officeDocument/2006/relationships/vmlDrawing" Target="../drawings/vmlDrawing9.vml"/><Relationship Id="rId21" Type="http://schemas.openxmlformats.org/officeDocument/2006/relationships/ctrlProp" Target="../ctrlProps/ctrlProp220.xml"/><Relationship Id="rId7" Type="http://schemas.openxmlformats.org/officeDocument/2006/relationships/ctrlProp" Target="../ctrlProps/ctrlProp206.xml"/><Relationship Id="rId12" Type="http://schemas.openxmlformats.org/officeDocument/2006/relationships/ctrlProp" Target="../ctrlProps/ctrlProp211.xml"/><Relationship Id="rId17" Type="http://schemas.openxmlformats.org/officeDocument/2006/relationships/ctrlProp" Target="../ctrlProps/ctrlProp216.xml"/><Relationship Id="rId25" Type="http://schemas.openxmlformats.org/officeDocument/2006/relationships/ctrlProp" Target="../ctrlProps/ctrlProp224.xml"/><Relationship Id="rId2" Type="http://schemas.openxmlformats.org/officeDocument/2006/relationships/drawing" Target="../drawings/drawing48.xml"/><Relationship Id="rId16" Type="http://schemas.openxmlformats.org/officeDocument/2006/relationships/ctrlProp" Target="../ctrlProps/ctrlProp215.xml"/><Relationship Id="rId20" Type="http://schemas.openxmlformats.org/officeDocument/2006/relationships/ctrlProp" Target="../ctrlProps/ctrlProp219.xml"/><Relationship Id="rId29" Type="http://schemas.openxmlformats.org/officeDocument/2006/relationships/ctrlProp" Target="../ctrlProps/ctrlProp228.xml"/><Relationship Id="rId1" Type="http://schemas.openxmlformats.org/officeDocument/2006/relationships/printerSettings" Target="../printerSettings/printerSettings20.bin"/><Relationship Id="rId6" Type="http://schemas.openxmlformats.org/officeDocument/2006/relationships/ctrlProp" Target="../ctrlProps/ctrlProp205.xml"/><Relationship Id="rId11" Type="http://schemas.openxmlformats.org/officeDocument/2006/relationships/ctrlProp" Target="../ctrlProps/ctrlProp210.xml"/><Relationship Id="rId24" Type="http://schemas.openxmlformats.org/officeDocument/2006/relationships/ctrlProp" Target="../ctrlProps/ctrlProp223.xml"/><Relationship Id="rId5" Type="http://schemas.openxmlformats.org/officeDocument/2006/relationships/ctrlProp" Target="../ctrlProps/ctrlProp204.xml"/><Relationship Id="rId15" Type="http://schemas.openxmlformats.org/officeDocument/2006/relationships/ctrlProp" Target="../ctrlProps/ctrlProp214.xml"/><Relationship Id="rId23" Type="http://schemas.openxmlformats.org/officeDocument/2006/relationships/ctrlProp" Target="../ctrlProps/ctrlProp222.xml"/><Relationship Id="rId28" Type="http://schemas.openxmlformats.org/officeDocument/2006/relationships/ctrlProp" Target="../ctrlProps/ctrlProp227.xml"/><Relationship Id="rId10" Type="http://schemas.openxmlformats.org/officeDocument/2006/relationships/ctrlProp" Target="../ctrlProps/ctrlProp209.xml"/><Relationship Id="rId19" Type="http://schemas.openxmlformats.org/officeDocument/2006/relationships/ctrlProp" Target="../ctrlProps/ctrlProp218.xml"/><Relationship Id="rId4" Type="http://schemas.openxmlformats.org/officeDocument/2006/relationships/ctrlProp" Target="../ctrlProps/ctrlProp203.xml"/><Relationship Id="rId9" Type="http://schemas.openxmlformats.org/officeDocument/2006/relationships/ctrlProp" Target="../ctrlProps/ctrlProp208.xml"/><Relationship Id="rId14" Type="http://schemas.openxmlformats.org/officeDocument/2006/relationships/ctrlProp" Target="../ctrlProps/ctrlProp213.xml"/><Relationship Id="rId22" Type="http://schemas.openxmlformats.org/officeDocument/2006/relationships/ctrlProp" Target="../ctrlProps/ctrlProp221.xml"/><Relationship Id="rId27" Type="http://schemas.openxmlformats.org/officeDocument/2006/relationships/ctrlProp" Target="../ctrlProps/ctrlProp226.xml"/></Relationships>
</file>

<file path=xl/worksheets/_rels/sheet21.xml.rels><?xml version="1.0" encoding="UTF-8" standalone="yes"?>
<Relationships xmlns="http://schemas.openxmlformats.org/package/2006/relationships"><Relationship Id="rId8" Type="http://schemas.openxmlformats.org/officeDocument/2006/relationships/hyperlink" Target="https://www.umweltbundesamt.de/publikationen/entwicklung-der-spezifischen-kohlendioxid-8" TargetMode="External"/><Relationship Id="rId3" Type="http://schemas.openxmlformats.org/officeDocument/2006/relationships/hyperlink" Target="https://muster-epd.deutsche-bauchemie.de/fileadmin/user_upload/EFCA-model-EPD_plasticisers_superplasticisers_final_2026-12-15.pdf" TargetMode="External"/><Relationship Id="rId7" Type="http://schemas.openxmlformats.org/officeDocument/2006/relationships/hyperlink" Target="https://www.dehst.de/SharedDocs/downloads/DE/stationaere_anlagen/2021-2030/Ueberwachungsplan-Emissionsbericht_Leitfaden.pdf?__blob=publicationFile&amp;v=2" TargetMode="External"/><Relationship Id="rId2" Type="http://schemas.openxmlformats.org/officeDocument/2006/relationships/hyperlink" Target="https://www.rheingas.de/fluessiggas/gastank/der-energietraeger-fluessiggas/umrechner" TargetMode="External"/><Relationship Id="rId1" Type="http://schemas.openxmlformats.org/officeDocument/2006/relationships/hyperlink" Target="https://www-genesis.destatis.de/genesis/online?operation=abruftabelleBearbeiten&amp;levelindex=1&amp;levelid=1662640912503&amp;auswahloperation=abruftabelleAuspraegungAuswaehlen&amp;auswahlverzeichnis=ordnungsstruktur&amp;auswahlziel=werteabruf&amp;code=61243-0011&amp;auswahltext=&amp;werteabruf=starten" TargetMode="External"/><Relationship Id="rId6" Type="http://schemas.openxmlformats.org/officeDocument/2006/relationships/hyperlink" Target="https://muster-epd.deutsche-bauchemie.de/fileadmin/user_upload/EFCA-model-EPD_water-resisting_admixtures_final_2026-12-15.pdf" TargetMode="External"/><Relationship Id="rId5" Type="http://schemas.openxmlformats.org/officeDocument/2006/relationships/hyperlink" Target="https://muster-epd.deutsche-bauchemie.de/fileadmin/user_upload/EFCA-model-EPD_retarders_final_2026-12-15.pdf" TargetMode="External"/><Relationship Id="rId4" Type="http://schemas.openxmlformats.org/officeDocument/2006/relationships/hyperlink" Target="https://muster-epd.deutsche-bauchemie.de/fileadmin/user_upload/EFCA-model-EPD_air_entrainers_final_2026-12-15.pdf" TargetMode="External"/><Relationship Id="rId9"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23.bin"/><Relationship Id="rId1" Type="http://schemas.openxmlformats.org/officeDocument/2006/relationships/hyperlink" Target="mailto:webkontakt@future-camp.de"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ACEF2-783C-4AD5-8A8A-2B88C9227AB1}">
  <sheetPr>
    <pageSetUpPr fitToPage="1"/>
  </sheetPr>
  <dimension ref="B1:D35"/>
  <sheetViews>
    <sheetView workbookViewId="0"/>
  </sheetViews>
  <sheetFormatPr baseColWidth="10" defaultColWidth="9" defaultRowHeight="12.75" x14ac:dyDescent="0.2"/>
  <cols>
    <col min="1" max="1" width="4.875" style="3" customWidth="1"/>
    <col min="2" max="2" width="59.75" style="3" customWidth="1"/>
    <col min="3" max="3" width="41.25" style="3" customWidth="1"/>
    <col min="4" max="4" width="37.875" style="3" customWidth="1"/>
    <col min="5" max="5" width="38.5" style="3" customWidth="1"/>
    <col min="6" max="16384" width="9" style="3"/>
  </cols>
  <sheetData>
    <row r="1" spans="2:2" s="89" customFormat="1" ht="62.25" customHeight="1" x14ac:dyDescent="0.2">
      <c r="B1" s="449" t="s">
        <v>533</v>
      </c>
    </row>
    <row r="18" spans="3:4" x14ac:dyDescent="0.2">
      <c r="D18" s="11"/>
    </row>
    <row r="32" spans="3:4" x14ac:dyDescent="0.2">
      <c r="C32" s="8"/>
    </row>
    <row r="35" spans="4:4" x14ac:dyDescent="0.2">
      <c r="D35" s="8"/>
    </row>
  </sheetData>
  <sheetProtection algorithmName="SHA-512" hashValue="rxzjW/k2L89YGKr6LQB+c6o28ZNtI1vxsZpMg1FD2yJHn7PISoqy5ILX++9sAiGiMzCN7JEekOPCVVRmNULZIA==" saltValue="lmT10THqGk7aKbYbzHxgqg==" spinCount="100000" sheet="1" objects="1" scenarios="1" selectLockedCells="1"/>
  <printOptions horizontalCentered="1"/>
  <pageMargins left="0.39370078740157483" right="0.39370078740157483" top="0.39370078740157483" bottom="0.59055118110236227" header="0.19685039370078741" footer="0.19685039370078741"/>
  <pageSetup paperSize="9" scale="61" orientation="landscape" verticalDpi="60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7CDA7-F2C8-4068-B1D1-BEEFE1AF72BE}">
  <dimension ref="A1:BB175"/>
  <sheetViews>
    <sheetView workbookViewId="0"/>
  </sheetViews>
  <sheetFormatPr baseColWidth="10" defaultColWidth="9" defaultRowHeight="14.25" x14ac:dyDescent="0.2"/>
  <cols>
    <col min="1" max="1" width="3.25" style="2" customWidth="1"/>
    <col min="2" max="3" width="3.375" style="165" customWidth="1"/>
    <col min="4" max="4" width="44.375" style="165" customWidth="1"/>
    <col min="5" max="5" width="16.75" style="165" customWidth="1"/>
    <col min="6" max="6" width="2.5" style="165" customWidth="1"/>
    <col min="7" max="7" width="10.875" style="165" customWidth="1"/>
    <col min="8" max="8" width="2.5" style="165" customWidth="1"/>
    <col min="9" max="9" width="12.125" style="165" bestFit="1" customWidth="1"/>
    <col min="10" max="10" width="2.5" style="165" customWidth="1"/>
    <col min="11" max="11" width="12.375" style="165" customWidth="1"/>
    <col min="12" max="12" width="2.5" style="165" customWidth="1"/>
    <col min="13" max="13" width="12.125" style="165" bestFit="1" customWidth="1"/>
    <col min="14" max="14" width="2.5" style="165" customWidth="1"/>
    <col min="15" max="15" width="11" style="165"/>
    <col min="16" max="16" width="2.5" style="165" customWidth="1"/>
    <col min="17" max="17" width="12.125" style="165" bestFit="1" customWidth="1"/>
    <col min="18" max="18" width="2.5" style="165" customWidth="1"/>
    <col min="19" max="19" width="5.125" style="2" customWidth="1"/>
    <col min="20" max="21" width="3.375" style="165" customWidth="1"/>
    <col min="22" max="22" width="44.375" style="165" customWidth="1"/>
    <col min="23" max="23" width="16.75" style="165" customWidth="1"/>
    <col min="24" max="24" width="2.5" style="165" customWidth="1"/>
    <col min="25" max="25" width="10.875" style="165" customWidth="1"/>
    <col min="26" max="26" width="2.5" style="165" customWidth="1"/>
    <col min="27" max="27" width="12.125" style="165" bestFit="1" customWidth="1"/>
    <col min="28" max="28" width="2.5" style="165" customWidth="1"/>
    <col min="29" max="29" width="12.375" style="165" customWidth="1"/>
    <col min="30" max="30" width="2.5" style="165" customWidth="1"/>
    <col min="31" max="31" width="12.125" style="165" bestFit="1" customWidth="1"/>
    <col min="32" max="32" width="2.5" style="165" customWidth="1"/>
    <col min="33" max="33" width="9" style="165"/>
    <col min="34" max="34" width="2.5" style="165" customWidth="1"/>
    <col min="35" max="35" width="12.125" style="165" bestFit="1" customWidth="1"/>
    <col min="36" max="36" width="2.5" style="165" customWidth="1"/>
    <col min="37" max="37" width="5.125" style="2" customWidth="1"/>
    <col min="38" max="39" width="3.375" style="165" customWidth="1"/>
    <col min="40" max="40" width="44.375" style="165" customWidth="1"/>
    <col min="41" max="41" width="16.75" style="165" customWidth="1"/>
    <col min="42" max="42" width="2.5" style="165" customWidth="1"/>
    <col min="43" max="43" width="10.875" style="165" customWidth="1"/>
    <col min="44" max="44" width="2.5" style="165" customWidth="1"/>
    <col min="45" max="45" width="12.125" style="165" bestFit="1" customWidth="1"/>
    <col min="46" max="46" width="2.5" style="165" customWidth="1"/>
    <col min="47" max="47" width="12.375" style="165" customWidth="1"/>
    <col min="48" max="48" width="2.5" style="165" customWidth="1"/>
    <col min="49" max="49" width="12.125" style="165" bestFit="1" customWidth="1"/>
    <col min="50" max="50" width="2.5" style="165" customWidth="1"/>
    <col min="51" max="51" width="9" style="165"/>
    <col min="52" max="52" width="2.5" style="165" customWidth="1"/>
    <col min="53" max="53" width="12.125" style="165" bestFit="1" customWidth="1"/>
    <col min="54" max="54" width="2.5" style="165" customWidth="1"/>
    <col min="55" max="16384" width="9" style="2"/>
  </cols>
  <sheetData>
    <row r="1" spans="1:54" x14ac:dyDescent="0.2">
      <c r="A1" s="425" t="s">
        <v>467</v>
      </c>
    </row>
    <row r="2" spans="1:54" ht="23.25" x14ac:dyDescent="0.35">
      <c r="V2" s="166"/>
      <c r="AN2" s="166"/>
    </row>
    <row r="3" spans="1:54" ht="33" x14ac:dyDescent="0.45">
      <c r="B3" s="167"/>
      <c r="C3" s="167"/>
      <c r="D3" s="170" t="s">
        <v>431</v>
      </c>
      <c r="E3" s="169"/>
      <c r="F3" s="167"/>
      <c r="G3" s="167"/>
      <c r="H3" s="167"/>
      <c r="I3" s="167"/>
      <c r="J3" s="167"/>
      <c r="K3" s="167"/>
      <c r="L3" s="167"/>
      <c r="M3" s="167"/>
      <c r="N3" s="167"/>
      <c r="O3" s="167"/>
      <c r="P3" s="167"/>
      <c r="Q3" s="167"/>
      <c r="R3" s="167"/>
      <c r="T3" s="167"/>
      <c r="U3" s="167"/>
      <c r="V3" s="170" t="s">
        <v>431</v>
      </c>
      <c r="W3" s="169"/>
      <c r="X3" s="167"/>
      <c r="Y3" s="167"/>
      <c r="Z3" s="167"/>
      <c r="AA3" s="167"/>
      <c r="AB3" s="167"/>
      <c r="AC3" s="167"/>
      <c r="AD3" s="167"/>
      <c r="AE3" s="167"/>
      <c r="AF3" s="167"/>
      <c r="AG3" s="167"/>
      <c r="AH3" s="167"/>
      <c r="AI3" s="167"/>
      <c r="AJ3" s="167"/>
      <c r="AL3" s="167"/>
      <c r="AM3" s="167"/>
      <c r="AN3" s="170" t="s">
        <v>431</v>
      </c>
      <c r="AO3" s="169"/>
      <c r="AP3" s="167"/>
      <c r="AQ3" s="167"/>
      <c r="AR3" s="167"/>
      <c r="AS3" s="167"/>
      <c r="AT3" s="167"/>
      <c r="AU3" s="167"/>
      <c r="AV3" s="167"/>
      <c r="AW3" s="167"/>
      <c r="AX3" s="167"/>
      <c r="AY3" s="167"/>
      <c r="AZ3" s="167"/>
      <c r="BA3" s="167"/>
      <c r="BB3" s="167"/>
    </row>
    <row r="4" spans="1:54" ht="26.25" customHeight="1" x14ac:dyDescent="0.45">
      <c r="B4" s="167"/>
      <c r="C4" s="167"/>
      <c r="D4" s="383">
        <f>'Referenz Plattenfertiger'!D9</f>
        <v>0</v>
      </c>
      <c r="E4" s="169"/>
      <c r="F4" s="169"/>
      <c r="G4" s="169"/>
      <c r="H4" s="169"/>
      <c r="I4" s="169"/>
      <c r="J4" s="169"/>
      <c r="K4" s="169"/>
      <c r="L4" s="169"/>
      <c r="M4" s="169"/>
      <c r="N4" s="169"/>
      <c r="O4" s="169"/>
      <c r="P4" s="169"/>
      <c r="Q4" s="169"/>
      <c r="R4" s="169"/>
      <c r="T4" s="167"/>
      <c r="U4" s="383">
        <f>D4+5</f>
        <v>5</v>
      </c>
      <c r="V4" s="383">
        <f>D4+5</f>
        <v>5</v>
      </c>
      <c r="W4" s="169"/>
      <c r="X4" s="169"/>
      <c r="Y4" s="169"/>
      <c r="Z4" s="169"/>
      <c r="AA4" s="169"/>
      <c r="AB4" s="169"/>
      <c r="AC4" s="169"/>
      <c r="AD4" s="169"/>
      <c r="AE4" s="169"/>
      <c r="AF4" s="169"/>
      <c r="AG4" s="169"/>
      <c r="AH4" s="169"/>
      <c r="AI4" s="169"/>
      <c r="AJ4" s="169"/>
      <c r="AL4" s="167"/>
      <c r="AM4" s="168"/>
      <c r="AN4" s="383">
        <f>D4+10</f>
        <v>10</v>
      </c>
      <c r="AO4" s="169"/>
      <c r="AP4" s="169"/>
      <c r="AQ4" s="169"/>
      <c r="AR4" s="169"/>
      <c r="AS4" s="169"/>
      <c r="AT4" s="169"/>
      <c r="AU4" s="169"/>
      <c r="AV4" s="169"/>
      <c r="AW4" s="169"/>
      <c r="AX4" s="169"/>
      <c r="AY4" s="169"/>
      <c r="AZ4" s="169"/>
      <c r="BA4" s="169"/>
      <c r="BB4" s="169"/>
    </row>
    <row r="5" spans="1:54" ht="13.5" x14ac:dyDescent="0.2">
      <c r="B5" s="171"/>
      <c r="C5" s="171"/>
      <c r="D5" s="384" t="s">
        <v>432</v>
      </c>
      <c r="E5" s="173"/>
      <c r="F5" s="171"/>
      <c r="G5" s="174" t="s">
        <v>83</v>
      </c>
      <c r="H5" s="174"/>
      <c r="I5" s="174"/>
      <c r="J5" s="174"/>
      <c r="K5" s="174"/>
      <c r="L5" s="174"/>
      <c r="M5" s="174"/>
      <c r="N5" s="174"/>
      <c r="O5" s="174"/>
      <c r="P5" s="174"/>
      <c r="Q5" s="174"/>
      <c r="R5" s="171"/>
      <c r="T5" s="171"/>
      <c r="U5" s="171"/>
      <c r="V5" s="384" t="s">
        <v>433</v>
      </c>
      <c r="W5" s="173"/>
      <c r="X5" s="171"/>
      <c r="Y5" s="174" t="s">
        <v>83</v>
      </c>
      <c r="Z5" s="174"/>
      <c r="AA5" s="174"/>
      <c r="AB5" s="174"/>
      <c r="AC5" s="174"/>
      <c r="AD5" s="174"/>
      <c r="AE5" s="174"/>
      <c r="AF5" s="174"/>
      <c r="AG5" s="174"/>
      <c r="AH5" s="174"/>
      <c r="AI5" s="174"/>
      <c r="AJ5" s="171"/>
      <c r="AL5" s="171"/>
      <c r="AM5" s="171"/>
      <c r="AN5" s="384" t="s">
        <v>434</v>
      </c>
      <c r="AO5" s="173"/>
      <c r="AP5" s="171"/>
      <c r="AQ5" s="174" t="s">
        <v>83</v>
      </c>
      <c r="AR5" s="174"/>
      <c r="AS5" s="174"/>
      <c r="AT5" s="174"/>
      <c r="AU5" s="174"/>
      <c r="AV5" s="174"/>
      <c r="AW5" s="174"/>
      <c r="AX5" s="174"/>
      <c r="AY5" s="174"/>
      <c r="AZ5" s="174"/>
      <c r="BA5" s="174"/>
      <c r="BB5" s="171"/>
    </row>
    <row r="6" spans="1:54" ht="18" x14ac:dyDescent="0.2">
      <c r="B6" s="171"/>
      <c r="C6" s="171"/>
      <c r="D6" s="176"/>
      <c r="E6" s="173"/>
      <c r="F6" s="171"/>
      <c r="G6" s="476" t="s">
        <v>25</v>
      </c>
      <c r="H6" s="476"/>
      <c r="I6" s="476"/>
      <c r="J6" s="3"/>
      <c r="K6" s="477" t="s">
        <v>26</v>
      </c>
      <c r="L6" s="477"/>
      <c r="M6" s="477"/>
      <c r="N6" s="3"/>
      <c r="O6" s="476" t="s">
        <v>27</v>
      </c>
      <c r="P6" s="476"/>
      <c r="Q6" s="476"/>
      <c r="R6" s="171"/>
      <c r="T6" s="171"/>
      <c r="U6" s="171"/>
      <c r="V6" s="172"/>
      <c r="W6" s="173"/>
      <c r="X6" s="171"/>
      <c r="Y6" s="476" t="s">
        <v>25</v>
      </c>
      <c r="Z6" s="476"/>
      <c r="AA6" s="476"/>
      <c r="AB6" s="3"/>
      <c r="AC6" s="477" t="s">
        <v>26</v>
      </c>
      <c r="AD6" s="477"/>
      <c r="AE6" s="477"/>
      <c r="AF6" s="3"/>
      <c r="AG6" s="476" t="s">
        <v>27</v>
      </c>
      <c r="AH6" s="476"/>
      <c r="AI6" s="476"/>
      <c r="AJ6" s="171"/>
      <c r="AL6" s="171"/>
      <c r="AM6" s="171"/>
      <c r="AN6" s="172"/>
      <c r="AO6" s="173"/>
      <c r="AP6" s="171"/>
      <c r="AQ6" s="476" t="s">
        <v>25</v>
      </c>
      <c r="AR6" s="476"/>
      <c r="AS6" s="476"/>
      <c r="AT6" s="3"/>
      <c r="AU6" s="477" t="s">
        <v>26</v>
      </c>
      <c r="AV6" s="477"/>
      <c r="AW6" s="477"/>
      <c r="AX6" s="3"/>
      <c r="AY6" s="476" t="s">
        <v>27</v>
      </c>
      <c r="AZ6" s="476"/>
      <c r="BA6" s="476"/>
      <c r="BB6" s="171"/>
    </row>
    <row r="7" spans="1:54" ht="25.5" x14ac:dyDescent="0.2">
      <c r="B7" s="175"/>
      <c r="C7" s="175"/>
      <c r="D7" s="176" t="s">
        <v>35</v>
      </c>
      <c r="E7" s="176" t="s">
        <v>36</v>
      </c>
      <c r="F7" s="3"/>
      <c r="G7" s="171" t="s">
        <v>75</v>
      </c>
      <c r="H7" s="171"/>
      <c r="I7" s="171" t="s">
        <v>72</v>
      </c>
      <c r="J7" s="171"/>
      <c r="K7" s="171" t="s">
        <v>75</v>
      </c>
      <c r="L7" s="171"/>
      <c r="M7" s="171" t="s">
        <v>72</v>
      </c>
      <c r="N7" s="171"/>
      <c r="O7" s="171" t="s">
        <v>75</v>
      </c>
      <c r="P7" s="171"/>
      <c r="Q7" s="171" t="s">
        <v>72</v>
      </c>
      <c r="R7" s="3"/>
      <c r="T7" s="175"/>
      <c r="U7" s="175"/>
      <c r="V7" s="176" t="s">
        <v>35</v>
      </c>
      <c r="W7" s="176" t="s">
        <v>36</v>
      </c>
      <c r="X7" s="3"/>
      <c r="Y7" s="171" t="s">
        <v>75</v>
      </c>
      <c r="Z7" s="171"/>
      <c r="AA7" s="171" t="s">
        <v>72</v>
      </c>
      <c r="AB7" s="171"/>
      <c r="AC7" s="171" t="s">
        <v>75</v>
      </c>
      <c r="AD7" s="171"/>
      <c r="AE7" s="171" t="s">
        <v>72</v>
      </c>
      <c r="AF7" s="171"/>
      <c r="AG7" s="171" t="s">
        <v>75</v>
      </c>
      <c r="AH7" s="171"/>
      <c r="AI7" s="171" t="s">
        <v>72</v>
      </c>
      <c r="AJ7" s="3"/>
      <c r="AL7" s="175"/>
      <c r="AM7" s="175"/>
      <c r="AN7" s="176" t="s">
        <v>35</v>
      </c>
      <c r="AO7" s="176" t="s">
        <v>36</v>
      </c>
      <c r="AP7" s="3"/>
      <c r="AQ7" s="171" t="s">
        <v>75</v>
      </c>
      <c r="AR7" s="171"/>
      <c r="AS7" s="171" t="s">
        <v>72</v>
      </c>
      <c r="AT7" s="171"/>
      <c r="AU7" s="171" t="s">
        <v>75</v>
      </c>
      <c r="AV7" s="171"/>
      <c r="AW7" s="171" t="s">
        <v>72</v>
      </c>
      <c r="AX7" s="171"/>
      <c r="AY7" s="171" t="s">
        <v>75</v>
      </c>
      <c r="AZ7" s="171"/>
      <c r="BA7" s="171" t="s">
        <v>72</v>
      </c>
      <c r="BB7" s="3"/>
    </row>
    <row r="8" spans="1:54" ht="12.75" x14ac:dyDescent="0.2">
      <c r="B8" s="177"/>
      <c r="C8" s="177" t="s">
        <v>82</v>
      </c>
      <c r="D8" s="176"/>
      <c r="E8" s="176"/>
      <c r="F8" s="3"/>
      <c r="G8" s="171"/>
      <c r="H8" s="171"/>
      <c r="I8" s="171"/>
      <c r="J8" s="171"/>
      <c r="K8" s="171"/>
      <c r="L8" s="171"/>
      <c r="M8" s="171"/>
      <c r="N8" s="171"/>
      <c r="O8" s="171"/>
      <c r="P8" s="171"/>
      <c r="Q8" s="171"/>
      <c r="R8" s="3"/>
      <c r="T8" s="175"/>
      <c r="U8" s="177" t="s">
        <v>82</v>
      </c>
      <c r="V8" s="176"/>
      <c r="W8" s="176"/>
      <c r="X8" s="3"/>
      <c r="Y8" s="171"/>
      <c r="Z8" s="171"/>
      <c r="AA8" s="171"/>
      <c r="AB8" s="171"/>
      <c r="AC8" s="171"/>
      <c r="AD8" s="171"/>
      <c r="AE8" s="171"/>
      <c r="AF8" s="171"/>
      <c r="AG8" s="171"/>
      <c r="AH8" s="171"/>
      <c r="AI8" s="171"/>
      <c r="AJ8" s="3"/>
      <c r="AL8" s="175"/>
      <c r="AM8" s="177" t="s">
        <v>82</v>
      </c>
      <c r="AN8" s="176"/>
      <c r="AO8" s="176"/>
      <c r="AP8" s="3"/>
      <c r="AQ8" s="171"/>
      <c r="AR8" s="171"/>
      <c r="AS8" s="171"/>
      <c r="AT8" s="171"/>
      <c r="AU8" s="171"/>
      <c r="AV8" s="171"/>
      <c r="AW8" s="171"/>
      <c r="AX8" s="171"/>
      <c r="AY8" s="171"/>
      <c r="AZ8" s="171"/>
      <c r="BA8" s="171"/>
      <c r="BB8" s="3"/>
    </row>
    <row r="9" spans="1:54" ht="12.75" x14ac:dyDescent="0.2">
      <c r="B9" s="178"/>
      <c r="C9" s="178"/>
      <c r="D9" s="3" t="s">
        <v>29</v>
      </c>
      <c r="E9" s="3" t="s">
        <v>482</v>
      </c>
      <c r="F9" s="3"/>
      <c r="G9" s="178">
        <f>'Default EF'!G7</f>
        <v>1.8316E-4</v>
      </c>
      <c r="H9" s="3"/>
      <c r="I9" s="206"/>
      <c r="J9" s="3"/>
      <c r="K9" s="178"/>
      <c r="L9" s="3"/>
      <c r="M9" s="178"/>
      <c r="N9" s="3"/>
      <c r="O9" s="178">
        <f>'Default EF'!O7</f>
        <v>3.1350000000000003E-5</v>
      </c>
      <c r="P9" s="3"/>
      <c r="Q9" s="206"/>
      <c r="R9" s="3"/>
      <c r="T9" s="178"/>
      <c r="U9" s="178"/>
      <c r="V9" s="3" t="s">
        <v>29</v>
      </c>
      <c r="W9" s="3" t="s">
        <v>482</v>
      </c>
      <c r="X9" s="3"/>
      <c r="Y9" s="178">
        <f>'Default EF'!H7</f>
        <v>1.8316E-4</v>
      </c>
      <c r="Z9" s="3"/>
      <c r="AA9" s="206"/>
      <c r="AB9" s="3"/>
      <c r="AC9" s="178"/>
      <c r="AD9" s="3"/>
      <c r="AE9" s="178"/>
      <c r="AF9" s="3"/>
      <c r="AG9" s="179">
        <f>'Default EF'!P7</f>
        <v>3.1350000000000003E-5</v>
      </c>
      <c r="AH9" s="3"/>
      <c r="AI9" s="206"/>
      <c r="AJ9" s="3"/>
      <c r="AL9" s="178"/>
      <c r="AM9" s="178"/>
      <c r="AN9" s="3" t="s">
        <v>29</v>
      </c>
      <c r="AO9" s="3" t="s">
        <v>482</v>
      </c>
      <c r="AP9" s="3"/>
      <c r="AQ9" s="178">
        <f>'Default EF'!I7</f>
        <v>1.8316E-4</v>
      </c>
      <c r="AR9" s="3"/>
      <c r="AS9" s="206"/>
      <c r="AT9" s="3"/>
      <c r="AU9" s="178"/>
      <c r="AV9" s="3"/>
      <c r="AW9" s="178"/>
      <c r="AX9" s="3"/>
      <c r="AY9" s="179">
        <f>'Default EF'!Q7</f>
        <v>3.1350000000000003E-5</v>
      </c>
      <c r="AZ9" s="3"/>
      <c r="BA9" s="206"/>
      <c r="BB9" s="3"/>
    </row>
    <row r="10" spans="1:54" ht="12.75" x14ac:dyDescent="0.2">
      <c r="B10" s="178"/>
      <c r="C10" s="178"/>
      <c r="D10" s="3" t="s">
        <v>30</v>
      </c>
      <c r="E10" s="3" t="s">
        <v>40</v>
      </c>
      <c r="F10" s="3"/>
      <c r="G10" s="178">
        <f>'Default EF'!G8</f>
        <v>2.6676E-4</v>
      </c>
      <c r="H10" s="3"/>
      <c r="I10" s="206"/>
      <c r="J10" s="3"/>
      <c r="K10" s="178"/>
      <c r="L10" s="3"/>
      <c r="M10" s="178"/>
      <c r="N10" s="3"/>
      <c r="O10" s="178">
        <f>'Default EF'!O8</f>
        <v>3.9576000000000002E-5</v>
      </c>
      <c r="P10" s="3"/>
      <c r="Q10" s="206"/>
      <c r="R10" s="3"/>
      <c r="T10" s="178"/>
      <c r="U10" s="178"/>
      <c r="V10" s="3" t="s">
        <v>30</v>
      </c>
      <c r="W10" s="3" t="s">
        <v>40</v>
      </c>
      <c r="X10" s="3"/>
      <c r="Y10" s="178">
        <f>'Default EF'!H8</f>
        <v>2.6676E-4</v>
      </c>
      <c r="Z10" s="3"/>
      <c r="AA10" s="206"/>
      <c r="AB10" s="3"/>
      <c r="AC10" s="178"/>
      <c r="AD10" s="3"/>
      <c r="AE10" s="178"/>
      <c r="AF10" s="3"/>
      <c r="AG10" s="179">
        <f>'Default EF'!P8</f>
        <v>3.9576000000000002E-5</v>
      </c>
      <c r="AH10" s="3"/>
      <c r="AI10" s="206"/>
      <c r="AJ10" s="3"/>
      <c r="AL10" s="178"/>
      <c r="AM10" s="178"/>
      <c r="AN10" s="3" t="s">
        <v>30</v>
      </c>
      <c r="AO10" s="3" t="s">
        <v>40</v>
      </c>
      <c r="AP10" s="3"/>
      <c r="AQ10" s="178">
        <f>'Default EF'!I8</f>
        <v>2.6676E-4</v>
      </c>
      <c r="AR10" s="3"/>
      <c r="AS10" s="206"/>
      <c r="AT10" s="3"/>
      <c r="AU10" s="178"/>
      <c r="AV10" s="3"/>
      <c r="AW10" s="178"/>
      <c r="AX10" s="3"/>
      <c r="AY10" s="179">
        <f>'Default EF'!Q8</f>
        <v>3.9576000000000002E-5</v>
      </c>
      <c r="AZ10" s="3"/>
      <c r="BA10" s="206"/>
      <c r="BB10" s="3"/>
    </row>
    <row r="11" spans="1:54" ht="12.75" x14ac:dyDescent="0.2">
      <c r="B11" s="178"/>
      <c r="C11" s="178"/>
      <c r="D11" s="3" t="s">
        <v>42</v>
      </c>
      <c r="E11" s="3" t="s">
        <v>40</v>
      </c>
      <c r="F11" s="3"/>
      <c r="G11" s="178"/>
      <c r="H11" s="178"/>
      <c r="I11" s="178"/>
      <c r="J11" s="178"/>
      <c r="K11" s="178">
        <f>'Default EF'!K9</f>
        <v>3.8200000000000002E-4</v>
      </c>
      <c r="L11" s="3"/>
      <c r="M11" s="206"/>
      <c r="N11" s="3"/>
      <c r="O11" s="178">
        <f>'Default EF'!O9</f>
        <v>5.5999999999999999E-5</v>
      </c>
      <c r="P11" s="3"/>
      <c r="Q11" s="206"/>
      <c r="R11" s="3"/>
      <c r="T11" s="178"/>
      <c r="U11" s="178"/>
      <c r="V11" s="3" t="s">
        <v>121</v>
      </c>
      <c r="W11" s="3" t="s">
        <v>40</v>
      </c>
      <c r="X11" s="3"/>
      <c r="Y11" s="178"/>
      <c r="Z11" s="178"/>
      <c r="AA11" s="178"/>
      <c r="AB11" s="178"/>
      <c r="AC11" s="178">
        <f>'Default EF'!L9</f>
        <v>2.7753877130825199E-4</v>
      </c>
      <c r="AD11" s="3"/>
      <c r="AE11" s="206"/>
      <c r="AF11" s="3"/>
      <c r="AG11" s="179">
        <f>'Default EF'!P9</f>
        <v>4.0686312024246369E-5</v>
      </c>
      <c r="AH11" s="3"/>
      <c r="AI11" s="206"/>
      <c r="AJ11" s="3"/>
      <c r="AL11" s="178"/>
      <c r="AM11" s="178"/>
      <c r="AN11" s="3" t="s">
        <v>121</v>
      </c>
      <c r="AO11" s="3" t="s">
        <v>40</v>
      </c>
      <c r="AP11" s="3"/>
      <c r="AQ11" s="178"/>
      <c r="AR11" s="178"/>
      <c r="AS11" s="178"/>
      <c r="AT11" s="178"/>
      <c r="AU11" s="178">
        <f>'Default EF'!M9</f>
        <v>1.3678345521357901E-4</v>
      </c>
      <c r="AV11" s="3"/>
      <c r="AW11" s="206"/>
      <c r="AX11" s="3"/>
      <c r="AY11" s="179">
        <f>'Default EF'!Q9</f>
        <v>2.0052024848063938E-5</v>
      </c>
      <c r="AZ11" s="3"/>
      <c r="BA11" s="206"/>
      <c r="BB11" s="3"/>
    </row>
    <row r="12" spans="1:54" s="431" customFormat="1" ht="25.5" x14ac:dyDescent="0.2">
      <c r="B12" s="460"/>
      <c r="C12" s="460"/>
      <c r="D12" s="14" t="s">
        <v>531</v>
      </c>
      <c r="E12" s="15" t="s">
        <v>40</v>
      </c>
      <c r="F12" s="15"/>
      <c r="G12" s="461" t="str">
        <f>'Default EF'!G10</f>
        <v>k.A.</v>
      </c>
      <c r="H12" s="15"/>
      <c r="I12" s="462"/>
      <c r="J12" s="15"/>
      <c r="K12" s="461" t="str">
        <f>'Default EF'!K10</f>
        <v>k.A.</v>
      </c>
      <c r="L12" s="15"/>
      <c r="M12" s="462"/>
      <c r="N12" s="15"/>
      <c r="O12" s="461" t="str">
        <f>'Default EF'!O10</f>
        <v>k.A.</v>
      </c>
      <c r="P12" s="15"/>
      <c r="Q12" s="462"/>
      <c r="R12" s="15"/>
      <c r="T12" s="460"/>
      <c r="U12" s="460"/>
      <c r="V12" s="14" t="s">
        <v>531</v>
      </c>
      <c r="W12" s="15" t="s">
        <v>40</v>
      </c>
      <c r="X12" s="15"/>
      <c r="Y12" s="461" t="str">
        <f>'Default EF'!H10</f>
        <v>k.A.</v>
      </c>
      <c r="Z12" s="15"/>
      <c r="AA12" s="462"/>
      <c r="AB12" s="15"/>
      <c r="AC12" s="461" t="str">
        <f>'Default EF'!L10</f>
        <v>k.A.</v>
      </c>
      <c r="AD12" s="15"/>
      <c r="AE12" s="462"/>
      <c r="AF12" s="15"/>
      <c r="AG12" s="461" t="str">
        <f>'Default EF'!P10</f>
        <v>k.A.</v>
      </c>
      <c r="AH12" s="15"/>
      <c r="AI12" s="462"/>
      <c r="AJ12" s="15"/>
      <c r="AL12" s="460"/>
      <c r="AM12" s="460"/>
      <c r="AN12" s="14" t="s">
        <v>531</v>
      </c>
      <c r="AO12" s="15" t="s">
        <v>40</v>
      </c>
      <c r="AP12" s="15"/>
      <c r="AQ12" s="461" t="str">
        <f>'Default EF'!I10</f>
        <v>k.A.</v>
      </c>
      <c r="AR12" s="15"/>
      <c r="AS12" s="462"/>
      <c r="AT12" s="15"/>
      <c r="AU12" s="461" t="str">
        <f>'Default EF'!M10</f>
        <v>k.A.</v>
      </c>
      <c r="AV12" s="15"/>
      <c r="AW12" s="462"/>
      <c r="AX12" s="15"/>
      <c r="AY12" s="461" t="str">
        <f>'Default EF'!Q10</f>
        <v>k.A.</v>
      </c>
      <c r="AZ12" s="15"/>
      <c r="BA12" s="462"/>
      <c r="BB12" s="15"/>
    </row>
    <row r="13" spans="1:54" ht="12.75" x14ac:dyDescent="0.2">
      <c r="B13" s="178"/>
      <c r="C13" s="178"/>
      <c r="D13" s="180" t="s">
        <v>111</v>
      </c>
      <c r="E13" s="3" t="s">
        <v>40</v>
      </c>
      <c r="F13" s="3"/>
      <c r="G13" s="178">
        <f>'Default EF'!G11</f>
        <v>2.3030999999999998E-4</v>
      </c>
      <c r="H13" s="3"/>
      <c r="I13" s="206"/>
      <c r="J13" s="3"/>
      <c r="K13" s="178"/>
      <c r="L13" s="3"/>
      <c r="M13" s="178"/>
      <c r="N13" s="3"/>
      <c r="O13" s="178">
        <f>'Default EF'!O11</f>
        <v>2.7189999999999999E-5</v>
      </c>
      <c r="P13" s="3"/>
      <c r="Q13" s="206"/>
      <c r="R13" s="3"/>
      <c r="T13" s="178"/>
      <c r="U13" s="178"/>
      <c r="V13" s="180" t="s">
        <v>111</v>
      </c>
      <c r="W13" s="3" t="s">
        <v>40</v>
      </c>
      <c r="X13" s="3"/>
      <c r="Y13" s="178">
        <f>'Default EF'!H11</f>
        <v>2.3030999999999998E-4</v>
      </c>
      <c r="Z13" s="3"/>
      <c r="AA13" s="206"/>
      <c r="AB13" s="3"/>
      <c r="AC13" s="178"/>
      <c r="AD13" s="3"/>
      <c r="AE13" s="178"/>
      <c r="AF13" s="3"/>
      <c r="AG13" s="179">
        <f>'Default EF'!P11</f>
        <v>2.7189999999999999E-5</v>
      </c>
      <c r="AH13" s="3"/>
      <c r="AI13" s="206"/>
      <c r="AJ13" s="3"/>
      <c r="AL13" s="178"/>
      <c r="AM13" s="178"/>
      <c r="AN13" s="180" t="s">
        <v>111</v>
      </c>
      <c r="AO13" s="3" t="s">
        <v>40</v>
      </c>
      <c r="AP13" s="3"/>
      <c r="AQ13" s="178">
        <f>'Default EF'!I11</f>
        <v>2.3030999999999998E-4</v>
      </c>
      <c r="AR13" s="3"/>
      <c r="AS13" s="206"/>
      <c r="AT13" s="3"/>
      <c r="AU13" s="178"/>
      <c r="AV13" s="3"/>
      <c r="AW13" s="178"/>
      <c r="AX13" s="3"/>
      <c r="AY13" s="179">
        <f>'Default EF'!Q11</f>
        <v>2.7189999999999999E-5</v>
      </c>
      <c r="AZ13" s="3"/>
      <c r="BA13" s="206"/>
      <c r="BB13" s="3"/>
    </row>
    <row r="14" spans="1:54" s="431" customFormat="1" ht="25.5" x14ac:dyDescent="0.2">
      <c r="B14" s="460"/>
      <c r="C14" s="460"/>
      <c r="D14" s="14" t="s">
        <v>532</v>
      </c>
      <c r="E14" s="15" t="s">
        <v>40</v>
      </c>
      <c r="F14" s="15"/>
      <c r="G14" s="461" t="str">
        <f>'Default EF'!G12</f>
        <v>k.A.</v>
      </c>
      <c r="H14" s="15"/>
      <c r="I14" s="462"/>
      <c r="J14" s="15"/>
      <c r="K14" s="461" t="str">
        <f>'Default EF'!K12</f>
        <v>k.A.</v>
      </c>
      <c r="L14" s="15"/>
      <c r="M14" s="462"/>
      <c r="N14" s="15"/>
      <c r="O14" s="461" t="str">
        <f>'Default EF'!O12</f>
        <v>k.A.</v>
      </c>
      <c r="P14" s="15"/>
      <c r="Q14" s="462"/>
      <c r="R14" s="15"/>
      <c r="T14" s="460"/>
      <c r="U14" s="460"/>
      <c r="V14" s="14" t="s">
        <v>532</v>
      </c>
      <c r="W14" s="15" t="s">
        <v>40</v>
      </c>
      <c r="X14" s="15"/>
      <c r="Y14" s="461" t="str">
        <f>'Default EF'!H12</f>
        <v>k.A.</v>
      </c>
      <c r="Z14" s="15"/>
      <c r="AA14" s="462"/>
      <c r="AB14" s="15"/>
      <c r="AC14" s="461" t="str">
        <f>'Default EF'!L12</f>
        <v>k.A.</v>
      </c>
      <c r="AD14" s="15"/>
      <c r="AE14" s="462"/>
      <c r="AF14" s="15"/>
      <c r="AG14" s="461" t="str">
        <f>'Default EF'!P12</f>
        <v>k.A.</v>
      </c>
      <c r="AH14" s="15"/>
      <c r="AI14" s="462"/>
      <c r="AJ14" s="15"/>
      <c r="AL14" s="460"/>
      <c r="AM14" s="460"/>
      <c r="AN14" s="14" t="s">
        <v>532</v>
      </c>
      <c r="AO14" s="15" t="s">
        <v>40</v>
      </c>
      <c r="AP14" s="15"/>
      <c r="AQ14" s="461" t="str">
        <f>'Default EF'!I12</f>
        <v>k.A.</v>
      </c>
      <c r="AR14" s="15"/>
      <c r="AS14" s="462"/>
      <c r="AT14" s="15"/>
      <c r="AU14" s="461" t="str">
        <f>'Default EF'!M12</f>
        <v>k.A.</v>
      </c>
      <c r="AV14" s="15"/>
      <c r="AW14" s="462"/>
      <c r="AX14" s="15"/>
      <c r="AY14" s="461" t="str">
        <f>'Default EF'!Q12</f>
        <v>k.A.</v>
      </c>
      <c r="AZ14" s="15"/>
      <c r="BA14" s="462"/>
      <c r="BB14" s="15"/>
    </row>
    <row r="15" spans="1:54" ht="12.75" x14ac:dyDescent="0.2">
      <c r="B15" s="178"/>
      <c r="C15" s="178"/>
      <c r="D15" s="180" t="s">
        <v>32</v>
      </c>
      <c r="E15" s="3" t="s">
        <v>39</v>
      </c>
      <c r="F15" s="3"/>
      <c r="G15" s="178">
        <f>'Default EF'!G13</f>
        <v>2.6580855599999996E-3</v>
      </c>
      <c r="H15" s="3"/>
      <c r="I15" s="206"/>
      <c r="J15" s="3"/>
      <c r="K15" s="178"/>
      <c r="L15" s="3"/>
      <c r="M15" s="178"/>
      <c r="N15" s="3"/>
      <c r="O15" s="178">
        <f>'Default EF'!O13</f>
        <v>4.6962396000000008E-4</v>
      </c>
      <c r="P15" s="3"/>
      <c r="Q15" s="206"/>
      <c r="R15" s="3"/>
      <c r="T15" s="178"/>
      <c r="U15" s="178"/>
      <c r="V15" s="3" t="s">
        <v>32</v>
      </c>
      <c r="W15" s="3" t="s">
        <v>39</v>
      </c>
      <c r="X15" s="3"/>
      <c r="Y15" s="178">
        <f>'Default EF'!H13</f>
        <v>2.6580855599999996E-3</v>
      </c>
      <c r="Z15" s="3"/>
      <c r="AA15" s="206"/>
      <c r="AB15" s="3"/>
      <c r="AC15" s="178"/>
      <c r="AD15" s="3"/>
      <c r="AE15" s="178"/>
      <c r="AF15" s="3"/>
      <c r="AG15" s="179">
        <f>'Default EF'!P13</f>
        <v>4.6962396000000008E-4</v>
      </c>
      <c r="AH15" s="3"/>
      <c r="AI15" s="206"/>
      <c r="AJ15" s="3"/>
      <c r="AL15" s="178"/>
      <c r="AM15" s="178"/>
      <c r="AN15" s="3" t="s">
        <v>32</v>
      </c>
      <c r="AO15" s="3" t="s">
        <v>39</v>
      </c>
      <c r="AP15" s="3"/>
      <c r="AQ15" s="178">
        <f>'Default EF'!I13</f>
        <v>2.6580855599999996E-3</v>
      </c>
      <c r="AR15" s="3"/>
      <c r="AS15" s="206"/>
      <c r="AT15" s="3"/>
      <c r="AU15" s="178"/>
      <c r="AV15" s="3"/>
      <c r="AW15" s="178"/>
      <c r="AX15" s="3"/>
      <c r="AY15" s="179">
        <f>'Default EF'!Q13</f>
        <v>4.6962396000000008E-4</v>
      </c>
      <c r="AZ15" s="3"/>
      <c r="BA15" s="206"/>
      <c r="BB15" s="3"/>
    </row>
    <row r="16" spans="1:54" ht="12.75" x14ac:dyDescent="0.2">
      <c r="B16" s="178"/>
      <c r="C16" s="181"/>
      <c r="D16" s="420"/>
      <c r="E16" s="3"/>
      <c r="F16" s="3"/>
      <c r="G16" s="178"/>
      <c r="H16" s="178"/>
      <c r="I16" s="178"/>
      <c r="J16" s="178"/>
      <c r="K16" s="178"/>
      <c r="L16" s="3"/>
      <c r="M16" s="178"/>
      <c r="N16" s="3"/>
      <c r="O16" s="178"/>
      <c r="P16" s="178"/>
      <c r="Q16" s="178"/>
      <c r="R16" s="3"/>
      <c r="T16" s="178"/>
      <c r="U16" s="178"/>
      <c r="V16" s="3"/>
      <c r="W16" s="180"/>
      <c r="X16" s="180"/>
      <c r="Y16" s="180"/>
      <c r="Z16" s="180"/>
      <c r="AA16" s="180"/>
      <c r="AB16" s="180"/>
      <c r="AC16" s="180"/>
      <c r="AD16" s="180"/>
      <c r="AE16" s="180"/>
      <c r="AF16" s="180"/>
      <c r="AG16" s="182"/>
      <c r="AH16" s="180"/>
      <c r="AI16" s="178"/>
      <c r="AJ16" s="3"/>
      <c r="AL16" s="178"/>
      <c r="AM16" s="178"/>
      <c r="AN16" s="180"/>
      <c r="AO16" s="180"/>
      <c r="AP16" s="180"/>
      <c r="AQ16" s="180"/>
      <c r="AR16" s="180"/>
      <c r="AS16" s="180"/>
      <c r="AT16" s="180"/>
      <c r="AU16" s="180"/>
      <c r="AV16" s="180"/>
      <c r="AW16" s="180"/>
      <c r="AX16" s="180"/>
      <c r="AY16" s="182"/>
      <c r="AZ16" s="180"/>
      <c r="BA16" s="178"/>
      <c r="BB16" s="3"/>
    </row>
    <row r="17" spans="2:54" ht="12.75" x14ac:dyDescent="0.2">
      <c r="B17" s="178"/>
      <c r="C17" s="178"/>
      <c r="D17" s="180" t="s">
        <v>43</v>
      </c>
      <c r="E17" s="3" t="s">
        <v>39</v>
      </c>
      <c r="F17" s="3"/>
      <c r="G17" s="178"/>
      <c r="H17" s="3"/>
      <c r="I17" s="178"/>
      <c r="J17" s="3"/>
      <c r="K17" s="178"/>
      <c r="L17" s="3"/>
      <c r="M17" s="178"/>
      <c r="N17" s="3"/>
      <c r="O17" s="178">
        <f>'Default EF'!O15</f>
        <v>3.1277095199999999E-3</v>
      </c>
      <c r="P17" s="3"/>
      <c r="Q17" s="206"/>
      <c r="R17" s="3"/>
      <c r="T17" s="178"/>
      <c r="U17" s="178"/>
      <c r="V17" s="3" t="s">
        <v>43</v>
      </c>
      <c r="W17" s="3" t="s">
        <v>39</v>
      </c>
      <c r="X17" s="3"/>
      <c r="Y17" s="178"/>
      <c r="Z17" s="3"/>
      <c r="AA17" s="178"/>
      <c r="AB17" s="3"/>
      <c r="AC17" s="178"/>
      <c r="AD17" s="3"/>
      <c r="AE17" s="178"/>
      <c r="AF17" s="3"/>
      <c r="AG17" s="179">
        <f>'Default EF'!P15</f>
        <v>3.1277095199999999E-3</v>
      </c>
      <c r="AH17" s="3"/>
      <c r="AI17" s="206"/>
      <c r="AJ17" s="3"/>
      <c r="AL17" s="178"/>
      <c r="AM17" s="178"/>
      <c r="AN17" s="3" t="s">
        <v>43</v>
      </c>
      <c r="AO17" s="3" t="s">
        <v>39</v>
      </c>
      <c r="AP17" s="3"/>
      <c r="AQ17" s="178"/>
      <c r="AR17" s="3"/>
      <c r="AS17" s="178"/>
      <c r="AT17" s="3"/>
      <c r="AU17" s="178"/>
      <c r="AV17" s="3"/>
      <c r="AW17" s="178"/>
      <c r="AX17" s="3"/>
      <c r="AY17" s="179">
        <f>'Default EF'!Q15</f>
        <v>3.1277095199999999E-3</v>
      </c>
      <c r="AZ17" s="3"/>
      <c r="BA17" s="206"/>
      <c r="BB17" s="3"/>
    </row>
    <row r="18" spans="2:54" ht="12.75" x14ac:dyDescent="0.2">
      <c r="B18" s="178"/>
      <c r="C18" s="178"/>
      <c r="D18" s="180" t="s">
        <v>44</v>
      </c>
      <c r="E18" s="3" t="s">
        <v>39</v>
      </c>
      <c r="F18" s="3"/>
      <c r="G18" s="178"/>
      <c r="H18" s="3"/>
      <c r="I18" s="178"/>
      <c r="J18" s="3"/>
      <c r="K18" s="178"/>
      <c r="L18" s="3"/>
      <c r="M18" s="178"/>
      <c r="N18" s="3"/>
      <c r="O18" s="178">
        <f>'Default EF'!O16</f>
        <v>3.1277095199999999E-3</v>
      </c>
      <c r="P18" s="3"/>
      <c r="Q18" s="206"/>
      <c r="R18" s="3"/>
      <c r="T18" s="178"/>
      <c r="U18" s="178"/>
      <c r="V18" s="3" t="s">
        <v>44</v>
      </c>
      <c r="W18" s="3" t="s">
        <v>39</v>
      </c>
      <c r="X18" s="3"/>
      <c r="Y18" s="178"/>
      <c r="Z18" s="3"/>
      <c r="AA18" s="178"/>
      <c r="AB18" s="3"/>
      <c r="AC18" s="178"/>
      <c r="AD18" s="3"/>
      <c r="AE18" s="178"/>
      <c r="AF18" s="3"/>
      <c r="AG18" s="179">
        <f>'Default EF'!P16</f>
        <v>3.1277095199999999E-3</v>
      </c>
      <c r="AH18" s="3"/>
      <c r="AI18" s="206"/>
      <c r="AJ18" s="3"/>
      <c r="AL18" s="178"/>
      <c r="AM18" s="178"/>
      <c r="AN18" s="3" t="s">
        <v>44</v>
      </c>
      <c r="AO18" s="3" t="s">
        <v>39</v>
      </c>
      <c r="AP18" s="3"/>
      <c r="AQ18" s="178"/>
      <c r="AR18" s="3"/>
      <c r="AS18" s="178"/>
      <c r="AT18" s="3"/>
      <c r="AU18" s="178"/>
      <c r="AV18" s="3"/>
      <c r="AW18" s="178"/>
      <c r="AX18" s="3"/>
      <c r="AY18" s="179">
        <f>'Default EF'!Q16</f>
        <v>3.1277095199999999E-3</v>
      </c>
      <c r="AZ18" s="3"/>
      <c r="BA18" s="206"/>
      <c r="BB18" s="3"/>
    </row>
    <row r="19" spans="2:54" ht="12.75" x14ac:dyDescent="0.2">
      <c r="B19" s="178"/>
      <c r="C19" s="178"/>
      <c r="D19" s="3"/>
      <c r="E19" s="3"/>
      <c r="F19" s="3"/>
      <c r="G19" s="178"/>
      <c r="H19" s="3"/>
      <c r="I19" s="178"/>
      <c r="J19" s="3"/>
      <c r="K19" s="178"/>
      <c r="L19" s="3"/>
      <c r="M19" s="178"/>
      <c r="N19" s="3"/>
      <c r="O19" s="178"/>
      <c r="P19" s="3"/>
      <c r="Q19" s="178"/>
      <c r="R19" s="3"/>
      <c r="T19" s="178"/>
      <c r="U19" s="178"/>
      <c r="V19" s="3"/>
      <c r="W19" s="3"/>
      <c r="X19" s="3"/>
      <c r="Y19" s="178"/>
      <c r="Z19" s="3"/>
      <c r="AA19" s="178"/>
      <c r="AB19" s="3"/>
      <c r="AC19" s="178"/>
      <c r="AD19" s="3"/>
      <c r="AE19" s="178"/>
      <c r="AF19" s="3"/>
      <c r="AG19" s="179"/>
      <c r="AH19" s="3"/>
      <c r="AI19" s="178"/>
      <c r="AJ19" s="3"/>
      <c r="AL19" s="178"/>
      <c r="AM19" s="178"/>
      <c r="AN19" s="3"/>
      <c r="AO19" s="3"/>
      <c r="AP19" s="3"/>
      <c r="AQ19" s="178"/>
      <c r="AR19" s="3"/>
      <c r="AS19" s="178"/>
      <c r="AT19" s="3"/>
      <c r="AU19" s="178"/>
      <c r="AV19" s="3"/>
      <c r="AW19" s="178"/>
      <c r="AX19" s="3"/>
      <c r="AY19" s="179"/>
      <c r="AZ19" s="3"/>
      <c r="BA19" s="178"/>
      <c r="BB19" s="3"/>
    </row>
    <row r="20" spans="2:54" ht="12.75" x14ac:dyDescent="0.2">
      <c r="B20" s="8"/>
      <c r="C20" s="8" t="s">
        <v>483</v>
      </c>
      <c r="D20" s="8"/>
      <c r="E20" s="3"/>
      <c r="F20" s="3"/>
      <c r="G20" s="178"/>
      <c r="H20" s="3"/>
      <c r="I20" s="178"/>
      <c r="J20" s="3"/>
      <c r="K20" s="178"/>
      <c r="L20" s="3"/>
      <c r="M20" s="178"/>
      <c r="N20" s="3"/>
      <c r="O20" s="178"/>
      <c r="P20" s="3"/>
      <c r="Q20" s="178"/>
      <c r="R20" s="3"/>
      <c r="T20" s="178"/>
      <c r="U20" s="8" t="s">
        <v>66</v>
      </c>
      <c r="V20" s="3"/>
      <c r="W20" s="3"/>
      <c r="X20" s="3"/>
      <c r="Y20" s="178"/>
      <c r="Z20" s="3"/>
      <c r="AA20" s="178"/>
      <c r="AB20" s="3"/>
      <c r="AC20" s="178"/>
      <c r="AD20" s="3"/>
      <c r="AE20" s="178"/>
      <c r="AF20" s="3"/>
      <c r="AG20" s="179"/>
      <c r="AH20" s="3"/>
      <c r="AI20" s="178"/>
      <c r="AJ20" s="3"/>
      <c r="AL20" s="178"/>
      <c r="AM20" s="177" t="s">
        <v>66</v>
      </c>
      <c r="AN20" s="8"/>
      <c r="AO20" s="3"/>
      <c r="AP20" s="3"/>
      <c r="AQ20" s="178"/>
      <c r="AR20" s="3"/>
      <c r="AS20" s="178"/>
      <c r="AT20" s="3"/>
      <c r="AU20" s="178"/>
      <c r="AV20" s="3"/>
      <c r="AW20" s="178"/>
      <c r="AX20" s="3"/>
      <c r="AY20" s="179"/>
      <c r="AZ20" s="3"/>
      <c r="BA20" s="178"/>
      <c r="BB20" s="3"/>
    </row>
    <row r="21" spans="2:54" ht="12.75" x14ac:dyDescent="0.2">
      <c r="B21" s="178"/>
      <c r="C21" s="178"/>
      <c r="D21" s="3" t="s">
        <v>45</v>
      </c>
      <c r="E21" s="3" t="s">
        <v>46</v>
      </c>
      <c r="F21" s="3"/>
      <c r="G21" s="178"/>
      <c r="H21" s="3"/>
      <c r="I21" s="178"/>
      <c r="J21" s="3"/>
      <c r="K21" s="178"/>
      <c r="L21" s="3"/>
      <c r="M21" s="178"/>
      <c r="N21" s="3"/>
      <c r="O21" s="178">
        <f>'Default EF'!O19</f>
        <v>0.66500000000000004</v>
      </c>
      <c r="P21" s="3"/>
      <c r="Q21" s="206"/>
      <c r="R21" s="3"/>
      <c r="T21" s="178"/>
      <c r="U21" s="178"/>
      <c r="V21" s="3" t="s">
        <v>45</v>
      </c>
      <c r="W21" s="3" t="s">
        <v>46</v>
      </c>
      <c r="X21" s="3"/>
      <c r="Y21" s="178"/>
      <c r="Z21" s="3"/>
      <c r="AA21" s="178"/>
      <c r="AB21" s="3"/>
      <c r="AC21" s="178"/>
      <c r="AD21" s="3"/>
      <c r="AE21" s="178"/>
      <c r="AF21" s="3"/>
      <c r="AG21" s="179">
        <f>'Default EF'!P19</f>
        <v>0.66500000000000004</v>
      </c>
      <c r="AH21" s="3"/>
      <c r="AI21" s="206"/>
      <c r="AJ21" s="3"/>
      <c r="AL21" s="178"/>
      <c r="AM21" s="178"/>
      <c r="AN21" s="3" t="s">
        <v>45</v>
      </c>
      <c r="AO21" s="3" t="s">
        <v>46</v>
      </c>
      <c r="AP21" s="3"/>
      <c r="AQ21" s="178"/>
      <c r="AR21" s="3"/>
      <c r="AS21" s="178"/>
      <c r="AT21" s="3"/>
      <c r="AU21" s="178"/>
      <c r="AV21" s="3"/>
      <c r="AW21" s="178"/>
      <c r="AX21" s="3"/>
      <c r="AY21" s="179">
        <f>'Default EF'!Q19</f>
        <v>0.66500000000000004</v>
      </c>
      <c r="AZ21" s="3"/>
      <c r="BA21" s="206"/>
      <c r="BB21" s="3"/>
    </row>
    <row r="22" spans="2:54" ht="12.75" x14ac:dyDescent="0.2">
      <c r="B22" s="178"/>
      <c r="C22" s="178"/>
      <c r="D22" s="3" t="s">
        <v>47</v>
      </c>
      <c r="E22" s="3" t="s">
        <v>46</v>
      </c>
      <c r="F22" s="3"/>
      <c r="G22" s="178"/>
      <c r="H22" s="3"/>
      <c r="I22" s="178"/>
      <c r="J22" s="3"/>
      <c r="K22" s="178"/>
      <c r="L22" s="3"/>
      <c r="M22" s="178"/>
      <c r="N22" s="3"/>
      <c r="O22" s="178">
        <f>'Default EF'!O20</f>
        <v>0.55300000000000005</v>
      </c>
      <c r="P22" s="3"/>
      <c r="Q22" s="206"/>
      <c r="R22" s="3"/>
      <c r="T22" s="178"/>
      <c r="U22" s="178"/>
      <c r="V22" s="3" t="s">
        <v>47</v>
      </c>
      <c r="W22" s="3" t="s">
        <v>46</v>
      </c>
      <c r="X22" s="3"/>
      <c r="Y22" s="178"/>
      <c r="Z22" s="3"/>
      <c r="AA22" s="178"/>
      <c r="AB22" s="3"/>
      <c r="AC22" s="178"/>
      <c r="AD22" s="3"/>
      <c r="AE22" s="178"/>
      <c r="AF22" s="3"/>
      <c r="AG22" s="179">
        <f>'Default EF'!P20</f>
        <v>0.55300000000000005</v>
      </c>
      <c r="AH22" s="3"/>
      <c r="AI22" s="206"/>
      <c r="AJ22" s="3"/>
      <c r="AL22" s="178"/>
      <c r="AM22" s="178"/>
      <c r="AN22" s="3" t="s">
        <v>47</v>
      </c>
      <c r="AO22" s="3" t="s">
        <v>46</v>
      </c>
      <c r="AP22" s="3"/>
      <c r="AQ22" s="178"/>
      <c r="AR22" s="3"/>
      <c r="AS22" s="178"/>
      <c r="AT22" s="3"/>
      <c r="AU22" s="178"/>
      <c r="AV22" s="3"/>
      <c r="AW22" s="178"/>
      <c r="AX22" s="3"/>
      <c r="AY22" s="179">
        <f>'Default EF'!Q20</f>
        <v>0.55300000000000005</v>
      </c>
      <c r="AZ22" s="3"/>
      <c r="BA22" s="206"/>
      <c r="BB22" s="3"/>
    </row>
    <row r="23" spans="2:54" ht="12.75" x14ac:dyDescent="0.2">
      <c r="B23" s="178"/>
      <c r="C23" s="178"/>
      <c r="D23" s="3" t="s">
        <v>48</v>
      </c>
      <c r="E23" s="3" t="s">
        <v>46</v>
      </c>
      <c r="F23" s="3"/>
      <c r="G23" s="178"/>
      <c r="H23" s="3"/>
      <c r="I23" s="178"/>
      <c r="J23" s="3"/>
      <c r="K23" s="178"/>
      <c r="L23" s="3"/>
      <c r="M23" s="178"/>
      <c r="N23" s="3"/>
      <c r="O23" s="178">
        <f>'Default EF'!O21</f>
        <v>0.84499999999999997</v>
      </c>
      <c r="P23" s="3"/>
      <c r="Q23" s="206"/>
      <c r="R23" s="3"/>
      <c r="T23" s="178"/>
      <c r="U23" s="178"/>
      <c r="V23" s="3" t="s">
        <v>48</v>
      </c>
      <c r="W23" s="3" t="s">
        <v>46</v>
      </c>
      <c r="X23" s="3"/>
      <c r="Y23" s="178"/>
      <c r="Z23" s="3"/>
      <c r="AA23" s="178"/>
      <c r="AB23" s="3"/>
      <c r="AC23" s="178"/>
      <c r="AD23" s="3"/>
      <c r="AE23" s="178"/>
      <c r="AF23" s="3"/>
      <c r="AG23" s="179">
        <f>'Default EF'!P21</f>
        <v>0.84499999999999997</v>
      </c>
      <c r="AH23" s="3"/>
      <c r="AI23" s="206"/>
      <c r="AJ23" s="3"/>
      <c r="AL23" s="178"/>
      <c r="AM23" s="178"/>
      <c r="AN23" s="3" t="s">
        <v>48</v>
      </c>
      <c r="AO23" s="3" t="s">
        <v>46</v>
      </c>
      <c r="AP23" s="3"/>
      <c r="AQ23" s="178"/>
      <c r="AR23" s="3"/>
      <c r="AS23" s="178"/>
      <c r="AT23" s="3"/>
      <c r="AU23" s="178"/>
      <c r="AV23" s="3"/>
      <c r="AW23" s="178"/>
      <c r="AX23" s="3"/>
      <c r="AY23" s="179">
        <f>'Default EF'!Q21</f>
        <v>0.84499999999999997</v>
      </c>
      <c r="AZ23" s="3"/>
      <c r="BA23" s="206"/>
      <c r="BB23" s="3"/>
    </row>
    <row r="24" spans="2:54" ht="12.75" x14ac:dyDescent="0.2">
      <c r="B24" s="178"/>
      <c r="C24" s="178"/>
      <c r="D24" s="3" t="str">
        <f>'Referenz Plattenfertiger'!D39</f>
        <v>Weitere Zementsorte</v>
      </c>
      <c r="E24" s="3" t="s">
        <v>46</v>
      </c>
      <c r="F24" s="3"/>
      <c r="G24" s="178"/>
      <c r="H24" s="3"/>
      <c r="I24" s="178"/>
      <c r="J24" s="3"/>
      <c r="K24" s="178"/>
      <c r="L24" s="3"/>
      <c r="M24" s="178"/>
      <c r="N24" s="3"/>
      <c r="O24" s="179" t="str">
        <f>'Default EF'!O22</f>
        <v>k.A.</v>
      </c>
      <c r="P24" s="3"/>
      <c r="Q24" s="206"/>
      <c r="R24" s="3"/>
      <c r="T24" s="178"/>
      <c r="U24" s="178"/>
      <c r="V24" s="3" t="str">
        <f>$D$24</f>
        <v>Weitere Zementsorte</v>
      </c>
      <c r="W24" s="3" t="s">
        <v>46</v>
      </c>
      <c r="X24" s="3"/>
      <c r="Y24" s="178"/>
      <c r="Z24" s="3"/>
      <c r="AA24" s="178"/>
      <c r="AB24" s="3"/>
      <c r="AC24" s="178"/>
      <c r="AD24" s="3"/>
      <c r="AE24" s="178"/>
      <c r="AF24" s="3"/>
      <c r="AG24" s="179" t="str">
        <f>'Default EF'!P22</f>
        <v>k.A.</v>
      </c>
      <c r="AH24" s="3"/>
      <c r="AI24" s="206"/>
      <c r="AJ24" s="3"/>
      <c r="AL24" s="178"/>
      <c r="AM24" s="178"/>
      <c r="AN24" s="3" t="str">
        <f>$D$24</f>
        <v>Weitere Zementsorte</v>
      </c>
      <c r="AO24" s="3" t="s">
        <v>46</v>
      </c>
      <c r="AP24" s="3"/>
      <c r="AQ24" s="178"/>
      <c r="AR24" s="3"/>
      <c r="AS24" s="178"/>
      <c r="AT24" s="3"/>
      <c r="AU24" s="178"/>
      <c r="AV24" s="3"/>
      <c r="AW24" s="178"/>
      <c r="AX24" s="3"/>
      <c r="AY24" s="179" t="str">
        <f>'Default EF'!Q22</f>
        <v>k.A.</v>
      </c>
      <c r="AZ24" s="3"/>
      <c r="BA24" s="206"/>
      <c r="BB24" s="3"/>
    </row>
    <row r="25" spans="2:54" ht="12.75" x14ac:dyDescent="0.2">
      <c r="B25" s="178"/>
      <c r="C25" s="178"/>
      <c r="D25" s="3"/>
      <c r="E25" s="3"/>
      <c r="F25" s="3"/>
      <c r="G25" s="178"/>
      <c r="H25" s="3"/>
      <c r="I25" s="178"/>
      <c r="J25" s="3"/>
      <c r="K25" s="178"/>
      <c r="L25" s="3"/>
      <c r="M25" s="178"/>
      <c r="N25" s="3"/>
      <c r="O25" s="183"/>
      <c r="P25" s="3"/>
      <c r="Q25" s="183"/>
      <c r="R25" s="3"/>
      <c r="T25" s="178"/>
      <c r="U25" s="178"/>
      <c r="V25" s="3"/>
      <c r="W25" s="3"/>
      <c r="X25" s="3"/>
      <c r="Y25" s="178"/>
      <c r="Z25" s="3"/>
      <c r="AA25" s="178"/>
      <c r="AB25" s="3"/>
      <c r="AC25" s="178"/>
      <c r="AD25" s="3"/>
      <c r="AE25" s="178"/>
      <c r="AF25" s="3"/>
      <c r="AG25" s="183"/>
      <c r="AH25" s="3"/>
      <c r="AI25" s="183"/>
      <c r="AJ25" s="3"/>
      <c r="AL25" s="178"/>
      <c r="AM25" s="178"/>
      <c r="AN25" s="3"/>
      <c r="AO25" s="3"/>
      <c r="AP25" s="3"/>
      <c r="AQ25" s="178"/>
      <c r="AR25" s="3"/>
      <c r="AS25" s="178"/>
      <c r="AT25" s="3"/>
      <c r="AU25" s="178"/>
      <c r="AV25" s="3"/>
      <c r="AW25" s="178"/>
      <c r="AX25" s="3"/>
      <c r="AY25" s="183"/>
      <c r="AZ25" s="3"/>
      <c r="BA25" s="183"/>
      <c r="BB25" s="3"/>
    </row>
    <row r="26" spans="2:54" ht="12.75" x14ac:dyDescent="0.2">
      <c r="B26" s="178"/>
      <c r="C26" s="8" t="s">
        <v>163</v>
      </c>
      <c r="D26" s="3"/>
      <c r="E26" s="3"/>
      <c r="F26" s="3"/>
      <c r="G26" s="178"/>
      <c r="H26" s="3"/>
      <c r="I26" s="178"/>
      <c r="J26" s="3"/>
      <c r="K26" s="178"/>
      <c r="L26" s="3"/>
      <c r="M26" s="178"/>
      <c r="N26" s="3"/>
      <c r="O26" s="183"/>
      <c r="P26" s="3"/>
      <c r="Q26" s="183"/>
      <c r="R26" s="3"/>
      <c r="T26" s="178"/>
      <c r="U26" s="181" t="s">
        <v>163</v>
      </c>
      <c r="V26" s="3"/>
      <c r="W26" s="3"/>
      <c r="X26" s="3"/>
      <c r="Y26" s="178"/>
      <c r="Z26" s="3"/>
      <c r="AA26" s="178"/>
      <c r="AB26" s="3"/>
      <c r="AC26" s="178"/>
      <c r="AD26" s="3"/>
      <c r="AE26" s="178"/>
      <c r="AF26" s="3"/>
      <c r="AG26" s="183"/>
      <c r="AH26" s="3"/>
      <c r="AI26" s="183"/>
      <c r="AJ26" s="3"/>
      <c r="AL26" s="178"/>
      <c r="AM26" s="177" t="s">
        <v>163</v>
      </c>
      <c r="AN26" s="3"/>
      <c r="AO26" s="3"/>
      <c r="AP26" s="3"/>
      <c r="AQ26" s="178"/>
      <c r="AR26" s="3"/>
      <c r="AS26" s="178"/>
      <c r="AT26" s="3"/>
      <c r="AU26" s="178"/>
      <c r="AV26" s="3"/>
      <c r="AW26" s="178"/>
      <c r="AX26" s="3"/>
      <c r="AY26" s="183"/>
      <c r="AZ26" s="3"/>
      <c r="BA26" s="183"/>
      <c r="BB26" s="3"/>
    </row>
    <row r="27" spans="2:54" ht="12.75" x14ac:dyDescent="0.2">
      <c r="B27" s="178"/>
      <c r="C27" s="178"/>
      <c r="D27" s="3" t="s">
        <v>164</v>
      </c>
      <c r="E27" s="3" t="s">
        <v>46</v>
      </c>
      <c r="F27" s="3"/>
      <c r="G27" s="178"/>
      <c r="H27" s="3"/>
      <c r="I27" s="178"/>
      <c r="J27" s="3"/>
      <c r="K27" s="178"/>
      <c r="L27" s="3"/>
      <c r="M27" s="178"/>
      <c r="N27" s="3"/>
      <c r="O27" s="178">
        <f>'Default EF'!O25</f>
        <v>4.8500000000000001E-3</v>
      </c>
      <c r="P27" s="3"/>
      <c r="Q27" s="206"/>
      <c r="R27" s="3"/>
      <c r="T27" s="178"/>
      <c r="U27" s="178"/>
      <c r="V27" s="3" t="s">
        <v>164</v>
      </c>
      <c r="W27" s="3" t="s">
        <v>46</v>
      </c>
      <c r="X27" s="3"/>
      <c r="Y27" s="178"/>
      <c r="Z27" s="3"/>
      <c r="AA27" s="178"/>
      <c r="AB27" s="3"/>
      <c r="AC27" s="178"/>
      <c r="AD27" s="3"/>
      <c r="AE27" s="178"/>
      <c r="AF27" s="3"/>
      <c r="AG27" s="179">
        <f>'Default EF'!P25</f>
        <v>4.8500000000000001E-3</v>
      </c>
      <c r="AH27" s="3"/>
      <c r="AI27" s="206"/>
      <c r="AJ27" s="3"/>
      <c r="AL27" s="178"/>
      <c r="AM27" s="178"/>
      <c r="AN27" s="3" t="s">
        <v>164</v>
      </c>
      <c r="AO27" s="3" t="s">
        <v>46</v>
      </c>
      <c r="AP27" s="3"/>
      <c r="AQ27" s="178"/>
      <c r="AR27" s="3"/>
      <c r="AS27" s="178"/>
      <c r="AT27" s="3"/>
      <c r="AU27" s="178"/>
      <c r="AV27" s="3"/>
      <c r="AW27" s="178"/>
      <c r="AX27" s="3"/>
      <c r="AY27" s="179">
        <f>'Default EF'!Q25</f>
        <v>4.8500000000000001E-3</v>
      </c>
      <c r="AZ27" s="3"/>
      <c r="BA27" s="206"/>
      <c r="BB27" s="3"/>
    </row>
    <row r="28" spans="2:54" ht="12.75" x14ac:dyDescent="0.2">
      <c r="B28" s="178"/>
      <c r="C28" s="178"/>
      <c r="D28" s="3" t="s">
        <v>165</v>
      </c>
      <c r="E28" s="3" t="s">
        <v>46</v>
      </c>
      <c r="F28" s="3"/>
      <c r="G28" s="178"/>
      <c r="H28" s="3"/>
      <c r="I28" s="178"/>
      <c r="J28" s="3"/>
      <c r="K28" s="178"/>
      <c r="L28" s="3"/>
      <c r="M28" s="178"/>
      <c r="N28" s="3"/>
      <c r="O28" s="179" t="str">
        <f>'Default EF'!O26</f>
        <v>k.A.</v>
      </c>
      <c r="P28" s="3"/>
      <c r="Q28" s="206"/>
      <c r="R28" s="3"/>
      <c r="T28" s="178"/>
      <c r="U28" s="178"/>
      <c r="V28" s="3" t="s">
        <v>165</v>
      </c>
      <c r="W28" s="3" t="s">
        <v>46</v>
      </c>
      <c r="X28" s="3"/>
      <c r="Y28" s="178"/>
      <c r="Z28" s="3"/>
      <c r="AA28" s="178"/>
      <c r="AB28" s="3"/>
      <c r="AC28" s="178"/>
      <c r="AD28" s="3"/>
      <c r="AE28" s="178"/>
      <c r="AF28" s="3"/>
      <c r="AG28" s="179" t="str">
        <f>'Default EF'!P26</f>
        <v>k.A.</v>
      </c>
      <c r="AH28" s="3"/>
      <c r="AI28" s="206"/>
      <c r="AJ28" s="3"/>
      <c r="AL28" s="178"/>
      <c r="AM28" s="178"/>
      <c r="AN28" s="3" t="s">
        <v>165</v>
      </c>
      <c r="AO28" s="3" t="s">
        <v>46</v>
      </c>
      <c r="AP28" s="3"/>
      <c r="AQ28" s="178"/>
      <c r="AR28" s="3"/>
      <c r="AS28" s="178"/>
      <c r="AT28" s="3"/>
      <c r="AU28" s="178"/>
      <c r="AV28" s="3"/>
      <c r="AW28" s="178"/>
      <c r="AX28" s="3"/>
      <c r="AY28" s="179" t="str">
        <f>'Default EF'!Q26</f>
        <v>k.A.</v>
      </c>
      <c r="AZ28" s="3"/>
      <c r="BA28" s="206"/>
      <c r="BB28" s="3"/>
    </row>
    <row r="29" spans="2:54" ht="12.75" x14ac:dyDescent="0.2">
      <c r="B29" s="178"/>
      <c r="C29" s="178"/>
      <c r="D29" s="3" t="s">
        <v>166</v>
      </c>
      <c r="E29" s="3" t="s">
        <v>46</v>
      </c>
      <c r="F29" s="3"/>
      <c r="G29" s="178"/>
      <c r="H29" s="3"/>
      <c r="I29" s="178"/>
      <c r="J29" s="3"/>
      <c r="K29" s="178"/>
      <c r="L29" s="3"/>
      <c r="M29" s="178"/>
      <c r="N29" s="3"/>
      <c r="O29" s="179" t="str">
        <f>'Default EF'!O27</f>
        <v>k.A.</v>
      </c>
      <c r="P29" s="3"/>
      <c r="Q29" s="206"/>
      <c r="R29" s="3"/>
      <c r="T29" s="178"/>
      <c r="U29" s="178"/>
      <c r="V29" s="3" t="s">
        <v>166</v>
      </c>
      <c r="W29" s="3" t="s">
        <v>46</v>
      </c>
      <c r="X29" s="3"/>
      <c r="Y29" s="178"/>
      <c r="Z29" s="3"/>
      <c r="AA29" s="178"/>
      <c r="AB29" s="3"/>
      <c r="AC29" s="178"/>
      <c r="AD29" s="3"/>
      <c r="AE29" s="178"/>
      <c r="AF29" s="3"/>
      <c r="AG29" s="179" t="str">
        <f>'Default EF'!P27</f>
        <v>k.A.</v>
      </c>
      <c r="AH29" s="3"/>
      <c r="AI29" s="206"/>
      <c r="AJ29" s="3"/>
      <c r="AL29" s="178"/>
      <c r="AM29" s="178"/>
      <c r="AN29" s="3" t="s">
        <v>166</v>
      </c>
      <c r="AO29" s="3" t="s">
        <v>46</v>
      </c>
      <c r="AP29" s="3"/>
      <c r="AQ29" s="178"/>
      <c r="AR29" s="3"/>
      <c r="AS29" s="178"/>
      <c r="AT29" s="3"/>
      <c r="AU29" s="178"/>
      <c r="AV29" s="3"/>
      <c r="AW29" s="178"/>
      <c r="AX29" s="3"/>
      <c r="AY29" s="179" t="str">
        <f>'Default EF'!Q27</f>
        <v>k.A.</v>
      </c>
      <c r="AZ29" s="3"/>
      <c r="BA29" s="206"/>
      <c r="BB29" s="3"/>
    </row>
    <row r="30" spans="2:54" ht="12.75" x14ac:dyDescent="0.2">
      <c r="B30" s="178"/>
      <c r="C30" s="178"/>
      <c r="D30" s="3" t="str">
        <f>'Referenz Plattenfertiger'!D45</f>
        <v>Weiterer Zuschlagstoff 1</v>
      </c>
      <c r="E30" s="3" t="s">
        <v>46</v>
      </c>
      <c r="F30" s="3"/>
      <c r="G30" s="178"/>
      <c r="H30" s="3"/>
      <c r="I30" s="178"/>
      <c r="J30" s="3"/>
      <c r="K30" s="178"/>
      <c r="L30" s="3"/>
      <c r="M30" s="178"/>
      <c r="N30" s="3"/>
      <c r="O30" s="179" t="str">
        <f>'Default EF'!O28</f>
        <v>k.A.</v>
      </c>
      <c r="P30" s="3"/>
      <c r="Q30" s="206"/>
      <c r="R30" s="3"/>
      <c r="T30" s="178"/>
      <c r="U30" s="178"/>
      <c r="V30" s="3" t="str">
        <f>D30</f>
        <v>Weiterer Zuschlagstoff 1</v>
      </c>
      <c r="W30" s="3" t="s">
        <v>46</v>
      </c>
      <c r="X30" s="3"/>
      <c r="Y30" s="178"/>
      <c r="Z30" s="3"/>
      <c r="AA30" s="178"/>
      <c r="AB30" s="3"/>
      <c r="AC30" s="178"/>
      <c r="AD30" s="3"/>
      <c r="AE30" s="178"/>
      <c r="AF30" s="3"/>
      <c r="AG30" s="179" t="str">
        <f>'Default EF'!P28</f>
        <v>k.A.</v>
      </c>
      <c r="AH30" s="3"/>
      <c r="AI30" s="206"/>
      <c r="AJ30" s="3"/>
      <c r="AL30" s="178"/>
      <c r="AM30" s="178"/>
      <c r="AN30" s="3" t="str">
        <f>D30</f>
        <v>Weiterer Zuschlagstoff 1</v>
      </c>
      <c r="AO30" s="3" t="s">
        <v>46</v>
      </c>
      <c r="AP30" s="3"/>
      <c r="AQ30" s="178"/>
      <c r="AR30" s="3"/>
      <c r="AS30" s="178"/>
      <c r="AT30" s="3"/>
      <c r="AU30" s="178"/>
      <c r="AV30" s="3"/>
      <c r="AW30" s="178"/>
      <c r="AX30" s="3"/>
      <c r="AY30" s="179" t="str">
        <f>'Default EF'!Q28</f>
        <v>k.A.</v>
      </c>
      <c r="AZ30" s="3"/>
      <c r="BA30" s="206"/>
      <c r="BB30" s="3"/>
    </row>
    <row r="31" spans="2:54" ht="12.75" x14ac:dyDescent="0.2">
      <c r="B31" s="178"/>
      <c r="C31" s="178"/>
      <c r="D31" s="3" t="str">
        <f>'Referenz Plattenfertiger'!D46</f>
        <v>Weiterer Zuschlagstoff 2</v>
      </c>
      <c r="E31" s="3"/>
      <c r="F31" s="3"/>
      <c r="G31" s="178"/>
      <c r="H31" s="3"/>
      <c r="I31" s="178"/>
      <c r="J31" s="3"/>
      <c r="K31" s="178"/>
      <c r="L31" s="3"/>
      <c r="M31" s="178"/>
      <c r="N31" s="3"/>
      <c r="O31" s="179" t="str">
        <f>'Default EF'!O29</f>
        <v>k.A.</v>
      </c>
      <c r="P31" s="3"/>
      <c r="Q31" s="206"/>
      <c r="R31" s="3"/>
      <c r="T31" s="178"/>
      <c r="U31" s="178"/>
      <c r="V31" s="3" t="str">
        <f>D31</f>
        <v>Weiterer Zuschlagstoff 2</v>
      </c>
      <c r="W31" s="3"/>
      <c r="X31" s="3"/>
      <c r="Y31" s="178"/>
      <c r="Z31" s="3"/>
      <c r="AA31" s="178"/>
      <c r="AB31" s="3"/>
      <c r="AC31" s="178"/>
      <c r="AD31" s="3"/>
      <c r="AE31" s="178"/>
      <c r="AF31" s="3"/>
      <c r="AG31" s="179" t="str">
        <f>'Default EF'!P29</f>
        <v>k.A.</v>
      </c>
      <c r="AH31" s="3"/>
      <c r="AI31" s="206"/>
      <c r="AJ31" s="3"/>
      <c r="AL31" s="178"/>
      <c r="AM31" s="178"/>
      <c r="AN31" s="3" t="str">
        <f>D31</f>
        <v>Weiterer Zuschlagstoff 2</v>
      </c>
      <c r="AO31" s="3" t="s">
        <v>46</v>
      </c>
      <c r="AP31" s="3"/>
      <c r="AQ31" s="178"/>
      <c r="AR31" s="3"/>
      <c r="AS31" s="178"/>
      <c r="AT31" s="3"/>
      <c r="AU31" s="178"/>
      <c r="AV31" s="3"/>
      <c r="AW31" s="178"/>
      <c r="AX31" s="3"/>
      <c r="AY31" s="179" t="str">
        <f>'Default EF'!Q29</f>
        <v>k.A.</v>
      </c>
      <c r="AZ31" s="3"/>
      <c r="BA31" s="206"/>
      <c r="BB31" s="3"/>
    </row>
    <row r="32" spans="2:54" ht="12.75" x14ac:dyDescent="0.2">
      <c r="B32" s="178"/>
      <c r="C32" s="181"/>
      <c r="D32" s="3"/>
      <c r="E32" s="3"/>
      <c r="F32" s="3"/>
      <c r="G32" s="178"/>
      <c r="H32" s="3"/>
      <c r="I32" s="178"/>
      <c r="J32" s="3"/>
      <c r="K32" s="178"/>
      <c r="L32" s="3"/>
      <c r="M32" s="178"/>
      <c r="N32" s="3"/>
      <c r="O32" s="183"/>
      <c r="P32" s="3"/>
      <c r="Q32" s="183"/>
      <c r="R32" s="3"/>
      <c r="T32" s="178"/>
      <c r="U32" s="178"/>
      <c r="V32" s="3"/>
      <c r="W32" s="3"/>
      <c r="X32" s="3"/>
      <c r="Y32" s="178"/>
      <c r="Z32" s="3"/>
      <c r="AA32" s="178"/>
      <c r="AB32" s="3"/>
      <c r="AC32" s="178"/>
      <c r="AD32" s="3"/>
      <c r="AE32" s="178"/>
      <c r="AF32" s="3"/>
      <c r="AG32" s="183"/>
      <c r="AH32" s="3"/>
      <c r="AI32" s="183"/>
      <c r="AJ32" s="3"/>
      <c r="AL32" s="178"/>
      <c r="AM32" s="178"/>
      <c r="AN32" s="3"/>
      <c r="AO32" s="3"/>
      <c r="AP32" s="3"/>
      <c r="AQ32" s="178"/>
      <c r="AR32" s="3"/>
      <c r="AS32" s="178"/>
      <c r="AT32" s="3"/>
      <c r="AU32" s="178"/>
      <c r="AV32" s="3"/>
      <c r="AW32" s="178"/>
      <c r="AX32" s="3"/>
      <c r="AY32" s="183"/>
      <c r="AZ32" s="3"/>
      <c r="BA32" s="183"/>
      <c r="BB32" s="3"/>
    </row>
    <row r="33" spans="2:54" ht="12.75" x14ac:dyDescent="0.2">
      <c r="B33" s="178"/>
      <c r="C33" s="178"/>
      <c r="D33" s="3" t="s">
        <v>55</v>
      </c>
      <c r="E33" s="3" t="s">
        <v>46</v>
      </c>
      <c r="F33" s="3"/>
      <c r="G33" s="178"/>
      <c r="H33" s="3"/>
      <c r="I33" s="178"/>
      <c r="J33" s="3"/>
      <c r="K33" s="178"/>
      <c r="L33" s="3"/>
      <c r="M33" s="178"/>
      <c r="N33" s="3"/>
      <c r="O33" s="178">
        <f>'Default EF'!O31</f>
        <v>2.5999999999999996</v>
      </c>
      <c r="P33" s="3"/>
      <c r="Q33" s="206"/>
      <c r="R33" s="3"/>
      <c r="T33" s="178"/>
      <c r="U33" s="178"/>
      <c r="V33" s="3" t="s">
        <v>55</v>
      </c>
      <c r="W33" s="3" t="s">
        <v>46</v>
      </c>
      <c r="X33" s="3"/>
      <c r="Y33" s="178"/>
      <c r="Z33" s="3"/>
      <c r="AA33" s="178"/>
      <c r="AB33" s="3"/>
      <c r="AC33" s="178"/>
      <c r="AD33" s="3"/>
      <c r="AE33" s="178"/>
      <c r="AF33" s="3"/>
      <c r="AG33" s="179">
        <f>'Default EF'!P31</f>
        <v>2.5999999999999996</v>
      </c>
      <c r="AH33" s="3"/>
      <c r="AI33" s="206"/>
      <c r="AJ33" s="3"/>
      <c r="AL33" s="178"/>
      <c r="AM33" s="178"/>
      <c r="AN33" s="3" t="s">
        <v>55</v>
      </c>
      <c r="AO33" s="3" t="s">
        <v>46</v>
      </c>
      <c r="AP33" s="3"/>
      <c r="AQ33" s="178"/>
      <c r="AR33" s="3"/>
      <c r="AS33" s="178"/>
      <c r="AT33" s="3"/>
      <c r="AU33" s="178"/>
      <c r="AV33" s="3"/>
      <c r="AW33" s="178"/>
      <c r="AX33" s="3"/>
      <c r="AY33" s="179">
        <f>'Default EF'!Q31</f>
        <v>2.5999999999999996</v>
      </c>
      <c r="AZ33" s="3"/>
      <c r="BA33" s="206"/>
      <c r="BB33" s="3"/>
    </row>
    <row r="34" spans="2:54" ht="12.75" x14ac:dyDescent="0.2">
      <c r="B34" s="178"/>
      <c r="C34" s="178"/>
      <c r="D34" s="3"/>
      <c r="E34" s="3"/>
      <c r="F34" s="3"/>
      <c r="G34" s="178"/>
      <c r="H34" s="3"/>
      <c r="I34" s="178"/>
      <c r="J34" s="3"/>
      <c r="K34" s="178"/>
      <c r="L34" s="3"/>
      <c r="M34" s="178"/>
      <c r="N34" s="3"/>
      <c r="O34" s="183"/>
      <c r="P34" s="3"/>
      <c r="Q34" s="183"/>
      <c r="R34" s="3"/>
      <c r="T34" s="178"/>
      <c r="U34" s="178"/>
      <c r="V34" s="3"/>
      <c r="W34" s="3"/>
      <c r="X34" s="3"/>
      <c r="Y34" s="178"/>
      <c r="Z34" s="3"/>
      <c r="AA34" s="178"/>
      <c r="AB34" s="3"/>
      <c r="AC34" s="178"/>
      <c r="AD34" s="3"/>
      <c r="AE34" s="178"/>
      <c r="AF34" s="3"/>
      <c r="AG34" s="183"/>
      <c r="AH34" s="3"/>
      <c r="AI34" s="183"/>
      <c r="AJ34" s="3"/>
      <c r="AL34" s="178"/>
      <c r="AM34" s="178"/>
      <c r="AN34" s="3"/>
      <c r="AO34" s="3"/>
      <c r="AP34" s="3"/>
      <c r="AQ34" s="178"/>
      <c r="AR34" s="3"/>
      <c r="AS34" s="178"/>
      <c r="AT34" s="3"/>
      <c r="AU34" s="178"/>
      <c r="AV34" s="3"/>
      <c r="AW34" s="178"/>
      <c r="AX34" s="3"/>
      <c r="AY34" s="183"/>
      <c r="AZ34" s="3"/>
      <c r="BA34" s="183"/>
      <c r="BB34" s="3"/>
    </row>
    <row r="35" spans="2:54" ht="12.75" x14ac:dyDescent="0.2">
      <c r="B35" s="178"/>
      <c r="C35" s="8" t="s">
        <v>167</v>
      </c>
      <c r="D35" s="8"/>
      <c r="E35" s="3"/>
      <c r="F35" s="178"/>
      <c r="G35" s="178"/>
      <c r="H35" s="3"/>
      <c r="I35" s="178"/>
      <c r="J35" s="3"/>
      <c r="K35" s="178"/>
      <c r="L35" s="3"/>
      <c r="M35" s="178"/>
      <c r="N35" s="3"/>
      <c r="O35" s="183"/>
      <c r="P35" s="3"/>
      <c r="Q35" s="183"/>
      <c r="R35" s="3"/>
      <c r="T35" s="178"/>
      <c r="U35" s="181" t="s">
        <v>167</v>
      </c>
      <c r="V35" s="3"/>
      <c r="W35" s="3"/>
      <c r="X35" s="3"/>
      <c r="Y35" s="178"/>
      <c r="Z35" s="3"/>
      <c r="AA35" s="178"/>
      <c r="AB35" s="3"/>
      <c r="AC35" s="178"/>
      <c r="AD35" s="3"/>
      <c r="AE35" s="178"/>
      <c r="AF35" s="3"/>
      <c r="AG35" s="183"/>
      <c r="AH35" s="3"/>
      <c r="AI35" s="183"/>
      <c r="AJ35" s="3"/>
      <c r="AL35" s="178"/>
      <c r="AM35" s="177" t="s">
        <v>167</v>
      </c>
      <c r="AN35" s="3"/>
      <c r="AO35" s="3"/>
      <c r="AP35" s="3"/>
      <c r="AQ35" s="178"/>
      <c r="AR35" s="3"/>
      <c r="AS35" s="178"/>
      <c r="AT35" s="3"/>
      <c r="AU35" s="178"/>
      <c r="AV35" s="3"/>
      <c r="AW35" s="178"/>
      <c r="AX35" s="3"/>
      <c r="AY35" s="183"/>
      <c r="AZ35" s="3"/>
      <c r="BA35" s="183"/>
      <c r="BB35" s="3"/>
    </row>
    <row r="36" spans="2:54" ht="12.75" x14ac:dyDescent="0.2">
      <c r="B36" s="178"/>
      <c r="C36" s="178"/>
      <c r="D36" s="3" t="str">
        <f>'Referenz Plattenfertiger'!D51</f>
        <v>Flugasche</v>
      </c>
      <c r="E36" s="3" t="s">
        <v>46</v>
      </c>
      <c r="F36" s="178"/>
      <c r="G36" s="178"/>
      <c r="H36" s="3"/>
      <c r="I36" s="178"/>
      <c r="J36" s="3"/>
      <c r="K36" s="178"/>
      <c r="L36" s="3"/>
      <c r="M36" s="163" t="s">
        <v>502</v>
      </c>
      <c r="N36" s="3"/>
      <c r="O36" s="178">
        <f>'Default EF'!O34</f>
        <v>0.19800000000000001</v>
      </c>
      <c r="P36" s="3"/>
      <c r="Q36" s="206"/>
      <c r="R36" s="3"/>
      <c r="T36" s="178"/>
      <c r="U36" s="178"/>
      <c r="V36" s="3" t="str">
        <f>D36</f>
        <v>Flugasche</v>
      </c>
      <c r="W36" s="3" t="s">
        <v>46</v>
      </c>
      <c r="X36" s="178"/>
      <c r="Y36" s="178"/>
      <c r="Z36" s="3"/>
      <c r="AA36" s="178"/>
      <c r="AB36" s="3"/>
      <c r="AC36" s="178"/>
      <c r="AD36" s="3"/>
      <c r="AE36" s="163" t="s">
        <v>502</v>
      </c>
      <c r="AF36" s="3"/>
      <c r="AG36" s="179">
        <f>'Default EF'!P34</f>
        <v>0.19800000000000001</v>
      </c>
      <c r="AH36" s="3"/>
      <c r="AI36" s="206"/>
      <c r="AJ36" s="3"/>
      <c r="AL36" s="178"/>
      <c r="AM36" s="178"/>
      <c r="AN36" s="3" t="str">
        <f>D36</f>
        <v>Flugasche</v>
      </c>
      <c r="AO36" s="3" t="s">
        <v>46</v>
      </c>
      <c r="AP36" s="178"/>
      <c r="AQ36" s="178"/>
      <c r="AR36" s="3"/>
      <c r="AS36" s="178"/>
      <c r="AT36" s="3"/>
      <c r="AU36" s="178"/>
      <c r="AV36" s="3"/>
      <c r="AW36" s="163" t="s">
        <v>502</v>
      </c>
      <c r="AX36" s="3"/>
      <c r="AY36" s="179">
        <f>'Default EF'!Q34</f>
        <v>0.19800000000000001</v>
      </c>
      <c r="AZ36" s="3"/>
      <c r="BA36" s="206"/>
      <c r="BB36" s="3"/>
    </row>
    <row r="37" spans="2:54" ht="12.75" x14ac:dyDescent="0.2">
      <c r="B37" s="178"/>
      <c r="C37" s="178"/>
      <c r="D37" s="3" t="str">
        <f>'Referenz Plattenfertiger'!D52</f>
        <v>Quarzsteinmehl</v>
      </c>
      <c r="E37" s="3" t="s">
        <v>46</v>
      </c>
      <c r="F37" s="178"/>
      <c r="G37" s="178"/>
      <c r="H37" s="3"/>
      <c r="I37" s="178"/>
      <c r="J37" s="3"/>
      <c r="K37" s="178"/>
      <c r="L37" s="3"/>
      <c r="M37" s="163" t="s">
        <v>503</v>
      </c>
      <c r="N37" s="3"/>
      <c r="O37" s="178">
        <f>'Default EF'!O35</f>
        <v>4.342E-2</v>
      </c>
      <c r="P37" s="3"/>
      <c r="Q37" s="206"/>
      <c r="R37" s="3"/>
      <c r="T37" s="178"/>
      <c r="U37" s="178"/>
      <c r="V37" s="3" t="str">
        <f t="shared" ref="V37:V40" si="0">D37</f>
        <v>Quarzsteinmehl</v>
      </c>
      <c r="W37" s="3" t="s">
        <v>46</v>
      </c>
      <c r="X37" s="178"/>
      <c r="Y37" s="178"/>
      <c r="Z37" s="3"/>
      <c r="AA37" s="178"/>
      <c r="AB37" s="3"/>
      <c r="AC37" s="178"/>
      <c r="AD37" s="3"/>
      <c r="AE37" s="163" t="s">
        <v>503</v>
      </c>
      <c r="AF37" s="3"/>
      <c r="AG37" s="179">
        <f>'Default EF'!P35</f>
        <v>4.342E-2</v>
      </c>
      <c r="AH37" s="3"/>
      <c r="AI37" s="206"/>
      <c r="AJ37" s="3"/>
      <c r="AL37" s="178"/>
      <c r="AM37" s="178"/>
      <c r="AN37" s="3" t="str">
        <f t="shared" ref="AN37:AN40" si="1">D37</f>
        <v>Quarzsteinmehl</v>
      </c>
      <c r="AO37" s="3" t="s">
        <v>46</v>
      </c>
      <c r="AP37" s="178"/>
      <c r="AQ37" s="178"/>
      <c r="AR37" s="3"/>
      <c r="AS37" s="178"/>
      <c r="AT37" s="3"/>
      <c r="AU37" s="178"/>
      <c r="AV37" s="3"/>
      <c r="AW37" s="163" t="s">
        <v>503</v>
      </c>
      <c r="AX37" s="3"/>
      <c r="AY37" s="179">
        <f>'Default EF'!Q35</f>
        <v>4.342E-2</v>
      </c>
      <c r="AZ37" s="3"/>
      <c r="BA37" s="206"/>
      <c r="BB37" s="3"/>
    </row>
    <row r="38" spans="2:54" ht="12.75" x14ac:dyDescent="0.2">
      <c r="B38" s="178"/>
      <c r="C38" s="178"/>
      <c r="D38" s="3" t="str">
        <f>'Referenz Plattenfertiger'!D53</f>
        <v>Kalksteinmehl</v>
      </c>
      <c r="E38" s="3" t="s">
        <v>46</v>
      </c>
      <c r="F38" s="178"/>
      <c r="G38" s="178"/>
      <c r="H38" s="3"/>
      <c r="I38" s="178"/>
      <c r="J38" s="3"/>
      <c r="K38" s="178"/>
      <c r="L38" s="3"/>
      <c r="M38" s="163" t="s">
        <v>504</v>
      </c>
      <c r="N38" s="3"/>
      <c r="O38" s="178">
        <f>'Default EF'!O36</f>
        <v>4.5199999999999997E-2</v>
      </c>
      <c r="P38" s="3"/>
      <c r="Q38" s="206"/>
      <c r="R38" s="3"/>
      <c r="T38" s="178"/>
      <c r="U38" s="178"/>
      <c r="V38" s="3" t="str">
        <f t="shared" si="0"/>
        <v>Kalksteinmehl</v>
      </c>
      <c r="W38" s="3" t="s">
        <v>46</v>
      </c>
      <c r="X38" s="178"/>
      <c r="Y38" s="178"/>
      <c r="Z38" s="3"/>
      <c r="AA38" s="178"/>
      <c r="AB38" s="3"/>
      <c r="AC38" s="178"/>
      <c r="AD38" s="3"/>
      <c r="AE38" s="163" t="s">
        <v>504</v>
      </c>
      <c r="AF38" s="3"/>
      <c r="AG38" s="179">
        <f>'Default EF'!P36</f>
        <v>4.5199999999999997E-2</v>
      </c>
      <c r="AH38" s="3"/>
      <c r="AI38" s="206"/>
      <c r="AJ38" s="3"/>
      <c r="AL38" s="178"/>
      <c r="AM38" s="178"/>
      <c r="AN38" s="3" t="str">
        <f t="shared" si="1"/>
        <v>Kalksteinmehl</v>
      </c>
      <c r="AO38" s="3" t="s">
        <v>46</v>
      </c>
      <c r="AP38" s="178"/>
      <c r="AQ38" s="178"/>
      <c r="AR38" s="3"/>
      <c r="AS38" s="178"/>
      <c r="AT38" s="3"/>
      <c r="AU38" s="178"/>
      <c r="AV38" s="3"/>
      <c r="AW38" s="163" t="s">
        <v>504</v>
      </c>
      <c r="AX38" s="3"/>
      <c r="AY38" s="179">
        <f>'Default EF'!Q36</f>
        <v>4.5199999999999997E-2</v>
      </c>
      <c r="AZ38" s="3"/>
      <c r="BA38" s="206"/>
      <c r="BB38" s="3"/>
    </row>
    <row r="39" spans="2:54" ht="12.75" x14ac:dyDescent="0.2">
      <c r="B39" s="178"/>
      <c r="C39" s="178"/>
      <c r="D39" s="3" t="str">
        <f>'Referenz Plattenfertiger'!D54</f>
        <v>Weiterer Zusatzstoff 1</v>
      </c>
      <c r="E39" s="3" t="s">
        <v>46</v>
      </c>
      <c r="F39" s="3"/>
      <c r="G39" s="178"/>
      <c r="H39" s="3"/>
      <c r="I39" s="178"/>
      <c r="J39" s="3"/>
      <c r="K39" s="178"/>
      <c r="L39" s="3"/>
      <c r="M39" s="178"/>
      <c r="N39" s="3"/>
      <c r="O39" s="179" t="str">
        <f>'Default EF'!O37</f>
        <v>k.A.</v>
      </c>
      <c r="P39" s="3"/>
      <c r="Q39" s="206"/>
      <c r="R39" s="3"/>
      <c r="T39" s="178"/>
      <c r="U39" s="178"/>
      <c r="V39" s="3" t="str">
        <f t="shared" si="0"/>
        <v>Weiterer Zusatzstoff 1</v>
      </c>
      <c r="W39" s="3" t="s">
        <v>46</v>
      </c>
      <c r="X39" s="3"/>
      <c r="Y39" s="178"/>
      <c r="Z39" s="3"/>
      <c r="AA39" s="178"/>
      <c r="AB39" s="3"/>
      <c r="AC39" s="178"/>
      <c r="AD39" s="3"/>
      <c r="AE39" s="178"/>
      <c r="AF39" s="3"/>
      <c r="AG39" s="179" t="str">
        <f>'Default EF'!P37</f>
        <v>k.A.</v>
      </c>
      <c r="AH39" s="3"/>
      <c r="AI39" s="206"/>
      <c r="AJ39" s="3"/>
      <c r="AL39" s="178"/>
      <c r="AM39" s="178"/>
      <c r="AN39" s="3" t="str">
        <f t="shared" si="1"/>
        <v>Weiterer Zusatzstoff 1</v>
      </c>
      <c r="AO39" s="3" t="s">
        <v>46</v>
      </c>
      <c r="AP39" s="3"/>
      <c r="AQ39" s="178"/>
      <c r="AR39" s="3"/>
      <c r="AS39" s="178"/>
      <c r="AT39" s="3"/>
      <c r="AU39" s="178"/>
      <c r="AV39" s="3"/>
      <c r="AW39" s="178"/>
      <c r="AX39" s="3"/>
      <c r="AY39" s="179" t="str">
        <f>'Default EF'!Q37</f>
        <v>k.A.</v>
      </c>
      <c r="AZ39" s="3"/>
      <c r="BA39" s="206"/>
      <c r="BB39" s="3"/>
    </row>
    <row r="40" spans="2:54" ht="12.75" x14ac:dyDescent="0.2">
      <c r="B40" s="178"/>
      <c r="C40" s="178"/>
      <c r="D40" s="3" t="str">
        <f>'Referenz Plattenfertiger'!D55</f>
        <v>Weiterer Zusatzstoff 2</v>
      </c>
      <c r="E40" s="3" t="s">
        <v>46</v>
      </c>
      <c r="F40" s="3"/>
      <c r="G40" s="178"/>
      <c r="H40" s="3"/>
      <c r="I40" s="178"/>
      <c r="J40" s="3"/>
      <c r="K40" s="178"/>
      <c r="L40" s="3"/>
      <c r="M40" s="178"/>
      <c r="N40" s="3"/>
      <c r="O40" s="179" t="str">
        <f>'Default EF'!O38</f>
        <v>k.A.</v>
      </c>
      <c r="P40" s="3"/>
      <c r="Q40" s="206"/>
      <c r="R40" s="3"/>
      <c r="T40" s="178"/>
      <c r="U40" s="178"/>
      <c r="V40" s="3" t="str">
        <f t="shared" si="0"/>
        <v>Weiterer Zusatzstoff 2</v>
      </c>
      <c r="W40" s="3" t="s">
        <v>46</v>
      </c>
      <c r="X40" s="3"/>
      <c r="Y40" s="178"/>
      <c r="Z40" s="3"/>
      <c r="AA40" s="178"/>
      <c r="AB40" s="3"/>
      <c r="AC40" s="178"/>
      <c r="AD40" s="3"/>
      <c r="AE40" s="178"/>
      <c r="AF40" s="3"/>
      <c r="AG40" s="179" t="str">
        <f>'Default EF'!P38</f>
        <v>k.A.</v>
      </c>
      <c r="AH40" s="3"/>
      <c r="AI40" s="206"/>
      <c r="AJ40" s="3"/>
      <c r="AL40" s="178"/>
      <c r="AM40" s="178"/>
      <c r="AN40" s="3" t="str">
        <f t="shared" si="1"/>
        <v>Weiterer Zusatzstoff 2</v>
      </c>
      <c r="AO40" s="3" t="s">
        <v>46</v>
      </c>
      <c r="AP40" s="3"/>
      <c r="AQ40" s="178"/>
      <c r="AR40" s="3"/>
      <c r="AS40" s="178"/>
      <c r="AT40" s="3"/>
      <c r="AU40" s="178"/>
      <c r="AV40" s="3"/>
      <c r="AW40" s="178"/>
      <c r="AX40" s="3"/>
      <c r="AY40" s="179" t="str">
        <f>'Default EF'!Q38</f>
        <v>k.A.</v>
      </c>
      <c r="AZ40" s="3"/>
      <c r="BA40" s="206"/>
      <c r="BB40" s="3"/>
    </row>
    <row r="41" spans="2:54" ht="12.75" x14ac:dyDescent="0.2">
      <c r="B41" s="178"/>
      <c r="C41" s="178"/>
      <c r="D41" s="3"/>
      <c r="E41" s="3"/>
      <c r="F41" s="3"/>
      <c r="G41" s="178"/>
      <c r="H41" s="3"/>
      <c r="I41" s="178"/>
      <c r="J41" s="3"/>
      <c r="K41" s="178"/>
      <c r="L41" s="3"/>
      <c r="M41" s="178"/>
      <c r="N41" s="3"/>
      <c r="O41" s="183"/>
      <c r="P41" s="3"/>
      <c r="Q41" s="183"/>
      <c r="R41" s="3"/>
      <c r="T41" s="178"/>
      <c r="U41" s="178"/>
      <c r="V41" s="3"/>
      <c r="W41" s="3"/>
      <c r="X41" s="3"/>
      <c r="Y41" s="178"/>
      <c r="Z41" s="3"/>
      <c r="AA41" s="178"/>
      <c r="AB41" s="3"/>
      <c r="AC41" s="178"/>
      <c r="AD41" s="3"/>
      <c r="AE41" s="178"/>
      <c r="AF41" s="3"/>
      <c r="AG41" s="183"/>
      <c r="AH41" s="3"/>
      <c r="AI41" s="183"/>
      <c r="AJ41" s="3"/>
      <c r="AL41" s="178"/>
      <c r="AM41" s="178"/>
      <c r="AN41" s="3"/>
      <c r="AO41" s="3"/>
      <c r="AP41" s="3"/>
      <c r="AQ41" s="178"/>
      <c r="AR41" s="3"/>
      <c r="AS41" s="178"/>
      <c r="AT41" s="3"/>
      <c r="AU41" s="178"/>
      <c r="AV41" s="3"/>
      <c r="AW41" s="178"/>
      <c r="AX41" s="3"/>
      <c r="AY41" s="183"/>
      <c r="AZ41" s="3"/>
      <c r="BA41" s="183"/>
      <c r="BB41" s="3"/>
    </row>
    <row r="42" spans="2:54" ht="12.75" x14ac:dyDescent="0.2">
      <c r="B42" s="8"/>
      <c r="C42" s="8" t="s">
        <v>49</v>
      </c>
      <c r="D42" s="8"/>
      <c r="E42" s="3"/>
      <c r="F42" s="3"/>
      <c r="G42" s="178"/>
      <c r="H42" s="3"/>
      <c r="I42" s="178"/>
      <c r="J42" s="3"/>
      <c r="K42" s="178"/>
      <c r="L42" s="3"/>
      <c r="M42" s="178"/>
      <c r="N42" s="3"/>
      <c r="O42" s="184"/>
      <c r="P42" s="3"/>
      <c r="Q42" s="184"/>
      <c r="R42" s="3"/>
      <c r="T42" s="185"/>
      <c r="U42" s="8" t="s">
        <v>49</v>
      </c>
      <c r="V42" s="3"/>
      <c r="W42" s="3"/>
      <c r="X42" s="3"/>
      <c r="Y42" s="178"/>
      <c r="Z42" s="3"/>
      <c r="AA42" s="178"/>
      <c r="AB42" s="3"/>
      <c r="AC42" s="178"/>
      <c r="AD42" s="3"/>
      <c r="AE42" s="178"/>
      <c r="AF42" s="3"/>
      <c r="AG42" s="186"/>
      <c r="AH42" s="3"/>
      <c r="AI42" s="184"/>
      <c r="AJ42" s="3"/>
      <c r="AL42" s="185"/>
      <c r="AM42" s="8" t="s">
        <v>49</v>
      </c>
      <c r="AN42" s="8"/>
      <c r="AO42" s="3"/>
      <c r="AP42" s="3"/>
      <c r="AQ42" s="178"/>
      <c r="AR42" s="3"/>
      <c r="AS42" s="178"/>
      <c r="AT42" s="3"/>
      <c r="AU42" s="178"/>
      <c r="AV42" s="3"/>
      <c r="AW42" s="178"/>
      <c r="AX42" s="3"/>
      <c r="AY42" s="186"/>
      <c r="AZ42" s="3"/>
      <c r="BA42" s="184"/>
      <c r="BB42" s="3"/>
    </row>
    <row r="43" spans="2:54" s="188" customFormat="1" ht="12.75" x14ac:dyDescent="0.2">
      <c r="B43" s="187"/>
      <c r="C43" s="187"/>
      <c r="D43" s="3" t="s">
        <v>412</v>
      </c>
      <c r="E43" s="62"/>
      <c r="F43" s="62"/>
      <c r="G43" s="187"/>
      <c r="H43" s="62"/>
      <c r="I43" s="187"/>
      <c r="J43" s="62"/>
      <c r="K43" s="187"/>
      <c r="L43" s="62"/>
      <c r="M43" s="187"/>
      <c r="N43" s="62"/>
      <c r="O43" s="62">
        <f>'Default EF'!O41</f>
        <v>1.53</v>
      </c>
      <c r="P43" s="62"/>
      <c r="Q43" s="207"/>
      <c r="R43" s="62"/>
      <c r="T43" s="187"/>
      <c r="U43" s="187"/>
      <c r="V43" s="3" t="s">
        <v>412</v>
      </c>
      <c r="W43" s="62"/>
      <c r="X43" s="62"/>
      <c r="Y43" s="187"/>
      <c r="Z43" s="62"/>
      <c r="AA43" s="187"/>
      <c r="AB43" s="62"/>
      <c r="AC43" s="187"/>
      <c r="AD43" s="62"/>
      <c r="AE43" s="187"/>
      <c r="AF43" s="62"/>
      <c r="AG43" s="189">
        <f>'Default EF'!P41</f>
        <v>1.53</v>
      </c>
      <c r="AH43" s="62"/>
      <c r="AI43" s="207"/>
      <c r="AJ43" s="62"/>
      <c r="AL43" s="187"/>
      <c r="AM43" s="187"/>
      <c r="AN43" s="3" t="s">
        <v>412</v>
      </c>
      <c r="AO43" s="3"/>
      <c r="AP43" s="62"/>
      <c r="AQ43" s="187"/>
      <c r="AR43" s="62"/>
      <c r="AS43" s="187"/>
      <c r="AT43" s="62"/>
      <c r="AU43" s="187"/>
      <c r="AV43" s="62"/>
      <c r="AW43" s="187"/>
      <c r="AX43" s="62"/>
      <c r="AY43" s="189">
        <f>'Default EF'!Q41</f>
        <v>1.53</v>
      </c>
      <c r="AZ43" s="62"/>
      <c r="BA43" s="207"/>
      <c r="BB43" s="62"/>
    </row>
    <row r="44" spans="2:54" s="188" customFormat="1" ht="12.75" x14ac:dyDescent="0.2">
      <c r="B44" s="187"/>
      <c r="C44" s="187"/>
      <c r="D44" s="3" t="s">
        <v>413</v>
      </c>
      <c r="E44" s="62"/>
      <c r="F44" s="62"/>
      <c r="G44" s="187"/>
      <c r="H44" s="62"/>
      <c r="I44" s="187"/>
      <c r="J44" s="62"/>
      <c r="K44" s="187"/>
      <c r="L44" s="62"/>
      <c r="M44" s="187"/>
      <c r="N44" s="62"/>
      <c r="O44" s="62">
        <f>'Default EF'!O42</f>
        <v>0.439</v>
      </c>
      <c r="P44" s="62"/>
      <c r="Q44" s="207"/>
      <c r="R44" s="62"/>
      <c r="T44" s="187"/>
      <c r="U44" s="187"/>
      <c r="V44" s="3" t="s">
        <v>413</v>
      </c>
      <c r="W44" s="62"/>
      <c r="X44" s="62"/>
      <c r="Y44" s="187"/>
      <c r="Z44" s="62"/>
      <c r="AA44" s="187"/>
      <c r="AB44" s="62"/>
      <c r="AC44" s="187"/>
      <c r="AD44" s="62"/>
      <c r="AE44" s="187"/>
      <c r="AF44" s="62"/>
      <c r="AG44" s="189">
        <f>'Default EF'!P42</f>
        <v>0.439</v>
      </c>
      <c r="AH44" s="62"/>
      <c r="AI44" s="207"/>
      <c r="AJ44" s="187"/>
      <c r="AL44" s="187"/>
      <c r="AM44" s="187"/>
      <c r="AN44" s="3" t="s">
        <v>413</v>
      </c>
      <c r="AO44" s="3"/>
      <c r="AP44" s="62"/>
      <c r="AQ44" s="187"/>
      <c r="AR44" s="62"/>
      <c r="AS44" s="187"/>
      <c r="AT44" s="62"/>
      <c r="AU44" s="187"/>
      <c r="AV44" s="62"/>
      <c r="AW44" s="187"/>
      <c r="AX44" s="62"/>
      <c r="AY44" s="189">
        <f>'Default EF'!Q42</f>
        <v>0.439</v>
      </c>
      <c r="AZ44" s="62"/>
      <c r="BA44" s="207"/>
      <c r="BB44" s="62"/>
    </row>
    <row r="45" spans="2:54" s="188" customFormat="1" ht="12.75" x14ac:dyDescent="0.2">
      <c r="B45" s="187"/>
      <c r="C45" s="187"/>
      <c r="D45" s="3" t="s">
        <v>414</v>
      </c>
      <c r="E45" s="62"/>
      <c r="F45" s="62"/>
      <c r="G45" s="187"/>
      <c r="H45" s="62"/>
      <c r="I45" s="187"/>
      <c r="J45" s="62"/>
      <c r="K45" s="187"/>
      <c r="L45" s="62"/>
      <c r="M45" s="187"/>
      <c r="N45" s="62"/>
      <c r="O45" s="62">
        <f>'Default EF'!O43</f>
        <v>1.23</v>
      </c>
      <c r="P45" s="62"/>
      <c r="Q45" s="207"/>
      <c r="R45" s="62"/>
      <c r="T45" s="187"/>
      <c r="U45" s="187"/>
      <c r="V45" s="3" t="s">
        <v>414</v>
      </c>
      <c r="W45" s="62"/>
      <c r="X45" s="62"/>
      <c r="Y45" s="187"/>
      <c r="Z45" s="62"/>
      <c r="AA45" s="187"/>
      <c r="AB45" s="62"/>
      <c r="AC45" s="187"/>
      <c r="AD45" s="62"/>
      <c r="AE45" s="187"/>
      <c r="AF45" s="62"/>
      <c r="AG45" s="189">
        <f>'Default EF'!P43</f>
        <v>1.23</v>
      </c>
      <c r="AH45" s="62"/>
      <c r="AI45" s="207"/>
      <c r="AJ45" s="62"/>
      <c r="AK45" s="423"/>
      <c r="AL45" s="187"/>
      <c r="AM45" s="187"/>
      <c r="AN45" s="187" t="s">
        <v>414</v>
      </c>
      <c r="AO45" s="3"/>
      <c r="AP45" s="62"/>
      <c r="AQ45" s="187"/>
      <c r="AR45" s="62"/>
      <c r="AS45" s="187"/>
      <c r="AT45" s="62"/>
      <c r="AU45" s="187"/>
      <c r="AV45" s="62"/>
      <c r="AW45" s="187"/>
      <c r="AX45" s="62"/>
      <c r="AY45" s="189">
        <f>'Default EF'!Q43</f>
        <v>1.23</v>
      </c>
      <c r="AZ45" s="62"/>
      <c r="BA45" s="207"/>
      <c r="BB45" s="62"/>
    </row>
    <row r="46" spans="2:54" s="188" customFormat="1" ht="12.75" x14ac:dyDescent="0.2">
      <c r="B46" s="187"/>
      <c r="C46" s="187"/>
      <c r="D46" s="3" t="s">
        <v>415</v>
      </c>
      <c r="E46" s="62"/>
      <c r="F46" s="62"/>
      <c r="G46" s="187"/>
      <c r="H46" s="62"/>
      <c r="I46" s="187"/>
      <c r="J46" s="62"/>
      <c r="K46" s="187"/>
      <c r="L46" s="62"/>
      <c r="M46" s="187"/>
      <c r="N46" s="62"/>
      <c r="O46" s="62">
        <f>'Default EF'!O44</f>
        <v>2.67</v>
      </c>
      <c r="P46" s="62"/>
      <c r="Q46" s="207"/>
      <c r="R46" s="62"/>
      <c r="T46" s="187"/>
      <c r="U46" s="187"/>
      <c r="V46" s="3" t="s">
        <v>415</v>
      </c>
      <c r="W46" s="62"/>
      <c r="X46" s="62"/>
      <c r="Y46" s="187"/>
      <c r="Z46" s="62"/>
      <c r="AA46" s="187"/>
      <c r="AB46" s="62"/>
      <c r="AC46" s="187"/>
      <c r="AD46" s="62"/>
      <c r="AE46" s="187"/>
      <c r="AF46" s="62"/>
      <c r="AG46" s="189">
        <f>'Default EF'!P44</f>
        <v>2.67</v>
      </c>
      <c r="AH46" s="62"/>
      <c r="AI46" s="207"/>
      <c r="AJ46" s="62"/>
      <c r="AL46" s="187"/>
      <c r="AM46" s="187"/>
      <c r="AN46" s="3" t="s">
        <v>415</v>
      </c>
      <c r="AO46" s="3"/>
      <c r="AP46" s="62"/>
      <c r="AQ46" s="187"/>
      <c r="AR46" s="62"/>
      <c r="AS46" s="187"/>
      <c r="AT46" s="62"/>
      <c r="AU46" s="187"/>
      <c r="AV46" s="62"/>
      <c r="AW46" s="187"/>
      <c r="AX46" s="62"/>
      <c r="AY46" s="189">
        <f>'Default EF'!Q44</f>
        <v>2.67</v>
      </c>
      <c r="AZ46" s="62"/>
      <c r="BA46" s="207"/>
      <c r="BB46" s="62"/>
    </row>
    <row r="47" spans="2:54" ht="12.75" x14ac:dyDescent="0.2">
      <c r="B47" s="185"/>
      <c r="C47" s="185"/>
      <c r="D47" s="184"/>
      <c r="E47" s="184"/>
      <c r="F47" s="3"/>
      <c r="G47" s="185"/>
      <c r="H47" s="3"/>
      <c r="I47" s="185"/>
      <c r="J47" s="3"/>
      <c r="K47" s="185"/>
      <c r="L47" s="3"/>
      <c r="M47" s="185"/>
      <c r="N47" s="3"/>
      <c r="O47" s="184"/>
      <c r="P47" s="3"/>
      <c r="Q47" s="184"/>
      <c r="R47" s="3"/>
      <c r="T47" s="185"/>
      <c r="U47" s="185"/>
      <c r="V47" s="3"/>
      <c r="W47" s="184"/>
      <c r="X47" s="3"/>
      <c r="Y47" s="185"/>
      <c r="Z47" s="3"/>
      <c r="AA47" s="185"/>
      <c r="AB47" s="3"/>
      <c r="AC47" s="185"/>
      <c r="AD47" s="3"/>
      <c r="AE47" s="185"/>
      <c r="AF47" s="3"/>
      <c r="AG47" s="186"/>
      <c r="AH47" s="3"/>
      <c r="AI47" s="184"/>
      <c r="AJ47" s="3"/>
      <c r="AL47" s="185"/>
      <c r="AM47" s="185"/>
      <c r="AN47" s="184"/>
      <c r="AO47" s="184"/>
      <c r="AP47" s="3"/>
      <c r="AQ47" s="185"/>
      <c r="AR47" s="3"/>
      <c r="AS47" s="185"/>
      <c r="AT47" s="3"/>
      <c r="AU47" s="185"/>
      <c r="AV47" s="3"/>
      <c r="AW47" s="185"/>
      <c r="AX47" s="3"/>
      <c r="AY47" s="186"/>
      <c r="AZ47" s="3"/>
      <c r="BA47" s="184"/>
      <c r="BB47" s="3"/>
    </row>
    <row r="48" spans="2:54" ht="12.75" x14ac:dyDescent="0.2">
      <c r="B48" s="178"/>
      <c r="C48" s="178"/>
      <c r="D48" s="3" t="s">
        <v>484</v>
      </c>
      <c r="E48" s="3" t="s">
        <v>46</v>
      </c>
      <c r="F48" s="3"/>
      <c r="G48" s="178"/>
      <c r="H48" s="3"/>
      <c r="I48" s="178"/>
      <c r="J48" s="3"/>
      <c r="K48" s="178"/>
      <c r="L48" s="3"/>
      <c r="M48" s="178"/>
      <c r="N48" s="3"/>
      <c r="O48" s="179">
        <f>'Default EF'!O46</f>
        <v>0</v>
      </c>
      <c r="P48" s="3"/>
      <c r="Q48" s="206"/>
      <c r="R48" s="3"/>
      <c r="T48" s="178"/>
      <c r="U48" s="178"/>
      <c r="V48" s="3" t="s">
        <v>99</v>
      </c>
      <c r="W48" s="3" t="s">
        <v>46</v>
      </c>
      <c r="X48" s="3"/>
      <c r="Y48" s="178"/>
      <c r="Z48" s="3"/>
      <c r="AA48" s="178"/>
      <c r="AB48" s="3"/>
      <c r="AC48" s="178"/>
      <c r="AD48" s="3"/>
      <c r="AE48" s="178"/>
      <c r="AF48" s="3"/>
      <c r="AG48" s="179">
        <f>'Default EF'!P46</f>
        <v>0</v>
      </c>
      <c r="AH48" s="3"/>
      <c r="AI48" s="206"/>
      <c r="AJ48" s="3"/>
      <c r="AL48" s="178"/>
      <c r="AM48" s="178"/>
      <c r="AN48" s="3" t="s">
        <v>99</v>
      </c>
      <c r="AO48" s="3" t="s">
        <v>46</v>
      </c>
      <c r="AP48" s="3"/>
      <c r="AQ48" s="178"/>
      <c r="AR48" s="3"/>
      <c r="AS48" s="178"/>
      <c r="AT48" s="3"/>
      <c r="AU48" s="178"/>
      <c r="AV48" s="3"/>
      <c r="AW48" s="178"/>
      <c r="AX48" s="3"/>
      <c r="AY48" s="179">
        <f>'Default EF'!Q46</f>
        <v>0</v>
      </c>
      <c r="AZ48" s="3"/>
      <c r="BA48" s="206"/>
      <c r="BB48" s="3"/>
    </row>
    <row r="49" spans="2:54" ht="12.75" x14ac:dyDescent="0.2">
      <c r="B49" s="178"/>
      <c r="C49" s="178"/>
      <c r="D49" s="3" t="s">
        <v>62</v>
      </c>
      <c r="E49" s="3" t="s">
        <v>63</v>
      </c>
      <c r="F49" s="3"/>
      <c r="G49" s="178"/>
      <c r="H49" s="3"/>
      <c r="I49" s="178"/>
      <c r="J49" s="3"/>
      <c r="K49" s="178"/>
      <c r="L49" s="3"/>
      <c r="M49" s="178"/>
      <c r="N49" s="3"/>
      <c r="O49" s="178">
        <f>'Default EF'!O47</f>
        <v>2.72E-4</v>
      </c>
      <c r="P49" s="3"/>
      <c r="Q49" s="206"/>
      <c r="R49" s="3"/>
      <c r="T49" s="178"/>
      <c r="U49" s="178"/>
      <c r="V49" s="3" t="s">
        <v>62</v>
      </c>
      <c r="W49" s="3" t="s">
        <v>63</v>
      </c>
      <c r="X49" s="3"/>
      <c r="Y49" s="178"/>
      <c r="Z49" s="3"/>
      <c r="AA49" s="178"/>
      <c r="AB49" s="3"/>
      <c r="AC49" s="178"/>
      <c r="AD49" s="3"/>
      <c r="AE49" s="178"/>
      <c r="AF49" s="3"/>
      <c r="AG49" s="179">
        <f>'Default EF'!P47</f>
        <v>2.72E-4</v>
      </c>
      <c r="AH49" s="3"/>
      <c r="AI49" s="206"/>
      <c r="AJ49" s="3"/>
      <c r="AL49" s="178"/>
      <c r="AM49" s="178"/>
      <c r="AN49" s="3" t="s">
        <v>62</v>
      </c>
      <c r="AO49" s="3" t="s">
        <v>63</v>
      </c>
      <c r="AP49" s="3"/>
      <c r="AQ49" s="178"/>
      <c r="AR49" s="3"/>
      <c r="AS49" s="178"/>
      <c r="AT49" s="3"/>
      <c r="AU49" s="178"/>
      <c r="AV49" s="3"/>
      <c r="AW49" s="178"/>
      <c r="AX49" s="3"/>
      <c r="AY49" s="179">
        <f>'Default EF'!Q47</f>
        <v>2.72E-4</v>
      </c>
      <c r="AZ49" s="3"/>
      <c r="BA49" s="206"/>
      <c r="BB49" s="3"/>
    </row>
    <row r="50" spans="2:54" ht="12.75" x14ac:dyDescent="0.2">
      <c r="B50" s="8"/>
      <c r="C50" s="8"/>
      <c r="D50" s="3"/>
      <c r="E50" s="3"/>
      <c r="F50" s="3"/>
      <c r="G50" s="178"/>
      <c r="H50" s="3"/>
      <c r="I50" s="178"/>
      <c r="J50" s="3"/>
      <c r="K50" s="178"/>
      <c r="L50" s="3"/>
      <c r="M50" s="178"/>
      <c r="N50" s="3"/>
      <c r="O50" s="178"/>
      <c r="P50" s="3"/>
      <c r="Q50" s="3"/>
      <c r="R50" s="3"/>
      <c r="T50" s="178"/>
      <c r="U50" s="8"/>
      <c r="V50" s="3"/>
      <c r="W50" s="3"/>
      <c r="X50" s="3"/>
      <c r="Y50" s="178"/>
      <c r="Z50" s="3"/>
      <c r="AA50" s="178"/>
      <c r="AB50" s="3"/>
      <c r="AC50" s="178"/>
      <c r="AD50" s="3"/>
      <c r="AE50" s="178"/>
      <c r="AF50" s="3"/>
      <c r="AG50" s="179"/>
      <c r="AH50" s="3"/>
      <c r="AI50" s="3"/>
      <c r="AJ50" s="3"/>
      <c r="AL50" s="178"/>
      <c r="AM50" s="8"/>
      <c r="AN50" s="3"/>
      <c r="AO50" s="3"/>
      <c r="AP50" s="3"/>
      <c r="AQ50" s="178"/>
      <c r="AR50" s="3"/>
      <c r="AS50" s="178"/>
      <c r="AT50" s="3"/>
      <c r="AU50" s="178"/>
      <c r="AV50" s="3"/>
      <c r="AW50" s="178"/>
      <c r="AX50" s="3"/>
      <c r="AY50" s="179"/>
      <c r="AZ50" s="3"/>
      <c r="BA50" s="3"/>
      <c r="BB50" s="3"/>
    </row>
    <row r="51" spans="2:54" ht="12.75" x14ac:dyDescent="0.2">
      <c r="B51" s="8"/>
      <c r="C51" s="8" t="s">
        <v>168</v>
      </c>
      <c r="D51" s="3"/>
      <c r="E51" s="3"/>
      <c r="F51" s="3"/>
      <c r="G51" s="178"/>
      <c r="H51" s="3"/>
      <c r="I51" s="178"/>
      <c r="J51" s="3"/>
      <c r="K51" s="178"/>
      <c r="L51" s="3"/>
      <c r="M51" s="178"/>
      <c r="N51" s="3"/>
      <c r="O51" s="178"/>
      <c r="P51" s="3"/>
      <c r="Q51" s="3"/>
      <c r="R51" s="3"/>
      <c r="T51" s="178"/>
      <c r="U51" s="181" t="s">
        <v>168</v>
      </c>
      <c r="V51" s="3"/>
      <c r="W51" s="3"/>
      <c r="X51" s="3"/>
      <c r="Y51" s="178"/>
      <c r="Z51" s="3"/>
      <c r="AA51" s="178"/>
      <c r="AB51" s="3"/>
      <c r="AC51" s="178"/>
      <c r="AD51" s="3"/>
      <c r="AE51" s="178"/>
      <c r="AF51" s="3"/>
      <c r="AG51" s="179"/>
      <c r="AH51" s="3"/>
      <c r="AI51" s="3"/>
      <c r="AJ51" s="3"/>
      <c r="AL51" s="178"/>
      <c r="AM51" s="177" t="s">
        <v>168</v>
      </c>
      <c r="AN51" s="3"/>
      <c r="AO51" s="3"/>
      <c r="AP51" s="3"/>
      <c r="AQ51" s="178"/>
      <c r="AR51" s="3"/>
      <c r="AS51" s="178"/>
      <c r="AT51" s="3"/>
      <c r="AU51" s="178"/>
      <c r="AV51" s="3"/>
      <c r="AW51" s="178"/>
      <c r="AX51" s="3"/>
      <c r="AY51" s="179"/>
      <c r="AZ51" s="3"/>
      <c r="BA51" s="3"/>
      <c r="BB51" s="3"/>
    </row>
    <row r="52" spans="2:54" ht="12.75" x14ac:dyDescent="0.2">
      <c r="B52" s="8"/>
      <c r="C52" s="8"/>
      <c r="D52" s="3" t="s">
        <v>169</v>
      </c>
      <c r="E52" s="3" t="s">
        <v>46</v>
      </c>
      <c r="F52" s="3"/>
      <c r="G52" s="178"/>
      <c r="H52" s="3"/>
      <c r="I52" s="178"/>
      <c r="J52" s="3"/>
      <c r="K52" s="178"/>
      <c r="L52" s="3"/>
      <c r="M52" s="178"/>
      <c r="N52" s="3"/>
      <c r="O52" s="179" t="str">
        <f>'Default EF'!O50</f>
        <v>k.A.</v>
      </c>
      <c r="P52" s="3"/>
      <c r="Q52" s="206"/>
      <c r="R52" s="3"/>
      <c r="T52" s="178"/>
      <c r="U52" s="8"/>
      <c r="V52" s="3" t="s">
        <v>169</v>
      </c>
      <c r="W52" s="3" t="s">
        <v>46</v>
      </c>
      <c r="X52" s="3"/>
      <c r="Y52" s="178"/>
      <c r="Z52" s="3"/>
      <c r="AA52" s="178"/>
      <c r="AB52" s="3"/>
      <c r="AC52" s="178"/>
      <c r="AD52" s="3"/>
      <c r="AE52" s="178"/>
      <c r="AF52" s="3"/>
      <c r="AG52" s="179" t="str">
        <f>'Default EF'!P50</f>
        <v>k.A.</v>
      </c>
      <c r="AH52" s="3"/>
      <c r="AI52" s="206"/>
      <c r="AJ52" s="3"/>
      <c r="AL52" s="178"/>
      <c r="AM52" s="8"/>
      <c r="AN52" s="3" t="s">
        <v>169</v>
      </c>
      <c r="AO52" s="3" t="s">
        <v>46</v>
      </c>
      <c r="AP52" s="3"/>
      <c r="AQ52" s="178"/>
      <c r="AR52" s="3"/>
      <c r="AS52" s="178"/>
      <c r="AT52" s="3"/>
      <c r="AU52" s="178"/>
      <c r="AV52" s="3"/>
      <c r="AW52" s="178"/>
      <c r="AX52" s="3"/>
      <c r="AY52" s="179" t="str">
        <f>'Default EF'!Q50</f>
        <v>k.A.</v>
      </c>
      <c r="AZ52" s="3"/>
      <c r="BA52" s="206"/>
      <c r="BB52" s="3"/>
    </row>
    <row r="53" spans="2:54" ht="12.75" x14ac:dyDescent="0.2">
      <c r="B53" s="178"/>
      <c r="C53" s="178"/>
      <c r="D53" s="3" t="s">
        <v>60</v>
      </c>
      <c r="E53" s="3" t="s">
        <v>46</v>
      </c>
      <c r="F53" s="3"/>
      <c r="G53" s="178"/>
      <c r="H53" s="3"/>
      <c r="I53" s="178"/>
      <c r="J53" s="3"/>
      <c r="K53" s="178"/>
      <c r="L53" s="3"/>
      <c r="M53" s="178"/>
      <c r="N53" s="3"/>
      <c r="O53" s="178">
        <f>'Default EF'!O51</f>
        <v>2.012</v>
      </c>
      <c r="P53" s="3"/>
      <c r="Q53" s="206"/>
      <c r="R53" s="3"/>
      <c r="T53" s="178"/>
      <c r="U53" s="178"/>
      <c r="V53" s="3" t="s">
        <v>60</v>
      </c>
      <c r="W53" s="3" t="s">
        <v>46</v>
      </c>
      <c r="X53" s="3"/>
      <c r="Y53" s="178"/>
      <c r="Z53" s="3"/>
      <c r="AA53" s="178"/>
      <c r="AB53" s="3"/>
      <c r="AC53" s="178"/>
      <c r="AD53" s="3"/>
      <c r="AE53" s="178"/>
      <c r="AF53" s="3"/>
      <c r="AG53" s="179">
        <f>'Default EF'!P51</f>
        <v>2.012</v>
      </c>
      <c r="AH53" s="3"/>
      <c r="AI53" s="206"/>
      <c r="AJ53" s="3"/>
      <c r="AL53" s="178"/>
      <c r="AM53" s="178"/>
      <c r="AN53" s="3" t="s">
        <v>60</v>
      </c>
      <c r="AO53" s="3" t="s">
        <v>46</v>
      </c>
      <c r="AP53" s="3"/>
      <c r="AQ53" s="178"/>
      <c r="AR53" s="3"/>
      <c r="AS53" s="178"/>
      <c r="AT53" s="3"/>
      <c r="AU53" s="178"/>
      <c r="AV53" s="3"/>
      <c r="AW53" s="178"/>
      <c r="AX53" s="3"/>
      <c r="AY53" s="179">
        <f>'Default EF'!Q51</f>
        <v>2.012</v>
      </c>
      <c r="AZ53" s="3"/>
      <c r="BA53" s="206"/>
      <c r="BB53" s="3"/>
    </row>
    <row r="54" spans="2:54" ht="12.75" x14ac:dyDescent="0.2">
      <c r="B54" s="8"/>
      <c r="C54" s="8"/>
      <c r="D54" s="3" t="s">
        <v>170</v>
      </c>
      <c r="E54" s="3" t="s">
        <v>46</v>
      </c>
      <c r="F54" s="3"/>
      <c r="G54" s="178"/>
      <c r="H54" s="3"/>
      <c r="I54" s="178"/>
      <c r="J54" s="3"/>
      <c r="K54" s="178"/>
      <c r="L54" s="3"/>
      <c r="M54" s="178"/>
      <c r="N54" s="3"/>
      <c r="O54" s="179" t="str">
        <f>'Default EF'!O52</f>
        <v>k.A.</v>
      </c>
      <c r="P54" s="3"/>
      <c r="Q54" s="206"/>
      <c r="R54" s="3"/>
      <c r="T54" s="178"/>
      <c r="U54" s="8"/>
      <c r="V54" s="3" t="s">
        <v>170</v>
      </c>
      <c r="W54" s="3" t="s">
        <v>46</v>
      </c>
      <c r="X54" s="3"/>
      <c r="Y54" s="178"/>
      <c r="Z54" s="3"/>
      <c r="AA54" s="178"/>
      <c r="AB54" s="3"/>
      <c r="AC54" s="178"/>
      <c r="AD54" s="3"/>
      <c r="AE54" s="178"/>
      <c r="AF54" s="3"/>
      <c r="AG54" s="179" t="str">
        <f>'Default EF'!P52</f>
        <v>k.A.</v>
      </c>
      <c r="AH54" s="3"/>
      <c r="AI54" s="206"/>
      <c r="AJ54" s="3"/>
      <c r="AL54" s="178"/>
      <c r="AM54" s="8"/>
      <c r="AN54" s="3" t="s">
        <v>170</v>
      </c>
      <c r="AO54" s="3" t="s">
        <v>46</v>
      </c>
      <c r="AP54" s="3"/>
      <c r="AQ54" s="178"/>
      <c r="AR54" s="3"/>
      <c r="AS54" s="178"/>
      <c r="AT54" s="3"/>
      <c r="AU54" s="178"/>
      <c r="AV54" s="3"/>
      <c r="AW54" s="178"/>
      <c r="AX54" s="3"/>
      <c r="AY54" s="179" t="str">
        <f>'Default EF'!Q52</f>
        <v>k.A.</v>
      </c>
      <c r="AZ54" s="3"/>
      <c r="BA54" s="206"/>
      <c r="BB54" s="3"/>
    </row>
    <row r="55" spans="2:54" ht="12.75" x14ac:dyDescent="0.2">
      <c r="B55" s="8"/>
      <c r="C55" s="8"/>
      <c r="D55" s="3"/>
      <c r="E55" s="3"/>
      <c r="F55" s="3"/>
      <c r="G55" s="178"/>
      <c r="H55" s="3"/>
      <c r="I55" s="178"/>
      <c r="J55" s="3"/>
      <c r="K55" s="178"/>
      <c r="L55" s="3"/>
      <c r="M55" s="178"/>
      <c r="N55" s="3"/>
      <c r="O55" s="178"/>
      <c r="P55" s="3"/>
      <c r="Q55" s="3"/>
      <c r="R55" s="3"/>
      <c r="T55" s="178"/>
      <c r="U55" s="8"/>
      <c r="V55" s="3"/>
      <c r="W55" s="3"/>
      <c r="X55" s="3"/>
      <c r="Y55" s="178"/>
      <c r="Z55" s="3"/>
      <c r="AA55" s="178"/>
      <c r="AB55" s="3"/>
      <c r="AC55" s="178"/>
      <c r="AD55" s="3"/>
      <c r="AE55" s="178"/>
      <c r="AF55" s="3"/>
      <c r="AG55" s="179"/>
      <c r="AH55" s="3"/>
      <c r="AI55" s="3"/>
      <c r="AJ55" s="3"/>
      <c r="AL55" s="178"/>
      <c r="AM55" s="8"/>
      <c r="AN55" s="3"/>
      <c r="AO55" s="3"/>
      <c r="AP55" s="3"/>
      <c r="AQ55" s="178"/>
      <c r="AR55" s="3"/>
      <c r="AS55" s="178"/>
      <c r="AT55" s="3"/>
      <c r="AU55" s="178"/>
      <c r="AV55" s="3"/>
      <c r="AW55" s="178"/>
      <c r="AX55" s="3"/>
      <c r="AY55" s="179"/>
      <c r="AZ55" s="3"/>
      <c r="BA55" s="3"/>
      <c r="BB55" s="3"/>
    </row>
    <row r="56" spans="2:54" ht="12.75" x14ac:dyDescent="0.2">
      <c r="B56" s="8"/>
      <c r="C56" s="8" t="s">
        <v>171</v>
      </c>
      <c r="D56" s="3"/>
      <c r="E56" s="3"/>
      <c r="F56" s="3"/>
      <c r="G56" s="178"/>
      <c r="H56" s="3"/>
      <c r="I56" s="178"/>
      <c r="J56" s="3"/>
      <c r="K56" s="178"/>
      <c r="L56" s="3"/>
      <c r="M56" s="178"/>
      <c r="N56" s="3"/>
      <c r="O56" s="178"/>
      <c r="P56" s="3"/>
      <c r="Q56" s="3"/>
      <c r="R56" s="3"/>
      <c r="T56" s="178"/>
      <c r="U56" s="181" t="s">
        <v>171</v>
      </c>
      <c r="V56" s="3"/>
      <c r="W56" s="3"/>
      <c r="X56" s="3"/>
      <c r="Y56" s="178"/>
      <c r="Z56" s="3"/>
      <c r="AA56" s="178"/>
      <c r="AB56" s="3"/>
      <c r="AC56" s="178"/>
      <c r="AD56" s="3"/>
      <c r="AE56" s="178"/>
      <c r="AF56" s="3"/>
      <c r="AG56" s="179"/>
      <c r="AH56" s="3"/>
      <c r="AI56" s="3"/>
      <c r="AJ56" s="3"/>
      <c r="AL56" s="178"/>
      <c r="AM56" s="177" t="s">
        <v>171</v>
      </c>
      <c r="AN56" s="3"/>
      <c r="AO56" s="3"/>
      <c r="AP56" s="3"/>
      <c r="AQ56" s="178"/>
      <c r="AR56" s="3"/>
      <c r="AS56" s="178"/>
      <c r="AT56" s="3"/>
      <c r="AU56" s="178"/>
      <c r="AV56" s="3"/>
      <c r="AW56" s="178"/>
      <c r="AX56" s="3"/>
      <c r="AY56" s="179"/>
      <c r="AZ56" s="3"/>
      <c r="BA56" s="3"/>
      <c r="BB56" s="3"/>
    </row>
    <row r="57" spans="2:54" ht="12.75" x14ac:dyDescent="0.2">
      <c r="B57" s="178"/>
      <c r="C57" s="178"/>
      <c r="D57" s="3" t="s">
        <v>64</v>
      </c>
      <c r="E57" s="3" t="s">
        <v>46</v>
      </c>
      <c r="F57" s="3"/>
      <c r="G57" s="178"/>
      <c r="H57" s="3"/>
      <c r="I57" s="178"/>
      <c r="J57" s="3"/>
      <c r="K57" s="178"/>
      <c r="L57" s="3"/>
      <c r="M57" s="178"/>
      <c r="N57" s="3"/>
      <c r="O57" s="178">
        <f>'Default EF'!O55</f>
        <v>1.5</v>
      </c>
      <c r="P57" s="3"/>
      <c r="Q57" s="206"/>
      <c r="R57" s="3"/>
      <c r="T57" s="178"/>
      <c r="U57" s="178"/>
      <c r="V57" s="3" t="s">
        <v>64</v>
      </c>
      <c r="W57" s="3" t="s">
        <v>46</v>
      </c>
      <c r="X57" s="3"/>
      <c r="Y57" s="178"/>
      <c r="Z57" s="3"/>
      <c r="AA57" s="178"/>
      <c r="AB57" s="3"/>
      <c r="AC57" s="178"/>
      <c r="AD57" s="3"/>
      <c r="AE57" s="178"/>
      <c r="AF57" s="3"/>
      <c r="AG57" s="179">
        <f>'Default EF'!P55</f>
        <v>1.5</v>
      </c>
      <c r="AH57" s="3"/>
      <c r="AI57" s="206"/>
      <c r="AJ57" s="3"/>
      <c r="AL57" s="178"/>
      <c r="AM57" s="178"/>
      <c r="AN57" s="3" t="s">
        <v>64</v>
      </c>
      <c r="AO57" s="3" t="s">
        <v>46</v>
      </c>
      <c r="AP57" s="3"/>
      <c r="AQ57" s="178"/>
      <c r="AR57" s="3"/>
      <c r="AS57" s="178"/>
      <c r="AT57" s="3"/>
      <c r="AU57" s="178"/>
      <c r="AV57" s="3"/>
      <c r="AW57" s="178"/>
      <c r="AX57" s="3"/>
      <c r="AY57" s="179">
        <f>'Default EF'!Q55</f>
        <v>1.5</v>
      </c>
      <c r="AZ57" s="3"/>
      <c r="BA57" s="206"/>
      <c r="BB57" s="3"/>
    </row>
    <row r="58" spans="2:54" ht="12.75" x14ac:dyDescent="0.2">
      <c r="B58" s="178"/>
      <c r="C58" s="178"/>
      <c r="D58" s="3" t="s">
        <v>173</v>
      </c>
      <c r="E58" s="3" t="s">
        <v>46</v>
      </c>
      <c r="F58" s="3"/>
      <c r="G58" s="178"/>
      <c r="H58" s="3"/>
      <c r="I58" s="178"/>
      <c r="J58" s="3"/>
      <c r="K58" s="178"/>
      <c r="L58" s="3"/>
      <c r="M58" s="178"/>
      <c r="N58" s="3"/>
      <c r="O58" s="179" t="str">
        <f>'Default EF'!O56</f>
        <v>k.A.</v>
      </c>
      <c r="P58" s="3"/>
      <c r="Q58" s="206"/>
      <c r="R58" s="3"/>
      <c r="T58" s="178"/>
      <c r="U58" s="178"/>
      <c r="V58" s="3" t="s">
        <v>173</v>
      </c>
      <c r="W58" s="3" t="s">
        <v>46</v>
      </c>
      <c r="X58" s="3"/>
      <c r="Y58" s="178"/>
      <c r="Z58" s="3"/>
      <c r="AA58" s="178"/>
      <c r="AB58" s="3"/>
      <c r="AC58" s="178"/>
      <c r="AD58" s="3"/>
      <c r="AE58" s="178"/>
      <c r="AF58" s="3"/>
      <c r="AG58" s="179" t="str">
        <f>'Default EF'!P56</f>
        <v>k.A.</v>
      </c>
      <c r="AH58" s="3"/>
      <c r="AI58" s="206"/>
      <c r="AJ58" s="3"/>
      <c r="AL58" s="178"/>
      <c r="AM58" s="178"/>
      <c r="AN58" s="3" t="s">
        <v>173</v>
      </c>
      <c r="AO58" s="3" t="s">
        <v>46</v>
      </c>
      <c r="AP58" s="3"/>
      <c r="AQ58" s="178"/>
      <c r="AR58" s="3"/>
      <c r="AS58" s="178"/>
      <c r="AT58" s="3"/>
      <c r="AU58" s="178"/>
      <c r="AV58" s="3"/>
      <c r="AW58" s="178"/>
      <c r="AX58" s="3"/>
      <c r="AY58" s="179" t="str">
        <f>'Default EF'!Q56</f>
        <v>k.A.</v>
      </c>
      <c r="AZ58" s="3"/>
      <c r="BA58" s="206"/>
      <c r="BB58" s="3"/>
    </row>
    <row r="59" spans="2:54" ht="12.75" x14ac:dyDescent="0.2">
      <c r="B59" s="178"/>
      <c r="C59" s="178"/>
      <c r="D59" s="3" t="s">
        <v>172</v>
      </c>
      <c r="E59" s="3" t="s">
        <v>46</v>
      </c>
      <c r="F59" s="3"/>
      <c r="G59" s="178"/>
      <c r="H59" s="3"/>
      <c r="I59" s="178"/>
      <c r="J59" s="3"/>
      <c r="K59" s="178"/>
      <c r="L59" s="3"/>
      <c r="M59" s="178"/>
      <c r="N59" s="3"/>
      <c r="O59" s="179" t="str">
        <f>'Default EF'!O57</f>
        <v>k.A.</v>
      </c>
      <c r="P59" s="3"/>
      <c r="Q59" s="206"/>
      <c r="R59" s="3"/>
      <c r="T59" s="178"/>
      <c r="U59" s="178"/>
      <c r="V59" s="3" t="s">
        <v>172</v>
      </c>
      <c r="W59" s="3" t="s">
        <v>46</v>
      </c>
      <c r="X59" s="3"/>
      <c r="Y59" s="178"/>
      <c r="Z59" s="3"/>
      <c r="AA59" s="178"/>
      <c r="AB59" s="3"/>
      <c r="AC59" s="178"/>
      <c r="AD59" s="3"/>
      <c r="AE59" s="178"/>
      <c r="AF59" s="3"/>
      <c r="AG59" s="179" t="str">
        <f>'Default EF'!P57</f>
        <v>k.A.</v>
      </c>
      <c r="AH59" s="3"/>
      <c r="AI59" s="206"/>
      <c r="AJ59" s="3"/>
      <c r="AL59" s="178"/>
      <c r="AM59" s="178"/>
      <c r="AN59" s="3" t="s">
        <v>172</v>
      </c>
      <c r="AO59" s="3" t="s">
        <v>46</v>
      </c>
      <c r="AP59" s="3"/>
      <c r="AQ59" s="178"/>
      <c r="AR59" s="3"/>
      <c r="AS59" s="178"/>
      <c r="AT59" s="3"/>
      <c r="AU59" s="178"/>
      <c r="AV59" s="3"/>
      <c r="AW59" s="178"/>
      <c r="AX59" s="3"/>
      <c r="AY59" s="179" t="str">
        <f>'Default EF'!Q57</f>
        <v>k.A.</v>
      </c>
      <c r="AZ59" s="3"/>
      <c r="BA59" s="206"/>
      <c r="BB59" s="3"/>
    </row>
    <row r="60" spans="2:54" ht="12.75" x14ac:dyDescent="0.2">
      <c r="B60" s="178"/>
      <c r="C60" s="178"/>
      <c r="D60" s="3"/>
      <c r="E60" s="3"/>
      <c r="F60" s="3"/>
      <c r="G60" s="178"/>
      <c r="H60" s="3"/>
      <c r="I60" s="178"/>
      <c r="J60" s="3"/>
      <c r="K60" s="178"/>
      <c r="L60" s="3"/>
      <c r="M60" s="178"/>
      <c r="N60" s="3"/>
      <c r="O60" s="178"/>
      <c r="P60" s="178"/>
      <c r="Q60" s="178"/>
      <c r="R60" s="178"/>
      <c r="T60" s="178"/>
      <c r="U60" s="178"/>
      <c r="V60" s="3"/>
      <c r="W60" s="3"/>
      <c r="X60" s="3"/>
      <c r="Y60" s="178"/>
      <c r="Z60" s="3"/>
      <c r="AA60" s="178"/>
      <c r="AB60" s="3"/>
      <c r="AC60" s="178"/>
      <c r="AD60" s="3"/>
      <c r="AE60" s="178"/>
      <c r="AF60" s="3"/>
      <c r="AG60" s="179"/>
      <c r="AH60" s="3"/>
      <c r="AI60" s="178"/>
      <c r="AJ60" s="3"/>
      <c r="AL60" s="178"/>
      <c r="AM60" s="178"/>
      <c r="AN60" s="3"/>
      <c r="AO60" s="3"/>
      <c r="AP60" s="3"/>
      <c r="AQ60" s="178"/>
      <c r="AR60" s="3"/>
      <c r="AS60" s="178"/>
      <c r="AT60" s="3"/>
      <c r="AU60" s="178"/>
      <c r="AV60" s="3"/>
      <c r="AW60" s="178"/>
      <c r="AX60" s="3"/>
      <c r="AY60" s="179"/>
      <c r="AZ60" s="3"/>
      <c r="BA60" s="178"/>
      <c r="BB60" s="3"/>
    </row>
    <row r="61" spans="2:54" ht="12.75" x14ac:dyDescent="0.2">
      <c r="B61" s="178"/>
      <c r="C61" s="178"/>
      <c r="D61" s="3" t="s">
        <v>61</v>
      </c>
      <c r="E61" s="3" t="s">
        <v>46</v>
      </c>
      <c r="F61" s="3"/>
      <c r="G61" s="178"/>
      <c r="H61" s="3"/>
      <c r="I61" s="178"/>
      <c r="J61" s="3"/>
      <c r="K61" s="178"/>
      <c r="L61" s="3"/>
      <c r="M61" s="178"/>
      <c r="N61" s="3"/>
      <c r="O61" s="178">
        <f>'Default EF'!O59</f>
        <v>0.80600000000000005</v>
      </c>
      <c r="P61" s="3"/>
      <c r="Q61" s="206"/>
      <c r="R61" s="3"/>
      <c r="T61" s="178"/>
      <c r="U61" s="178"/>
      <c r="V61" s="3" t="s">
        <v>61</v>
      </c>
      <c r="W61" s="3" t="s">
        <v>46</v>
      </c>
      <c r="X61" s="3"/>
      <c r="Y61" s="178"/>
      <c r="Z61" s="3"/>
      <c r="AA61" s="178"/>
      <c r="AB61" s="3"/>
      <c r="AC61" s="178"/>
      <c r="AD61" s="3"/>
      <c r="AE61" s="178"/>
      <c r="AF61" s="3"/>
      <c r="AG61" s="179">
        <f>'Default EF'!P59</f>
        <v>0.80600000000000005</v>
      </c>
      <c r="AH61" s="3"/>
      <c r="AI61" s="206"/>
      <c r="AJ61" s="3"/>
      <c r="AL61" s="178"/>
      <c r="AM61" s="178"/>
      <c r="AN61" s="3" t="s">
        <v>61</v>
      </c>
      <c r="AO61" s="3" t="s">
        <v>46</v>
      </c>
      <c r="AP61" s="3"/>
      <c r="AQ61" s="178"/>
      <c r="AR61" s="3"/>
      <c r="AS61" s="178"/>
      <c r="AT61" s="3"/>
      <c r="AU61" s="178"/>
      <c r="AV61" s="3"/>
      <c r="AW61" s="178"/>
      <c r="AX61" s="3"/>
      <c r="AY61" s="179">
        <f>'Default EF'!Q59</f>
        <v>0.80600000000000005</v>
      </c>
      <c r="AZ61" s="3"/>
      <c r="BA61" s="206"/>
      <c r="BB61" s="3"/>
    </row>
    <row r="62" spans="2:54" ht="12.75" x14ac:dyDescent="0.2">
      <c r="B62" s="178"/>
      <c r="C62" s="178"/>
      <c r="D62" s="178"/>
      <c r="E62" s="178"/>
      <c r="F62" s="178"/>
      <c r="G62" s="178"/>
      <c r="H62" s="178"/>
      <c r="I62" s="178"/>
      <c r="J62" s="178"/>
      <c r="K62" s="178"/>
      <c r="L62" s="178"/>
      <c r="M62" s="178"/>
      <c r="N62" s="178"/>
      <c r="O62" s="178"/>
      <c r="P62" s="178"/>
      <c r="Q62" s="178"/>
      <c r="R62" s="3"/>
      <c r="T62" s="178"/>
      <c r="U62" s="178"/>
      <c r="V62" s="178"/>
      <c r="W62" s="178"/>
      <c r="X62" s="178"/>
      <c r="Y62" s="178"/>
      <c r="Z62" s="178"/>
      <c r="AA62" s="178"/>
      <c r="AB62" s="178"/>
      <c r="AC62" s="178"/>
      <c r="AD62" s="178"/>
      <c r="AE62" s="178"/>
      <c r="AF62" s="178"/>
      <c r="AG62" s="179"/>
      <c r="AH62" s="178"/>
      <c r="AI62" s="178"/>
      <c r="AJ62" s="3"/>
      <c r="AL62" s="178"/>
      <c r="AM62" s="178"/>
      <c r="AN62" s="178"/>
      <c r="AO62" s="178"/>
      <c r="AP62" s="178"/>
      <c r="AQ62" s="178"/>
      <c r="AR62" s="178"/>
      <c r="AS62" s="178"/>
      <c r="AT62" s="178"/>
      <c r="AU62" s="178"/>
      <c r="AV62" s="178"/>
      <c r="AW62" s="178"/>
      <c r="AX62" s="178"/>
      <c r="AY62" s="179"/>
      <c r="AZ62" s="178"/>
      <c r="BA62" s="178"/>
      <c r="BB62" s="178"/>
    </row>
    <row r="63" spans="2:54" x14ac:dyDescent="0.2">
      <c r="B63" s="178"/>
      <c r="C63" s="178"/>
      <c r="D63" s="178"/>
      <c r="E63" s="178"/>
      <c r="F63" s="178"/>
      <c r="G63" s="178"/>
      <c r="H63" s="178"/>
      <c r="I63" s="178"/>
      <c r="J63" s="178"/>
      <c r="K63" s="178"/>
      <c r="L63" s="178"/>
      <c r="M63" s="178"/>
      <c r="N63" s="178"/>
      <c r="O63" s="178"/>
      <c r="P63" s="178"/>
      <c r="Q63" s="178"/>
      <c r="R63" s="3"/>
      <c r="T63" s="7"/>
      <c r="U63" s="181" t="s">
        <v>92</v>
      </c>
      <c r="V63" s="7"/>
      <c r="W63" s="7"/>
      <c r="X63" s="7"/>
      <c r="Y63" s="7"/>
      <c r="Z63" s="7"/>
      <c r="AA63" s="7"/>
      <c r="AB63" s="7"/>
      <c r="AC63" s="7"/>
      <c r="AD63" s="7"/>
      <c r="AE63" s="7"/>
      <c r="AF63" s="7"/>
      <c r="AG63" s="190"/>
      <c r="AH63" s="7"/>
      <c r="AI63" s="7"/>
      <c r="AJ63" s="7"/>
      <c r="AL63" s="7"/>
      <c r="AM63" s="177" t="s">
        <v>92</v>
      </c>
      <c r="AN63" s="7"/>
      <c r="AO63" s="7"/>
      <c r="AP63" s="7"/>
      <c r="AQ63" s="7"/>
      <c r="AR63" s="7"/>
      <c r="AS63" s="7"/>
      <c r="AT63" s="7"/>
      <c r="AU63" s="7"/>
      <c r="AV63" s="7"/>
      <c r="AW63" s="7"/>
      <c r="AX63" s="7"/>
      <c r="AY63" s="190"/>
      <c r="AZ63" s="7"/>
      <c r="BA63" s="7"/>
      <c r="BB63" s="7"/>
    </row>
    <row r="64" spans="2:54" x14ac:dyDescent="0.2">
      <c r="B64" s="191"/>
      <c r="C64" s="191"/>
      <c r="D64" s="191"/>
      <c r="E64" s="191"/>
      <c r="F64" s="191"/>
      <c r="G64" s="191"/>
      <c r="H64" s="191"/>
      <c r="I64" s="191"/>
      <c r="J64" s="191"/>
      <c r="K64" s="191"/>
      <c r="L64" s="191"/>
      <c r="M64" s="191"/>
      <c r="N64" s="191"/>
      <c r="O64" s="191"/>
      <c r="P64" s="191"/>
      <c r="Q64" s="191"/>
      <c r="R64" s="34"/>
      <c r="T64" s="7"/>
      <c r="U64" s="7"/>
      <c r="V64" s="3" t="s">
        <v>218</v>
      </c>
      <c r="W64" s="7"/>
      <c r="X64" s="7"/>
      <c r="Y64" s="7"/>
      <c r="Z64" s="7"/>
      <c r="AA64" s="7"/>
      <c r="AB64" s="7"/>
      <c r="AC64" s="178">
        <f>'Default EF'!L62</f>
        <v>0</v>
      </c>
      <c r="AD64" s="3"/>
      <c r="AE64" s="206"/>
      <c r="AF64" s="3"/>
      <c r="AG64" s="179">
        <f>'Default EF'!P62</f>
        <v>4.0790000000000001E-5</v>
      </c>
      <c r="AH64" s="3"/>
      <c r="AI64" s="206"/>
      <c r="AJ64" s="7"/>
      <c r="AL64" s="7"/>
      <c r="AM64" s="7"/>
      <c r="AN64" s="3" t="s">
        <v>218</v>
      </c>
      <c r="AO64" s="7"/>
      <c r="AP64" s="7"/>
      <c r="AQ64" s="7"/>
      <c r="AR64" s="7"/>
      <c r="AS64" s="7"/>
      <c r="AT64" s="7"/>
      <c r="AU64" s="178">
        <f>'Default EF'!M62</f>
        <v>0</v>
      </c>
      <c r="AV64" s="3"/>
      <c r="AW64" s="206"/>
      <c r="AX64" s="3"/>
      <c r="AY64" s="179">
        <f>'Default EF'!Q62</f>
        <v>4.0790000000000001E-5</v>
      </c>
      <c r="AZ64" s="3"/>
      <c r="BA64" s="206"/>
      <c r="BB64" s="7"/>
    </row>
    <row r="65" spans="2:54" x14ac:dyDescent="0.2">
      <c r="B65" s="7"/>
      <c r="C65" s="7"/>
      <c r="D65" s="3" t="s">
        <v>398</v>
      </c>
      <c r="E65" s="7"/>
      <c r="F65" s="7"/>
      <c r="G65" s="7"/>
      <c r="H65" s="7"/>
      <c r="I65" s="7"/>
      <c r="J65" s="7"/>
      <c r="K65" s="7"/>
      <c r="L65" s="7"/>
      <c r="M65" s="7"/>
      <c r="N65" s="7"/>
      <c r="O65" s="7"/>
      <c r="P65" s="7"/>
      <c r="Q65" s="7"/>
      <c r="R65" s="7"/>
      <c r="T65" s="7"/>
      <c r="U65" s="7"/>
      <c r="V65" s="3" t="s">
        <v>97</v>
      </c>
      <c r="W65" s="7"/>
      <c r="X65" s="7"/>
      <c r="Y65" s="7"/>
      <c r="Z65" s="7"/>
      <c r="AA65" s="7"/>
      <c r="AB65" s="7"/>
      <c r="AC65" s="178">
        <f>'Default EF'!L63</f>
        <v>0</v>
      </c>
      <c r="AD65" s="3"/>
      <c r="AE65" s="206"/>
      <c r="AF65" s="3"/>
      <c r="AG65" s="179">
        <f>'Default EF'!P63</f>
        <v>5.5713999999999995E-5</v>
      </c>
      <c r="AH65" s="3"/>
      <c r="AI65" s="206"/>
      <c r="AJ65" s="7"/>
      <c r="AL65" s="7"/>
      <c r="AM65" s="7"/>
      <c r="AN65" s="3" t="s">
        <v>97</v>
      </c>
      <c r="AO65" s="7"/>
      <c r="AP65" s="7"/>
      <c r="AQ65" s="7"/>
      <c r="AR65" s="7"/>
      <c r="AS65" s="7"/>
      <c r="AT65" s="7"/>
      <c r="AU65" s="178">
        <f>'Default EF'!M63</f>
        <v>0</v>
      </c>
      <c r="AV65" s="3"/>
      <c r="AW65" s="206"/>
      <c r="AX65" s="3"/>
      <c r="AY65" s="179">
        <f>'Default EF'!Q63</f>
        <v>5.5713999999999995E-5</v>
      </c>
      <c r="AZ65" s="3"/>
      <c r="BA65" s="206"/>
      <c r="BB65" s="7"/>
    </row>
    <row r="66" spans="2:54" x14ac:dyDescent="0.2">
      <c r="B66" s="7"/>
      <c r="C66" s="7"/>
      <c r="D66" s="3" t="s">
        <v>370</v>
      </c>
      <c r="E66" s="7"/>
      <c r="F66" s="7"/>
      <c r="G66" s="7"/>
      <c r="H66" s="7"/>
      <c r="I66" s="7"/>
      <c r="J66" s="7"/>
      <c r="K66" s="7"/>
      <c r="L66" s="7"/>
      <c r="M66" s="7"/>
      <c r="N66" s="7"/>
      <c r="O66" s="7"/>
      <c r="P66" s="7"/>
      <c r="Q66" s="7"/>
      <c r="R66" s="7"/>
      <c r="T66" s="7"/>
      <c r="U66" s="7"/>
      <c r="V66" s="3" t="s">
        <v>98</v>
      </c>
      <c r="W66" s="7"/>
      <c r="X66" s="7"/>
      <c r="Y66" s="7"/>
      <c r="Z66" s="7"/>
      <c r="AA66" s="7"/>
      <c r="AB66" s="7"/>
      <c r="AC66" s="178">
        <f>'Default EF'!L64</f>
        <v>0</v>
      </c>
      <c r="AD66" s="3"/>
      <c r="AE66" s="206"/>
      <c r="AF66" s="3"/>
      <c r="AG66" s="179">
        <f>'Default EF'!P64</f>
        <v>1.5335600000000003E-5</v>
      </c>
      <c r="AH66" s="3"/>
      <c r="AI66" s="206"/>
      <c r="AJ66" s="7"/>
      <c r="AL66" s="7"/>
      <c r="AM66" s="7"/>
      <c r="AN66" s="3" t="s">
        <v>98</v>
      </c>
      <c r="AO66" s="7"/>
      <c r="AP66" s="7"/>
      <c r="AQ66" s="7"/>
      <c r="AR66" s="7"/>
      <c r="AS66" s="7"/>
      <c r="AT66" s="7"/>
      <c r="AU66" s="178">
        <f>'Default EF'!M64</f>
        <v>0</v>
      </c>
      <c r="AV66" s="3"/>
      <c r="AW66" s="206"/>
      <c r="AX66" s="3"/>
      <c r="AY66" s="179">
        <f>'Default EF'!Q64</f>
        <v>1.5335600000000003E-5</v>
      </c>
      <c r="AZ66" s="3"/>
      <c r="BA66" s="206"/>
      <c r="BB66" s="7"/>
    </row>
    <row r="67" spans="2:54" x14ac:dyDescent="0.2">
      <c r="B67" s="7"/>
      <c r="C67" s="7"/>
      <c r="D67" s="7"/>
      <c r="E67" s="7"/>
      <c r="F67" s="7"/>
      <c r="G67" s="7"/>
      <c r="H67" s="7"/>
      <c r="I67" s="7"/>
      <c r="J67" s="7"/>
      <c r="K67" s="7"/>
      <c r="L67" s="7"/>
      <c r="M67" s="7"/>
      <c r="N67" s="7"/>
      <c r="O67" s="7"/>
      <c r="P67" s="7"/>
      <c r="Q67" s="7"/>
      <c r="R67" s="7"/>
      <c r="T67" s="7"/>
      <c r="U67" s="7"/>
      <c r="V67" s="3" t="s">
        <v>99</v>
      </c>
      <c r="W67" s="7"/>
      <c r="X67" s="7"/>
      <c r="Y67" s="7"/>
      <c r="Z67" s="7"/>
      <c r="AA67" s="7"/>
      <c r="AB67" s="7"/>
      <c r="AC67" s="178">
        <f>'Default EF'!L65</f>
        <v>0</v>
      </c>
      <c r="AD67" s="3"/>
      <c r="AE67" s="206"/>
      <c r="AF67" s="3"/>
      <c r="AG67" s="179">
        <f>'Default EF'!P65</f>
        <v>2.65E-6</v>
      </c>
      <c r="AH67" s="3"/>
      <c r="AI67" s="206"/>
      <c r="AJ67" s="7"/>
      <c r="AL67" s="7"/>
      <c r="AM67" s="7"/>
      <c r="AN67" s="3" t="s">
        <v>99</v>
      </c>
      <c r="AO67" s="7"/>
      <c r="AP67" s="7"/>
      <c r="AQ67" s="7"/>
      <c r="AR67" s="7"/>
      <c r="AS67" s="7"/>
      <c r="AT67" s="7"/>
      <c r="AU67" s="178">
        <f>'Default EF'!M65</f>
        <v>0</v>
      </c>
      <c r="AV67" s="3"/>
      <c r="AW67" s="206"/>
      <c r="AX67" s="3"/>
      <c r="AY67" s="179">
        <f>'Default EF'!Q65</f>
        <v>2.65E-6</v>
      </c>
      <c r="AZ67" s="3"/>
      <c r="BA67" s="206"/>
      <c r="BB67" s="7"/>
    </row>
    <row r="68" spans="2:54" x14ac:dyDescent="0.2">
      <c r="T68" s="7"/>
      <c r="U68" s="7"/>
      <c r="V68" s="7"/>
      <c r="W68" s="7"/>
      <c r="X68" s="7"/>
      <c r="Y68" s="7"/>
      <c r="Z68" s="7"/>
      <c r="AA68" s="7"/>
      <c r="AB68" s="7"/>
      <c r="AC68" s="7"/>
      <c r="AD68" s="7"/>
      <c r="AE68" s="7"/>
      <c r="AF68" s="7"/>
      <c r="AG68" s="7"/>
      <c r="AH68" s="7"/>
      <c r="AI68" s="7"/>
      <c r="AJ68" s="7"/>
      <c r="AL68" s="7"/>
      <c r="AM68" s="7"/>
      <c r="AN68" s="7"/>
      <c r="AO68" s="7"/>
      <c r="AP68" s="7"/>
      <c r="AQ68" s="7"/>
      <c r="AR68" s="7"/>
      <c r="AS68" s="7"/>
      <c r="AT68" s="7"/>
      <c r="AU68" s="7"/>
      <c r="AV68" s="7"/>
      <c r="AW68" s="7"/>
      <c r="AX68" s="7"/>
      <c r="AY68" s="7"/>
      <c r="AZ68" s="7"/>
      <c r="BA68" s="7"/>
      <c r="BB68" s="7"/>
    </row>
    <row r="69" spans="2:54" x14ac:dyDescent="0.2">
      <c r="T69" s="7"/>
      <c r="U69" s="7"/>
      <c r="V69" s="7"/>
      <c r="W69" s="7"/>
      <c r="X69" s="7"/>
      <c r="Y69" s="7"/>
      <c r="Z69" s="7"/>
      <c r="AA69" s="7"/>
      <c r="AB69" s="7"/>
      <c r="AC69" s="7"/>
      <c r="AD69" s="7"/>
      <c r="AE69" s="7"/>
      <c r="AF69" s="7"/>
      <c r="AG69" s="7"/>
      <c r="AH69" s="7"/>
      <c r="AI69" s="7"/>
      <c r="AJ69" s="7"/>
      <c r="AL69" s="7"/>
      <c r="AM69" s="7"/>
      <c r="AN69" s="7"/>
      <c r="AO69" s="7"/>
      <c r="AP69" s="7"/>
      <c r="AQ69" s="7"/>
      <c r="AR69" s="7"/>
      <c r="AS69" s="7"/>
      <c r="AT69" s="7"/>
      <c r="AU69" s="7"/>
      <c r="AV69" s="7"/>
      <c r="AW69" s="7"/>
      <c r="AX69" s="7"/>
      <c r="AY69" s="7"/>
      <c r="AZ69" s="7"/>
      <c r="BA69" s="7"/>
      <c r="BB69" s="7"/>
    </row>
    <row r="103" spans="2:18" ht="15" x14ac:dyDescent="0.25">
      <c r="B103" s="192"/>
      <c r="C103" s="192"/>
      <c r="D103" s="193"/>
      <c r="E103" s="193"/>
      <c r="F103" s="194"/>
      <c r="H103" s="194"/>
      <c r="I103" s="192"/>
      <c r="J103" s="194"/>
      <c r="K103" s="194"/>
      <c r="L103" s="194"/>
      <c r="M103" s="194"/>
      <c r="N103" s="194"/>
      <c r="O103" s="192"/>
      <c r="P103" s="194"/>
      <c r="Q103" s="192"/>
      <c r="R103" s="194"/>
    </row>
    <row r="104" spans="2:18" x14ac:dyDescent="0.2">
      <c r="B104" s="195"/>
      <c r="C104" s="195"/>
      <c r="E104" s="196"/>
      <c r="F104" s="195"/>
      <c r="G104" s="195"/>
      <c r="H104" s="195"/>
      <c r="I104" s="195"/>
      <c r="J104" s="195"/>
      <c r="K104" s="195"/>
      <c r="L104" s="195"/>
      <c r="M104" s="195"/>
      <c r="N104" s="195"/>
      <c r="O104" s="195"/>
      <c r="P104" s="195"/>
      <c r="Q104" s="195"/>
      <c r="R104" s="195"/>
    </row>
    <row r="143" spans="2:54" x14ac:dyDescent="0.2">
      <c r="B143" s="197"/>
      <c r="C143" s="197"/>
      <c r="F143" s="197"/>
      <c r="G143" s="197"/>
      <c r="H143" s="197"/>
      <c r="I143" s="197"/>
      <c r="J143" s="197"/>
      <c r="K143" s="197"/>
      <c r="L143" s="197"/>
      <c r="M143" s="197"/>
      <c r="N143" s="197"/>
      <c r="O143" s="197"/>
      <c r="P143" s="197"/>
      <c r="Q143" s="197"/>
      <c r="R143" s="197"/>
      <c r="T143" s="197"/>
      <c r="U143" s="197"/>
      <c r="X143" s="197"/>
      <c r="Y143" s="197"/>
      <c r="Z143" s="197"/>
      <c r="AA143" s="197"/>
      <c r="AB143" s="197"/>
      <c r="AC143" s="197"/>
      <c r="AD143" s="197"/>
      <c r="AE143" s="197"/>
      <c r="AF143" s="197"/>
      <c r="AG143" s="197"/>
      <c r="AH143" s="197"/>
      <c r="AI143" s="197"/>
      <c r="AJ143" s="197"/>
      <c r="AL143" s="197"/>
      <c r="AM143" s="197"/>
      <c r="AP143" s="197"/>
      <c r="AQ143" s="197"/>
      <c r="AR143" s="197"/>
      <c r="AS143" s="197"/>
      <c r="AT143" s="197"/>
      <c r="AU143" s="197"/>
      <c r="AV143" s="197"/>
      <c r="AW143" s="197"/>
      <c r="AX143" s="197"/>
      <c r="AY143" s="197"/>
      <c r="AZ143" s="197"/>
      <c r="BA143" s="197"/>
      <c r="BB143" s="197"/>
    </row>
    <row r="144" spans="2:54" x14ac:dyDescent="0.2">
      <c r="B144" s="197"/>
      <c r="C144" s="197"/>
      <c r="F144" s="198"/>
      <c r="G144" s="197"/>
      <c r="H144" s="198"/>
      <c r="I144" s="197"/>
      <c r="J144" s="198"/>
      <c r="K144" s="198"/>
      <c r="L144" s="198"/>
      <c r="M144" s="198"/>
      <c r="N144" s="198"/>
      <c r="O144" s="199"/>
      <c r="P144" s="198"/>
      <c r="Q144" s="199"/>
      <c r="R144" s="198"/>
      <c r="T144" s="197"/>
      <c r="U144" s="197"/>
      <c r="X144" s="198"/>
      <c r="Y144" s="197"/>
      <c r="Z144" s="198"/>
      <c r="AA144" s="197"/>
      <c r="AB144" s="198"/>
      <c r="AC144" s="198"/>
      <c r="AD144" s="198"/>
      <c r="AE144" s="198"/>
      <c r="AF144" s="198"/>
      <c r="AG144" s="199"/>
      <c r="AH144" s="198"/>
      <c r="AI144" s="199"/>
      <c r="AJ144" s="198"/>
      <c r="AL144" s="197"/>
      <c r="AM144" s="197"/>
      <c r="AP144" s="198"/>
      <c r="AQ144" s="197"/>
      <c r="AR144" s="198"/>
      <c r="AS144" s="197"/>
      <c r="AT144" s="198"/>
      <c r="AU144" s="198"/>
      <c r="AV144" s="198"/>
      <c r="AW144" s="198"/>
      <c r="AX144" s="198"/>
      <c r="AY144" s="199"/>
      <c r="AZ144" s="198"/>
      <c r="BA144" s="199"/>
      <c r="BB144" s="198"/>
    </row>
    <row r="145" spans="2:54" x14ac:dyDescent="0.2">
      <c r="B145" s="200"/>
      <c r="C145" s="200"/>
      <c r="D145" s="201"/>
      <c r="E145" s="201"/>
      <c r="F145" s="202"/>
      <c r="G145" s="200"/>
      <c r="H145" s="202"/>
      <c r="I145" s="200"/>
      <c r="J145" s="202"/>
      <c r="K145" s="202"/>
      <c r="L145" s="202"/>
      <c r="M145" s="202"/>
      <c r="N145" s="202"/>
      <c r="O145" s="200"/>
      <c r="P145" s="202"/>
      <c r="Q145" s="200"/>
      <c r="R145" s="202"/>
      <c r="T145" s="200"/>
      <c r="U145" s="200"/>
      <c r="V145" s="201"/>
      <c r="W145" s="201"/>
      <c r="X145" s="202"/>
      <c r="Y145" s="200"/>
      <c r="Z145" s="202"/>
      <c r="AA145" s="200"/>
      <c r="AB145" s="202"/>
      <c r="AC145" s="202"/>
      <c r="AD145" s="202"/>
      <c r="AE145" s="202"/>
      <c r="AF145" s="202"/>
      <c r="AG145" s="200"/>
      <c r="AH145" s="202"/>
      <c r="AI145" s="200"/>
      <c r="AJ145" s="202"/>
      <c r="AL145" s="200"/>
      <c r="AM145" s="200"/>
      <c r="AN145" s="201"/>
      <c r="AO145" s="201"/>
      <c r="AP145" s="202"/>
      <c r="AQ145" s="200"/>
      <c r="AR145" s="202"/>
      <c r="AS145" s="200"/>
      <c r="AT145" s="202"/>
      <c r="AU145" s="202"/>
      <c r="AV145" s="202"/>
      <c r="AW145" s="202"/>
      <c r="AX145" s="202"/>
      <c r="AY145" s="200"/>
      <c r="AZ145" s="202"/>
      <c r="BA145" s="200"/>
      <c r="BB145" s="202"/>
    </row>
    <row r="146" spans="2:54" x14ac:dyDescent="0.2">
      <c r="B146" s="200"/>
      <c r="C146" s="200"/>
      <c r="D146" s="201"/>
      <c r="E146" s="201"/>
      <c r="F146" s="202"/>
      <c r="G146" s="200"/>
      <c r="H146" s="202"/>
      <c r="I146" s="200"/>
      <c r="J146" s="202"/>
      <c r="K146" s="202"/>
      <c r="L146" s="202"/>
      <c r="M146" s="202"/>
      <c r="N146" s="202"/>
      <c r="O146" s="200"/>
      <c r="P146" s="202"/>
      <c r="Q146" s="200"/>
      <c r="R146" s="202"/>
      <c r="T146" s="200"/>
      <c r="U146" s="200"/>
      <c r="V146" s="201"/>
      <c r="W146" s="201"/>
      <c r="X146" s="202"/>
      <c r="Y146" s="200"/>
      <c r="Z146" s="202"/>
      <c r="AA146" s="200"/>
      <c r="AB146" s="202"/>
      <c r="AC146" s="202"/>
      <c r="AD146" s="202"/>
      <c r="AE146" s="202"/>
      <c r="AF146" s="202"/>
      <c r="AG146" s="200"/>
      <c r="AH146" s="202"/>
      <c r="AI146" s="200"/>
      <c r="AJ146" s="202"/>
      <c r="AL146" s="200"/>
      <c r="AM146" s="200"/>
      <c r="AN146" s="201"/>
      <c r="AO146" s="201"/>
      <c r="AP146" s="202"/>
      <c r="AQ146" s="200"/>
      <c r="AR146" s="202"/>
      <c r="AS146" s="200"/>
      <c r="AT146" s="202"/>
      <c r="AU146" s="202"/>
      <c r="AV146" s="202"/>
      <c r="AW146" s="202"/>
      <c r="AX146" s="202"/>
      <c r="AY146" s="200"/>
      <c r="AZ146" s="202"/>
      <c r="BA146" s="200"/>
      <c r="BB146" s="202"/>
    </row>
    <row r="147" spans="2:54" x14ac:dyDescent="0.2">
      <c r="B147" s="197"/>
      <c r="C147" s="197"/>
      <c r="F147" s="198"/>
      <c r="G147" s="197"/>
      <c r="H147" s="198"/>
      <c r="I147" s="197"/>
      <c r="J147" s="198"/>
      <c r="K147" s="198"/>
      <c r="L147" s="198"/>
      <c r="M147" s="198"/>
      <c r="N147" s="198"/>
      <c r="O147" s="199"/>
      <c r="P147" s="198"/>
      <c r="Q147" s="199"/>
      <c r="R147" s="198"/>
      <c r="T147" s="197"/>
      <c r="U147" s="197"/>
      <c r="X147" s="198"/>
      <c r="Y147" s="197"/>
      <c r="Z147" s="198"/>
      <c r="AA147" s="197"/>
      <c r="AB147" s="198"/>
      <c r="AC147" s="198"/>
      <c r="AD147" s="198"/>
      <c r="AE147" s="198"/>
      <c r="AF147" s="198"/>
      <c r="AG147" s="199"/>
      <c r="AH147" s="198"/>
      <c r="AI147" s="199"/>
      <c r="AJ147" s="198"/>
      <c r="AL147" s="197"/>
      <c r="AM147" s="197"/>
      <c r="AP147" s="198"/>
      <c r="AQ147" s="197"/>
      <c r="AR147" s="198"/>
      <c r="AS147" s="197"/>
      <c r="AT147" s="198"/>
      <c r="AU147" s="198"/>
      <c r="AV147" s="198"/>
      <c r="AW147" s="198"/>
      <c r="AX147" s="198"/>
      <c r="AY147" s="199"/>
      <c r="AZ147" s="198"/>
      <c r="BA147" s="199"/>
      <c r="BB147" s="198"/>
    </row>
    <row r="148" spans="2:54" x14ac:dyDescent="0.2">
      <c r="B148" s="197"/>
      <c r="C148" s="197"/>
      <c r="F148" s="197"/>
      <c r="G148" s="197"/>
      <c r="H148" s="197"/>
      <c r="I148" s="197"/>
      <c r="J148" s="197"/>
      <c r="K148" s="197"/>
      <c r="L148" s="197"/>
      <c r="M148" s="197"/>
      <c r="N148" s="197"/>
      <c r="O148" s="197"/>
      <c r="P148" s="197"/>
      <c r="Q148" s="197"/>
      <c r="R148" s="197"/>
      <c r="T148" s="197"/>
      <c r="U148" s="197"/>
      <c r="X148" s="197"/>
      <c r="Y148" s="197"/>
      <c r="Z148" s="197"/>
      <c r="AA148" s="197"/>
      <c r="AB148" s="197"/>
      <c r="AC148" s="197"/>
      <c r="AD148" s="197"/>
      <c r="AE148" s="197"/>
      <c r="AF148" s="197"/>
      <c r="AG148" s="197"/>
      <c r="AH148" s="197"/>
      <c r="AI148" s="197"/>
      <c r="AJ148" s="197"/>
      <c r="AL148" s="197"/>
      <c r="AM148" s="197"/>
      <c r="AP148" s="197"/>
      <c r="AQ148" s="197"/>
      <c r="AR148" s="197"/>
      <c r="AS148" s="197"/>
      <c r="AT148" s="197"/>
      <c r="AU148" s="197"/>
      <c r="AV148" s="197"/>
      <c r="AW148" s="197"/>
      <c r="AX148" s="197"/>
      <c r="AY148" s="197"/>
      <c r="AZ148" s="197"/>
      <c r="BA148" s="197"/>
      <c r="BB148" s="197"/>
    </row>
    <row r="153" spans="2:54" x14ac:dyDescent="0.2">
      <c r="B153" s="197"/>
      <c r="C153" s="197"/>
      <c r="F153" s="197"/>
      <c r="G153" s="197"/>
      <c r="H153" s="197"/>
      <c r="I153" s="197"/>
      <c r="J153" s="197"/>
      <c r="K153" s="197"/>
      <c r="L153" s="197"/>
      <c r="M153" s="197"/>
      <c r="N153" s="197"/>
      <c r="O153" s="197"/>
      <c r="P153" s="197"/>
      <c r="Q153" s="197"/>
      <c r="R153" s="197"/>
      <c r="T153" s="197"/>
      <c r="U153" s="197"/>
      <c r="X153" s="197"/>
      <c r="Y153" s="197"/>
      <c r="Z153" s="197"/>
      <c r="AA153" s="197"/>
      <c r="AB153" s="197"/>
      <c r="AC153" s="197"/>
      <c r="AD153" s="197"/>
      <c r="AE153" s="197"/>
      <c r="AF153" s="197"/>
      <c r="AG153" s="197"/>
      <c r="AH153" s="197"/>
      <c r="AI153" s="197"/>
      <c r="AJ153" s="197"/>
      <c r="AL153" s="197"/>
      <c r="AM153" s="197"/>
      <c r="AP153" s="197"/>
      <c r="AQ153" s="197"/>
      <c r="AR153" s="197"/>
      <c r="AS153" s="197"/>
      <c r="AT153" s="197"/>
      <c r="AU153" s="197"/>
      <c r="AV153" s="197"/>
      <c r="AW153" s="197"/>
      <c r="AX153" s="197"/>
      <c r="AY153" s="197"/>
      <c r="AZ153" s="197"/>
      <c r="BA153" s="197"/>
      <c r="BB153" s="197"/>
    </row>
    <row r="154" spans="2:54" x14ac:dyDescent="0.2">
      <c r="B154" s="197"/>
      <c r="C154" s="197"/>
      <c r="F154" s="197"/>
      <c r="G154" s="197"/>
      <c r="H154" s="197"/>
      <c r="I154" s="197"/>
      <c r="J154" s="197"/>
      <c r="K154" s="197"/>
      <c r="L154" s="197"/>
      <c r="M154" s="197"/>
      <c r="N154" s="197"/>
      <c r="O154" s="197"/>
      <c r="P154" s="197"/>
      <c r="Q154" s="197"/>
      <c r="R154" s="197"/>
      <c r="T154" s="197"/>
      <c r="U154" s="197"/>
      <c r="X154" s="197"/>
      <c r="Y154" s="197"/>
      <c r="Z154" s="197"/>
      <c r="AA154" s="197"/>
      <c r="AB154" s="197"/>
      <c r="AC154" s="197"/>
      <c r="AD154" s="197"/>
      <c r="AE154" s="197"/>
      <c r="AF154" s="197"/>
      <c r="AG154" s="197"/>
      <c r="AH154" s="197"/>
      <c r="AI154" s="197"/>
      <c r="AJ154" s="197"/>
      <c r="AL154" s="197"/>
      <c r="AM154" s="197"/>
      <c r="AP154" s="197"/>
      <c r="AQ154" s="197"/>
      <c r="AR154" s="197"/>
      <c r="AS154" s="197"/>
      <c r="AT154" s="197"/>
      <c r="AU154" s="197"/>
      <c r="AV154" s="197"/>
      <c r="AW154" s="197"/>
      <c r="AX154" s="197"/>
      <c r="AY154" s="197"/>
      <c r="AZ154" s="197"/>
      <c r="BA154" s="197"/>
      <c r="BB154" s="197"/>
    </row>
    <row r="155" spans="2:54" x14ac:dyDescent="0.2">
      <c r="B155" s="197"/>
      <c r="C155" s="197"/>
      <c r="F155" s="197"/>
      <c r="G155" s="197"/>
      <c r="H155" s="197"/>
      <c r="I155" s="197"/>
      <c r="J155" s="197"/>
      <c r="K155" s="197"/>
      <c r="L155" s="197"/>
      <c r="M155" s="197"/>
      <c r="N155" s="197"/>
      <c r="O155" s="197"/>
      <c r="P155" s="197"/>
      <c r="Q155" s="197"/>
      <c r="R155" s="197"/>
      <c r="T155" s="197"/>
      <c r="U155" s="197"/>
      <c r="X155" s="197"/>
      <c r="Y155" s="197"/>
      <c r="Z155" s="197"/>
      <c r="AA155" s="197"/>
      <c r="AB155" s="197"/>
      <c r="AC155" s="197"/>
      <c r="AD155" s="197"/>
      <c r="AE155" s="197"/>
      <c r="AF155" s="197"/>
      <c r="AG155" s="197"/>
      <c r="AH155" s="197"/>
      <c r="AI155" s="197"/>
      <c r="AJ155" s="197"/>
      <c r="AL155" s="197"/>
      <c r="AM155" s="197"/>
      <c r="AP155" s="197"/>
      <c r="AQ155" s="197"/>
      <c r="AR155" s="197"/>
      <c r="AS155" s="197"/>
      <c r="AT155" s="197"/>
      <c r="AU155" s="197"/>
      <c r="AV155" s="197"/>
      <c r="AW155" s="197"/>
      <c r="AX155" s="197"/>
      <c r="AY155" s="197"/>
      <c r="AZ155" s="197"/>
      <c r="BA155" s="197"/>
      <c r="BB155" s="197"/>
    </row>
    <row r="156" spans="2:54" x14ac:dyDescent="0.2">
      <c r="B156" s="197"/>
      <c r="C156" s="197"/>
      <c r="F156" s="197"/>
      <c r="G156" s="197"/>
      <c r="H156" s="197"/>
      <c r="I156" s="197"/>
      <c r="J156" s="197"/>
      <c r="K156" s="197"/>
      <c r="L156" s="197"/>
      <c r="M156" s="197"/>
      <c r="N156" s="197"/>
      <c r="O156" s="197"/>
      <c r="P156" s="197"/>
      <c r="Q156" s="197"/>
      <c r="R156" s="197"/>
      <c r="T156" s="197"/>
      <c r="U156" s="197"/>
      <c r="X156" s="197"/>
      <c r="Y156" s="197"/>
      <c r="Z156" s="197"/>
      <c r="AA156" s="197"/>
      <c r="AB156" s="197"/>
      <c r="AC156" s="197"/>
      <c r="AD156" s="197"/>
      <c r="AE156" s="197"/>
      <c r="AF156" s="197"/>
      <c r="AG156" s="197"/>
      <c r="AH156" s="197"/>
      <c r="AI156" s="197"/>
      <c r="AJ156" s="197"/>
      <c r="AL156" s="197"/>
      <c r="AM156" s="197"/>
      <c r="AP156" s="197"/>
      <c r="AQ156" s="197"/>
      <c r="AR156" s="197"/>
      <c r="AS156" s="197"/>
      <c r="AT156" s="197"/>
      <c r="AU156" s="197"/>
      <c r="AV156" s="197"/>
      <c r="AW156" s="197"/>
      <c r="AX156" s="197"/>
      <c r="AY156" s="197"/>
      <c r="AZ156" s="197"/>
      <c r="BA156" s="197"/>
      <c r="BB156" s="197"/>
    </row>
    <row r="157" spans="2:54" x14ac:dyDescent="0.2">
      <c r="B157" s="197"/>
      <c r="C157" s="197"/>
      <c r="F157" s="197"/>
      <c r="G157" s="197"/>
      <c r="H157" s="197"/>
      <c r="I157" s="197"/>
      <c r="J157" s="197"/>
      <c r="K157" s="197"/>
      <c r="L157" s="197"/>
      <c r="M157" s="197"/>
      <c r="N157" s="197"/>
      <c r="O157" s="197"/>
      <c r="P157" s="197"/>
      <c r="Q157" s="197"/>
      <c r="R157" s="197"/>
      <c r="T157" s="197"/>
      <c r="U157" s="197"/>
      <c r="X157" s="197"/>
      <c r="Y157" s="197"/>
      <c r="Z157" s="197"/>
      <c r="AA157" s="197"/>
      <c r="AB157" s="197"/>
      <c r="AC157" s="197"/>
      <c r="AD157" s="197"/>
      <c r="AE157" s="197"/>
      <c r="AF157" s="197"/>
      <c r="AG157" s="197"/>
      <c r="AH157" s="197"/>
      <c r="AI157" s="197"/>
      <c r="AJ157" s="197"/>
      <c r="AL157" s="197"/>
      <c r="AM157" s="197"/>
      <c r="AP157" s="197"/>
      <c r="AQ157" s="197"/>
      <c r="AR157" s="197"/>
      <c r="AS157" s="197"/>
      <c r="AT157" s="197"/>
      <c r="AU157" s="197"/>
      <c r="AV157" s="197"/>
      <c r="AW157" s="197"/>
      <c r="AX157" s="197"/>
      <c r="AY157" s="197"/>
      <c r="AZ157" s="197"/>
      <c r="BA157" s="197"/>
      <c r="BB157" s="197"/>
    </row>
    <row r="158" spans="2:54" x14ac:dyDescent="0.2">
      <c r="B158" s="197"/>
      <c r="C158" s="197"/>
      <c r="F158" s="197"/>
      <c r="G158" s="197"/>
      <c r="H158" s="197"/>
      <c r="I158" s="197"/>
      <c r="J158" s="197"/>
      <c r="K158" s="197"/>
      <c r="L158" s="197"/>
      <c r="M158" s="197"/>
      <c r="N158" s="197"/>
      <c r="O158" s="197"/>
      <c r="P158" s="197"/>
      <c r="Q158" s="197"/>
      <c r="R158" s="197"/>
      <c r="T158" s="197"/>
      <c r="U158" s="197"/>
      <c r="X158" s="197"/>
      <c r="Y158" s="197"/>
      <c r="Z158" s="197"/>
      <c r="AA158" s="197"/>
      <c r="AB158" s="197"/>
      <c r="AC158" s="197"/>
      <c r="AD158" s="197"/>
      <c r="AE158" s="197"/>
      <c r="AF158" s="197"/>
      <c r="AG158" s="197"/>
      <c r="AH158" s="197"/>
      <c r="AI158" s="197"/>
      <c r="AJ158" s="197"/>
      <c r="AL158" s="197"/>
      <c r="AM158" s="197"/>
      <c r="AP158" s="197"/>
      <c r="AQ158" s="197"/>
      <c r="AR158" s="197"/>
      <c r="AS158" s="197"/>
      <c r="AT158" s="197"/>
      <c r="AU158" s="197"/>
      <c r="AV158" s="197"/>
      <c r="AW158" s="197"/>
      <c r="AX158" s="197"/>
      <c r="AY158" s="197"/>
      <c r="AZ158" s="197"/>
      <c r="BA158" s="197"/>
      <c r="BB158" s="197"/>
    </row>
    <row r="159" spans="2:54" x14ac:dyDescent="0.2">
      <c r="B159" s="197"/>
      <c r="C159" s="197"/>
      <c r="F159" s="197"/>
      <c r="G159" s="197"/>
      <c r="H159" s="197"/>
      <c r="I159" s="197"/>
      <c r="J159" s="197"/>
      <c r="K159" s="197"/>
      <c r="L159" s="197"/>
      <c r="M159" s="197"/>
      <c r="N159" s="197"/>
      <c r="O159" s="197"/>
      <c r="P159" s="197"/>
      <c r="Q159" s="197"/>
      <c r="R159" s="197"/>
      <c r="T159" s="197"/>
      <c r="U159" s="197"/>
      <c r="X159" s="197"/>
      <c r="Y159" s="197"/>
      <c r="Z159" s="197"/>
      <c r="AA159" s="197"/>
      <c r="AB159" s="197"/>
      <c r="AC159" s="197"/>
      <c r="AD159" s="197"/>
      <c r="AE159" s="197"/>
      <c r="AF159" s="197"/>
      <c r="AG159" s="197"/>
      <c r="AH159" s="197"/>
      <c r="AI159" s="197"/>
      <c r="AJ159" s="197"/>
      <c r="AL159" s="197"/>
      <c r="AM159" s="197"/>
      <c r="AP159" s="197"/>
      <c r="AQ159" s="197"/>
      <c r="AR159" s="197"/>
      <c r="AS159" s="197"/>
      <c r="AT159" s="197"/>
      <c r="AU159" s="197"/>
      <c r="AV159" s="197"/>
      <c r="AW159" s="197"/>
      <c r="AX159" s="197"/>
      <c r="AY159" s="197"/>
      <c r="AZ159" s="197"/>
      <c r="BA159" s="197"/>
      <c r="BB159" s="197"/>
    </row>
    <row r="160" spans="2:54" x14ac:dyDescent="0.2">
      <c r="B160" s="197"/>
      <c r="C160" s="197"/>
      <c r="F160" s="197"/>
      <c r="G160" s="197"/>
      <c r="H160" s="197"/>
      <c r="I160" s="197"/>
      <c r="J160" s="197"/>
      <c r="K160" s="197"/>
      <c r="L160" s="197"/>
      <c r="M160" s="197"/>
      <c r="N160" s="197"/>
      <c r="O160" s="197"/>
      <c r="P160" s="197"/>
      <c r="Q160" s="197"/>
      <c r="R160" s="197"/>
      <c r="T160" s="197"/>
      <c r="U160" s="197"/>
      <c r="X160" s="197"/>
      <c r="Y160" s="197"/>
      <c r="Z160" s="197"/>
      <c r="AA160" s="197"/>
      <c r="AB160" s="197"/>
      <c r="AC160" s="197"/>
      <c r="AD160" s="197"/>
      <c r="AE160" s="197"/>
      <c r="AF160" s="197"/>
      <c r="AG160" s="197"/>
      <c r="AH160" s="197"/>
      <c r="AI160" s="197"/>
      <c r="AJ160" s="197"/>
      <c r="AL160" s="197"/>
      <c r="AM160" s="197"/>
      <c r="AP160" s="197"/>
      <c r="AQ160" s="197"/>
      <c r="AR160" s="197"/>
      <c r="AS160" s="197"/>
      <c r="AT160" s="197"/>
      <c r="AU160" s="197"/>
      <c r="AV160" s="197"/>
      <c r="AW160" s="197"/>
      <c r="AX160" s="197"/>
      <c r="AY160" s="197"/>
      <c r="AZ160" s="197"/>
      <c r="BA160" s="197"/>
      <c r="BB160" s="197"/>
    </row>
    <row r="161" spans="2:54" x14ac:dyDescent="0.2">
      <c r="B161" s="197"/>
      <c r="C161" s="197"/>
      <c r="F161" s="197"/>
      <c r="G161" s="197"/>
      <c r="H161" s="197"/>
      <c r="I161" s="197"/>
      <c r="J161" s="197"/>
      <c r="K161" s="197"/>
      <c r="L161" s="197"/>
      <c r="M161" s="197"/>
      <c r="N161" s="197"/>
      <c r="O161" s="197"/>
      <c r="P161" s="197"/>
      <c r="Q161" s="197"/>
      <c r="R161" s="197"/>
      <c r="T161" s="197"/>
      <c r="U161" s="197"/>
      <c r="X161" s="197"/>
      <c r="Y161" s="197"/>
      <c r="Z161" s="197"/>
      <c r="AA161" s="197"/>
      <c r="AB161" s="197"/>
      <c r="AC161" s="197"/>
      <c r="AD161" s="197"/>
      <c r="AE161" s="197"/>
      <c r="AF161" s="197"/>
      <c r="AG161" s="197"/>
      <c r="AH161" s="197"/>
      <c r="AI161" s="197"/>
      <c r="AJ161" s="197"/>
      <c r="AL161" s="197"/>
      <c r="AM161" s="197"/>
      <c r="AP161" s="197"/>
      <c r="AQ161" s="197"/>
      <c r="AR161" s="197"/>
      <c r="AS161" s="197"/>
      <c r="AT161" s="197"/>
      <c r="AU161" s="197"/>
      <c r="AV161" s="197"/>
      <c r="AW161" s="197"/>
      <c r="AX161" s="197"/>
      <c r="AY161" s="197"/>
      <c r="AZ161" s="197"/>
      <c r="BA161" s="197"/>
      <c r="BB161" s="197"/>
    </row>
    <row r="162" spans="2:54" x14ac:dyDescent="0.2">
      <c r="B162" s="197"/>
      <c r="C162" s="197"/>
      <c r="F162" s="197"/>
      <c r="G162" s="197"/>
      <c r="H162" s="197"/>
      <c r="I162" s="197"/>
      <c r="J162" s="197"/>
      <c r="K162" s="197"/>
      <c r="L162" s="197"/>
      <c r="M162" s="197"/>
      <c r="N162" s="197"/>
      <c r="O162" s="197"/>
      <c r="P162" s="197"/>
      <c r="Q162" s="197"/>
      <c r="R162" s="197"/>
      <c r="T162" s="197"/>
      <c r="U162" s="197"/>
      <c r="X162" s="197"/>
      <c r="Y162" s="197"/>
      <c r="Z162" s="197"/>
      <c r="AA162" s="197"/>
      <c r="AB162" s="197"/>
      <c r="AC162" s="197"/>
      <c r="AD162" s="197"/>
      <c r="AE162" s="197"/>
      <c r="AF162" s="197"/>
      <c r="AG162" s="197"/>
      <c r="AH162" s="197"/>
      <c r="AI162" s="197"/>
      <c r="AJ162" s="197"/>
      <c r="AL162" s="197"/>
      <c r="AM162" s="197"/>
      <c r="AP162" s="197"/>
      <c r="AQ162" s="197"/>
      <c r="AR162" s="197"/>
      <c r="AS162" s="197"/>
      <c r="AT162" s="197"/>
      <c r="AU162" s="197"/>
      <c r="AV162" s="197"/>
      <c r="AW162" s="197"/>
      <c r="AX162" s="197"/>
      <c r="AY162" s="197"/>
      <c r="AZ162" s="197"/>
      <c r="BA162" s="197"/>
      <c r="BB162" s="197"/>
    </row>
    <row r="163" spans="2:54" x14ac:dyDescent="0.2">
      <c r="B163" s="197"/>
      <c r="C163" s="197"/>
      <c r="F163" s="197"/>
      <c r="G163" s="197"/>
      <c r="H163" s="197"/>
      <c r="I163" s="197"/>
      <c r="J163" s="197"/>
      <c r="K163" s="197"/>
      <c r="L163" s="197"/>
      <c r="M163" s="197"/>
      <c r="N163" s="197"/>
      <c r="O163" s="197"/>
      <c r="P163" s="197"/>
      <c r="Q163" s="197"/>
      <c r="R163" s="197"/>
      <c r="T163" s="197"/>
      <c r="U163" s="197"/>
      <c r="X163" s="197"/>
      <c r="Y163" s="197"/>
      <c r="Z163" s="197"/>
      <c r="AA163" s="197"/>
      <c r="AB163" s="197"/>
      <c r="AC163" s="197"/>
      <c r="AD163" s="197"/>
      <c r="AE163" s="197"/>
      <c r="AF163" s="197"/>
      <c r="AG163" s="197"/>
      <c r="AH163" s="197"/>
      <c r="AI163" s="197"/>
      <c r="AJ163" s="197"/>
      <c r="AL163" s="197"/>
      <c r="AM163" s="197"/>
      <c r="AP163" s="197"/>
      <c r="AQ163" s="197"/>
      <c r="AR163" s="197"/>
      <c r="AS163" s="197"/>
      <c r="AT163" s="197"/>
      <c r="AU163" s="197"/>
      <c r="AV163" s="197"/>
      <c r="AW163" s="197"/>
      <c r="AX163" s="197"/>
      <c r="AY163" s="197"/>
      <c r="AZ163" s="197"/>
      <c r="BA163" s="197"/>
      <c r="BB163" s="197"/>
    </row>
    <row r="164" spans="2:54" x14ac:dyDescent="0.2">
      <c r="B164" s="197"/>
      <c r="C164" s="197"/>
      <c r="F164" s="197"/>
      <c r="G164" s="197"/>
      <c r="H164" s="197"/>
      <c r="I164" s="197"/>
      <c r="J164" s="197"/>
      <c r="K164" s="197"/>
      <c r="L164" s="197"/>
      <c r="M164" s="197"/>
      <c r="N164" s="197"/>
      <c r="O164" s="197"/>
      <c r="P164" s="197"/>
      <c r="Q164" s="197"/>
      <c r="R164" s="197"/>
      <c r="T164" s="197"/>
      <c r="U164" s="197"/>
      <c r="X164" s="197"/>
      <c r="Y164" s="197"/>
      <c r="Z164" s="197"/>
      <c r="AA164" s="197"/>
      <c r="AB164" s="197"/>
      <c r="AC164" s="197"/>
      <c r="AD164" s="197"/>
      <c r="AE164" s="197"/>
      <c r="AF164" s="197"/>
      <c r="AG164" s="197"/>
      <c r="AH164" s="197"/>
      <c r="AI164" s="197"/>
      <c r="AJ164" s="197"/>
      <c r="AL164" s="197"/>
      <c r="AM164" s="197"/>
      <c r="AP164" s="197"/>
      <c r="AQ164" s="197"/>
      <c r="AR164" s="197"/>
      <c r="AS164" s="197"/>
      <c r="AT164" s="197"/>
      <c r="AU164" s="197"/>
      <c r="AV164" s="197"/>
      <c r="AW164" s="197"/>
      <c r="AX164" s="197"/>
      <c r="AY164" s="197"/>
      <c r="AZ164" s="197"/>
      <c r="BA164" s="197"/>
      <c r="BB164" s="197"/>
    </row>
    <row r="165" spans="2:54" x14ac:dyDescent="0.2">
      <c r="B165" s="197"/>
      <c r="C165" s="197"/>
      <c r="F165" s="197"/>
      <c r="G165" s="197"/>
      <c r="H165" s="197"/>
      <c r="I165" s="197"/>
      <c r="J165" s="197"/>
      <c r="K165" s="197"/>
      <c r="L165" s="197"/>
      <c r="M165" s="197"/>
      <c r="N165" s="197"/>
      <c r="O165" s="197"/>
      <c r="P165" s="197"/>
      <c r="Q165" s="197"/>
      <c r="R165" s="197"/>
      <c r="T165" s="197"/>
      <c r="U165" s="197"/>
      <c r="X165" s="197"/>
      <c r="Y165" s="197"/>
      <c r="Z165" s="197"/>
      <c r="AA165" s="197"/>
      <c r="AB165" s="197"/>
      <c r="AC165" s="197"/>
      <c r="AD165" s="197"/>
      <c r="AE165" s="197"/>
      <c r="AF165" s="197"/>
      <c r="AG165" s="197"/>
      <c r="AH165" s="197"/>
      <c r="AI165" s="197"/>
      <c r="AJ165" s="197"/>
      <c r="AL165" s="197"/>
      <c r="AM165" s="197"/>
      <c r="AP165" s="197"/>
      <c r="AQ165" s="197"/>
      <c r="AR165" s="197"/>
      <c r="AS165" s="197"/>
      <c r="AT165" s="197"/>
      <c r="AU165" s="197"/>
      <c r="AV165" s="197"/>
      <c r="AW165" s="197"/>
      <c r="AX165" s="197"/>
      <c r="AY165" s="197"/>
      <c r="AZ165" s="197"/>
      <c r="BA165" s="197"/>
      <c r="BB165" s="197"/>
    </row>
    <row r="166" spans="2:54" x14ac:dyDescent="0.2">
      <c r="B166" s="197"/>
      <c r="C166" s="197"/>
      <c r="F166" s="197"/>
      <c r="G166" s="197"/>
      <c r="H166" s="197"/>
      <c r="I166" s="197"/>
      <c r="J166" s="197"/>
      <c r="K166" s="197"/>
      <c r="L166" s="197"/>
      <c r="M166" s="197"/>
      <c r="N166" s="197"/>
      <c r="O166" s="197"/>
      <c r="P166" s="197"/>
      <c r="Q166" s="197"/>
      <c r="R166" s="197"/>
      <c r="T166" s="197"/>
      <c r="U166" s="197"/>
      <c r="X166" s="197"/>
      <c r="Y166" s="197"/>
      <c r="Z166" s="197"/>
      <c r="AA166" s="197"/>
      <c r="AB166" s="197"/>
      <c r="AC166" s="197"/>
      <c r="AD166" s="197"/>
      <c r="AE166" s="197"/>
      <c r="AF166" s="197"/>
      <c r="AG166" s="197"/>
      <c r="AH166" s="197"/>
      <c r="AI166" s="197"/>
      <c r="AJ166" s="197"/>
      <c r="AL166" s="197"/>
      <c r="AM166" s="197"/>
      <c r="AP166" s="197"/>
      <c r="AQ166" s="197"/>
      <c r="AR166" s="197"/>
      <c r="AS166" s="197"/>
      <c r="AT166" s="197"/>
      <c r="AU166" s="197"/>
      <c r="AV166" s="197"/>
      <c r="AW166" s="197"/>
      <c r="AX166" s="197"/>
      <c r="AY166" s="197"/>
      <c r="AZ166" s="197"/>
      <c r="BA166" s="197"/>
      <c r="BB166" s="197"/>
    </row>
    <row r="167" spans="2:54" x14ac:dyDescent="0.2">
      <c r="B167" s="197"/>
      <c r="C167" s="197"/>
      <c r="D167" s="131"/>
      <c r="F167" s="197"/>
      <c r="G167" s="197"/>
      <c r="H167" s="197"/>
      <c r="I167" s="197"/>
      <c r="J167" s="197"/>
      <c r="K167" s="197"/>
      <c r="L167" s="197"/>
      <c r="M167" s="197"/>
      <c r="N167" s="197"/>
      <c r="O167" s="2"/>
      <c r="P167" s="197"/>
      <c r="Q167" s="2"/>
      <c r="R167" s="197"/>
      <c r="T167" s="197"/>
      <c r="U167" s="197"/>
      <c r="V167" s="131"/>
      <c r="X167" s="197"/>
      <c r="Y167" s="197"/>
      <c r="Z167" s="197"/>
      <c r="AA167" s="197"/>
      <c r="AB167" s="197"/>
      <c r="AC167" s="197"/>
      <c r="AD167" s="197"/>
      <c r="AE167" s="197"/>
      <c r="AF167" s="197"/>
      <c r="AG167" s="2"/>
      <c r="AH167" s="197"/>
      <c r="AI167" s="2"/>
      <c r="AJ167" s="197"/>
      <c r="AL167" s="197"/>
      <c r="AM167" s="197"/>
      <c r="AN167" s="131"/>
      <c r="AP167" s="197"/>
      <c r="AQ167" s="197"/>
      <c r="AR167" s="197"/>
      <c r="AS167" s="197"/>
      <c r="AT167" s="197"/>
      <c r="AU167" s="197"/>
      <c r="AV167" s="197"/>
      <c r="AW167" s="197"/>
      <c r="AX167" s="197"/>
      <c r="AY167" s="2"/>
      <c r="AZ167" s="197"/>
      <c r="BA167" s="2"/>
      <c r="BB167" s="197"/>
    </row>
    <row r="168" spans="2:54" x14ac:dyDescent="0.2">
      <c r="D168" s="203"/>
      <c r="E168" s="2"/>
      <c r="O168" s="2"/>
      <c r="Q168" s="2"/>
      <c r="V168" s="203"/>
      <c r="W168" s="2"/>
      <c r="AG168" s="2"/>
      <c r="AI168" s="2"/>
      <c r="AN168" s="203"/>
      <c r="AO168" s="2"/>
      <c r="AY168" s="2"/>
      <c r="BA168" s="2"/>
    </row>
    <row r="169" spans="2:54" x14ac:dyDescent="0.2">
      <c r="D169" s="203"/>
      <c r="E169" s="204"/>
      <c r="O169" s="2"/>
      <c r="Q169" s="2"/>
      <c r="V169" s="203"/>
      <c r="W169" s="204"/>
      <c r="AG169" s="2"/>
      <c r="AI169" s="2"/>
      <c r="AN169" s="203"/>
      <c r="AO169" s="204"/>
      <c r="AY169" s="2"/>
      <c r="BA169" s="2"/>
    </row>
    <row r="170" spans="2:54" x14ac:dyDescent="0.2">
      <c r="D170" s="203"/>
      <c r="E170" s="205"/>
      <c r="V170" s="203"/>
      <c r="W170" s="205"/>
      <c r="AN170" s="203"/>
      <c r="AO170" s="205"/>
    </row>
    <row r="171" spans="2:54" x14ac:dyDescent="0.2">
      <c r="D171" s="203"/>
      <c r="E171" s="204"/>
      <c r="O171" s="2"/>
      <c r="Q171" s="2"/>
      <c r="V171" s="203"/>
      <c r="W171" s="204"/>
      <c r="AG171" s="2"/>
      <c r="AI171" s="2"/>
      <c r="AN171" s="203"/>
      <c r="AO171" s="204"/>
      <c r="AY171" s="2"/>
      <c r="BA171" s="2"/>
    </row>
    <row r="172" spans="2:54" x14ac:dyDescent="0.2">
      <c r="D172" s="204"/>
      <c r="E172" s="204"/>
      <c r="O172" s="2"/>
      <c r="Q172" s="2"/>
      <c r="V172" s="204"/>
      <c r="W172" s="204"/>
      <c r="AG172" s="2"/>
      <c r="AI172" s="2"/>
      <c r="AN172" s="204"/>
      <c r="AO172" s="204"/>
      <c r="AY172" s="2"/>
      <c r="BA172" s="2"/>
    </row>
    <row r="173" spans="2:54" x14ac:dyDescent="0.2">
      <c r="D173" s="204"/>
      <c r="V173" s="204"/>
      <c r="AN173" s="204"/>
    </row>
    <row r="174" spans="2:54" x14ac:dyDescent="0.2">
      <c r="E174" s="204"/>
      <c r="W174" s="204"/>
      <c r="AO174" s="204"/>
    </row>
    <row r="175" spans="2:54" x14ac:dyDescent="0.2">
      <c r="E175" s="204"/>
      <c r="W175" s="204"/>
      <c r="AO175" s="204"/>
    </row>
  </sheetData>
  <sheetProtection algorithmName="SHA-512" hashValue="+FOB75NIlmJJzE54dOsDaH43vl7cKVPFZ0zxFcvi7YFPkM/O5zXnCR9uO67lj0qbXE4bEeEK7bJlx9xKNAKtBA==" saltValue="AaGdlt434JoKeEj8mUI7pA==" spinCount="100000" sheet="1" selectLockedCells="1"/>
  <mergeCells count="9">
    <mergeCell ref="AG6:AI6"/>
    <mergeCell ref="AQ6:AS6"/>
    <mergeCell ref="AU6:AW6"/>
    <mergeCell ref="AY6:BA6"/>
    <mergeCell ref="G6:I6"/>
    <mergeCell ref="K6:M6"/>
    <mergeCell ref="O6:Q6"/>
    <mergeCell ref="Y6:AA6"/>
    <mergeCell ref="AC6:AE6"/>
  </mergeCells>
  <phoneticPr fontId="22" type="noConversion"/>
  <hyperlinks>
    <hyperlink ref="A1" location="Cockpit!A1" display="zurück zu Cockpit" xr:uid="{4D911095-704C-4418-93D6-829316E45C1A}"/>
  </hyperlinks>
  <printOptions horizontalCentered="1"/>
  <pageMargins left="0.39370078740157483" right="0.39370078740157483" top="0.39370078740157483" bottom="0.59055118110236227" header="0.19685039370078741" footer="0.19685039370078741"/>
  <pageSetup paperSize="9" scale="22" fitToWidth="3" orientation="landscape" verticalDpi="601" r:id="rId1"/>
  <colBreaks count="2" manualBreakCount="2">
    <brk id="18" max="64" man="1"/>
    <brk id="36" max="64"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8CED2-B574-4BBC-B604-3CE3D075FC55}">
  <sheetPr>
    <pageSetUpPr fitToPage="1"/>
  </sheetPr>
  <dimension ref="A1:AC72"/>
  <sheetViews>
    <sheetView workbookViewId="0"/>
  </sheetViews>
  <sheetFormatPr baseColWidth="10" defaultColWidth="9" defaultRowHeight="12.75" x14ac:dyDescent="0.2"/>
  <cols>
    <col min="1" max="1" width="4" style="2" customWidth="1"/>
    <col min="2" max="3" width="9" style="2"/>
    <col min="4" max="4" width="19.625" style="2" customWidth="1"/>
    <col min="5" max="5" width="17.5" style="2" customWidth="1"/>
    <col min="6" max="18" width="9" style="2" customWidth="1"/>
    <col min="19" max="19" width="18.375" style="2" bestFit="1" customWidth="1"/>
    <col min="20" max="20" width="10.5" style="2" customWidth="1"/>
    <col min="21" max="21" width="29.125" style="2" bestFit="1" customWidth="1"/>
    <col min="22" max="22" width="12.75" style="2" bestFit="1" customWidth="1"/>
    <col min="23" max="23" width="10.625" style="2" bestFit="1" customWidth="1"/>
    <col min="24" max="24" width="29.125" style="2" bestFit="1" customWidth="1"/>
    <col min="25" max="25" width="12.75" style="2" bestFit="1" customWidth="1"/>
    <col min="26" max="26" width="10.625" style="2" bestFit="1" customWidth="1"/>
    <col min="27" max="27" width="29.125" style="2" bestFit="1" customWidth="1"/>
    <col min="28" max="28" width="21.875" style="2" bestFit="1" customWidth="1"/>
    <col min="29" max="16384" width="9" style="2"/>
  </cols>
  <sheetData>
    <row r="1" spans="1:29" x14ac:dyDescent="0.2">
      <c r="A1" s="425" t="s">
        <v>467</v>
      </c>
    </row>
    <row r="3" spans="1:29" ht="18" x14ac:dyDescent="0.25">
      <c r="B3" s="171"/>
      <c r="C3" s="171"/>
      <c r="D3" s="172" t="s">
        <v>33</v>
      </c>
      <c r="E3" s="173"/>
      <c r="F3" s="171"/>
      <c r="G3" s="174" t="s">
        <v>83</v>
      </c>
      <c r="H3" s="174"/>
      <c r="I3" s="174"/>
      <c r="J3" s="174"/>
      <c r="K3" s="174"/>
      <c r="L3" s="174"/>
      <c r="M3" s="174"/>
      <c r="N3" s="174"/>
      <c r="O3" s="174"/>
      <c r="P3" s="174"/>
      <c r="Q3" s="174"/>
      <c r="R3" s="174"/>
      <c r="S3" s="208" t="s">
        <v>34</v>
      </c>
      <c r="T3" s="3"/>
      <c r="U3" s="3"/>
      <c r="V3" s="3"/>
      <c r="W3" s="3"/>
      <c r="X3" s="3"/>
      <c r="Y3" s="3"/>
      <c r="Z3" s="3"/>
      <c r="AA3" s="3"/>
      <c r="AB3" s="3"/>
      <c r="AC3" s="3"/>
    </row>
    <row r="4" spans="1:29" ht="18" x14ac:dyDescent="0.2">
      <c r="B4" s="171"/>
      <c r="C4" s="171"/>
      <c r="D4" s="172"/>
      <c r="E4" s="173"/>
      <c r="F4" s="171"/>
      <c r="G4" s="476" t="s">
        <v>25</v>
      </c>
      <c r="H4" s="476"/>
      <c r="I4" s="476"/>
      <c r="J4" s="3"/>
      <c r="K4" s="477" t="s">
        <v>26</v>
      </c>
      <c r="L4" s="477"/>
      <c r="M4" s="477"/>
      <c r="N4" s="3"/>
      <c r="O4" s="476" t="s">
        <v>27</v>
      </c>
      <c r="P4" s="476"/>
      <c r="Q4" s="476"/>
      <c r="R4" s="175"/>
      <c r="S4" s="478">
        <v>2020</v>
      </c>
      <c r="T4" s="479"/>
      <c r="U4" s="480"/>
      <c r="V4" s="478">
        <v>2025</v>
      </c>
      <c r="W4" s="479"/>
      <c r="X4" s="480"/>
      <c r="Y4" s="478">
        <v>2030</v>
      </c>
      <c r="Z4" s="479"/>
      <c r="AA4" s="480"/>
      <c r="AB4" s="209" t="s">
        <v>21</v>
      </c>
      <c r="AC4" s="3"/>
    </row>
    <row r="5" spans="1:29" ht="25.5" x14ac:dyDescent="0.2">
      <c r="B5" s="175"/>
      <c r="C5" s="175"/>
      <c r="D5" s="176" t="s">
        <v>35</v>
      </c>
      <c r="E5" s="176" t="s">
        <v>36</v>
      </c>
      <c r="F5" s="3"/>
      <c r="G5" s="210">
        <v>2020</v>
      </c>
      <c r="H5" s="171">
        <v>2025</v>
      </c>
      <c r="I5" s="211">
        <v>2030</v>
      </c>
      <c r="J5" s="171"/>
      <c r="K5" s="210">
        <v>2020</v>
      </c>
      <c r="L5" s="171">
        <v>2025</v>
      </c>
      <c r="M5" s="211">
        <v>2030</v>
      </c>
      <c r="N5" s="171"/>
      <c r="O5" s="210">
        <v>2020</v>
      </c>
      <c r="P5" s="171">
        <v>2025</v>
      </c>
      <c r="Q5" s="211">
        <v>2030</v>
      </c>
      <c r="R5" s="171"/>
      <c r="S5" s="212" t="s">
        <v>25</v>
      </c>
      <c r="T5" s="213" t="s">
        <v>26</v>
      </c>
      <c r="U5" s="214" t="s">
        <v>27</v>
      </c>
      <c r="V5" s="212" t="s">
        <v>25</v>
      </c>
      <c r="W5" s="213" t="s">
        <v>26</v>
      </c>
      <c r="X5" s="214" t="s">
        <v>27</v>
      </c>
      <c r="Y5" s="212" t="s">
        <v>25</v>
      </c>
      <c r="Z5" s="213" t="s">
        <v>26</v>
      </c>
      <c r="AA5" s="214" t="s">
        <v>27</v>
      </c>
      <c r="AB5" s="215"/>
      <c r="AC5" s="3"/>
    </row>
    <row r="6" spans="1:29" x14ac:dyDescent="0.2">
      <c r="B6" s="177"/>
      <c r="C6" s="177" t="s">
        <v>82</v>
      </c>
      <c r="D6" s="176"/>
      <c r="E6" s="176"/>
      <c r="F6" s="3"/>
      <c r="G6" s="216"/>
      <c r="H6" s="217"/>
      <c r="I6" s="218"/>
      <c r="J6" s="217"/>
      <c r="K6" s="216"/>
      <c r="L6" s="217"/>
      <c r="M6" s="218"/>
      <c r="N6" s="217"/>
      <c r="O6" s="216"/>
      <c r="P6" s="217"/>
      <c r="Q6" s="218"/>
      <c r="R6" s="171"/>
      <c r="S6" s="219"/>
      <c r="T6" s="34"/>
      <c r="U6" s="220"/>
      <c r="V6" s="219"/>
      <c r="W6" s="34"/>
      <c r="X6" s="220"/>
      <c r="Y6" s="221"/>
      <c r="Z6" s="3"/>
      <c r="AA6" s="222"/>
      <c r="AB6" s="223"/>
      <c r="AC6" s="3"/>
    </row>
    <row r="7" spans="1:29" x14ac:dyDescent="0.2">
      <c r="B7" s="178"/>
      <c r="C7" s="178"/>
      <c r="D7" s="3" t="s">
        <v>29</v>
      </c>
      <c r="E7" s="3" t="s">
        <v>38</v>
      </c>
      <c r="F7" s="3"/>
      <c r="G7" s="224">
        <v>1.8316E-4</v>
      </c>
      <c r="H7" s="225">
        <f>G7</f>
        <v>1.8316E-4</v>
      </c>
      <c r="I7" s="226">
        <f>G7</f>
        <v>1.8316E-4</v>
      </c>
      <c r="J7" s="227"/>
      <c r="K7" s="228" t="s">
        <v>107</v>
      </c>
      <c r="L7" s="229" t="s">
        <v>107</v>
      </c>
      <c r="M7" s="230" t="s">
        <v>107</v>
      </c>
      <c r="N7" s="227"/>
      <c r="O7" s="224">
        <v>3.1350000000000003E-5</v>
      </c>
      <c r="P7" s="225">
        <f t="shared" ref="P7:P59" si="0">O7</f>
        <v>3.1350000000000003E-5</v>
      </c>
      <c r="Q7" s="226">
        <f>O7</f>
        <v>3.1350000000000003E-5</v>
      </c>
      <c r="R7" s="171"/>
      <c r="S7" s="221" t="s">
        <v>356</v>
      </c>
      <c r="T7" s="231"/>
      <c r="U7" s="222" t="s">
        <v>357</v>
      </c>
      <c r="V7" s="221" t="str">
        <f>S7</f>
        <v>DEFRA (2021 a)</v>
      </c>
      <c r="W7" s="231"/>
      <c r="X7" s="222" t="str">
        <f>U7</f>
        <v>DEFRA (2021 b)</v>
      </c>
      <c r="Y7" s="221" t="str">
        <f>V7</f>
        <v>DEFRA (2021 a)</v>
      </c>
      <c r="Z7" s="231"/>
      <c r="AA7" s="222" t="str">
        <f>X7</f>
        <v>DEFRA (2021 b)</v>
      </c>
      <c r="AB7" s="223"/>
      <c r="AC7" s="3"/>
    </row>
    <row r="8" spans="1:29" x14ac:dyDescent="0.2">
      <c r="B8" s="178"/>
      <c r="C8" s="178"/>
      <c r="D8" s="3" t="s">
        <v>30</v>
      </c>
      <c r="E8" s="3" t="s">
        <v>40</v>
      </c>
      <c r="F8" s="3"/>
      <c r="G8" s="224">
        <v>2.6676E-4</v>
      </c>
      <c r="H8" s="225">
        <f>G8</f>
        <v>2.6676E-4</v>
      </c>
      <c r="I8" s="226">
        <f>G8</f>
        <v>2.6676E-4</v>
      </c>
      <c r="J8" s="227"/>
      <c r="K8" s="228" t="s">
        <v>107</v>
      </c>
      <c r="L8" s="229" t="s">
        <v>107</v>
      </c>
      <c r="M8" s="230" t="s">
        <v>107</v>
      </c>
      <c r="N8" s="227"/>
      <c r="O8" s="224">
        <v>3.9576000000000002E-5</v>
      </c>
      <c r="P8" s="225">
        <f t="shared" si="0"/>
        <v>3.9576000000000002E-5</v>
      </c>
      <c r="Q8" s="226">
        <f t="shared" ref="Q8:Q59" si="1">O8</f>
        <v>3.9576000000000002E-5</v>
      </c>
      <c r="R8" s="171"/>
      <c r="S8" s="221" t="s">
        <v>352</v>
      </c>
      <c r="T8" s="231"/>
      <c r="U8" s="222" t="s">
        <v>353</v>
      </c>
      <c r="V8" s="221" t="str">
        <f>S8</f>
        <v>DEHSt (2022)</v>
      </c>
      <c r="W8" s="231"/>
      <c r="X8" s="222" t="str">
        <f>U8</f>
        <v>GEMIS 5.0</v>
      </c>
      <c r="Y8" s="221" t="str">
        <f>V8</f>
        <v>DEHSt (2022)</v>
      </c>
      <c r="Z8" s="231"/>
      <c r="AA8" s="222" t="str">
        <f>X8</f>
        <v>GEMIS 5.0</v>
      </c>
      <c r="AB8" s="223"/>
      <c r="AC8" s="3"/>
    </row>
    <row r="9" spans="1:29" x14ac:dyDescent="0.2">
      <c r="B9" s="178"/>
      <c r="C9" s="178"/>
      <c r="D9" s="3" t="s">
        <v>42</v>
      </c>
      <c r="E9" s="3" t="s">
        <v>40</v>
      </c>
      <c r="F9" s="3"/>
      <c r="G9" s="228" t="s">
        <v>107</v>
      </c>
      <c r="H9" s="229" t="s">
        <v>107</v>
      </c>
      <c r="I9" s="230" t="s">
        <v>107</v>
      </c>
      <c r="J9" s="225"/>
      <c r="K9" s="224">
        <v>3.8200000000000002E-4</v>
      </c>
      <c r="L9" s="225">
        <f>0.277538771308252/1000</f>
        <v>2.7753877130825199E-4</v>
      </c>
      <c r="M9" s="226">
        <f>0.136783455213579/1000</f>
        <v>1.3678345521357901E-4</v>
      </c>
      <c r="N9" s="227"/>
      <c r="O9" s="224">
        <v>5.5999999999999999E-5</v>
      </c>
      <c r="P9" s="225">
        <f>O9*L72</f>
        <v>4.0686312024246369E-5</v>
      </c>
      <c r="Q9" s="226">
        <f>O9*M72</f>
        <v>2.0052024848063938E-5</v>
      </c>
      <c r="R9" s="171"/>
      <c r="S9" s="221"/>
      <c r="T9" s="3" t="s">
        <v>354</v>
      </c>
      <c r="U9" s="222" t="s">
        <v>354</v>
      </c>
      <c r="V9" s="221"/>
      <c r="W9" s="3" t="s">
        <v>372</v>
      </c>
      <c r="X9" s="222" t="s">
        <v>372</v>
      </c>
      <c r="Y9" s="221"/>
      <c r="Z9" s="3" t="str">
        <f>W9</f>
        <v>Agora (2022)</v>
      </c>
      <c r="AA9" s="222" t="str">
        <f>X9</f>
        <v>Agora (2022)</v>
      </c>
      <c r="AB9" s="223"/>
      <c r="AC9" s="3"/>
    </row>
    <row r="10" spans="1:29" x14ac:dyDescent="0.2">
      <c r="B10" s="178"/>
      <c r="C10" s="178"/>
      <c r="D10" s="3" t="s">
        <v>112</v>
      </c>
      <c r="E10" s="3" t="s">
        <v>40</v>
      </c>
      <c r="F10" s="3"/>
      <c r="G10" s="228" t="s">
        <v>174</v>
      </c>
      <c r="H10" s="229" t="s">
        <v>174</v>
      </c>
      <c r="I10" s="230" t="s">
        <v>174</v>
      </c>
      <c r="J10" s="225"/>
      <c r="K10" s="224" t="s">
        <v>174</v>
      </c>
      <c r="L10" s="225" t="s">
        <v>174</v>
      </c>
      <c r="M10" s="226" t="s">
        <v>174</v>
      </c>
      <c r="N10" s="227"/>
      <c r="O10" s="224" t="s">
        <v>174</v>
      </c>
      <c r="P10" s="225" t="s">
        <v>174</v>
      </c>
      <c r="Q10" s="226" t="s">
        <v>174</v>
      </c>
      <c r="R10" s="171"/>
      <c r="S10" s="221"/>
      <c r="T10" s="3"/>
      <c r="U10" s="222"/>
      <c r="V10" s="221"/>
      <c r="W10" s="3"/>
      <c r="X10" s="222"/>
      <c r="Y10" s="221"/>
      <c r="Z10" s="3"/>
      <c r="AA10" s="222"/>
      <c r="AB10" s="223"/>
      <c r="AC10" s="3"/>
    </row>
    <row r="11" spans="1:29" x14ac:dyDescent="0.2">
      <c r="B11" s="178"/>
      <c r="C11" s="178"/>
      <c r="D11" s="180" t="s">
        <v>111</v>
      </c>
      <c r="E11" s="3" t="s">
        <v>41</v>
      </c>
      <c r="F11" s="3"/>
      <c r="G11" s="224">
        <v>2.3030999999999998E-4</v>
      </c>
      <c r="H11" s="225">
        <f>G11</f>
        <v>2.3030999999999998E-4</v>
      </c>
      <c r="I11" s="226">
        <f>G11</f>
        <v>2.3030999999999998E-4</v>
      </c>
      <c r="J11" s="225"/>
      <c r="K11" s="228" t="s">
        <v>107</v>
      </c>
      <c r="L11" s="229" t="s">
        <v>107</v>
      </c>
      <c r="M11" s="230" t="s">
        <v>107</v>
      </c>
      <c r="N11" s="227"/>
      <c r="O11" s="224">
        <v>2.7189999999999999E-5</v>
      </c>
      <c r="P11" s="225">
        <f>O11</f>
        <v>2.7189999999999999E-5</v>
      </c>
      <c r="Q11" s="226">
        <f>O11</f>
        <v>2.7189999999999999E-5</v>
      </c>
      <c r="R11" s="171"/>
      <c r="S11" s="221" t="s">
        <v>358</v>
      </c>
      <c r="T11" s="231"/>
      <c r="U11" s="222" t="s">
        <v>359</v>
      </c>
      <c r="V11" s="221" t="str">
        <f>S11</f>
        <v>DEFRA (2021 c)</v>
      </c>
      <c r="W11" s="231"/>
      <c r="X11" s="222" t="str">
        <f>U11</f>
        <v>DEFRA (2021 d)</v>
      </c>
      <c r="Y11" s="221" t="str">
        <f>V11</f>
        <v>DEFRA (2021 c)</v>
      </c>
      <c r="Z11" s="231"/>
      <c r="AA11" s="222" t="str">
        <f>X11</f>
        <v>DEFRA (2021 d)</v>
      </c>
      <c r="AB11" s="223"/>
      <c r="AC11" s="3"/>
    </row>
    <row r="12" spans="1:29" x14ac:dyDescent="0.2">
      <c r="B12" s="178"/>
      <c r="C12" s="178"/>
      <c r="D12" s="3" t="s">
        <v>113</v>
      </c>
      <c r="E12" s="3" t="s">
        <v>40</v>
      </c>
      <c r="F12" s="3"/>
      <c r="G12" s="224" t="s">
        <v>174</v>
      </c>
      <c r="H12" s="225" t="s">
        <v>174</v>
      </c>
      <c r="I12" s="226" t="s">
        <v>174</v>
      </c>
      <c r="J12" s="225"/>
      <c r="K12" s="228" t="s">
        <v>174</v>
      </c>
      <c r="L12" s="229" t="s">
        <v>174</v>
      </c>
      <c r="M12" s="230" t="s">
        <v>174</v>
      </c>
      <c r="N12" s="227"/>
      <c r="O12" s="224" t="s">
        <v>174</v>
      </c>
      <c r="P12" s="225" t="s">
        <v>174</v>
      </c>
      <c r="Q12" s="226" t="s">
        <v>174</v>
      </c>
      <c r="R12" s="171"/>
      <c r="S12" s="221"/>
      <c r="T12" s="231"/>
      <c r="U12" s="222"/>
      <c r="V12" s="221"/>
      <c r="W12" s="231"/>
      <c r="X12" s="222"/>
      <c r="Y12" s="221"/>
      <c r="Z12" s="231"/>
      <c r="AA12" s="222"/>
      <c r="AB12" s="223"/>
      <c r="AC12" s="3"/>
    </row>
    <row r="13" spans="1:29" x14ac:dyDescent="0.2">
      <c r="B13" s="178"/>
      <c r="C13" s="178"/>
      <c r="D13" s="180" t="s">
        <v>32</v>
      </c>
      <c r="E13" s="3" t="s">
        <v>39</v>
      </c>
      <c r="F13" s="3"/>
      <c r="G13" s="224">
        <v>2.6580855599999996E-3</v>
      </c>
      <c r="H13" s="225">
        <f>G13</f>
        <v>2.6580855599999996E-3</v>
      </c>
      <c r="I13" s="226">
        <f>G13</f>
        <v>2.6580855599999996E-3</v>
      </c>
      <c r="J13" s="227"/>
      <c r="K13" s="228" t="s">
        <v>107</v>
      </c>
      <c r="L13" s="229" t="s">
        <v>107</v>
      </c>
      <c r="M13" s="230" t="s">
        <v>107</v>
      </c>
      <c r="N13" s="227"/>
      <c r="O13" s="224">
        <v>4.6962396000000008E-4</v>
      </c>
      <c r="P13" s="225">
        <f t="shared" si="0"/>
        <v>4.6962396000000008E-4</v>
      </c>
      <c r="Q13" s="226">
        <f t="shared" si="1"/>
        <v>4.6962396000000008E-4</v>
      </c>
      <c r="R13" s="171"/>
      <c r="S13" s="221" t="s">
        <v>352</v>
      </c>
      <c r="T13" s="231"/>
      <c r="U13" s="222" t="s">
        <v>361</v>
      </c>
      <c r="V13" s="221" t="str">
        <f>S13</f>
        <v>DEHSt (2022)</v>
      </c>
      <c r="W13" s="231"/>
      <c r="X13" s="222" t="str">
        <f>U13</f>
        <v>GEMIS (2019)</v>
      </c>
      <c r="Y13" s="221" t="str">
        <f>V13</f>
        <v>DEHSt (2022)</v>
      </c>
      <c r="Z13" s="231"/>
      <c r="AA13" s="222" t="str">
        <f>X13</f>
        <v>GEMIS (2019)</v>
      </c>
      <c r="AB13" s="223"/>
      <c r="AC13" s="3"/>
    </row>
    <row r="14" spans="1:29" x14ac:dyDescent="0.2">
      <c r="B14" s="178"/>
      <c r="C14" s="178"/>
      <c r="D14" s="180"/>
      <c r="E14" s="3"/>
      <c r="F14" s="3"/>
      <c r="G14" s="224"/>
      <c r="H14" s="227"/>
      <c r="I14" s="218"/>
      <c r="J14" s="227"/>
      <c r="K14" s="228"/>
      <c r="L14" s="229"/>
      <c r="M14" s="230"/>
      <c r="N14" s="227"/>
      <c r="O14" s="224"/>
      <c r="P14" s="225"/>
      <c r="Q14" s="226"/>
      <c r="R14" s="171"/>
      <c r="S14" s="221"/>
      <c r="T14" s="3"/>
      <c r="U14" s="222"/>
      <c r="V14" s="221"/>
      <c r="W14" s="3"/>
      <c r="X14" s="222"/>
      <c r="Y14" s="221"/>
      <c r="Z14" s="3"/>
      <c r="AA14" s="222"/>
      <c r="AB14" s="223"/>
      <c r="AC14" s="3"/>
    </row>
    <row r="15" spans="1:29" x14ac:dyDescent="0.2">
      <c r="B15" s="178"/>
      <c r="C15" s="178"/>
      <c r="D15" s="180" t="s">
        <v>43</v>
      </c>
      <c r="E15" s="3" t="s">
        <v>39</v>
      </c>
      <c r="F15" s="3"/>
      <c r="G15" s="228" t="s">
        <v>107</v>
      </c>
      <c r="H15" s="229" t="s">
        <v>107</v>
      </c>
      <c r="I15" s="230" t="s">
        <v>107</v>
      </c>
      <c r="J15" s="227"/>
      <c r="K15" s="228" t="s">
        <v>107</v>
      </c>
      <c r="L15" s="229" t="s">
        <v>107</v>
      </c>
      <c r="M15" s="230" t="s">
        <v>107</v>
      </c>
      <c r="N15" s="227"/>
      <c r="O15" s="224">
        <v>3.1277095199999999E-3</v>
      </c>
      <c r="P15" s="225">
        <f t="shared" si="0"/>
        <v>3.1277095199999999E-3</v>
      </c>
      <c r="Q15" s="226">
        <f t="shared" si="1"/>
        <v>3.1277095199999999E-3</v>
      </c>
      <c r="R15" s="171"/>
      <c r="S15" s="221"/>
      <c r="T15" s="231"/>
      <c r="U15" s="222" t="s">
        <v>361</v>
      </c>
      <c r="V15" s="221"/>
      <c r="W15" s="231"/>
      <c r="X15" s="222" t="str">
        <f>U15</f>
        <v>GEMIS (2019)</v>
      </c>
      <c r="Y15" s="221"/>
      <c r="Z15" s="231"/>
      <c r="AA15" s="222" t="str">
        <f>X15</f>
        <v>GEMIS (2019)</v>
      </c>
      <c r="AB15" s="223"/>
      <c r="AC15" s="3"/>
    </row>
    <row r="16" spans="1:29" x14ac:dyDescent="0.2">
      <c r="B16" s="178"/>
      <c r="C16" s="178"/>
      <c r="D16" s="420" t="s">
        <v>44</v>
      </c>
      <c r="E16" s="3" t="s">
        <v>39</v>
      </c>
      <c r="F16" s="3"/>
      <c r="G16" s="228" t="s">
        <v>107</v>
      </c>
      <c r="H16" s="229" t="s">
        <v>107</v>
      </c>
      <c r="I16" s="230" t="s">
        <v>107</v>
      </c>
      <c r="J16" s="227"/>
      <c r="K16" s="228" t="s">
        <v>107</v>
      </c>
      <c r="L16" s="229" t="s">
        <v>107</v>
      </c>
      <c r="M16" s="230" t="s">
        <v>107</v>
      </c>
      <c r="N16" s="227"/>
      <c r="O16" s="224">
        <v>3.1277095199999999E-3</v>
      </c>
      <c r="P16" s="225">
        <f t="shared" si="0"/>
        <v>3.1277095199999999E-3</v>
      </c>
      <c r="Q16" s="226">
        <f t="shared" si="1"/>
        <v>3.1277095199999999E-3</v>
      </c>
      <c r="R16" s="171"/>
      <c r="S16" s="221"/>
      <c r="T16" s="231"/>
      <c r="U16" s="222" t="s">
        <v>361</v>
      </c>
      <c r="V16" s="221"/>
      <c r="W16" s="231"/>
      <c r="X16" s="222" t="str">
        <f>U16</f>
        <v>GEMIS (2019)</v>
      </c>
      <c r="Y16" s="221"/>
      <c r="Z16" s="231"/>
      <c r="AA16" s="222" t="str">
        <f>X16</f>
        <v>GEMIS (2019)</v>
      </c>
      <c r="AB16" s="223"/>
      <c r="AC16" s="3"/>
    </row>
    <row r="17" spans="2:29" x14ac:dyDescent="0.2">
      <c r="B17" s="178"/>
      <c r="C17" s="178"/>
      <c r="D17" s="3"/>
      <c r="E17" s="3"/>
      <c r="F17" s="3"/>
      <c r="G17" s="224"/>
      <c r="H17" s="227"/>
      <c r="I17" s="226"/>
      <c r="J17" s="227"/>
      <c r="K17" s="224"/>
      <c r="L17" s="227"/>
      <c r="M17" s="226"/>
      <c r="N17" s="227"/>
      <c r="O17" s="224"/>
      <c r="P17" s="225"/>
      <c r="Q17" s="226"/>
      <c r="R17" s="171"/>
      <c r="S17" s="221"/>
      <c r="T17" s="3"/>
      <c r="U17" s="222"/>
      <c r="V17" s="221"/>
      <c r="W17" s="3"/>
      <c r="X17" s="222"/>
      <c r="Y17" s="221"/>
      <c r="Z17" s="3"/>
      <c r="AA17" s="222"/>
      <c r="AB17" s="223"/>
      <c r="AC17" s="3"/>
    </row>
    <row r="18" spans="2:29" x14ac:dyDescent="0.2">
      <c r="B18" s="8"/>
      <c r="C18" s="8" t="s">
        <v>66</v>
      </c>
      <c r="D18" s="8"/>
      <c r="E18" s="3"/>
      <c r="F18" s="3"/>
      <c r="G18" s="224"/>
      <c r="H18" s="227"/>
      <c r="I18" s="226"/>
      <c r="J18" s="227"/>
      <c r="K18" s="224"/>
      <c r="L18" s="227"/>
      <c r="M18" s="226"/>
      <c r="N18" s="227"/>
      <c r="O18" s="224"/>
      <c r="P18" s="225"/>
      <c r="Q18" s="226"/>
      <c r="R18" s="171"/>
      <c r="S18" s="221"/>
      <c r="T18" s="3"/>
      <c r="U18" s="222"/>
      <c r="V18" s="221"/>
      <c r="W18" s="3"/>
      <c r="X18" s="222"/>
      <c r="Y18" s="221"/>
      <c r="Z18" s="3"/>
      <c r="AA18" s="222"/>
      <c r="AB18" s="223"/>
      <c r="AC18" s="3"/>
    </row>
    <row r="19" spans="2:29" x14ac:dyDescent="0.2">
      <c r="B19" s="178"/>
      <c r="C19" s="178"/>
      <c r="D19" s="3" t="s">
        <v>485</v>
      </c>
      <c r="E19" s="3" t="s">
        <v>46</v>
      </c>
      <c r="F19" s="3"/>
      <c r="G19" s="228" t="s">
        <v>107</v>
      </c>
      <c r="H19" s="229" t="s">
        <v>107</v>
      </c>
      <c r="I19" s="230" t="s">
        <v>107</v>
      </c>
      <c r="J19" s="227"/>
      <c r="K19" s="228" t="s">
        <v>107</v>
      </c>
      <c r="L19" s="229" t="s">
        <v>107</v>
      </c>
      <c r="M19" s="230" t="s">
        <v>107</v>
      </c>
      <c r="N19" s="227"/>
      <c r="O19" s="224">
        <v>0.66500000000000004</v>
      </c>
      <c r="P19" s="232">
        <f t="shared" si="0"/>
        <v>0.66500000000000004</v>
      </c>
      <c r="Q19" s="233">
        <f t="shared" si="1"/>
        <v>0.66500000000000004</v>
      </c>
      <c r="R19" s="171"/>
      <c r="S19" s="221"/>
      <c r="T19" s="3"/>
      <c r="U19" s="222" t="s">
        <v>335</v>
      </c>
      <c r="V19" s="221"/>
      <c r="W19" s="3"/>
      <c r="X19" s="222" t="str">
        <f>U19</f>
        <v>EPD-VDZ-20220153-IAG1-DE</v>
      </c>
      <c r="Y19" s="221"/>
      <c r="Z19" s="3"/>
      <c r="AA19" s="222" t="str">
        <f>X19</f>
        <v>EPD-VDZ-20220153-IAG1-DE</v>
      </c>
      <c r="AB19" s="223" t="s">
        <v>355</v>
      </c>
      <c r="AC19" s="3"/>
    </row>
    <row r="20" spans="2:29" x14ac:dyDescent="0.2">
      <c r="B20" s="178"/>
      <c r="C20" s="178"/>
      <c r="D20" s="3" t="s">
        <v>486</v>
      </c>
      <c r="E20" s="3" t="s">
        <v>46</v>
      </c>
      <c r="F20" s="3"/>
      <c r="G20" s="228" t="s">
        <v>107</v>
      </c>
      <c r="H20" s="229" t="s">
        <v>107</v>
      </c>
      <c r="I20" s="230" t="s">
        <v>107</v>
      </c>
      <c r="J20" s="227"/>
      <c r="K20" s="228" t="s">
        <v>107</v>
      </c>
      <c r="L20" s="229" t="s">
        <v>107</v>
      </c>
      <c r="M20" s="230" t="s">
        <v>107</v>
      </c>
      <c r="N20" s="227"/>
      <c r="O20" s="224">
        <v>0.55300000000000005</v>
      </c>
      <c r="P20" s="232">
        <f t="shared" si="0"/>
        <v>0.55300000000000005</v>
      </c>
      <c r="Q20" s="233">
        <f t="shared" si="1"/>
        <v>0.55300000000000005</v>
      </c>
      <c r="R20" s="171"/>
      <c r="S20" s="221"/>
      <c r="T20" s="3"/>
      <c r="U20" s="222" t="s">
        <v>336</v>
      </c>
      <c r="V20" s="221"/>
      <c r="W20" s="3"/>
      <c r="X20" s="222" t="str">
        <f>U20</f>
        <v>EPD-VDZ-20210336-IAG1-DE</v>
      </c>
      <c r="Y20" s="221"/>
      <c r="Z20" s="3"/>
      <c r="AA20" s="222" t="str">
        <f>X20</f>
        <v>EPD-VDZ-20210336-IAG1-DE</v>
      </c>
      <c r="AB20" s="223" t="s">
        <v>355</v>
      </c>
      <c r="AC20" s="3"/>
    </row>
    <row r="21" spans="2:29" x14ac:dyDescent="0.2">
      <c r="B21" s="178"/>
      <c r="C21" s="178"/>
      <c r="D21" s="3" t="s">
        <v>487</v>
      </c>
      <c r="E21" s="3" t="s">
        <v>46</v>
      </c>
      <c r="F21" s="3"/>
      <c r="G21" s="228" t="s">
        <v>107</v>
      </c>
      <c r="H21" s="229" t="s">
        <v>107</v>
      </c>
      <c r="I21" s="230" t="s">
        <v>107</v>
      </c>
      <c r="J21" s="227"/>
      <c r="K21" s="228" t="s">
        <v>107</v>
      </c>
      <c r="L21" s="229" t="s">
        <v>107</v>
      </c>
      <c r="M21" s="230" t="s">
        <v>107</v>
      </c>
      <c r="N21" s="227"/>
      <c r="O21" s="224">
        <v>0.84499999999999997</v>
      </c>
      <c r="P21" s="232">
        <f t="shared" si="0"/>
        <v>0.84499999999999997</v>
      </c>
      <c r="Q21" s="233">
        <f t="shared" si="1"/>
        <v>0.84499999999999997</v>
      </c>
      <c r="R21" s="171"/>
      <c r="S21" s="221"/>
      <c r="T21" s="3"/>
      <c r="U21" s="331" t="s">
        <v>407</v>
      </c>
      <c r="V21" s="221"/>
      <c r="W21" s="3"/>
      <c r="X21" s="222" t="str">
        <f>U21</f>
        <v>Dyckerhoff GmbH (2021)</v>
      </c>
      <c r="Y21" s="221"/>
      <c r="Z21" s="3"/>
      <c r="AA21" s="222" t="str">
        <f>X21</f>
        <v>Dyckerhoff GmbH (2021)</v>
      </c>
      <c r="AB21" s="223" t="s">
        <v>355</v>
      </c>
      <c r="AC21" s="3"/>
    </row>
    <row r="22" spans="2:29" x14ac:dyDescent="0.2">
      <c r="B22" s="178"/>
      <c r="C22" s="178"/>
      <c r="D22" s="3" t="s">
        <v>147</v>
      </c>
      <c r="E22" s="3" t="s">
        <v>46</v>
      </c>
      <c r="F22" s="3"/>
      <c r="G22" s="228" t="s">
        <v>174</v>
      </c>
      <c r="H22" s="229" t="s">
        <v>174</v>
      </c>
      <c r="I22" s="230" t="s">
        <v>174</v>
      </c>
      <c r="J22" s="227"/>
      <c r="K22" s="228" t="s">
        <v>174</v>
      </c>
      <c r="L22" s="229" t="s">
        <v>174</v>
      </c>
      <c r="M22" s="230" t="s">
        <v>174</v>
      </c>
      <c r="N22" s="227"/>
      <c r="O22" s="234" t="s">
        <v>174</v>
      </c>
      <c r="P22" s="232" t="s">
        <v>174</v>
      </c>
      <c r="Q22" s="233" t="s">
        <v>174</v>
      </c>
      <c r="R22" s="171"/>
      <c r="S22" s="221"/>
      <c r="T22" s="3"/>
      <c r="U22" s="222"/>
      <c r="V22" s="221"/>
      <c r="W22" s="3"/>
      <c r="X22" s="222"/>
      <c r="Y22" s="221"/>
      <c r="Z22" s="3"/>
      <c r="AA22" s="222"/>
      <c r="AB22" s="223"/>
      <c r="AC22" s="3"/>
    </row>
    <row r="23" spans="2:29" x14ac:dyDescent="0.2">
      <c r="B23" s="178"/>
      <c r="C23" s="178"/>
      <c r="D23" s="3"/>
      <c r="E23" s="3"/>
      <c r="F23" s="3"/>
      <c r="G23" s="228"/>
      <c r="H23" s="229"/>
      <c r="I23" s="230"/>
      <c r="J23" s="227"/>
      <c r="K23" s="228"/>
      <c r="L23" s="229"/>
      <c r="M23" s="230"/>
      <c r="N23" s="227"/>
      <c r="O23" s="234"/>
      <c r="P23" s="232"/>
      <c r="Q23" s="233"/>
      <c r="R23" s="171"/>
      <c r="S23" s="221"/>
      <c r="T23" s="3"/>
      <c r="U23" s="222"/>
      <c r="V23" s="221"/>
      <c r="W23" s="3"/>
      <c r="X23" s="222"/>
      <c r="Y23" s="221"/>
      <c r="Z23" s="3"/>
      <c r="AA23" s="222"/>
      <c r="AB23" s="223"/>
      <c r="AC23" s="3"/>
    </row>
    <row r="24" spans="2:29" x14ac:dyDescent="0.2">
      <c r="B24" s="178"/>
      <c r="C24" s="8" t="s">
        <v>163</v>
      </c>
      <c r="D24" s="3"/>
      <c r="E24" s="3"/>
      <c r="F24" s="3"/>
      <c r="G24" s="228"/>
      <c r="H24" s="229"/>
      <c r="I24" s="230"/>
      <c r="J24" s="227"/>
      <c r="K24" s="228"/>
      <c r="L24" s="229"/>
      <c r="M24" s="230"/>
      <c r="N24" s="227"/>
      <c r="O24" s="234"/>
      <c r="P24" s="232"/>
      <c r="Q24" s="233"/>
      <c r="R24" s="171"/>
      <c r="S24" s="221"/>
      <c r="T24" s="3"/>
      <c r="U24" s="222"/>
      <c r="V24" s="221"/>
      <c r="W24" s="3"/>
      <c r="X24" s="222"/>
      <c r="Y24" s="221"/>
      <c r="Z24" s="3"/>
      <c r="AA24" s="222"/>
      <c r="AB24" s="223"/>
      <c r="AC24" s="3"/>
    </row>
    <row r="25" spans="2:29" x14ac:dyDescent="0.2">
      <c r="B25" s="178"/>
      <c r="C25" s="178"/>
      <c r="D25" s="3" t="s">
        <v>164</v>
      </c>
      <c r="E25" s="3" t="s">
        <v>46</v>
      </c>
      <c r="F25" s="3"/>
      <c r="G25" s="228" t="s">
        <v>107</v>
      </c>
      <c r="H25" s="229" t="s">
        <v>107</v>
      </c>
      <c r="I25" s="230" t="s">
        <v>107</v>
      </c>
      <c r="J25" s="227"/>
      <c r="K25" s="228" t="s">
        <v>107</v>
      </c>
      <c r="L25" s="229" t="s">
        <v>107</v>
      </c>
      <c r="M25" s="230" t="s">
        <v>107</v>
      </c>
      <c r="N25" s="227"/>
      <c r="O25" s="224">
        <v>4.8500000000000001E-3</v>
      </c>
      <c r="P25" s="225">
        <f>O25</f>
        <v>4.8500000000000001E-3</v>
      </c>
      <c r="Q25" s="226">
        <f>O25</f>
        <v>4.8500000000000001E-3</v>
      </c>
      <c r="R25" s="171"/>
      <c r="S25" s="221"/>
      <c r="T25" s="3"/>
      <c r="U25" s="222" t="s">
        <v>367</v>
      </c>
      <c r="V25" s="221"/>
      <c r="W25" s="3"/>
      <c r="X25" s="222" t="str">
        <f>U25</f>
        <v>BAFA (2021 a)</v>
      </c>
      <c r="Y25" s="221"/>
      <c r="Z25" s="3"/>
      <c r="AA25" s="222" t="str">
        <f>X25</f>
        <v>BAFA (2021 a)</v>
      </c>
      <c r="AB25" s="223"/>
      <c r="AC25" s="3"/>
    </row>
    <row r="26" spans="2:29" x14ac:dyDescent="0.2">
      <c r="B26" s="178"/>
      <c r="C26" s="178"/>
      <c r="D26" s="3" t="s">
        <v>165</v>
      </c>
      <c r="E26" s="3" t="s">
        <v>46</v>
      </c>
      <c r="F26" s="3"/>
      <c r="G26" s="228" t="s">
        <v>107</v>
      </c>
      <c r="H26" s="229" t="s">
        <v>107</v>
      </c>
      <c r="I26" s="230" t="s">
        <v>107</v>
      </c>
      <c r="J26" s="227"/>
      <c r="K26" s="228" t="s">
        <v>107</v>
      </c>
      <c r="L26" s="229" t="s">
        <v>107</v>
      </c>
      <c r="M26" s="230" t="s">
        <v>107</v>
      </c>
      <c r="N26" s="227"/>
      <c r="O26" s="234" t="s">
        <v>174</v>
      </c>
      <c r="P26" s="232" t="s">
        <v>174</v>
      </c>
      <c r="Q26" s="233" t="s">
        <v>174</v>
      </c>
      <c r="R26" s="171"/>
      <c r="S26" s="221"/>
      <c r="T26" s="3"/>
      <c r="U26" s="222"/>
      <c r="V26" s="221"/>
      <c r="W26" s="3"/>
      <c r="X26" s="222"/>
      <c r="Y26" s="221"/>
      <c r="Z26" s="3"/>
      <c r="AA26" s="222"/>
      <c r="AB26" s="223"/>
      <c r="AC26" s="3"/>
    </row>
    <row r="27" spans="2:29" x14ac:dyDescent="0.2">
      <c r="B27" s="178"/>
      <c r="C27" s="178"/>
      <c r="D27" s="3" t="s">
        <v>166</v>
      </c>
      <c r="E27" s="3" t="s">
        <v>46</v>
      </c>
      <c r="F27" s="3"/>
      <c r="G27" s="228" t="s">
        <v>107</v>
      </c>
      <c r="H27" s="229" t="s">
        <v>107</v>
      </c>
      <c r="I27" s="230" t="s">
        <v>107</v>
      </c>
      <c r="J27" s="227"/>
      <c r="K27" s="228" t="s">
        <v>107</v>
      </c>
      <c r="L27" s="229" t="s">
        <v>107</v>
      </c>
      <c r="M27" s="230" t="s">
        <v>107</v>
      </c>
      <c r="N27" s="227"/>
      <c r="O27" s="234" t="s">
        <v>174</v>
      </c>
      <c r="P27" s="232" t="s">
        <v>174</v>
      </c>
      <c r="Q27" s="233" t="s">
        <v>174</v>
      </c>
      <c r="R27" s="171"/>
      <c r="S27" s="221"/>
      <c r="T27" s="3"/>
      <c r="U27" s="222"/>
      <c r="V27" s="221"/>
      <c r="W27" s="3"/>
      <c r="X27" s="222"/>
      <c r="Y27" s="221"/>
      <c r="Z27" s="3"/>
      <c r="AA27" s="222"/>
      <c r="AB27" s="223"/>
      <c r="AC27" s="3"/>
    </row>
    <row r="28" spans="2:29" x14ac:dyDescent="0.2">
      <c r="B28" s="178"/>
      <c r="C28" s="178"/>
      <c r="D28" s="3" t="str">
        <f>'Referenz Plattenfertiger'!D45</f>
        <v>Weiterer Zuschlagstoff 1</v>
      </c>
      <c r="E28" s="3"/>
      <c r="F28" s="3"/>
      <c r="G28" s="228" t="s">
        <v>107</v>
      </c>
      <c r="H28" s="229" t="s">
        <v>107</v>
      </c>
      <c r="I28" s="230" t="s">
        <v>107</v>
      </c>
      <c r="J28" s="227"/>
      <c r="K28" s="228" t="s">
        <v>107</v>
      </c>
      <c r="L28" s="229" t="s">
        <v>107</v>
      </c>
      <c r="M28" s="230" t="s">
        <v>107</v>
      </c>
      <c r="N28" s="227"/>
      <c r="O28" s="234" t="s">
        <v>174</v>
      </c>
      <c r="P28" s="232" t="s">
        <v>174</v>
      </c>
      <c r="Q28" s="233" t="s">
        <v>174</v>
      </c>
      <c r="R28" s="171"/>
      <c r="S28" s="221"/>
      <c r="T28" s="3"/>
      <c r="U28" s="222"/>
      <c r="V28" s="221"/>
      <c r="W28" s="3"/>
      <c r="X28" s="222"/>
      <c r="Y28" s="221"/>
      <c r="Z28" s="3"/>
      <c r="AA28" s="222"/>
      <c r="AB28" s="223"/>
      <c r="AC28" s="3"/>
    </row>
    <row r="29" spans="2:29" x14ac:dyDescent="0.2">
      <c r="B29" s="178"/>
      <c r="C29" s="178"/>
      <c r="D29" s="3" t="str">
        <f>'Referenz Plattenfertiger'!D46</f>
        <v>Weiterer Zuschlagstoff 2</v>
      </c>
      <c r="E29" s="3"/>
      <c r="F29" s="3"/>
      <c r="G29" s="228" t="s">
        <v>107</v>
      </c>
      <c r="H29" s="229" t="s">
        <v>107</v>
      </c>
      <c r="I29" s="230" t="s">
        <v>107</v>
      </c>
      <c r="J29" s="227"/>
      <c r="K29" s="228" t="s">
        <v>107</v>
      </c>
      <c r="L29" s="229" t="s">
        <v>107</v>
      </c>
      <c r="M29" s="230" t="s">
        <v>107</v>
      </c>
      <c r="N29" s="227"/>
      <c r="O29" s="234" t="s">
        <v>174</v>
      </c>
      <c r="P29" s="232" t="s">
        <v>174</v>
      </c>
      <c r="Q29" s="233" t="s">
        <v>174</v>
      </c>
      <c r="R29" s="171"/>
      <c r="S29" s="221"/>
      <c r="T29" s="3"/>
      <c r="U29" s="222"/>
      <c r="V29" s="221"/>
      <c r="W29" s="3"/>
      <c r="X29" s="222"/>
      <c r="Y29" s="221"/>
      <c r="Z29" s="3"/>
      <c r="AA29" s="222"/>
      <c r="AB29" s="223"/>
      <c r="AC29" s="3"/>
    </row>
    <row r="30" spans="2:29" x14ac:dyDescent="0.2">
      <c r="B30" s="178"/>
      <c r="C30" s="178"/>
      <c r="D30" s="3"/>
      <c r="E30" s="3"/>
      <c r="F30" s="3"/>
      <c r="G30" s="228"/>
      <c r="H30" s="229"/>
      <c r="I30" s="230"/>
      <c r="J30" s="227"/>
      <c r="K30" s="228"/>
      <c r="L30" s="229"/>
      <c r="M30" s="230"/>
      <c r="N30" s="227"/>
      <c r="O30" s="234"/>
      <c r="P30" s="232"/>
      <c r="Q30" s="233"/>
      <c r="R30" s="171"/>
      <c r="S30" s="221"/>
      <c r="T30" s="3"/>
      <c r="U30" s="222"/>
      <c r="V30" s="221"/>
      <c r="W30" s="3"/>
      <c r="X30" s="222"/>
      <c r="Y30" s="221"/>
      <c r="Z30" s="3"/>
      <c r="AA30" s="222"/>
      <c r="AB30" s="223"/>
      <c r="AC30" s="3"/>
    </row>
    <row r="31" spans="2:29" x14ac:dyDescent="0.2">
      <c r="B31" s="178"/>
      <c r="C31" s="178"/>
      <c r="D31" s="3" t="s">
        <v>55</v>
      </c>
      <c r="E31" s="3" t="s">
        <v>46</v>
      </c>
      <c r="F31" s="3"/>
      <c r="G31" s="228" t="s">
        <v>107</v>
      </c>
      <c r="H31" s="229" t="s">
        <v>107</v>
      </c>
      <c r="I31" s="230" t="s">
        <v>107</v>
      </c>
      <c r="J31" s="227"/>
      <c r="K31" s="228" t="s">
        <v>107</v>
      </c>
      <c r="L31" s="229" t="s">
        <v>107</v>
      </c>
      <c r="M31" s="230" t="s">
        <v>107</v>
      </c>
      <c r="N31" s="227"/>
      <c r="O31" s="224">
        <f>2.3+30%</f>
        <v>2.5999999999999996</v>
      </c>
      <c r="P31" s="225">
        <f>O31</f>
        <v>2.5999999999999996</v>
      </c>
      <c r="Q31" s="226">
        <f>O31</f>
        <v>2.5999999999999996</v>
      </c>
      <c r="R31" s="171"/>
      <c r="S31" s="221"/>
      <c r="T31" s="3"/>
      <c r="U31" s="222" t="s">
        <v>365</v>
      </c>
      <c r="V31" s="221"/>
      <c r="W31" s="3"/>
      <c r="X31" s="222" t="str">
        <f>U31</f>
        <v>Eurocolour (2022)</v>
      </c>
      <c r="Y31" s="221"/>
      <c r="Z31" s="3"/>
      <c r="AA31" s="222" t="str">
        <f>X31</f>
        <v>Eurocolour (2022)</v>
      </c>
      <c r="AB31" s="235"/>
      <c r="AC31" s="3"/>
    </row>
    <row r="32" spans="2:29" x14ac:dyDescent="0.2">
      <c r="B32" s="178"/>
      <c r="C32" s="181"/>
      <c r="D32" s="3"/>
      <c r="E32" s="3"/>
      <c r="F32" s="3"/>
      <c r="G32" s="228"/>
      <c r="H32" s="229"/>
      <c r="I32" s="230"/>
      <c r="J32" s="227"/>
      <c r="K32" s="228"/>
      <c r="L32" s="229"/>
      <c r="M32" s="230"/>
      <c r="N32" s="227"/>
      <c r="O32" s="234"/>
      <c r="P32" s="232"/>
      <c r="Q32" s="233"/>
      <c r="R32" s="171"/>
      <c r="S32" s="221"/>
      <c r="T32" s="3"/>
      <c r="U32" s="222"/>
      <c r="V32" s="221"/>
      <c r="W32" s="3"/>
      <c r="X32" s="222"/>
      <c r="Y32" s="221"/>
      <c r="Z32" s="3"/>
      <c r="AA32" s="222"/>
      <c r="AB32" s="223"/>
      <c r="AC32" s="3"/>
    </row>
    <row r="33" spans="2:29" x14ac:dyDescent="0.2">
      <c r="B33" s="178"/>
      <c r="C33" s="8" t="s">
        <v>167</v>
      </c>
      <c r="D33" s="3"/>
      <c r="E33" s="3"/>
      <c r="F33" s="3"/>
      <c r="G33" s="228"/>
      <c r="H33" s="229"/>
      <c r="I33" s="230"/>
      <c r="J33" s="227"/>
      <c r="K33" s="228"/>
      <c r="L33" s="229"/>
      <c r="M33" s="230"/>
      <c r="N33" s="227"/>
      <c r="O33" s="234"/>
      <c r="P33" s="232"/>
      <c r="Q33" s="233"/>
      <c r="R33" s="171"/>
      <c r="S33" s="221"/>
      <c r="T33" s="3"/>
      <c r="U33" s="222"/>
      <c r="V33" s="221"/>
      <c r="W33" s="3"/>
      <c r="X33" s="222"/>
      <c r="Y33" s="221"/>
      <c r="Z33" s="3"/>
      <c r="AA33" s="222"/>
      <c r="AB33" s="223"/>
      <c r="AC33" s="3"/>
    </row>
    <row r="34" spans="2:29" x14ac:dyDescent="0.2">
      <c r="B34" s="178"/>
      <c r="C34" s="178"/>
      <c r="D34" s="3" t="s">
        <v>57</v>
      </c>
      <c r="E34" s="3" t="s">
        <v>46</v>
      </c>
      <c r="F34" s="3"/>
      <c r="G34" s="228" t="s">
        <v>107</v>
      </c>
      <c r="H34" s="229" t="s">
        <v>107</v>
      </c>
      <c r="I34" s="230" t="s">
        <v>107</v>
      </c>
      <c r="J34" s="227"/>
      <c r="K34" s="228" t="s">
        <v>107</v>
      </c>
      <c r="L34" s="229" t="s">
        <v>107</v>
      </c>
      <c r="M34" s="230" t="s">
        <v>107</v>
      </c>
      <c r="N34" s="227"/>
      <c r="O34" s="224">
        <v>0.19800000000000001</v>
      </c>
      <c r="P34" s="225">
        <f>O34</f>
        <v>0.19800000000000001</v>
      </c>
      <c r="Q34" s="226">
        <f>O34</f>
        <v>0.19800000000000001</v>
      </c>
      <c r="R34" s="171"/>
      <c r="S34" s="221"/>
      <c r="T34" s="3"/>
      <c r="U34" s="222" t="s">
        <v>416</v>
      </c>
      <c r="V34" s="221"/>
      <c r="W34" s="3"/>
      <c r="X34" s="222" t="str">
        <f>U34</f>
        <v>EPD-Baumineral-021-DE</v>
      </c>
      <c r="Y34" s="221"/>
      <c r="Z34" s="3"/>
      <c r="AA34" s="222" t="str">
        <f>X34</f>
        <v>EPD-Baumineral-021-DE</v>
      </c>
      <c r="AB34" s="223"/>
      <c r="AC34" s="3"/>
    </row>
    <row r="35" spans="2:29" x14ac:dyDescent="0.2">
      <c r="B35" s="178"/>
      <c r="C35" s="178"/>
      <c r="D35" s="3" t="s">
        <v>58</v>
      </c>
      <c r="E35" s="3" t="s">
        <v>46</v>
      </c>
      <c r="F35" s="3"/>
      <c r="G35" s="228" t="s">
        <v>107</v>
      </c>
      <c r="H35" s="229" t="s">
        <v>107</v>
      </c>
      <c r="I35" s="230" t="s">
        <v>107</v>
      </c>
      <c r="J35" s="227"/>
      <c r="K35" s="228" t="s">
        <v>107</v>
      </c>
      <c r="L35" s="229" t="s">
        <v>107</v>
      </c>
      <c r="M35" s="230" t="s">
        <v>107</v>
      </c>
      <c r="N35" s="227"/>
      <c r="O35" s="224">
        <v>4.342E-2</v>
      </c>
      <c r="P35" s="225">
        <f>O35</f>
        <v>4.342E-2</v>
      </c>
      <c r="Q35" s="226">
        <f>O35</f>
        <v>4.342E-2</v>
      </c>
      <c r="R35" s="171"/>
      <c r="S35" s="221"/>
      <c r="T35" s="3"/>
      <c r="U35" s="222" t="s">
        <v>366</v>
      </c>
      <c r="V35" s="221"/>
      <c r="W35" s="3"/>
      <c r="X35" s="222" t="str">
        <f>U35</f>
        <v>BAFA (2021 b)</v>
      </c>
      <c r="Y35" s="221"/>
      <c r="Z35" s="3"/>
      <c r="AA35" s="222" t="str">
        <f>X35</f>
        <v>BAFA (2021 b)</v>
      </c>
      <c r="AB35" s="223"/>
      <c r="AC35" s="3"/>
    </row>
    <row r="36" spans="2:29" x14ac:dyDescent="0.2">
      <c r="B36" s="178"/>
      <c r="C36" s="178"/>
      <c r="D36" s="3" t="s">
        <v>59</v>
      </c>
      <c r="E36" s="3" t="s">
        <v>46</v>
      </c>
      <c r="F36" s="3"/>
      <c r="G36" s="228" t="s">
        <v>107</v>
      </c>
      <c r="H36" s="229" t="s">
        <v>107</v>
      </c>
      <c r="I36" s="230" t="s">
        <v>107</v>
      </c>
      <c r="J36" s="227"/>
      <c r="K36" s="228" t="s">
        <v>107</v>
      </c>
      <c r="L36" s="229" t="s">
        <v>107</v>
      </c>
      <c r="M36" s="230" t="s">
        <v>107</v>
      </c>
      <c r="N36" s="227"/>
      <c r="O36" s="236">
        <v>4.5199999999999997E-2</v>
      </c>
      <c r="P36" s="227">
        <f>O36</f>
        <v>4.5199999999999997E-2</v>
      </c>
      <c r="Q36" s="237">
        <f>O36</f>
        <v>4.5199999999999997E-2</v>
      </c>
      <c r="R36" s="171"/>
      <c r="S36" s="221"/>
      <c r="T36" s="3"/>
      <c r="U36" s="222" t="s">
        <v>362</v>
      </c>
      <c r="V36" s="221"/>
      <c r="W36" s="3"/>
      <c r="X36" s="222" t="str">
        <f>U36</f>
        <v>ProBas (2022 a)</v>
      </c>
      <c r="Y36" s="221"/>
      <c r="Z36" s="3"/>
      <c r="AA36" s="222" t="str">
        <f>X36</f>
        <v>ProBas (2022 a)</v>
      </c>
      <c r="AB36" s="223"/>
      <c r="AC36" s="3"/>
    </row>
    <row r="37" spans="2:29" x14ac:dyDescent="0.2">
      <c r="B37" s="178"/>
      <c r="C37" s="178"/>
      <c r="D37" s="3" t="str">
        <f>'Referenz Plattenfertiger'!D54</f>
        <v>Weiterer Zusatzstoff 1</v>
      </c>
      <c r="E37" s="3" t="s">
        <v>46</v>
      </c>
      <c r="F37" s="3"/>
      <c r="G37" s="228" t="s">
        <v>107</v>
      </c>
      <c r="H37" s="229" t="s">
        <v>107</v>
      </c>
      <c r="I37" s="230" t="s">
        <v>107</v>
      </c>
      <c r="J37" s="227"/>
      <c r="K37" s="228" t="s">
        <v>107</v>
      </c>
      <c r="L37" s="229" t="s">
        <v>107</v>
      </c>
      <c r="M37" s="230" t="s">
        <v>107</v>
      </c>
      <c r="N37" s="227"/>
      <c r="O37" s="234" t="s">
        <v>174</v>
      </c>
      <c r="P37" s="232" t="s">
        <v>174</v>
      </c>
      <c r="Q37" s="233" t="s">
        <v>174</v>
      </c>
      <c r="R37" s="171"/>
      <c r="S37" s="221"/>
      <c r="T37" s="3"/>
      <c r="U37" s="222"/>
      <c r="V37" s="221"/>
      <c r="W37" s="3"/>
      <c r="X37" s="222"/>
      <c r="Y37" s="221"/>
      <c r="Z37" s="3"/>
      <c r="AA37" s="222"/>
      <c r="AB37" s="223"/>
      <c r="AC37" s="3"/>
    </row>
    <row r="38" spans="2:29" x14ac:dyDescent="0.2">
      <c r="B38" s="178"/>
      <c r="C38" s="178"/>
      <c r="D38" s="3" t="str">
        <f>'Referenz Plattenfertiger'!D55</f>
        <v>Weiterer Zusatzstoff 2</v>
      </c>
      <c r="E38" s="3" t="s">
        <v>46</v>
      </c>
      <c r="F38" s="3"/>
      <c r="G38" s="228" t="s">
        <v>107</v>
      </c>
      <c r="H38" s="229" t="s">
        <v>107</v>
      </c>
      <c r="I38" s="230" t="s">
        <v>107</v>
      </c>
      <c r="J38" s="227"/>
      <c r="K38" s="228" t="s">
        <v>107</v>
      </c>
      <c r="L38" s="229" t="s">
        <v>107</v>
      </c>
      <c r="M38" s="230" t="s">
        <v>107</v>
      </c>
      <c r="N38" s="227"/>
      <c r="O38" s="234" t="s">
        <v>174</v>
      </c>
      <c r="P38" s="232" t="s">
        <v>174</v>
      </c>
      <c r="Q38" s="233" t="s">
        <v>174</v>
      </c>
      <c r="R38" s="171"/>
      <c r="S38" s="221"/>
      <c r="T38" s="3"/>
      <c r="U38" s="222"/>
      <c r="V38" s="221"/>
      <c r="W38" s="3"/>
      <c r="X38" s="222"/>
      <c r="Y38" s="221"/>
      <c r="Z38" s="3"/>
      <c r="AA38" s="222"/>
      <c r="AB38" s="223"/>
      <c r="AC38" s="3"/>
    </row>
    <row r="39" spans="2:29" x14ac:dyDescent="0.2">
      <c r="B39" s="178"/>
      <c r="C39" s="178"/>
      <c r="D39" s="3"/>
      <c r="E39" s="3"/>
      <c r="F39" s="3"/>
      <c r="G39" s="228"/>
      <c r="H39" s="229"/>
      <c r="I39" s="230"/>
      <c r="J39" s="227"/>
      <c r="K39" s="228"/>
      <c r="L39" s="229"/>
      <c r="M39" s="230"/>
      <c r="N39" s="227"/>
      <c r="O39" s="236"/>
      <c r="P39" s="227"/>
      <c r="Q39" s="237"/>
      <c r="R39" s="171"/>
      <c r="S39" s="221"/>
      <c r="T39" s="3"/>
      <c r="U39" s="222"/>
      <c r="V39" s="221"/>
      <c r="W39" s="3"/>
      <c r="X39" s="222"/>
      <c r="Y39" s="221"/>
      <c r="Z39" s="3"/>
      <c r="AA39" s="222"/>
      <c r="AB39" s="223"/>
      <c r="AC39" s="3"/>
    </row>
    <row r="40" spans="2:29" x14ac:dyDescent="0.2">
      <c r="B40" s="8"/>
      <c r="C40" s="8" t="s">
        <v>49</v>
      </c>
      <c r="D40" s="8"/>
      <c r="E40" s="3"/>
      <c r="F40" s="3"/>
      <c r="G40" s="224"/>
      <c r="H40" s="227"/>
      <c r="I40" s="226"/>
      <c r="J40" s="227"/>
      <c r="K40" s="224"/>
      <c r="L40" s="227"/>
      <c r="M40" s="226"/>
      <c r="N40" s="227"/>
      <c r="O40" s="238"/>
      <c r="P40" s="239"/>
      <c r="Q40" s="240"/>
      <c r="R40" s="171"/>
      <c r="S40" s="221"/>
      <c r="T40" s="3"/>
      <c r="U40" s="222"/>
      <c r="V40" s="221"/>
      <c r="W40" s="3"/>
      <c r="X40" s="222"/>
      <c r="Y40" s="221"/>
      <c r="Z40" s="3"/>
      <c r="AA40" s="222"/>
      <c r="AB40" s="223"/>
      <c r="AC40" s="3"/>
    </row>
    <row r="41" spans="2:29" x14ac:dyDescent="0.2">
      <c r="B41" s="241"/>
      <c r="C41" s="241"/>
      <c r="D41" s="242" t="s">
        <v>412</v>
      </c>
      <c r="E41" s="242" t="s">
        <v>46</v>
      </c>
      <c r="F41" s="242"/>
      <c r="G41" s="243" t="s">
        <v>107</v>
      </c>
      <c r="H41" s="244" t="s">
        <v>107</v>
      </c>
      <c r="I41" s="245" t="s">
        <v>107</v>
      </c>
      <c r="J41" s="246"/>
      <c r="K41" s="243" t="s">
        <v>107</v>
      </c>
      <c r="L41" s="244" t="s">
        <v>107</v>
      </c>
      <c r="M41" s="245" t="s">
        <v>107</v>
      </c>
      <c r="N41" s="246"/>
      <c r="O41" s="247">
        <v>1.53</v>
      </c>
      <c r="P41" s="246">
        <f t="shared" si="0"/>
        <v>1.53</v>
      </c>
      <c r="Q41" s="248">
        <f t="shared" si="1"/>
        <v>1.53</v>
      </c>
      <c r="R41" s="171"/>
      <c r="S41" s="221"/>
      <c r="T41" s="3"/>
      <c r="U41" s="222" t="s">
        <v>350</v>
      </c>
      <c r="V41" s="221"/>
      <c r="W41" s="3"/>
      <c r="X41" s="222" t="str">
        <f>U41</f>
        <v>Institut Bauen und Umwelt e. V. - EPD</v>
      </c>
      <c r="Y41" s="221"/>
      <c r="Z41" s="3"/>
      <c r="AA41" s="222" t="str">
        <f>X41</f>
        <v>Institut Bauen und Umwelt e. V. - EPD</v>
      </c>
      <c r="AB41" s="223"/>
      <c r="AC41" s="3"/>
    </row>
    <row r="42" spans="2:29" x14ac:dyDescent="0.2">
      <c r="B42" s="241"/>
      <c r="C42" s="241"/>
      <c r="D42" s="242" t="s">
        <v>413</v>
      </c>
      <c r="E42" s="242" t="s">
        <v>46</v>
      </c>
      <c r="F42" s="242"/>
      <c r="G42" s="243" t="s">
        <v>107</v>
      </c>
      <c r="H42" s="244" t="s">
        <v>107</v>
      </c>
      <c r="I42" s="245" t="s">
        <v>107</v>
      </c>
      <c r="J42" s="246"/>
      <c r="K42" s="243" t="s">
        <v>107</v>
      </c>
      <c r="L42" s="244" t="s">
        <v>107</v>
      </c>
      <c r="M42" s="245" t="s">
        <v>107</v>
      </c>
      <c r="N42" s="246"/>
      <c r="O42" s="247">
        <v>0.439</v>
      </c>
      <c r="P42" s="246">
        <f t="shared" si="0"/>
        <v>0.439</v>
      </c>
      <c r="Q42" s="248">
        <f t="shared" si="1"/>
        <v>0.439</v>
      </c>
      <c r="R42" s="171"/>
      <c r="S42" s="221"/>
      <c r="T42" s="3"/>
      <c r="U42" s="222" t="s">
        <v>350</v>
      </c>
      <c r="V42" s="221"/>
      <c r="W42" s="3"/>
      <c r="X42" s="222" t="str">
        <f>U42</f>
        <v>Institut Bauen und Umwelt e. V. - EPD</v>
      </c>
      <c r="Y42" s="221"/>
      <c r="Z42" s="3"/>
      <c r="AA42" s="222" t="str">
        <f>X42</f>
        <v>Institut Bauen und Umwelt e. V. - EPD</v>
      </c>
      <c r="AB42" s="223"/>
      <c r="AC42" s="3"/>
    </row>
    <row r="43" spans="2:29" x14ac:dyDescent="0.2">
      <c r="B43" s="241"/>
      <c r="C43" s="241"/>
      <c r="D43" s="242" t="s">
        <v>414</v>
      </c>
      <c r="E43" s="242" t="s">
        <v>46</v>
      </c>
      <c r="F43" s="242"/>
      <c r="G43" s="243" t="s">
        <v>107</v>
      </c>
      <c r="H43" s="244" t="s">
        <v>107</v>
      </c>
      <c r="I43" s="245" t="s">
        <v>107</v>
      </c>
      <c r="J43" s="246"/>
      <c r="K43" s="243" t="s">
        <v>107</v>
      </c>
      <c r="L43" s="244" t="s">
        <v>107</v>
      </c>
      <c r="M43" s="245" t="s">
        <v>107</v>
      </c>
      <c r="N43" s="246"/>
      <c r="O43" s="247">
        <v>1.23</v>
      </c>
      <c r="P43" s="246">
        <f t="shared" si="0"/>
        <v>1.23</v>
      </c>
      <c r="Q43" s="248">
        <f t="shared" si="1"/>
        <v>1.23</v>
      </c>
      <c r="R43" s="171"/>
      <c r="S43" s="221"/>
      <c r="T43" s="3"/>
      <c r="U43" s="222" t="s">
        <v>350</v>
      </c>
      <c r="V43" s="221"/>
      <c r="W43" s="3"/>
      <c r="X43" s="222" t="str">
        <f>U43</f>
        <v>Institut Bauen und Umwelt e. V. - EPD</v>
      </c>
      <c r="Y43" s="221"/>
      <c r="Z43" s="3"/>
      <c r="AA43" s="222" t="str">
        <f>X43</f>
        <v>Institut Bauen und Umwelt e. V. - EPD</v>
      </c>
      <c r="AB43" s="223"/>
      <c r="AC43" s="3"/>
    </row>
    <row r="44" spans="2:29" x14ac:dyDescent="0.2">
      <c r="B44" s="241"/>
      <c r="C44" s="241"/>
      <c r="D44" s="242" t="s">
        <v>415</v>
      </c>
      <c r="E44" s="242" t="s">
        <v>46</v>
      </c>
      <c r="F44" s="242"/>
      <c r="G44" s="243" t="s">
        <v>107</v>
      </c>
      <c r="H44" s="244" t="s">
        <v>107</v>
      </c>
      <c r="I44" s="245" t="s">
        <v>107</v>
      </c>
      <c r="J44" s="246"/>
      <c r="K44" s="243" t="s">
        <v>107</v>
      </c>
      <c r="L44" s="244" t="s">
        <v>107</v>
      </c>
      <c r="M44" s="245" t="s">
        <v>107</v>
      </c>
      <c r="N44" s="246"/>
      <c r="O44" s="247">
        <v>2.67</v>
      </c>
      <c r="P44" s="246">
        <f t="shared" si="0"/>
        <v>2.67</v>
      </c>
      <c r="Q44" s="248">
        <f t="shared" si="1"/>
        <v>2.67</v>
      </c>
      <c r="R44" s="171"/>
      <c r="S44" s="221"/>
      <c r="T44" s="3"/>
      <c r="U44" s="222" t="s">
        <v>350</v>
      </c>
      <c r="V44" s="221"/>
      <c r="W44" s="3"/>
      <c r="X44" s="222" t="str">
        <f>U44</f>
        <v>Institut Bauen und Umwelt e. V. - EPD</v>
      </c>
      <c r="Y44" s="221"/>
      <c r="Z44" s="3"/>
      <c r="AA44" s="222" t="str">
        <f>X44</f>
        <v>Institut Bauen und Umwelt e. V. - EPD</v>
      </c>
      <c r="AB44" s="223"/>
      <c r="AC44" s="3"/>
    </row>
    <row r="45" spans="2:29" x14ac:dyDescent="0.2">
      <c r="B45" s="185"/>
      <c r="C45" s="185"/>
      <c r="D45" s="184"/>
      <c r="E45" s="184"/>
      <c r="F45" s="3"/>
      <c r="G45" s="249"/>
      <c r="H45" s="227"/>
      <c r="I45" s="250"/>
      <c r="J45" s="227"/>
      <c r="K45" s="249"/>
      <c r="L45" s="227"/>
      <c r="M45" s="250"/>
      <c r="N45" s="227"/>
      <c r="O45" s="238"/>
      <c r="P45" s="239"/>
      <c r="Q45" s="240"/>
      <c r="R45" s="171"/>
      <c r="S45" s="221"/>
      <c r="T45" s="3"/>
      <c r="U45" s="222"/>
      <c r="V45" s="221"/>
      <c r="W45" s="3"/>
      <c r="X45" s="222"/>
      <c r="Y45" s="221"/>
      <c r="Z45" s="3"/>
      <c r="AA45" s="222"/>
      <c r="AB45" s="223"/>
      <c r="AC45" s="3"/>
    </row>
    <row r="46" spans="2:29" x14ac:dyDescent="0.2">
      <c r="B46" s="178"/>
      <c r="C46" s="178"/>
      <c r="D46" s="242" t="s">
        <v>484</v>
      </c>
      <c r="E46" s="3" t="s">
        <v>46</v>
      </c>
      <c r="F46" s="3"/>
      <c r="G46" s="228" t="s">
        <v>107</v>
      </c>
      <c r="H46" s="229" t="s">
        <v>107</v>
      </c>
      <c r="I46" s="230" t="s">
        <v>107</v>
      </c>
      <c r="J46" s="227"/>
      <c r="K46" s="228" t="s">
        <v>107</v>
      </c>
      <c r="L46" s="229" t="s">
        <v>107</v>
      </c>
      <c r="M46" s="230" t="s">
        <v>107</v>
      </c>
      <c r="N46" s="227"/>
      <c r="O46" s="228">
        <v>0</v>
      </c>
      <c r="P46" s="229">
        <v>0</v>
      </c>
      <c r="Q46" s="230">
        <v>0</v>
      </c>
      <c r="R46" s="171"/>
      <c r="S46" s="221"/>
      <c r="T46" s="3"/>
      <c r="U46" s="222"/>
      <c r="V46" s="221"/>
      <c r="W46" s="3"/>
      <c r="X46" s="222"/>
      <c r="Y46" s="221"/>
      <c r="Z46" s="3"/>
      <c r="AA46" s="222"/>
      <c r="AB46" s="223"/>
      <c r="AC46" s="3"/>
    </row>
    <row r="47" spans="2:29" x14ac:dyDescent="0.2">
      <c r="B47" s="178"/>
      <c r="C47" s="178"/>
      <c r="D47" s="3" t="s">
        <v>62</v>
      </c>
      <c r="E47" s="3" t="s">
        <v>63</v>
      </c>
      <c r="F47" s="3"/>
      <c r="G47" s="228" t="s">
        <v>107</v>
      </c>
      <c r="H47" s="229" t="s">
        <v>107</v>
      </c>
      <c r="I47" s="230" t="s">
        <v>107</v>
      </c>
      <c r="J47" s="227"/>
      <c r="K47" s="228" t="s">
        <v>107</v>
      </c>
      <c r="L47" s="229" t="s">
        <v>107</v>
      </c>
      <c r="M47" s="230" t="s">
        <v>107</v>
      </c>
      <c r="N47" s="227"/>
      <c r="O47" s="224">
        <v>2.72E-4</v>
      </c>
      <c r="P47" s="225">
        <f>O47</f>
        <v>2.72E-4</v>
      </c>
      <c r="Q47" s="226">
        <f>O47</f>
        <v>2.72E-4</v>
      </c>
      <c r="R47" s="171"/>
      <c r="S47" s="221"/>
      <c r="T47" s="3"/>
      <c r="U47" s="222" t="s">
        <v>360</v>
      </c>
      <c r="V47" s="221"/>
      <c r="W47" s="3"/>
      <c r="X47" s="222" t="str">
        <f>U47</f>
        <v>DEFRA (2021 e)</v>
      </c>
      <c r="Y47" s="221"/>
      <c r="Z47" s="3"/>
      <c r="AA47" s="222" t="str">
        <f>X47</f>
        <v>DEFRA (2021 e)</v>
      </c>
      <c r="AB47" s="223"/>
      <c r="AC47" s="3"/>
    </row>
    <row r="48" spans="2:29" x14ac:dyDescent="0.2">
      <c r="B48" s="185"/>
      <c r="C48" s="185"/>
      <c r="D48" s="184"/>
      <c r="E48" s="184"/>
      <c r="F48" s="3"/>
      <c r="G48" s="249"/>
      <c r="H48" s="227"/>
      <c r="I48" s="250"/>
      <c r="J48" s="227"/>
      <c r="K48" s="249"/>
      <c r="L48" s="227"/>
      <c r="M48" s="250"/>
      <c r="N48" s="227"/>
      <c r="O48" s="238"/>
      <c r="P48" s="239"/>
      <c r="Q48" s="240"/>
      <c r="R48" s="171"/>
      <c r="S48" s="221"/>
      <c r="T48" s="3"/>
      <c r="U48" s="222"/>
      <c r="V48" s="221"/>
      <c r="W48" s="3"/>
      <c r="X48" s="222"/>
      <c r="Y48" s="221"/>
      <c r="Z48" s="3"/>
      <c r="AA48" s="222"/>
      <c r="AB48" s="223"/>
      <c r="AC48" s="3"/>
    </row>
    <row r="49" spans="2:29" x14ac:dyDescent="0.2">
      <c r="B49" s="185"/>
      <c r="C49" s="8" t="s">
        <v>168</v>
      </c>
      <c r="D49" s="184"/>
      <c r="E49" s="184"/>
      <c r="F49" s="3"/>
      <c r="G49" s="249"/>
      <c r="H49" s="227"/>
      <c r="I49" s="250"/>
      <c r="J49" s="227"/>
      <c r="K49" s="249"/>
      <c r="L49" s="227"/>
      <c r="M49" s="250"/>
      <c r="N49" s="227"/>
      <c r="O49" s="238"/>
      <c r="P49" s="239"/>
      <c r="Q49" s="240"/>
      <c r="R49" s="171"/>
      <c r="S49" s="221"/>
      <c r="T49" s="3"/>
      <c r="U49" s="222"/>
      <c r="V49" s="221"/>
      <c r="W49" s="3"/>
      <c r="X49" s="222"/>
      <c r="Y49" s="221"/>
      <c r="Z49" s="3"/>
      <c r="AA49" s="222"/>
      <c r="AB49" s="223"/>
      <c r="AC49" s="3"/>
    </row>
    <row r="50" spans="2:29" x14ac:dyDescent="0.2">
      <c r="B50" s="185"/>
      <c r="C50" s="185"/>
      <c r="D50" s="3" t="s">
        <v>169</v>
      </c>
      <c r="E50" s="3" t="s">
        <v>46</v>
      </c>
      <c r="F50" s="3"/>
      <c r="G50" s="228" t="s">
        <v>107</v>
      </c>
      <c r="H50" s="229" t="s">
        <v>107</v>
      </c>
      <c r="I50" s="230" t="s">
        <v>107</v>
      </c>
      <c r="J50" s="227"/>
      <c r="K50" s="228" t="s">
        <v>107</v>
      </c>
      <c r="L50" s="229" t="s">
        <v>107</v>
      </c>
      <c r="M50" s="230" t="s">
        <v>107</v>
      </c>
      <c r="N50" s="227"/>
      <c r="O50" s="228" t="s">
        <v>174</v>
      </c>
      <c r="P50" s="229" t="s">
        <v>174</v>
      </c>
      <c r="Q50" s="230" t="s">
        <v>174</v>
      </c>
      <c r="R50" s="171"/>
      <c r="S50" s="221"/>
      <c r="T50" s="3"/>
      <c r="U50" s="222"/>
      <c r="V50" s="221"/>
      <c r="W50" s="3"/>
      <c r="X50" s="222"/>
      <c r="Y50" s="221"/>
      <c r="Z50" s="3"/>
      <c r="AA50" s="222"/>
      <c r="AB50" s="223"/>
      <c r="AC50" s="3"/>
    </row>
    <row r="51" spans="2:29" x14ac:dyDescent="0.2">
      <c r="B51" s="178"/>
      <c r="C51" s="178"/>
      <c r="D51" s="3" t="s">
        <v>60</v>
      </c>
      <c r="E51" s="3" t="s">
        <v>46</v>
      </c>
      <c r="F51" s="3"/>
      <c r="G51" s="228" t="s">
        <v>107</v>
      </c>
      <c r="H51" s="229" t="s">
        <v>107</v>
      </c>
      <c r="I51" s="230" t="s">
        <v>107</v>
      </c>
      <c r="J51" s="227"/>
      <c r="K51" s="228" t="s">
        <v>107</v>
      </c>
      <c r="L51" s="229" t="s">
        <v>107</v>
      </c>
      <c r="M51" s="230" t="s">
        <v>107</v>
      </c>
      <c r="N51" s="227"/>
      <c r="O51" s="224">
        <v>2.012</v>
      </c>
      <c r="P51" s="225">
        <f>O51</f>
        <v>2.012</v>
      </c>
      <c r="Q51" s="226">
        <f>O51</f>
        <v>2.012</v>
      </c>
      <c r="R51" s="171"/>
      <c r="S51" s="221"/>
      <c r="T51" s="3"/>
      <c r="U51" s="222" t="s">
        <v>371</v>
      </c>
      <c r="V51" s="221"/>
      <c r="W51" s="3"/>
      <c r="X51" s="222" t="str">
        <f>U51</f>
        <v>Ecoinvent (2022 b)</v>
      </c>
      <c r="Y51" s="221"/>
      <c r="Z51" s="3"/>
      <c r="AA51" s="222" t="str">
        <f>X51</f>
        <v>Ecoinvent (2022 b)</v>
      </c>
      <c r="AB51" s="223"/>
      <c r="AC51" s="3"/>
    </row>
    <row r="52" spans="2:29" x14ac:dyDescent="0.2">
      <c r="B52" s="185"/>
      <c r="C52" s="185"/>
      <c r="D52" s="3" t="s">
        <v>170</v>
      </c>
      <c r="E52" s="3" t="s">
        <v>46</v>
      </c>
      <c r="F52" s="3"/>
      <c r="G52" s="228" t="s">
        <v>107</v>
      </c>
      <c r="H52" s="229" t="s">
        <v>107</v>
      </c>
      <c r="I52" s="230" t="s">
        <v>107</v>
      </c>
      <c r="J52" s="227"/>
      <c r="K52" s="228" t="s">
        <v>107</v>
      </c>
      <c r="L52" s="229" t="s">
        <v>107</v>
      </c>
      <c r="M52" s="230" t="s">
        <v>107</v>
      </c>
      <c r="N52" s="227"/>
      <c r="O52" s="228" t="s">
        <v>174</v>
      </c>
      <c r="P52" s="229" t="s">
        <v>174</v>
      </c>
      <c r="Q52" s="230" t="s">
        <v>174</v>
      </c>
      <c r="R52" s="171"/>
      <c r="S52" s="221"/>
      <c r="T52" s="3"/>
      <c r="U52" s="222"/>
      <c r="V52" s="221"/>
      <c r="W52" s="3"/>
      <c r="X52" s="222"/>
      <c r="Y52" s="221"/>
      <c r="Z52" s="3"/>
      <c r="AA52" s="222"/>
      <c r="AB52" s="223"/>
      <c r="AC52" s="3"/>
    </row>
    <row r="53" spans="2:29" x14ac:dyDescent="0.2">
      <c r="B53" s="185"/>
      <c r="C53" s="185"/>
      <c r="D53" s="184"/>
      <c r="E53" s="184"/>
      <c r="F53" s="3"/>
      <c r="G53" s="249"/>
      <c r="H53" s="227"/>
      <c r="I53" s="250"/>
      <c r="J53" s="227"/>
      <c r="K53" s="249"/>
      <c r="L53" s="227"/>
      <c r="M53" s="250"/>
      <c r="N53" s="227"/>
      <c r="O53" s="238"/>
      <c r="P53" s="239"/>
      <c r="Q53" s="240"/>
      <c r="R53" s="171"/>
      <c r="S53" s="221"/>
      <c r="T53" s="3"/>
      <c r="U53" s="222"/>
      <c r="V53" s="221"/>
      <c r="W53" s="3"/>
      <c r="X53" s="222"/>
      <c r="Y53" s="221"/>
      <c r="Z53" s="3"/>
      <c r="AA53" s="222"/>
      <c r="AB53" s="223"/>
      <c r="AC53" s="3"/>
    </row>
    <row r="54" spans="2:29" x14ac:dyDescent="0.2">
      <c r="B54" s="185"/>
      <c r="C54" s="8" t="s">
        <v>171</v>
      </c>
      <c r="D54" s="184"/>
      <c r="E54" s="184"/>
      <c r="F54" s="3"/>
      <c r="G54" s="249"/>
      <c r="H54" s="227"/>
      <c r="I54" s="250"/>
      <c r="J54" s="227"/>
      <c r="K54" s="249"/>
      <c r="L54" s="227"/>
      <c r="M54" s="250"/>
      <c r="N54" s="227"/>
      <c r="O54" s="238"/>
      <c r="P54" s="239"/>
      <c r="Q54" s="240"/>
      <c r="R54" s="171"/>
      <c r="S54" s="221"/>
      <c r="T54" s="3"/>
      <c r="U54" s="222"/>
      <c r="V54" s="221"/>
      <c r="W54" s="3"/>
      <c r="X54" s="222"/>
      <c r="Y54" s="221"/>
      <c r="Z54" s="3"/>
      <c r="AA54" s="222"/>
      <c r="AB54" s="223"/>
      <c r="AC54" s="3"/>
    </row>
    <row r="55" spans="2:29" x14ac:dyDescent="0.2">
      <c r="B55" s="178"/>
      <c r="C55" s="178"/>
      <c r="D55" s="3" t="s">
        <v>64</v>
      </c>
      <c r="E55" s="3" t="s">
        <v>46</v>
      </c>
      <c r="F55" s="3"/>
      <c r="G55" s="228" t="s">
        <v>107</v>
      </c>
      <c r="H55" s="229" t="s">
        <v>107</v>
      </c>
      <c r="I55" s="230" t="s">
        <v>107</v>
      </c>
      <c r="J55" s="227"/>
      <c r="K55" s="228" t="s">
        <v>107</v>
      </c>
      <c r="L55" s="229" t="s">
        <v>107</v>
      </c>
      <c r="M55" s="230" t="s">
        <v>107</v>
      </c>
      <c r="N55" s="227"/>
      <c r="O55" s="236">
        <v>1.5</v>
      </c>
      <c r="P55" s="227">
        <f>O55</f>
        <v>1.5</v>
      </c>
      <c r="Q55" s="237">
        <f>O55</f>
        <v>1.5</v>
      </c>
      <c r="R55" s="171"/>
      <c r="S55" s="221"/>
      <c r="T55" s="3"/>
      <c r="U55" s="222" t="s">
        <v>363</v>
      </c>
      <c r="V55" s="221"/>
      <c r="W55" s="3"/>
      <c r="X55" s="222" t="str">
        <f>U55</f>
        <v>ProBas (2022 b)</v>
      </c>
      <c r="Y55" s="221"/>
      <c r="Z55" s="3"/>
      <c r="AA55" s="222" t="str">
        <f>X55</f>
        <v>ProBas (2022 b)</v>
      </c>
      <c r="AB55" s="223"/>
      <c r="AC55" s="3"/>
    </row>
    <row r="56" spans="2:29" x14ac:dyDescent="0.2">
      <c r="B56" s="178"/>
      <c r="C56" s="178"/>
      <c r="D56" s="3" t="s">
        <v>173</v>
      </c>
      <c r="E56" s="3" t="s">
        <v>46</v>
      </c>
      <c r="F56" s="3"/>
      <c r="G56" s="228" t="s">
        <v>174</v>
      </c>
      <c r="H56" s="229" t="s">
        <v>174</v>
      </c>
      <c r="I56" s="230" t="s">
        <v>174</v>
      </c>
      <c r="J56" s="227"/>
      <c r="K56" s="228" t="s">
        <v>174</v>
      </c>
      <c r="L56" s="229" t="s">
        <v>174</v>
      </c>
      <c r="M56" s="230" t="s">
        <v>174</v>
      </c>
      <c r="N56" s="227"/>
      <c r="O56" s="236" t="s">
        <v>174</v>
      </c>
      <c r="P56" s="227" t="s">
        <v>174</v>
      </c>
      <c r="Q56" s="237" t="s">
        <v>174</v>
      </c>
      <c r="R56" s="171"/>
      <c r="S56" s="221"/>
      <c r="T56" s="3"/>
      <c r="U56" s="222"/>
      <c r="V56" s="221"/>
      <c r="W56" s="3"/>
      <c r="X56" s="222"/>
      <c r="Y56" s="221"/>
      <c r="Z56" s="3"/>
      <c r="AA56" s="222"/>
      <c r="AB56" s="223"/>
      <c r="AC56" s="3"/>
    </row>
    <row r="57" spans="2:29" x14ac:dyDescent="0.2">
      <c r="B57" s="178"/>
      <c r="C57" s="178"/>
      <c r="D57" s="3" t="s">
        <v>172</v>
      </c>
      <c r="E57" s="3" t="s">
        <v>46</v>
      </c>
      <c r="F57" s="3"/>
      <c r="G57" s="228" t="s">
        <v>174</v>
      </c>
      <c r="H57" s="229" t="s">
        <v>174</v>
      </c>
      <c r="I57" s="230" t="s">
        <v>174</v>
      </c>
      <c r="J57" s="227"/>
      <c r="K57" s="228" t="s">
        <v>174</v>
      </c>
      <c r="L57" s="229" t="s">
        <v>174</v>
      </c>
      <c r="M57" s="230" t="s">
        <v>174</v>
      </c>
      <c r="N57" s="227"/>
      <c r="O57" s="236" t="s">
        <v>174</v>
      </c>
      <c r="P57" s="227" t="s">
        <v>174</v>
      </c>
      <c r="Q57" s="237" t="s">
        <v>174</v>
      </c>
      <c r="R57" s="171"/>
      <c r="S57" s="221"/>
      <c r="T57" s="3"/>
      <c r="U57" s="222"/>
      <c r="V57" s="221"/>
      <c r="W57" s="3"/>
      <c r="X57" s="222"/>
      <c r="Y57" s="221"/>
      <c r="Z57" s="3"/>
      <c r="AA57" s="222"/>
      <c r="AB57" s="223"/>
      <c r="AC57" s="3"/>
    </row>
    <row r="58" spans="2:29" x14ac:dyDescent="0.2">
      <c r="B58" s="178"/>
      <c r="C58" s="178"/>
      <c r="D58" s="3"/>
      <c r="E58" s="3"/>
      <c r="F58" s="3"/>
      <c r="G58" s="224"/>
      <c r="H58" s="227"/>
      <c r="I58" s="226"/>
      <c r="J58" s="227"/>
      <c r="K58" s="224"/>
      <c r="L58" s="227"/>
      <c r="M58" s="226"/>
      <c r="N58" s="227"/>
      <c r="O58" s="224"/>
      <c r="P58" s="225"/>
      <c r="Q58" s="226"/>
      <c r="R58" s="171"/>
      <c r="S58" s="221"/>
      <c r="T58" s="3"/>
      <c r="U58" s="222"/>
      <c r="V58" s="221"/>
      <c r="W58" s="3"/>
      <c r="X58" s="222"/>
      <c r="Y58" s="221"/>
      <c r="Z58" s="3"/>
      <c r="AA58" s="222"/>
      <c r="AB58" s="223"/>
      <c r="AC58" s="3"/>
    </row>
    <row r="59" spans="2:29" x14ac:dyDescent="0.2">
      <c r="B59" s="178"/>
      <c r="C59" s="178"/>
      <c r="D59" s="3" t="s">
        <v>61</v>
      </c>
      <c r="E59" s="3" t="s">
        <v>46</v>
      </c>
      <c r="F59" s="3"/>
      <c r="G59" s="228" t="s">
        <v>107</v>
      </c>
      <c r="H59" s="229" t="s">
        <v>107</v>
      </c>
      <c r="I59" s="230" t="s">
        <v>107</v>
      </c>
      <c r="J59" s="227"/>
      <c r="K59" s="228" t="s">
        <v>107</v>
      </c>
      <c r="L59" s="229" t="s">
        <v>107</v>
      </c>
      <c r="M59" s="230" t="s">
        <v>107</v>
      </c>
      <c r="N59" s="227"/>
      <c r="O59" s="224">
        <v>0.80600000000000005</v>
      </c>
      <c r="P59" s="225">
        <f t="shared" si="0"/>
        <v>0.80600000000000005</v>
      </c>
      <c r="Q59" s="226">
        <f t="shared" si="1"/>
        <v>0.80600000000000005</v>
      </c>
      <c r="R59" s="171"/>
      <c r="S59" s="221"/>
      <c r="T59" s="3"/>
      <c r="U59" s="222" t="s">
        <v>364</v>
      </c>
      <c r="V59" s="221"/>
      <c r="W59" s="3"/>
      <c r="X59" s="222" t="str">
        <f>U59</f>
        <v>ProBas (2022 c)</v>
      </c>
      <c r="Y59" s="221"/>
      <c r="Z59" s="3"/>
      <c r="AA59" s="222" t="str">
        <f>X59</f>
        <v>ProBas (2022 c)</v>
      </c>
      <c r="AB59" s="223"/>
      <c r="AC59" s="3"/>
    </row>
    <row r="60" spans="2:29" x14ac:dyDescent="0.2">
      <c r="B60" s="178"/>
      <c r="C60" s="178"/>
      <c r="D60" s="3"/>
      <c r="E60" s="3"/>
      <c r="F60" s="3"/>
      <c r="G60" s="224"/>
      <c r="H60" s="227"/>
      <c r="I60" s="226"/>
      <c r="J60" s="227"/>
      <c r="K60" s="224"/>
      <c r="L60" s="227"/>
      <c r="M60" s="226"/>
      <c r="N60" s="227"/>
      <c r="O60" s="224"/>
      <c r="P60" s="227"/>
      <c r="Q60" s="218"/>
      <c r="R60" s="171"/>
      <c r="S60" s="221"/>
      <c r="T60" s="3"/>
      <c r="U60" s="222"/>
      <c r="V60" s="221"/>
      <c r="W60" s="3"/>
      <c r="X60" s="222"/>
      <c r="Y60" s="221"/>
      <c r="Z60" s="3"/>
      <c r="AA60" s="222"/>
      <c r="AB60" s="223"/>
      <c r="AC60" s="3"/>
    </row>
    <row r="61" spans="2:29" ht="15" x14ac:dyDescent="0.25">
      <c r="B61" s="3"/>
      <c r="C61" s="208" t="s">
        <v>92</v>
      </c>
      <c r="D61" s="7"/>
      <c r="E61" s="3"/>
      <c r="F61" s="3"/>
      <c r="G61" s="236"/>
      <c r="H61" s="227"/>
      <c r="I61" s="237"/>
      <c r="J61" s="227"/>
      <c r="K61" s="236"/>
      <c r="L61" s="227"/>
      <c r="M61" s="237"/>
      <c r="N61" s="227"/>
      <c r="O61" s="236"/>
      <c r="P61" s="227"/>
      <c r="Q61" s="218"/>
      <c r="R61" s="171"/>
      <c r="S61" s="221"/>
      <c r="T61" s="3"/>
      <c r="U61" s="222"/>
      <c r="V61" s="221"/>
      <c r="W61" s="3"/>
      <c r="X61" s="222"/>
      <c r="Y61" s="221"/>
      <c r="Z61" s="3"/>
      <c r="AA61" s="222"/>
      <c r="AB61" s="223"/>
      <c r="AC61" s="3"/>
    </row>
    <row r="62" spans="2:29" ht="14.25" x14ac:dyDescent="0.2">
      <c r="B62" s="3"/>
      <c r="C62" s="7"/>
      <c r="D62" s="7" t="s">
        <v>123</v>
      </c>
      <c r="E62" s="3" t="s">
        <v>40</v>
      </c>
      <c r="F62" s="3"/>
      <c r="G62" s="228" t="s">
        <v>107</v>
      </c>
      <c r="H62" s="229" t="s">
        <v>107</v>
      </c>
      <c r="I62" s="230" t="s">
        <v>107</v>
      </c>
      <c r="J62" s="227"/>
      <c r="K62" s="251">
        <v>0</v>
      </c>
      <c r="L62" s="252">
        <v>0</v>
      </c>
      <c r="M62" s="253">
        <v>0</v>
      </c>
      <c r="N62" s="227"/>
      <c r="O62" s="236">
        <v>4.0790000000000001E-5</v>
      </c>
      <c r="P62" s="227">
        <f>O62</f>
        <v>4.0790000000000001E-5</v>
      </c>
      <c r="Q62" s="254">
        <f>O62</f>
        <v>4.0790000000000001E-5</v>
      </c>
      <c r="R62" s="171"/>
      <c r="S62" s="221"/>
      <c r="T62" s="255"/>
      <c r="U62" s="256" t="s">
        <v>368</v>
      </c>
      <c r="V62" s="221"/>
      <c r="W62" s="255"/>
      <c r="X62" s="256" t="str">
        <f>U62</f>
        <v>FutureCamp (2022)</v>
      </c>
      <c r="Y62" s="221"/>
      <c r="Z62" s="255"/>
      <c r="AA62" s="256" t="str">
        <f>X62</f>
        <v>FutureCamp (2022)</v>
      </c>
      <c r="AB62" s="223"/>
      <c r="AC62" s="3"/>
    </row>
    <row r="63" spans="2:29" ht="14.25" x14ac:dyDescent="0.2">
      <c r="B63" s="3"/>
      <c r="C63" s="7"/>
      <c r="D63" s="7" t="s">
        <v>126</v>
      </c>
      <c r="E63" s="3" t="s">
        <v>40</v>
      </c>
      <c r="F63" s="3"/>
      <c r="G63" s="228" t="s">
        <v>107</v>
      </c>
      <c r="H63" s="229" t="s">
        <v>107</v>
      </c>
      <c r="I63" s="230" t="s">
        <v>107</v>
      </c>
      <c r="J63" s="227"/>
      <c r="K63" s="251">
        <v>0</v>
      </c>
      <c r="L63" s="252">
        <v>0</v>
      </c>
      <c r="M63" s="253">
        <v>0</v>
      </c>
      <c r="N63" s="227"/>
      <c r="O63" s="236">
        <v>5.5713999999999995E-5</v>
      </c>
      <c r="P63" s="227">
        <f>O63</f>
        <v>5.5713999999999995E-5</v>
      </c>
      <c r="Q63" s="254">
        <f>O63</f>
        <v>5.5713999999999995E-5</v>
      </c>
      <c r="R63" s="171"/>
      <c r="S63" s="221"/>
      <c r="T63" s="3"/>
      <c r="U63" s="257" t="s">
        <v>368</v>
      </c>
      <c r="V63" s="221"/>
      <c r="W63" s="3"/>
      <c r="X63" s="256" t="str">
        <f>U63</f>
        <v>FutureCamp (2022)</v>
      </c>
      <c r="Y63" s="221"/>
      <c r="Z63" s="3"/>
      <c r="AA63" s="256" t="str">
        <f>X63</f>
        <v>FutureCamp (2022)</v>
      </c>
      <c r="AB63" s="223"/>
      <c r="AC63" s="3"/>
    </row>
    <row r="64" spans="2:29" ht="14.25" x14ac:dyDescent="0.2">
      <c r="B64" s="3"/>
      <c r="C64" s="7"/>
      <c r="D64" s="7" t="s">
        <v>124</v>
      </c>
      <c r="E64" s="3" t="s">
        <v>40</v>
      </c>
      <c r="F64" s="3"/>
      <c r="G64" s="228" t="s">
        <v>107</v>
      </c>
      <c r="H64" s="229" t="s">
        <v>107</v>
      </c>
      <c r="I64" s="230" t="s">
        <v>107</v>
      </c>
      <c r="J64" s="227"/>
      <c r="K64" s="251">
        <v>0</v>
      </c>
      <c r="L64" s="252">
        <v>0</v>
      </c>
      <c r="M64" s="253">
        <v>0</v>
      </c>
      <c r="N64" s="227"/>
      <c r="O64" s="236">
        <v>1.5335600000000003E-5</v>
      </c>
      <c r="P64" s="227">
        <f>O64</f>
        <v>1.5335600000000003E-5</v>
      </c>
      <c r="Q64" s="254">
        <f>O64</f>
        <v>1.5335600000000003E-5</v>
      </c>
      <c r="R64" s="171"/>
      <c r="S64" s="221"/>
      <c r="T64" s="3"/>
      <c r="U64" s="256" t="s">
        <v>368</v>
      </c>
      <c r="V64" s="221"/>
      <c r="W64" s="3"/>
      <c r="X64" s="256" t="str">
        <f>U64</f>
        <v>FutureCamp (2022)</v>
      </c>
      <c r="Y64" s="221"/>
      <c r="Z64" s="3"/>
      <c r="AA64" s="256" t="str">
        <f>X64</f>
        <v>FutureCamp (2022)</v>
      </c>
      <c r="AB64" s="223"/>
      <c r="AC64" s="3"/>
    </row>
    <row r="65" spans="2:29" ht="14.25" x14ac:dyDescent="0.2">
      <c r="B65" s="3"/>
      <c r="C65" s="7"/>
      <c r="D65" s="7" t="s">
        <v>125</v>
      </c>
      <c r="E65" s="3" t="s">
        <v>40</v>
      </c>
      <c r="F65" s="3"/>
      <c r="G65" s="258" t="s">
        <v>107</v>
      </c>
      <c r="H65" s="259" t="s">
        <v>107</v>
      </c>
      <c r="I65" s="260" t="s">
        <v>107</v>
      </c>
      <c r="J65" s="227"/>
      <c r="K65" s="261">
        <v>0</v>
      </c>
      <c r="L65" s="262">
        <v>0</v>
      </c>
      <c r="M65" s="263">
        <v>0</v>
      </c>
      <c r="N65" s="227"/>
      <c r="O65" s="264">
        <v>2.65E-6</v>
      </c>
      <c r="P65" s="265">
        <f>O65</f>
        <v>2.65E-6</v>
      </c>
      <c r="Q65" s="266">
        <f>O65</f>
        <v>2.65E-6</v>
      </c>
      <c r="R65" s="171"/>
      <c r="S65" s="267"/>
      <c r="T65" s="24"/>
      <c r="U65" s="268" t="s">
        <v>368</v>
      </c>
      <c r="V65" s="267"/>
      <c r="W65" s="24"/>
      <c r="X65" s="268" t="str">
        <f>U65</f>
        <v>FutureCamp (2022)</v>
      </c>
      <c r="Y65" s="267"/>
      <c r="Z65" s="24"/>
      <c r="AA65" s="268" t="str">
        <f>X65</f>
        <v>FutureCamp (2022)</v>
      </c>
      <c r="AB65" s="269"/>
      <c r="AC65" s="3"/>
    </row>
    <row r="66" spans="2:29" ht="14.25" x14ac:dyDescent="0.2">
      <c r="B66" s="3"/>
      <c r="C66" s="7"/>
      <c r="D66" s="7"/>
      <c r="E66" s="3"/>
      <c r="F66" s="3"/>
      <c r="G66" s="229"/>
      <c r="H66" s="229"/>
      <c r="I66" s="229"/>
      <c r="J66" s="3"/>
      <c r="K66" s="270"/>
      <c r="L66" s="270"/>
      <c r="M66" s="270"/>
      <c r="N66" s="3"/>
      <c r="O66" s="3"/>
      <c r="P66" s="3"/>
      <c r="Q66" s="169"/>
      <c r="R66" s="171"/>
      <c r="S66" s="3"/>
      <c r="T66" s="3"/>
      <c r="U66" s="3"/>
      <c r="V66" s="3"/>
      <c r="W66" s="3"/>
      <c r="X66" s="3"/>
      <c r="Y66" s="3"/>
      <c r="Z66" s="3"/>
      <c r="AA66" s="3"/>
      <c r="AB66" s="231"/>
      <c r="AC66" s="3"/>
    </row>
    <row r="67" spans="2:29" ht="14.25" x14ac:dyDescent="0.2">
      <c r="B67" s="3"/>
      <c r="C67" s="7"/>
      <c r="D67" s="7"/>
      <c r="E67" s="3"/>
      <c r="F67" s="3"/>
      <c r="G67" s="229"/>
      <c r="H67" s="229"/>
      <c r="I67" s="229"/>
      <c r="J67" s="3"/>
      <c r="K67" s="270"/>
      <c r="L67" s="270"/>
      <c r="M67" s="270"/>
      <c r="N67" s="3"/>
      <c r="O67" s="3"/>
      <c r="P67" s="3"/>
      <c r="Q67" s="169"/>
      <c r="R67" s="171"/>
      <c r="S67" s="3"/>
      <c r="T67" s="3"/>
      <c r="U67" s="3"/>
      <c r="V67" s="3"/>
      <c r="W67" s="3"/>
      <c r="X67" s="3"/>
      <c r="Y67" s="3"/>
      <c r="Z67" s="3"/>
      <c r="AA67" s="3"/>
      <c r="AB67" s="3"/>
      <c r="AC67" s="3"/>
    </row>
    <row r="68" spans="2:29" x14ac:dyDescent="0.2">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row>
    <row r="69" spans="2:29" ht="14.25" x14ac:dyDescent="0.2">
      <c r="B69" s="34"/>
      <c r="C69" s="34"/>
      <c r="D69" s="34" t="s">
        <v>369</v>
      </c>
      <c r="E69" s="34"/>
      <c r="F69" s="34"/>
      <c r="G69" s="34"/>
      <c r="H69" s="34"/>
      <c r="I69" s="34"/>
      <c r="J69" s="34"/>
      <c r="K69" s="34"/>
      <c r="L69" s="3"/>
      <c r="M69" s="3"/>
      <c r="N69" s="3"/>
      <c r="O69" s="3"/>
      <c r="P69" s="3"/>
      <c r="Q69" s="3"/>
      <c r="R69" s="3"/>
      <c r="S69" s="3"/>
      <c r="T69" s="3"/>
      <c r="U69" s="3"/>
      <c r="V69" s="3"/>
      <c r="W69" s="3"/>
      <c r="X69" s="3"/>
      <c r="Y69" s="3"/>
      <c r="Z69" s="3"/>
      <c r="AA69" s="3"/>
      <c r="AB69" s="3"/>
      <c r="AC69" s="3"/>
    </row>
    <row r="70" spans="2:29" ht="14.25" x14ac:dyDescent="0.2">
      <c r="B70" s="3"/>
      <c r="C70" s="3"/>
      <c r="D70" s="3" t="s">
        <v>370</v>
      </c>
      <c r="E70" s="3"/>
      <c r="F70" s="3"/>
      <c r="G70" s="3"/>
      <c r="H70" s="3"/>
      <c r="I70" s="3"/>
      <c r="J70" s="3"/>
      <c r="K70" s="3"/>
      <c r="L70" s="3"/>
      <c r="M70" s="3"/>
      <c r="N70" s="3"/>
      <c r="O70" s="3"/>
      <c r="P70" s="3"/>
      <c r="Q70" s="3"/>
      <c r="R70" s="3"/>
      <c r="S70" s="3"/>
      <c r="T70" s="3"/>
      <c r="U70" s="3"/>
      <c r="V70" s="3"/>
      <c r="W70" s="3"/>
      <c r="X70" s="3"/>
      <c r="Y70" s="3"/>
      <c r="Z70" s="3"/>
      <c r="AA70" s="3"/>
      <c r="AB70" s="3"/>
      <c r="AC70" s="3"/>
    </row>
    <row r="71" spans="2:29" x14ac:dyDescent="0.2">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row>
    <row r="72" spans="2:29" hidden="1" x14ac:dyDescent="0.2">
      <c r="K72" s="2" t="s">
        <v>137</v>
      </c>
      <c r="L72" s="271">
        <f>L9/$K$9</f>
        <v>0.72654128614725655</v>
      </c>
      <c r="M72" s="271">
        <f>M9/$K$9</f>
        <v>0.35807187228685605</v>
      </c>
    </row>
  </sheetData>
  <sheetProtection algorithmName="SHA-512" hashValue="FGL5zPdLGQ9+UGNHWpkNSlXDfhl7BIAHgVh/3LX2qlFN784bO5SV4oNb5vDzPfA/kKhr2+n99JbUoMXcLHg/tw==" saltValue="lb/xCpuThTnDEcjhgIIV0Q==" spinCount="100000" sheet="1" selectLockedCells="1" selectUnlockedCells="1"/>
  <mergeCells count="6">
    <mergeCell ref="Y4:AA4"/>
    <mergeCell ref="G4:I4"/>
    <mergeCell ref="K4:M4"/>
    <mergeCell ref="O4:Q4"/>
    <mergeCell ref="S4:U4"/>
    <mergeCell ref="V4:X4"/>
  </mergeCells>
  <hyperlinks>
    <hyperlink ref="A1" location="Cockpit!A1" display="zurück zu Cockpit" xr:uid="{259DBD76-F77B-4DA9-9F1B-CC2FA8228F2B}"/>
  </hyperlinks>
  <printOptions horizontalCentered="1"/>
  <pageMargins left="0.39370078740157483" right="0.39370078740157483" top="0.39370078740157483" bottom="0.59055118110236227" header="0.19685039370078741" footer="0.19685039370078741"/>
  <pageSetup paperSize="9" scale="34" orientation="landscape" verticalDpi="601"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F7878-A409-4082-BF64-327E057617A1}">
  <dimension ref="A1:BB272"/>
  <sheetViews>
    <sheetView workbookViewId="0"/>
  </sheetViews>
  <sheetFormatPr baseColWidth="10" defaultColWidth="9" defaultRowHeight="12.75" outlineLevelRow="1" x14ac:dyDescent="0.2"/>
  <cols>
    <col min="1" max="1" width="2.25" style="6" customWidth="1"/>
    <col min="2" max="2" width="9.875" style="6" customWidth="1"/>
    <col min="3" max="3" width="39.5" style="6" customWidth="1"/>
    <col min="4" max="4" width="11" style="6" customWidth="1"/>
    <col min="5" max="6" width="10.375" style="6" customWidth="1"/>
    <col min="7" max="8" width="9" style="6" customWidth="1"/>
    <col min="9" max="10" width="10.75" style="6" customWidth="1"/>
    <col min="11" max="11" width="43" style="6" customWidth="1"/>
    <col min="12" max="12" width="10.75" style="6" customWidth="1"/>
    <col min="13" max="13" width="1.875" style="6" customWidth="1"/>
    <col min="14" max="14" width="2.25" style="6" customWidth="1"/>
    <col min="15" max="15" width="9.875" style="6" customWidth="1"/>
    <col min="16" max="16" width="39.5" style="6" customWidth="1"/>
    <col min="17" max="17" width="11" style="6" customWidth="1"/>
    <col min="18" max="18" width="10.375" style="6" customWidth="1"/>
    <col min="19" max="19" width="10.125" style="6" customWidth="1"/>
    <col min="20" max="20" width="9" style="6"/>
    <col min="21" max="21" width="9" style="6" customWidth="1"/>
    <col min="22" max="22" width="1.875" style="6" customWidth="1"/>
    <col min="23" max="23" width="4.75" style="6" customWidth="1"/>
    <col min="24" max="24" width="10.5" style="6" customWidth="1"/>
    <col min="25" max="25" width="43" style="6" bestFit="1" customWidth="1"/>
    <col min="26" max="28" width="9" style="6"/>
    <col min="29" max="29" width="12" style="6" customWidth="1"/>
    <col min="30" max="30" width="8.75" style="6" customWidth="1"/>
    <col min="31" max="31" width="1.875" style="6" customWidth="1"/>
    <col min="32" max="32" width="8" style="6" customWidth="1"/>
    <col min="33" max="33" width="10.375" style="6" customWidth="1"/>
    <col min="34" max="34" width="31.5" style="6" bestFit="1" customWidth="1"/>
    <col min="35" max="35" width="9" style="6"/>
    <col min="36" max="36" width="11.75" style="6" bestFit="1" customWidth="1"/>
    <col min="37" max="37" width="10" style="6" bestFit="1" customWidth="1"/>
    <col min="38" max="38" width="9" style="6"/>
    <col min="39" max="39" width="9" style="6" customWidth="1"/>
    <col min="40" max="16384" width="9" style="6"/>
  </cols>
  <sheetData>
    <row r="1" spans="1:41" s="2" customFormat="1" ht="18.75" customHeight="1" x14ac:dyDescent="0.2">
      <c r="A1" s="428" t="s">
        <v>467</v>
      </c>
      <c r="B1" s="418"/>
    </row>
    <row r="2" spans="1:41" x14ac:dyDescent="0.2">
      <c r="B2" s="89"/>
      <c r="C2" s="89"/>
      <c r="D2" s="89"/>
      <c r="E2" s="89"/>
      <c r="F2" s="89"/>
      <c r="G2" s="89"/>
      <c r="H2" s="89"/>
      <c r="I2" s="89"/>
      <c r="J2" s="89"/>
      <c r="K2" s="89"/>
      <c r="L2" s="3"/>
      <c r="N2" s="3"/>
      <c r="O2" s="3"/>
      <c r="P2" s="14"/>
      <c r="Q2" s="3"/>
      <c r="R2" s="3"/>
      <c r="S2" s="3"/>
      <c r="T2" s="3"/>
      <c r="U2" s="3"/>
      <c r="V2" s="2"/>
      <c r="W2" s="3"/>
      <c r="X2" s="3"/>
      <c r="Y2" s="3"/>
      <c r="Z2" s="3"/>
      <c r="AA2" s="3"/>
      <c r="AB2" s="3"/>
      <c r="AC2" s="3"/>
      <c r="AD2" s="3"/>
      <c r="AE2" s="2"/>
      <c r="AF2" s="3"/>
      <c r="AG2" s="3"/>
      <c r="AH2" s="3"/>
      <c r="AI2" s="3"/>
      <c r="AJ2" s="3"/>
      <c r="AK2" s="3"/>
      <c r="AL2" s="3"/>
      <c r="AM2" s="3"/>
      <c r="AN2" s="3"/>
      <c r="AO2" s="3"/>
    </row>
    <row r="3" spans="1:41" ht="18" x14ac:dyDescent="0.25">
      <c r="B3" s="89"/>
      <c r="C3" s="90" t="s">
        <v>190</v>
      </c>
      <c r="D3" s="89"/>
      <c r="E3" s="89"/>
      <c r="F3" s="89"/>
      <c r="G3" s="89"/>
      <c r="H3" s="89"/>
      <c r="I3" s="89"/>
      <c r="J3" s="89"/>
      <c r="K3" s="89"/>
      <c r="L3" s="3"/>
      <c r="N3" s="3"/>
      <c r="O3" s="96" t="s">
        <v>155</v>
      </c>
      <c r="P3" s="14"/>
      <c r="Q3" s="3"/>
      <c r="R3" s="3"/>
      <c r="S3" s="3"/>
      <c r="T3" s="3"/>
      <c r="U3" s="3"/>
      <c r="V3" s="2"/>
      <c r="W3" s="3"/>
      <c r="X3" s="96" t="s">
        <v>155</v>
      </c>
      <c r="Y3" s="3"/>
      <c r="Z3" s="3"/>
      <c r="AA3" s="3"/>
      <c r="AB3" s="3"/>
      <c r="AC3" s="3"/>
      <c r="AD3" s="3"/>
      <c r="AE3" s="2"/>
      <c r="AF3" s="3"/>
      <c r="AG3" s="96" t="s">
        <v>155</v>
      </c>
      <c r="AH3" s="3"/>
      <c r="AI3" s="3"/>
      <c r="AJ3" s="3"/>
      <c r="AK3" s="3"/>
      <c r="AL3" s="3"/>
      <c r="AM3" s="3"/>
      <c r="AN3" s="3"/>
      <c r="AO3" s="3"/>
    </row>
    <row r="4" spans="1:41" x14ac:dyDescent="0.2">
      <c r="B4" s="89"/>
      <c r="C4" s="3"/>
      <c r="D4" s="3"/>
      <c r="E4" s="3"/>
      <c r="F4" s="3"/>
      <c r="G4" s="3"/>
      <c r="H4" s="3"/>
      <c r="I4" s="3"/>
      <c r="J4" s="3"/>
      <c r="K4" s="3"/>
      <c r="L4" s="3"/>
      <c r="N4" s="3"/>
      <c r="O4" s="3"/>
      <c r="P4" s="14"/>
      <c r="Q4" s="3"/>
      <c r="R4" s="3"/>
      <c r="S4" s="3"/>
      <c r="T4" s="3"/>
      <c r="U4" s="3"/>
      <c r="V4" s="2"/>
      <c r="W4" s="3"/>
      <c r="X4" s="3"/>
      <c r="Y4" s="3"/>
      <c r="Z4" s="3"/>
      <c r="AA4" s="3"/>
      <c r="AB4" s="3"/>
      <c r="AC4" s="3"/>
      <c r="AD4" s="3"/>
      <c r="AE4" s="2"/>
      <c r="AF4" s="3"/>
      <c r="AG4" s="3"/>
      <c r="AH4" s="3"/>
      <c r="AI4" s="3"/>
      <c r="AJ4" s="3"/>
      <c r="AK4" s="3"/>
      <c r="AL4" s="3"/>
      <c r="AM4" s="3"/>
      <c r="AN4" s="3"/>
      <c r="AO4" s="3"/>
    </row>
    <row r="5" spans="1:41" ht="15" x14ac:dyDescent="0.25">
      <c r="B5" s="89"/>
      <c r="C5" s="108" t="s">
        <v>293</v>
      </c>
      <c r="D5" s="103"/>
      <c r="E5" s="103"/>
      <c r="F5" s="103"/>
      <c r="G5" s="103"/>
      <c r="H5" s="103"/>
      <c r="I5" s="103"/>
      <c r="J5" s="103"/>
      <c r="K5" s="103"/>
      <c r="L5" s="3"/>
      <c r="N5" s="3"/>
      <c r="O5" s="91" t="s">
        <v>101</v>
      </c>
      <c r="P5" s="3"/>
      <c r="Q5" s="3"/>
      <c r="R5" s="3"/>
      <c r="S5" s="3"/>
      <c r="T5" s="3"/>
      <c r="U5" s="3"/>
      <c r="V5" s="2"/>
      <c r="W5" s="3"/>
      <c r="X5" s="91" t="s">
        <v>105</v>
      </c>
      <c r="Y5" s="3"/>
      <c r="Z5" s="3"/>
      <c r="AA5" s="3"/>
      <c r="AB5" s="3"/>
      <c r="AC5" s="3"/>
      <c r="AD5" s="3"/>
      <c r="AE5" s="2"/>
      <c r="AF5" s="3"/>
      <c r="AG5" s="386" t="s">
        <v>79</v>
      </c>
      <c r="AH5" s="3"/>
      <c r="AI5" s="3"/>
      <c r="AJ5" s="3"/>
      <c r="AK5" s="3"/>
      <c r="AL5" s="3"/>
      <c r="AM5" s="3"/>
      <c r="AN5" s="3"/>
      <c r="AO5" s="3"/>
    </row>
    <row r="6" spans="1:41" ht="161.25" customHeight="1" x14ac:dyDescent="0.2">
      <c r="B6" s="93"/>
      <c r="C6" s="481" t="s">
        <v>528</v>
      </c>
      <c r="D6" s="481"/>
      <c r="E6" s="481"/>
      <c r="F6" s="481"/>
      <c r="G6" s="481"/>
      <c r="H6" s="481"/>
      <c r="I6" s="481"/>
      <c r="J6" s="481"/>
      <c r="K6" s="481"/>
      <c r="L6" s="3"/>
      <c r="N6" s="3"/>
      <c r="O6" s="3"/>
      <c r="P6" s="3"/>
      <c r="Q6" s="3"/>
      <c r="R6" s="3"/>
      <c r="S6" s="3"/>
      <c r="T6" s="3"/>
      <c r="U6" s="3"/>
      <c r="V6" s="2"/>
      <c r="W6" s="3"/>
      <c r="X6" s="3"/>
      <c r="Y6" s="3"/>
      <c r="Z6" s="3"/>
      <c r="AA6" s="3"/>
      <c r="AB6" s="3"/>
      <c r="AC6" s="3"/>
      <c r="AD6" s="3"/>
      <c r="AE6" s="2"/>
      <c r="AF6" s="3"/>
      <c r="AG6" s="3"/>
      <c r="AH6" s="3"/>
      <c r="AI6" s="3"/>
      <c r="AJ6" s="3"/>
      <c r="AK6" s="3"/>
      <c r="AL6" s="3"/>
      <c r="AM6" s="3"/>
      <c r="AN6" s="3"/>
      <c r="AO6" s="3"/>
    </row>
    <row r="7" spans="1:41" x14ac:dyDescent="0.2">
      <c r="B7" s="89"/>
      <c r="C7" s="89"/>
      <c r="D7" s="89"/>
      <c r="E7" s="89"/>
      <c r="F7" s="89"/>
      <c r="G7" s="89"/>
      <c r="H7" s="89"/>
      <c r="I7" s="89"/>
      <c r="J7" s="89"/>
      <c r="K7" s="89"/>
      <c r="L7" s="3"/>
      <c r="N7" s="3"/>
      <c r="O7" s="3"/>
      <c r="P7" s="3"/>
      <c r="Q7" s="3"/>
      <c r="R7" s="3"/>
      <c r="S7" s="3"/>
      <c r="T7" s="3"/>
      <c r="U7" s="3"/>
      <c r="V7" s="2"/>
      <c r="W7" s="3"/>
      <c r="X7" s="3"/>
      <c r="Y7" s="3"/>
      <c r="Z7" s="3"/>
      <c r="AA7" s="3"/>
      <c r="AB7" s="3"/>
      <c r="AC7" s="3"/>
      <c r="AD7" s="3"/>
      <c r="AE7" s="2"/>
      <c r="AF7" s="3"/>
      <c r="AG7" s="3"/>
      <c r="AH7" s="3"/>
      <c r="AI7" s="3"/>
      <c r="AJ7" s="3"/>
      <c r="AK7" s="3"/>
      <c r="AL7" s="3"/>
      <c r="AM7" s="3"/>
      <c r="AN7" s="3"/>
      <c r="AO7" s="3"/>
    </row>
    <row r="8" spans="1:41" x14ac:dyDescent="0.2">
      <c r="N8" s="3"/>
      <c r="O8" s="3"/>
      <c r="P8" s="3"/>
      <c r="Q8" s="3"/>
      <c r="R8" s="3"/>
      <c r="S8" s="3"/>
      <c r="T8" s="3"/>
      <c r="U8" s="3"/>
      <c r="V8" s="2"/>
      <c r="W8" s="3"/>
      <c r="X8" s="3"/>
      <c r="Y8" s="3"/>
      <c r="Z8" s="3"/>
      <c r="AA8" s="3"/>
      <c r="AB8" s="3"/>
      <c r="AC8" s="3"/>
      <c r="AD8" s="3"/>
      <c r="AE8" s="2"/>
      <c r="AF8" s="3"/>
      <c r="AG8" s="3"/>
      <c r="AH8" s="3"/>
      <c r="AI8" s="3"/>
      <c r="AJ8" s="3"/>
      <c r="AK8" s="3"/>
      <c r="AL8" s="3"/>
      <c r="AM8" s="3"/>
      <c r="AN8" s="3"/>
      <c r="AO8" s="3"/>
    </row>
    <row r="9" spans="1:41" x14ac:dyDescent="0.2">
      <c r="B9" s="3"/>
      <c r="C9" s="3"/>
      <c r="D9" s="3"/>
      <c r="E9" s="3"/>
      <c r="F9" s="3"/>
      <c r="G9" s="3"/>
      <c r="H9" s="3"/>
      <c r="I9" s="3"/>
      <c r="J9" s="3"/>
      <c r="K9" s="3"/>
      <c r="L9" s="3"/>
      <c r="N9" s="3"/>
      <c r="O9" s="3"/>
      <c r="P9" s="3"/>
      <c r="Q9" s="3"/>
      <c r="R9" s="3"/>
      <c r="S9" s="3"/>
      <c r="T9" s="3"/>
      <c r="U9" s="3"/>
      <c r="V9" s="2"/>
      <c r="W9" s="3"/>
      <c r="X9" s="3"/>
      <c r="Y9" s="3"/>
      <c r="Z9" s="3"/>
      <c r="AA9" s="3"/>
      <c r="AB9" s="3"/>
      <c r="AC9" s="3"/>
      <c r="AD9" s="3"/>
      <c r="AE9" s="2"/>
      <c r="AF9" s="3"/>
      <c r="AG9" s="3"/>
      <c r="AH9" s="3"/>
      <c r="AI9" s="3"/>
      <c r="AJ9" s="3"/>
      <c r="AK9" s="3"/>
      <c r="AL9" s="3"/>
      <c r="AM9" s="3"/>
      <c r="AN9" s="3"/>
      <c r="AO9" s="3"/>
    </row>
    <row r="10" spans="1:41" x14ac:dyDescent="0.2">
      <c r="B10" s="3"/>
      <c r="C10" s="3"/>
      <c r="D10" s="3"/>
      <c r="E10" s="3"/>
      <c r="F10" s="3"/>
      <c r="G10" s="3"/>
      <c r="H10" s="3"/>
      <c r="I10" s="3"/>
      <c r="J10" s="3"/>
      <c r="K10" s="3"/>
      <c r="L10" s="3"/>
      <c r="N10" s="3"/>
      <c r="O10" s="3"/>
      <c r="P10" s="3"/>
      <c r="Q10" s="3"/>
      <c r="R10" s="3"/>
      <c r="S10" s="3"/>
      <c r="T10" s="3"/>
      <c r="U10" s="3"/>
      <c r="V10" s="2"/>
      <c r="W10" s="3"/>
      <c r="X10" s="3"/>
      <c r="Y10" s="3"/>
      <c r="Z10" s="3"/>
      <c r="AA10" s="3"/>
      <c r="AB10" s="3"/>
      <c r="AC10" s="3"/>
      <c r="AD10" s="3"/>
      <c r="AE10" s="2"/>
      <c r="AF10" s="3"/>
      <c r="AG10" s="3"/>
      <c r="AH10" s="3"/>
      <c r="AI10" s="3"/>
      <c r="AJ10" s="3"/>
      <c r="AK10" s="3"/>
      <c r="AL10" s="3"/>
      <c r="AM10" s="3"/>
      <c r="AN10" s="3"/>
      <c r="AO10" s="3"/>
    </row>
    <row r="11" spans="1:41" ht="18" x14ac:dyDescent="0.25">
      <c r="B11" s="3"/>
      <c r="C11" s="85" t="s">
        <v>191</v>
      </c>
      <c r="D11" s="94"/>
      <c r="E11" s="95"/>
      <c r="F11" s="7"/>
      <c r="G11" s="7"/>
      <c r="H11" s="7"/>
      <c r="I11" s="7"/>
      <c r="J11" s="7"/>
      <c r="K11" s="3"/>
      <c r="L11" s="3"/>
      <c r="N11" s="3"/>
      <c r="O11" s="3"/>
      <c r="P11" s="3"/>
      <c r="Q11" s="3"/>
      <c r="R11" s="3"/>
      <c r="S11" s="3"/>
      <c r="T11" s="3"/>
      <c r="U11" s="3"/>
      <c r="V11" s="2"/>
      <c r="W11" s="3"/>
      <c r="X11" s="3"/>
      <c r="Y11" s="3"/>
      <c r="Z11" s="3"/>
      <c r="AA11" s="3"/>
      <c r="AB11" s="3"/>
      <c r="AC11" s="3"/>
      <c r="AD11" s="3"/>
      <c r="AE11" s="2"/>
      <c r="AF11" s="3"/>
      <c r="AG11" s="3"/>
      <c r="AH11" s="3"/>
      <c r="AI11" s="3"/>
      <c r="AJ11" s="3"/>
      <c r="AK11" s="3"/>
      <c r="AL11" s="3"/>
      <c r="AM11" s="3"/>
      <c r="AN11" s="3"/>
      <c r="AO11" s="3"/>
    </row>
    <row r="12" spans="1:41" ht="14.25" x14ac:dyDescent="0.2">
      <c r="B12" s="3"/>
      <c r="C12" s="3"/>
      <c r="D12" s="3"/>
      <c r="E12" s="3"/>
      <c r="F12" s="3"/>
      <c r="G12" s="7"/>
      <c r="H12" s="7"/>
      <c r="I12" s="7"/>
      <c r="J12" s="7"/>
      <c r="K12" s="3"/>
      <c r="L12" s="3"/>
      <c r="N12" s="3"/>
      <c r="O12" s="3"/>
      <c r="P12" s="3"/>
      <c r="Q12" s="3"/>
      <c r="R12" s="3"/>
      <c r="S12" s="3"/>
      <c r="T12" s="3"/>
      <c r="U12" s="3"/>
      <c r="V12" s="2"/>
      <c r="W12" s="3"/>
      <c r="X12" s="3"/>
      <c r="Y12" s="3"/>
      <c r="Z12" s="3"/>
      <c r="AA12" s="3"/>
      <c r="AB12" s="3"/>
      <c r="AC12" s="3"/>
      <c r="AD12" s="3"/>
      <c r="AE12" s="2"/>
      <c r="AF12" s="3"/>
      <c r="AG12" s="3"/>
      <c r="AH12" s="3"/>
      <c r="AI12" s="3"/>
      <c r="AJ12" s="3"/>
      <c r="AK12" s="3"/>
      <c r="AL12" s="3"/>
      <c r="AM12" s="3"/>
      <c r="AN12" s="3"/>
      <c r="AO12" s="3"/>
    </row>
    <row r="13" spans="1:41" x14ac:dyDescent="0.2">
      <c r="B13" s="3"/>
      <c r="C13" s="8"/>
      <c r="D13" s="482">
        <f>'Referenz Plattenfertiger'!D9+5</f>
        <v>5</v>
      </c>
      <c r="E13" s="482"/>
      <c r="F13" s="482"/>
      <c r="G13" s="13"/>
      <c r="H13" s="482">
        <f>'Referenz Plattenfertiger'!D9+10</f>
        <v>10</v>
      </c>
      <c r="I13" s="482"/>
      <c r="J13" s="482"/>
      <c r="K13" s="8"/>
      <c r="L13" s="3"/>
      <c r="N13" s="3"/>
      <c r="O13" s="3"/>
      <c r="P13" s="3"/>
      <c r="Q13" s="3"/>
      <c r="R13" s="3"/>
      <c r="S13" s="3"/>
      <c r="T13" s="3"/>
      <c r="U13" s="3"/>
      <c r="V13" s="2"/>
      <c r="W13" s="3"/>
      <c r="X13" s="3"/>
      <c r="Y13" s="3"/>
      <c r="Z13" s="3"/>
      <c r="AA13" s="3"/>
      <c r="AB13" s="3"/>
      <c r="AC13" s="3"/>
      <c r="AD13" s="3"/>
      <c r="AE13" s="2"/>
      <c r="AF13" s="3"/>
      <c r="AG13" s="3"/>
      <c r="AH13" s="3"/>
      <c r="AI13" s="3"/>
      <c r="AJ13" s="3"/>
      <c r="AK13" s="3"/>
      <c r="AL13" s="3"/>
      <c r="AM13" s="3"/>
      <c r="AN13" s="3"/>
      <c r="AO13" s="3"/>
    </row>
    <row r="14" spans="1:41" x14ac:dyDescent="0.2">
      <c r="B14" s="3"/>
      <c r="C14" s="8"/>
      <c r="D14" s="101" t="s">
        <v>75</v>
      </c>
      <c r="E14" s="101"/>
      <c r="F14" s="101" t="s">
        <v>72</v>
      </c>
      <c r="G14" s="13"/>
      <c r="H14" s="101" t="s">
        <v>75</v>
      </c>
      <c r="I14" s="101"/>
      <c r="J14" s="101" t="s">
        <v>72</v>
      </c>
      <c r="K14" s="8"/>
      <c r="L14" s="3"/>
      <c r="N14" s="3"/>
      <c r="O14" s="3"/>
      <c r="P14" s="3"/>
      <c r="Q14" s="3"/>
      <c r="R14" s="3"/>
      <c r="S14" s="3"/>
      <c r="T14" s="3"/>
      <c r="U14" s="3"/>
      <c r="V14" s="2"/>
      <c r="W14" s="3"/>
      <c r="X14" s="3"/>
      <c r="Y14" s="3"/>
      <c r="Z14" s="3"/>
      <c r="AA14" s="3"/>
      <c r="AB14" s="3"/>
      <c r="AC14" s="3"/>
      <c r="AD14" s="3"/>
      <c r="AE14" s="2"/>
      <c r="AF14" s="3"/>
      <c r="AG14" s="3"/>
      <c r="AH14" s="3"/>
      <c r="AI14" s="3"/>
      <c r="AJ14" s="3"/>
      <c r="AK14" s="3"/>
      <c r="AL14" s="3"/>
      <c r="AM14" s="3"/>
      <c r="AN14" s="3"/>
      <c r="AO14" s="3"/>
    </row>
    <row r="15" spans="1:41" x14ac:dyDescent="0.2">
      <c r="B15" s="3"/>
      <c r="C15" s="3"/>
      <c r="D15" s="3"/>
      <c r="E15" s="3"/>
      <c r="F15" s="3"/>
      <c r="G15" s="3"/>
      <c r="H15" s="3"/>
      <c r="I15" s="3"/>
      <c r="J15" s="3"/>
      <c r="K15" s="3"/>
      <c r="L15" s="3"/>
      <c r="N15" s="3"/>
      <c r="O15" s="3"/>
      <c r="P15" s="3"/>
      <c r="Q15" s="3"/>
      <c r="R15" s="3"/>
      <c r="S15" s="3"/>
      <c r="T15" s="3"/>
      <c r="U15" s="3"/>
      <c r="V15" s="2"/>
      <c r="W15" s="3"/>
      <c r="X15" s="3"/>
      <c r="Y15" s="3"/>
      <c r="Z15" s="3"/>
      <c r="AA15" s="3"/>
      <c r="AB15" s="3"/>
      <c r="AC15" s="3"/>
      <c r="AD15" s="3"/>
      <c r="AE15" s="2"/>
      <c r="AF15" s="3"/>
      <c r="AG15" s="3"/>
      <c r="AH15" s="3"/>
      <c r="AI15" s="3"/>
      <c r="AJ15" s="3"/>
      <c r="AK15" s="3"/>
      <c r="AL15" s="3"/>
      <c r="AM15" s="3"/>
      <c r="AN15" s="3"/>
      <c r="AO15" s="3"/>
    </row>
    <row r="16" spans="1:41" ht="25.5" x14ac:dyDescent="0.2">
      <c r="B16" s="3"/>
      <c r="C16" s="11" t="s">
        <v>207</v>
      </c>
      <c r="D16" s="424">
        <v>30</v>
      </c>
      <c r="E16" s="15" t="s">
        <v>89</v>
      </c>
      <c r="F16" s="113"/>
      <c r="G16" s="15" t="s">
        <v>89</v>
      </c>
      <c r="H16" s="79">
        <v>30</v>
      </c>
      <c r="I16" s="15" t="s">
        <v>89</v>
      </c>
      <c r="J16" s="113"/>
      <c r="K16" s="15" t="s">
        <v>89</v>
      </c>
      <c r="L16" s="3"/>
      <c r="N16" s="3"/>
      <c r="O16" s="3"/>
      <c r="P16" s="3"/>
      <c r="Q16" s="3"/>
      <c r="R16" s="3"/>
      <c r="S16" s="3"/>
      <c r="T16" s="3"/>
      <c r="U16" s="3"/>
      <c r="V16" s="2"/>
      <c r="W16" s="3"/>
      <c r="X16" s="3"/>
      <c r="Y16" s="3"/>
      <c r="Z16" s="3"/>
      <c r="AA16" s="3"/>
      <c r="AB16" s="3"/>
      <c r="AC16" s="3"/>
      <c r="AD16" s="3"/>
      <c r="AE16" s="2"/>
      <c r="AF16" s="3"/>
      <c r="AG16" s="3"/>
      <c r="AH16" s="3"/>
      <c r="AI16" s="3"/>
      <c r="AJ16" s="3"/>
      <c r="AK16" s="3"/>
      <c r="AL16" s="3"/>
      <c r="AM16" s="3"/>
      <c r="AN16" s="3"/>
      <c r="AO16" s="3"/>
    </row>
    <row r="17" spans="1:41" x14ac:dyDescent="0.2">
      <c r="B17" s="3"/>
      <c r="C17" s="8"/>
      <c r="D17" s="80"/>
      <c r="E17" s="15"/>
      <c r="F17" s="15"/>
      <c r="G17" s="15"/>
      <c r="H17" s="80"/>
      <c r="I17" s="15"/>
      <c r="J17" s="15"/>
      <c r="K17" s="3"/>
      <c r="L17" s="3"/>
      <c r="N17" s="3"/>
      <c r="O17" s="3"/>
      <c r="P17" s="3"/>
      <c r="Q17" s="3"/>
      <c r="R17" s="3"/>
      <c r="S17" s="3"/>
      <c r="T17" s="3"/>
      <c r="U17" s="3"/>
      <c r="V17" s="2"/>
      <c r="W17" s="3"/>
      <c r="X17" s="3"/>
      <c r="Y17" s="3"/>
      <c r="Z17" s="3"/>
      <c r="AA17" s="3"/>
      <c r="AB17" s="3"/>
      <c r="AC17" s="3"/>
      <c r="AD17" s="3"/>
      <c r="AE17" s="2"/>
      <c r="AF17" s="3"/>
      <c r="AG17" s="3"/>
      <c r="AH17" s="3"/>
      <c r="AI17" s="3"/>
      <c r="AJ17" s="3"/>
      <c r="AK17" s="3"/>
      <c r="AL17" s="3"/>
      <c r="AM17" s="3"/>
      <c r="AN17" s="3"/>
      <c r="AO17" s="3"/>
    </row>
    <row r="18" spans="1:41" ht="25.5" x14ac:dyDescent="0.2">
      <c r="B18" s="3"/>
      <c r="C18" s="12" t="s">
        <v>469</v>
      </c>
      <c r="D18" s="79">
        <v>400000</v>
      </c>
      <c r="E18" s="15" t="s">
        <v>95</v>
      </c>
      <c r="F18" s="272"/>
      <c r="G18" s="15" t="s">
        <v>95</v>
      </c>
      <c r="H18" s="79">
        <v>0</v>
      </c>
      <c r="I18" s="15" t="s">
        <v>95</v>
      </c>
      <c r="J18" s="272"/>
      <c r="K18" s="3" t="s">
        <v>95</v>
      </c>
      <c r="L18" s="3"/>
      <c r="N18" s="3"/>
      <c r="O18" s="3"/>
      <c r="P18" s="3"/>
      <c r="Q18" s="3"/>
      <c r="R18" s="3"/>
      <c r="S18" s="3"/>
      <c r="T18" s="3"/>
      <c r="U18" s="3"/>
      <c r="V18" s="2"/>
      <c r="W18" s="3"/>
      <c r="X18" s="3"/>
      <c r="Y18" s="3"/>
      <c r="Z18" s="3"/>
      <c r="AA18" s="3"/>
      <c r="AB18" s="3"/>
      <c r="AC18" s="3"/>
      <c r="AD18" s="3"/>
      <c r="AE18" s="2"/>
      <c r="AF18" s="3"/>
      <c r="AG18" s="3"/>
      <c r="AH18" s="3"/>
      <c r="AI18" s="3"/>
      <c r="AJ18" s="3"/>
      <c r="AK18" s="3"/>
      <c r="AL18" s="3"/>
      <c r="AM18" s="3"/>
      <c r="AN18" s="3"/>
      <c r="AO18" s="3"/>
    </row>
    <row r="19" spans="1:41" ht="14.25" x14ac:dyDescent="0.2">
      <c r="B19" s="3"/>
      <c r="C19" s="78" t="s">
        <v>210</v>
      </c>
      <c r="D19" s="79">
        <v>0</v>
      </c>
      <c r="E19" s="15" t="s">
        <v>96</v>
      </c>
      <c r="F19" s="272"/>
      <c r="G19" s="15" t="s">
        <v>96</v>
      </c>
      <c r="H19" s="79">
        <v>0</v>
      </c>
      <c r="I19" s="15" t="s">
        <v>96</v>
      </c>
      <c r="J19" s="272"/>
      <c r="K19" s="3" t="s">
        <v>96</v>
      </c>
      <c r="L19" s="3"/>
      <c r="N19" s="3"/>
      <c r="O19" s="3"/>
      <c r="P19" s="3"/>
      <c r="Q19" s="3"/>
      <c r="R19" s="3"/>
      <c r="S19" s="3"/>
      <c r="T19" s="3"/>
      <c r="U19" s="3"/>
      <c r="V19" s="2"/>
      <c r="W19" s="3"/>
      <c r="X19" s="3"/>
      <c r="Y19" s="3"/>
      <c r="Z19" s="3"/>
      <c r="AA19" s="3"/>
      <c r="AB19" s="3"/>
      <c r="AC19" s="3"/>
      <c r="AD19" s="3"/>
      <c r="AE19" s="2"/>
      <c r="AF19" s="3"/>
      <c r="AG19" s="3"/>
      <c r="AH19" s="3"/>
      <c r="AI19" s="3"/>
      <c r="AJ19" s="3"/>
      <c r="AK19" s="3"/>
      <c r="AL19" s="3"/>
      <c r="AM19" s="3"/>
      <c r="AN19" s="3"/>
      <c r="AO19" s="3"/>
    </row>
    <row r="20" spans="1:41" ht="14.25" x14ac:dyDescent="0.2">
      <c r="B20" s="3"/>
      <c r="C20" s="78" t="s">
        <v>177</v>
      </c>
      <c r="D20" s="79">
        <v>0</v>
      </c>
      <c r="E20" s="15" t="s">
        <v>95</v>
      </c>
      <c r="F20" s="272"/>
      <c r="G20" s="15" t="s">
        <v>95</v>
      </c>
      <c r="H20" s="79">
        <v>0</v>
      </c>
      <c r="I20" s="15" t="s">
        <v>95</v>
      </c>
      <c r="J20" s="272"/>
      <c r="K20" s="3" t="s">
        <v>95</v>
      </c>
      <c r="L20" s="3"/>
      <c r="N20" s="3"/>
      <c r="O20" s="3"/>
      <c r="P20" s="3"/>
      <c r="Q20" s="3"/>
      <c r="R20" s="3"/>
      <c r="S20" s="3"/>
      <c r="T20" s="3"/>
      <c r="U20" s="3"/>
      <c r="V20" s="2"/>
      <c r="W20" s="3"/>
      <c r="X20" s="3"/>
      <c r="Y20" s="3"/>
      <c r="Z20" s="3"/>
      <c r="AA20" s="3"/>
      <c r="AB20" s="3"/>
      <c r="AC20" s="3"/>
      <c r="AD20" s="3"/>
      <c r="AE20" s="2"/>
      <c r="AF20" s="3"/>
      <c r="AG20" s="3"/>
      <c r="AH20" s="3"/>
      <c r="AI20" s="3"/>
      <c r="AJ20" s="3"/>
      <c r="AK20" s="3"/>
      <c r="AL20" s="3"/>
      <c r="AM20" s="3"/>
      <c r="AN20" s="3"/>
      <c r="AO20" s="3"/>
    </row>
    <row r="21" spans="1:41" x14ac:dyDescent="0.2">
      <c r="B21" s="3"/>
      <c r="C21" s="78"/>
      <c r="D21" s="78"/>
      <c r="E21" s="78"/>
      <c r="F21" s="78"/>
      <c r="G21" s="78"/>
      <c r="H21" s="78"/>
      <c r="I21" s="78"/>
      <c r="J21" s="78"/>
      <c r="K21" s="78"/>
      <c r="L21" s="3"/>
      <c r="N21" s="3"/>
      <c r="O21" s="3"/>
      <c r="P21" s="3"/>
      <c r="Q21" s="3"/>
      <c r="R21" s="3"/>
      <c r="S21" s="3"/>
      <c r="T21" s="3"/>
      <c r="U21" s="3"/>
      <c r="V21" s="2"/>
      <c r="W21" s="3"/>
      <c r="X21" s="3"/>
      <c r="Y21" s="3"/>
      <c r="Z21" s="3"/>
      <c r="AA21" s="3"/>
      <c r="AB21" s="3"/>
      <c r="AC21" s="3"/>
      <c r="AD21" s="3"/>
      <c r="AE21" s="2"/>
      <c r="AF21" s="3"/>
      <c r="AG21" s="3"/>
      <c r="AH21" s="3"/>
      <c r="AI21" s="3"/>
      <c r="AJ21" s="3"/>
      <c r="AK21" s="3"/>
      <c r="AL21" s="3"/>
      <c r="AM21" s="3"/>
      <c r="AN21" s="3"/>
      <c r="AO21" s="3"/>
    </row>
    <row r="22" spans="1:41" x14ac:dyDescent="0.2">
      <c r="B22" s="3"/>
      <c r="C22" s="78"/>
      <c r="D22" s="15"/>
      <c r="E22" s="15"/>
      <c r="F22" s="15"/>
      <c r="G22" s="15"/>
      <c r="H22" s="15"/>
      <c r="I22" s="15"/>
      <c r="J22" s="15"/>
      <c r="K22" s="15"/>
      <c r="L22" s="3"/>
      <c r="N22" s="3"/>
      <c r="O22" s="3"/>
      <c r="P22" s="3"/>
      <c r="Q22" s="3"/>
      <c r="R22" s="3"/>
      <c r="S22" s="3"/>
      <c r="T22" s="3"/>
      <c r="U22" s="3"/>
      <c r="V22" s="2"/>
      <c r="W22" s="3"/>
      <c r="X22" s="3"/>
      <c r="Y22" s="3"/>
      <c r="Z22" s="3"/>
      <c r="AA22" s="3"/>
      <c r="AB22" s="3"/>
      <c r="AC22" s="3"/>
      <c r="AD22" s="3"/>
      <c r="AE22" s="2"/>
      <c r="AF22" s="3"/>
      <c r="AG22" s="3"/>
      <c r="AH22" s="3"/>
      <c r="AI22" s="3"/>
      <c r="AJ22" s="3"/>
      <c r="AK22" s="3"/>
      <c r="AL22" s="3"/>
      <c r="AM22" s="3"/>
      <c r="AN22" s="3"/>
      <c r="AO22" s="3"/>
    </row>
    <row r="23" spans="1:41" x14ac:dyDescent="0.2">
      <c r="B23" s="3"/>
      <c r="C23" s="78" t="s">
        <v>23</v>
      </c>
      <c r="D23" s="79">
        <v>10</v>
      </c>
      <c r="E23" s="15" t="s">
        <v>88</v>
      </c>
      <c r="F23" s="113"/>
      <c r="G23" s="15" t="s">
        <v>88</v>
      </c>
      <c r="H23" s="79">
        <v>10</v>
      </c>
      <c r="I23" s="15" t="s">
        <v>88</v>
      </c>
      <c r="J23" s="113"/>
      <c r="K23" s="15" t="s">
        <v>88</v>
      </c>
      <c r="L23" s="3"/>
      <c r="N23" s="3"/>
      <c r="O23" s="3"/>
      <c r="P23" s="3"/>
      <c r="Q23" s="3"/>
      <c r="R23" s="3"/>
      <c r="S23" s="3"/>
      <c r="T23" s="3"/>
      <c r="U23" s="3"/>
      <c r="V23" s="2"/>
      <c r="W23" s="3"/>
      <c r="X23" s="3"/>
      <c r="Y23" s="3"/>
      <c r="Z23" s="3"/>
      <c r="AA23" s="3"/>
      <c r="AB23" s="3"/>
      <c r="AC23" s="3"/>
      <c r="AD23" s="3"/>
      <c r="AE23" s="2"/>
      <c r="AF23" s="3"/>
      <c r="AG23" s="3"/>
      <c r="AH23" s="3"/>
      <c r="AI23" s="3"/>
      <c r="AJ23" s="3"/>
      <c r="AK23" s="3"/>
      <c r="AL23" s="3"/>
      <c r="AM23" s="3"/>
      <c r="AN23" s="3"/>
      <c r="AO23" s="3"/>
    </row>
    <row r="24" spans="1:41" x14ac:dyDescent="0.2">
      <c r="B24" s="3"/>
      <c r="C24" s="78" t="s">
        <v>24</v>
      </c>
      <c r="D24" s="81">
        <v>8</v>
      </c>
      <c r="E24" s="15" t="s">
        <v>89</v>
      </c>
      <c r="F24" s="273"/>
      <c r="G24" s="15" t="s">
        <v>89</v>
      </c>
      <c r="H24" s="81">
        <v>8</v>
      </c>
      <c r="I24" s="15" t="s">
        <v>89</v>
      </c>
      <c r="J24" s="273"/>
      <c r="K24" s="15" t="s">
        <v>89</v>
      </c>
      <c r="L24" s="3"/>
      <c r="N24" s="3"/>
      <c r="O24" s="3"/>
      <c r="P24" s="3"/>
      <c r="Q24" s="3"/>
      <c r="R24" s="3"/>
      <c r="S24" s="3"/>
      <c r="T24" s="3"/>
      <c r="U24" s="3"/>
      <c r="V24" s="2"/>
      <c r="W24" s="3"/>
      <c r="X24" s="3"/>
      <c r="Y24" s="3"/>
      <c r="Z24" s="3"/>
      <c r="AA24" s="3"/>
      <c r="AB24" s="3"/>
      <c r="AC24" s="3"/>
      <c r="AD24" s="3"/>
      <c r="AE24" s="2"/>
      <c r="AF24" s="3"/>
      <c r="AG24" s="3"/>
      <c r="AH24" s="3"/>
      <c r="AI24" s="3"/>
      <c r="AJ24" s="3"/>
      <c r="AK24" s="3"/>
      <c r="AL24" s="3"/>
      <c r="AM24" s="3"/>
      <c r="AN24" s="3"/>
      <c r="AO24" s="3"/>
    </row>
    <row r="25" spans="1:41" x14ac:dyDescent="0.2">
      <c r="B25" s="3"/>
      <c r="C25" s="15"/>
      <c r="D25" s="81"/>
      <c r="E25" s="15"/>
      <c r="F25" s="15"/>
      <c r="G25" s="15"/>
      <c r="H25" s="80"/>
      <c r="I25" s="15"/>
      <c r="J25" s="15"/>
      <c r="K25" s="3"/>
      <c r="L25" s="3"/>
      <c r="N25" s="3"/>
      <c r="O25" s="3"/>
      <c r="P25" s="3"/>
      <c r="Q25" s="3"/>
      <c r="R25" s="3"/>
      <c r="S25" s="3"/>
      <c r="T25" s="3"/>
      <c r="U25" s="3"/>
      <c r="V25" s="2"/>
      <c r="W25" s="3"/>
      <c r="X25" s="3"/>
      <c r="Y25" s="3"/>
      <c r="Z25" s="3"/>
      <c r="AA25" s="3"/>
      <c r="AB25" s="3"/>
      <c r="AC25" s="3"/>
      <c r="AD25" s="3"/>
      <c r="AE25" s="2"/>
      <c r="AF25" s="3"/>
      <c r="AG25" s="3"/>
      <c r="AH25" s="3"/>
      <c r="AI25" s="3"/>
      <c r="AJ25" s="3"/>
      <c r="AK25" s="3"/>
      <c r="AL25" s="3"/>
      <c r="AM25" s="3"/>
      <c r="AN25" s="3"/>
      <c r="AO25" s="3"/>
    </row>
    <row r="26" spans="1:41" x14ac:dyDescent="0.2">
      <c r="B26" s="3"/>
      <c r="C26" s="15"/>
      <c r="D26" s="10"/>
      <c r="E26" s="3"/>
      <c r="F26" s="3"/>
      <c r="G26" s="3"/>
      <c r="H26" s="16"/>
      <c r="I26" s="3"/>
      <c r="J26" s="3"/>
      <c r="K26" s="3"/>
      <c r="L26" s="3"/>
      <c r="N26" s="3"/>
      <c r="O26" s="3"/>
      <c r="P26" s="3"/>
      <c r="Q26" s="3"/>
      <c r="R26" s="3"/>
      <c r="S26" s="3"/>
      <c r="T26" s="3"/>
      <c r="U26" s="3"/>
      <c r="V26" s="2"/>
      <c r="W26" s="3"/>
      <c r="X26" s="3"/>
      <c r="Y26" s="3"/>
      <c r="Z26" s="3"/>
      <c r="AA26" s="3"/>
      <c r="AB26" s="3"/>
      <c r="AC26" s="3"/>
      <c r="AD26" s="3"/>
      <c r="AE26" s="2"/>
      <c r="AF26" s="3"/>
      <c r="AG26" s="3"/>
      <c r="AH26" s="3"/>
      <c r="AI26" s="3"/>
      <c r="AJ26" s="3"/>
      <c r="AK26" s="3"/>
      <c r="AL26" s="3"/>
      <c r="AM26" s="3"/>
      <c r="AN26" s="3"/>
      <c r="AO26" s="3"/>
    </row>
    <row r="27" spans="1:41" ht="13.5" x14ac:dyDescent="0.2">
      <c r="B27" s="3"/>
      <c r="C27" s="65" t="s">
        <v>154</v>
      </c>
      <c r="D27" s="10"/>
      <c r="E27" s="3"/>
      <c r="F27" s="3"/>
      <c r="G27" s="3"/>
      <c r="H27" s="16"/>
      <c r="I27" s="3"/>
      <c r="J27" s="3"/>
      <c r="K27" s="3"/>
      <c r="L27" s="3"/>
      <c r="N27" s="3"/>
      <c r="O27" s="3"/>
      <c r="P27" s="3"/>
      <c r="Q27" s="3"/>
      <c r="R27" s="3"/>
      <c r="S27" s="3"/>
      <c r="T27" s="3"/>
      <c r="U27" s="3"/>
      <c r="V27" s="2"/>
      <c r="W27" s="3"/>
      <c r="X27" s="3"/>
      <c r="Y27" s="3"/>
      <c r="Z27" s="3"/>
      <c r="AA27" s="3"/>
      <c r="AB27" s="3"/>
      <c r="AC27" s="3"/>
      <c r="AD27" s="3"/>
      <c r="AE27" s="2"/>
      <c r="AF27" s="3"/>
      <c r="AG27" s="3"/>
      <c r="AH27" s="3"/>
      <c r="AI27" s="3"/>
      <c r="AJ27" s="3"/>
      <c r="AK27" s="3"/>
      <c r="AL27" s="3"/>
      <c r="AM27" s="3"/>
      <c r="AN27" s="3"/>
      <c r="AO27" s="3"/>
    </row>
    <row r="28" spans="1:41" ht="13.5" x14ac:dyDescent="0.2">
      <c r="B28" s="3"/>
      <c r="C28" s="65" t="s">
        <v>201</v>
      </c>
      <c r="D28" s="10"/>
      <c r="E28" s="3"/>
      <c r="F28" s="3"/>
      <c r="G28" s="3"/>
      <c r="H28" s="16"/>
      <c r="I28" s="3"/>
      <c r="J28" s="3"/>
      <c r="K28" s="3"/>
      <c r="L28" s="3"/>
      <c r="N28" s="3"/>
      <c r="O28" s="3"/>
      <c r="P28" s="3"/>
      <c r="Q28" s="3"/>
      <c r="R28" s="3"/>
      <c r="S28" s="3"/>
      <c r="T28" s="3"/>
      <c r="U28" s="3"/>
      <c r="V28" s="2"/>
      <c r="W28" s="3"/>
      <c r="X28" s="3"/>
      <c r="Y28" s="3"/>
      <c r="Z28" s="3"/>
      <c r="AA28" s="3"/>
      <c r="AB28" s="3"/>
      <c r="AC28" s="3"/>
      <c r="AD28" s="3"/>
      <c r="AE28" s="2"/>
      <c r="AF28" s="3"/>
      <c r="AG28" s="3"/>
      <c r="AH28" s="3"/>
      <c r="AI28" s="3"/>
      <c r="AJ28" s="3"/>
      <c r="AK28" s="3"/>
      <c r="AL28" s="3"/>
      <c r="AM28" s="3"/>
      <c r="AN28" s="3"/>
      <c r="AO28" s="3"/>
    </row>
    <row r="29" spans="1:41" x14ac:dyDescent="0.2">
      <c r="B29" s="3"/>
      <c r="C29" s="15"/>
      <c r="D29" s="10"/>
      <c r="E29" s="3"/>
      <c r="F29" s="3"/>
      <c r="G29" s="3"/>
      <c r="H29" s="16"/>
      <c r="I29" s="3"/>
      <c r="J29" s="3"/>
      <c r="K29" s="3"/>
      <c r="L29" s="3"/>
      <c r="N29" s="3"/>
      <c r="O29" s="3"/>
      <c r="P29" s="3"/>
      <c r="Q29" s="3"/>
      <c r="R29" s="3"/>
      <c r="S29" s="3"/>
      <c r="T29" s="3"/>
      <c r="U29" s="3"/>
      <c r="V29" s="2"/>
      <c r="W29" s="3"/>
      <c r="X29" s="3"/>
      <c r="Y29" s="3"/>
      <c r="Z29" s="3"/>
      <c r="AA29" s="3"/>
      <c r="AB29" s="3"/>
      <c r="AC29" s="3"/>
      <c r="AD29" s="3"/>
      <c r="AE29" s="2"/>
      <c r="AF29" s="3"/>
      <c r="AG29" s="3"/>
      <c r="AH29" s="3"/>
      <c r="AI29" s="3"/>
      <c r="AJ29" s="3"/>
      <c r="AK29" s="3"/>
      <c r="AL29" s="3"/>
      <c r="AM29" s="3"/>
      <c r="AN29" s="3"/>
      <c r="AO29" s="3"/>
    </row>
    <row r="30" spans="1:41" x14ac:dyDescent="0.2">
      <c r="C30" s="72"/>
      <c r="N30" s="3"/>
      <c r="O30" s="3"/>
      <c r="P30" s="3"/>
      <c r="Q30" s="3"/>
      <c r="R30" s="3"/>
      <c r="S30" s="3"/>
      <c r="T30" s="3"/>
      <c r="U30" s="3"/>
      <c r="V30" s="2"/>
      <c r="W30" s="3"/>
      <c r="X30" s="3"/>
      <c r="Y30" s="3"/>
      <c r="Z30" s="3"/>
      <c r="AA30" s="3"/>
      <c r="AB30" s="3"/>
      <c r="AC30" s="3"/>
      <c r="AD30" s="3"/>
      <c r="AE30" s="2"/>
      <c r="AF30" s="3"/>
      <c r="AG30" s="3"/>
      <c r="AH30" s="3"/>
      <c r="AI30" s="3"/>
      <c r="AJ30" s="3"/>
      <c r="AK30" s="3"/>
      <c r="AL30" s="3"/>
      <c r="AM30" s="3"/>
      <c r="AN30" s="3"/>
      <c r="AO30" s="3"/>
    </row>
    <row r="31" spans="1:41" x14ac:dyDescent="0.2">
      <c r="A31" s="2"/>
      <c r="B31" s="2"/>
      <c r="C31" s="2"/>
      <c r="D31" s="2"/>
      <c r="E31" s="2"/>
      <c r="F31" s="2"/>
      <c r="G31" s="2"/>
      <c r="H31" s="2"/>
      <c r="I31" s="2"/>
      <c r="J31" s="2"/>
      <c r="K31" s="2"/>
      <c r="L31" s="2"/>
      <c r="N31" s="3"/>
      <c r="O31" s="3"/>
      <c r="P31" s="3"/>
      <c r="Q31" s="3"/>
      <c r="R31" s="3"/>
      <c r="S31" s="3"/>
      <c r="T31" s="3"/>
      <c r="U31" s="3"/>
      <c r="V31" s="2"/>
      <c r="W31" s="3"/>
      <c r="X31" s="3"/>
      <c r="Y31" s="3"/>
      <c r="Z31" s="3"/>
      <c r="AA31" s="3"/>
      <c r="AB31" s="3"/>
      <c r="AC31" s="3"/>
      <c r="AD31" s="3"/>
      <c r="AE31" s="2"/>
      <c r="AF31" s="3"/>
      <c r="AG31" s="3"/>
      <c r="AH31" s="3"/>
      <c r="AI31" s="3"/>
      <c r="AJ31" s="3"/>
      <c r="AK31" s="3"/>
      <c r="AL31" s="3"/>
      <c r="AM31" s="3"/>
      <c r="AN31" s="3"/>
      <c r="AO31" s="3"/>
    </row>
    <row r="32" spans="1:41" x14ac:dyDescent="0.2">
      <c r="A32" s="2"/>
      <c r="B32" s="2"/>
      <c r="C32" s="2"/>
      <c r="D32" s="2"/>
      <c r="E32" s="2"/>
      <c r="F32" s="2"/>
      <c r="G32" s="2"/>
      <c r="H32" s="2"/>
      <c r="I32" s="2"/>
      <c r="J32" s="2"/>
      <c r="K32" s="2"/>
      <c r="L32" s="2"/>
      <c r="N32" s="3"/>
      <c r="O32" s="3"/>
      <c r="P32" s="3"/>
      <c r="Q32" s="3"/>
      <c r="R32" s="3"/>
      <c r="S32" s="3"/>
      <c r="T32" s="3"/>
      <c r="U32" s="3"/>
      <c r="V32" s="2"/>
      <c r="W32" s="3"/>
      <c r="X32" s="3"/>
      <c r="Y32" s="3"/>
      <c r="Z32" s="3"/>
      <c r="AA32" s="3"/>
      <c r="AB32" s="3"/>
      <c r="AC32" s="3"/>
      <c r="AD32" s="3"/>
      <c r="AE32" s="2"/>
      <c r="AF32" s="3"/>
      <c r="AG32" s="3"/>
      <c r="AH32" s="3"/>
      <c r="AI32" s="3"/>
      <c r="AJ32" s="3"/>
      <c r="AK32" s="3"/>
      <c r="AL32" s="3"/>
      <c r="AM32" s="3"/>
      <c r="AN32" s="3"/>
      <c r="AO32" s="3"/>
    </row>
    <row r="33" spans="1:41" x14ac:dyDescent="0.2">
      <c r="A33" s="2"/>
      <c r="B33" s="2"/>
      <c r="C33" s="2"/>
      <c r="D33" s="131"/>
      <c r="E33" s="2"/>
      <c r="F33" s="2"/>
      <c r="G33" s="2"/>
      <c r="H33" s="2"/>
      <c r="I33" s="2"/>
      <c r="J33" s="2"/>
      <c r="K33" s="2"/>
      <c r="L33" s="2"/>
      <c r="N33" s="3"/>
      <c r="O33" s="3"/>
      <c r="P33" s="3"/>
      <c r="Q33" s="3"/>
      <c r="R33" s="3"/>
      <c r="S33" s="3"/>
      <c r="T33" s="3"/>
      <c r="U33" s="3"/>
      <c r="V33" s="2"/>
      <c r="W33" s="3"/>
      <c r="X33" s="3"/>
      <c r="Y33" s="3"/>
      <c r="Z33" s="3"/>
      <c r="AA33" s="3"/>
      <c r="AB33" s="3"/>
      <c r="AC33" s="3"/>
      <c r="AD33" s="3"/>
      <c r="AE33" s="2"/>
      <c r="AF33" s="3"/>
      <c r="AG33" s="3"/>
      <c r="AH33" s="3"/>
      <c r="AI33" s="3"/>
      <c r="AJ33" s="3"/>
      <c r="AK33" s="3"/>
      <c r="AL33" s="3"/>
      <c r="AM33" s="3"/>
      <c r="AN33" s="3"/>
      <c r="AO33" s="3"/>
    </row>
    <row r="34" spans="1:41" x14ac:dyDescent="0.2">
      <c r="A34" s="2"/>
      <c r="B34" s="2"/>
      <c r="C34" s="2"/>
      <c r="D34" s="2"/>
      <c r="E34" s="2"/>
      <c r="F34" s="2"/>
      <c r="G34" s="2"/>
      <c r="H34" s="2"/>
      <c r="I34" s="2"/>
      <c r="J34" s="2"/>
      <c r="K34" s="2"/>
      <c r="L34" s="2"/>
      <c r="N34" s="3"/>
      <c r="O34" s="3"/>
      <c r="P34" s="3"/>
      <c r="Q34" s="3"/>
      <c r="R34" s="3"/>
      <c r="S34" s="3"/>
      <c r="T34" s="3"/>
      <c r="U34" s="3"/>
      <c r="V34" s="2"/>
      <c r="W34" s="3"/>
      <c r="X34" s="3"/>
      <c r="Y34" s="3"/>
      <c r="Z34" s="3"/>
      <c r="AA34" s="3"/>
      <c r="AB34" s="3"/>
      <c r="AC34" s="3"/>
      <c r="AD34" s="3"/>
      <c r="AE34" s="2"/>
      <c r="AF34" s="3"/>
      <c r="AG34" s="3"/>
      <c r="AH34" s="3"/>
      <c r="AI34" s="3"/>
      <c r="AJ34" s="3"/>
      <c r="AK34" s="3"/>
      <c r="AL34" s="3"/>
      <c r="AM34" s="3"/>
      <c r="AN34" s="3"/>
      <c r="AO34" s="3"/>
    </row>
    <row r="35" spans="1:41" x14ac:dyDescent="0.2">
      <c r="A35" s="2"/>
      <c r="B35" s="2"/>
      <c r="C35" s="2"/>
      <c r="D35" s="2"/>
      <c r="E35" s="2"/>
      <c r="F35" s="2"/>
      <c r="G35" s="2"/>
      <c r="H35" s="2"/>
      <c r="I35" s="2"/>
      <c r="J35" s="2"/>
      <c r="K35" s="2"/>
      <c r="L35" s="2"/>
      <c r="N35" s="3"/>
      <c r="O35" s="3"/>
      <c r="P35" s="3"/>
      <c r="Q35" s="3"/>
      <c r="R35" s="3"/>
      <c r="S35" s="3"/>
      <c r="T35" s="3"/>
      <c r="U35" s="3"/>
      <c r="V35" s="2"/>
      <c r="W35" s="3"/>
      <c r="X35" s="3"/>
      <c r="Y35" s="3"/>
      <c r="Z35" s="3"/>
      <c r="AA35" s="3"/>
      <c r="AB35" s="3"/>
      <c r="AC35" s="3"/>
      <c r="AD35" s="3"/>
      <c r="AE35" s="2"/>
      <c r="AF35" s="3"/>
      <c r="AG35" s="3"/>
      <c r="AH35" s="3"/>
      <c r="AI35" s="3"/>
      <c r="AJ35" s="3"/>
      <c r="AK35" s="3"/>
      <c r="AL35" s="3"/>
      <c r="AM35" s="3"/>
      <c r="AN35" s="3"/>
      <c r="AO35" s="3"/>
    </row>
    <row r="36" spans="1:41" ht="18" x14ac:dyDescent="0.25">
      <c r="A36" s="2"/>
      <c r="B36" s="2"/>
      <c r="C36" s="2"/>
      <c r="D36" s="2"/>
      <c r="E36" s="2"/>
      <c r="F36" s="2"/>
      <c r="G36" s="2"/>
      <c r="H36" s="2"/>
      <c r="I36" s="2"/>
      <c r="J36" s="2"/>
      <c r="K36" s="2"/>
      <c r="L36" s="2"/>
      <c r="N36" s="3"/>
      <c r="O36" s="96"/>
      <c r="P36" s="61"/>
      <c r="Q36" s="3"/>
      <c r="R36" s="3"/>
      <c r="S36" s="3"/>
      <c r="T36" s="3"/>
      <c r="U36" s="3"/>
      <c r="V36" s="2"/>
      <c r="W36" s="3"/>
      <c r="X36" s="3"/>
      <c r="Y36" s="3"/>
      <c r="Z36" s="3"/>
      <c r="AA36" s="3"/>
      <c r="AB36" s="3"/>
      <c r="AC36" s="3"/>
      <c r="AD36" s="3"/>
      <c r="AE36" s="2"/>
      <c r="AF36" s="3"/>
      <c r="AG36" s="3"/>
      <c r="AH36" s="3"/>
      <c r="AI36" s="3"/>
      <c r="AJ36" s="3"/>
      <c r="AK36" s="3"/>
      <c r="AL36" s="3"/>
      <c r="AM36" s="84"/>
      <c r="AN36" s="84"/>
      <c r="AO36" s="3"/>
    </row>
    <row r="37" spans="1:41" x14ac:dyDescent="0.2">
      <c r="A37" s="2"/>
      <c r="B37" s="2"/>
      <c r="C37" s="2"/>
      <c r="D37" s="2"/>
      <c r="E37" s="2"/>
      <c r="F37" s="2"/>
      <c r="G37" s="2"/>
      <c r="H37" s="2"/>
      <c r="I37" s="2"/>
      <c r="J37" s="2"/>
      <c r="K37" s="2"/>
      <c r="L37" s="2"/>
      <c r="N37" s="3"/>
      <c r="O37" s="3"/>
      <c r="P37" s="3"/>
      <c r="Q37" s="3"/>
      <c r="R37" s="3"/>
      <c r="S37" s="3"/>
      <c r="T37" s="3"/>
      <c r="U37" s="3"/>
      <c r="V37" s="2"/>
      <c r="W37" s="3"/>
      <c r="X37" s="3"/>
      <c r="Y37" s="3"/>
      <c r="Z37" s="3"/>
      <c r="AA37" s="3"/>
      <c r="AB37" s="3"/>
      <c r="AC37" s="3"/>
      <c r="AD37" s="3"/>
      <c r="AE37" s="2"/>
      <c r="AF37" s="3"/>
      <c r="AG37" s="3"/>
      <c r="AH37" s="3"/>
      <c r="AI37" s="3"/>
      <c r="AJ37" s="3"/>
      <c r="AK37" s="3"/>
      <c r="AL37" s="3"/>
      <c r="AM37" s="83"/>
      <c r="AN37" s="83"/>
      <c r="AO37" s="3"/>
    </row>
    <row r="38" spans="1:41" x14ac:dyDescent="0.2">
      <c r="A38" s="2"/>
      <c r="B38" s="2"/>
      <c r="C38" s="2"/>
      <c r="D38" s="2"/>
      <c r="E38" s="2"/>
      <c r="F38" s="2"/>
      <c r="G38" s="2"/>
      <c r="H38" s="2"/>
      <c r="I38" s="2"/>
      <c r="J38" s="2"/>
      <c r="K38" s="2"/>
      <c r="L38" s="2"/>
      <c r="N38" s="3"/>
      <c r="O38" s="3"/>
      <c r="P38" s="3"/>
      <c r="Q38" s="3"/>
      <c r="R38" s="3"/>
      <c r="S38" s="3"/>
      <c r="T38" s="3"/>
      <c r="U38" s="3"/>
      <c r="V38" s="2"/>
      <c r="W38" s="3"/>
      <c r="X38" s="3"/>
      <c r="Y38" s="3"/>
      <c r="Z38" s="3"/>
      <c r="AA38" s="3"/>
      <c r="AB38" s="3"/>
      <c r="AC38" s="3"/>
      <c r="AD38" s="3"/>
      <c r="AE38" s="2"/>
      <c r="AF38" s="3"/>
      <c r="AG38" s="3"/>
      <c r="AH38" s="3"/>
      <c r="AI38" s="3"/>
      <c r="AJ38" s="3"/>
      <c r="AK38" s="3"/>
      <c r="AL38" s="3"/>
      <c r="AM38" s="83"/>
      <c r="AN38" s="83"/>
      <c r="AO38" s="3"/>
    </row>
    <row r="39" spans="1:41" ht="15" x14ac:dyDescent="0.25">
      <c r="A39" s="2"/>
      <c r="B39" s="2"/>
      <c r="C39" s="2"/>
      <c r="D39" s="2"/>
      <c r="E39" s="2"/>
      <c r="F39" s="2"/>
      <c r="G39" s="2"/>
      <c r="H39" s="2"/>
      <c r="I39" s="2"/>
      <c r="J39" s="2"/>
      <c r="K39" s="2"/>
      <c r="L39" s="2"/>
      <c r="N39" s="3"/>
      <c r="O39" s="3"/>
      <c r="P39" s="23" t="s">
        <v>102</v>
      </c>
      <c r="Q39" s="24"/>
      <c r="R39" s="24"/>
      <c r="S39" s="24"/>
      <c r="T39" s="24"/>
      <c r="U39" s="3"/>
      <c r="V39" s="2"/>
      <c r="W39" s="3"/>
      <c r="X39" s="3"/>
      <c r="Y39" s="23" t="s">
        <v>180</v>
      </c>
      <c r="Z39" s="24"/>
      <c r="AA39" s="24"/>
      <c r="AB39" s="24"/>
      <c r="AC39" s="24"/>
      <c r="AD39" s="3"/>
      <c r="AE39" s="2"/>
      <c r="AF39" s="3"/>
      <c r="AG39" s="3"/>
      <c r="AH39" s="23" t="s">
        <v>185</v>
      </c>
      <c r="AI39" s="24"/>
      <c r="AJ39" s="24"/>
      <c r="AK39" s="24"/>
      <c r="AL39" s="3"/>
      <c r="AM39" s="83"/>
      <c r="AN39" s="83"/>
      <c r="AO39" s="3"/>
    </row>
    <row r="40" spans="1:41" ht="15" x14ac:dyDescent="0.25">
      <c r="A40" s="2"/>
      <c r="B40" s="2"/>
      <c r="C40" s="2"/>
      <c r="D40" s="2"/>
      <c r="E40" s="2"/>
      <c r="F40" s="2"/>
      <c r="G40" s="2"/>
      <c r="H40" s="2"/>
      <c r="I40" s="2"/>
      <c r="J40" s="2"/>
      <c r="K40" s="2"/>
      <c r="L40" s="2"/>
      <c r="N40" s="3"/>
      <c r="O40" s="483" t="s">
        <v>131</v>
      </c>
      <c r="P40" s="45"/>
      <c r="Q40" s="45">
        <f>'Referenz Plattenfertiger'!D9</f>
        <v>0</v>
      </c>
      <c r="R40" s="46">
        <f>Q40+5</f>
        <v>5</v>
      </c>
      <c r="S40" s="46">
        <f>Q40+10</f>
        <v>10</v>
      </c>
      <c r="T40" s="34"/>
      <c r="U40" s="3"/>
      <c r="V40" s="2"/>
      <c r="W40" s="3"/>
      <c r="X40" s="3"/>
      <c r="Y40" s="34"/>
      <c r="Z40" s="45">
        <f>Q40</f>
        <v>0</v>
      </c>
      <c r="AA40" s="46">
        <f>R40</f>
        <v>5</v>
      </c>
      <c r="AB40" s="46">
        <f>S40</f>
        <v>10</v>
      </c>
      <c r="AC40" s="34"/>
      <c r="AD40" s="3"/>
      <c r="AE40" s="2"/>
      <c r="AF40" s="3"/>
      <c r="AG40" s="483" t="s">
        <v>131</v>
      </c>
      <c r="AH40" s="34"/>
      <c r="AI40" s="45">
        <f>Z40</f>
        <v>0</v>
      </c>
      <c r="AJ40" s="46">
        <f>AA40</f>
        <v>5</v>
      </c>
      <c r="AK40" s="46">
        <f>AB40</f>
        <v>10</v>
      </c>
      <c r="AL40" s="3"/>
      <c r="AM40" s="83"/>
      <c r="AN40" s="83"/>
      <c r="AO40" s="62"/>
    </row>
    <row r="41" spans="1:41" x14ac:dyDescent="0.2">
      <c r="A41" s="2"/>
      <c r="B41" s="2"/>
      <c r="C41" s="2"/>
      <c r="D41" s="2"/>
      <c r="E41" s="2"/>
      <c r="F41" s="2"/>
      <c r="G41" s="2"/>
      <c r="H41" s="2"/>
      <c r="I41" s="2"/>
      <c r="J41" s="2"/>
      <c r="K41" s="2"/>
      <c r="L41" s="2"/>
      <c r="N41" s="3"/>
      <c r="O41" s="483"/>
      <c r="P41" s="24"/>
      <c r="Q41" s="47" t="s">
        <v>81</v>
      </c>
      <c r="R41" s="48"/>
      <c r="S41" s="48"/>
      <c r="T41" s="24"/>
      <c r="U41" s="3"/>
      <c r="V41" s="2"/>
      <c r="W41" s="3"/>
      <c r="X41" s="3"/>
      <c r="Y41" s="24"/>
      <c r="Z41" s="47" t="s">
        <v>81</v>
      </c>
      <c r="AA41" s="48"/>
      <c r="AB41" s="48"/>
      <c r="AC41" s="24"/>
      <c r="AD41" s="3"/>
      <c r="AE41" s="2"/>
      <c r="AF41" s="3"/>
      <c r="AG41" s="483"/>
      <c r="AH41" s="24"/>
      <c r="AI41" s="47" t="s">
        <v>81</v>
      </c>
      <c r="AJ41" s="48"/>
      <c r="AK41" s="48"/>
      <c r="AL41" s="3"/>
      <c r="AM41" s="3"/>
      <c r="AN41" s="3"/>
      <c r="AO41" s="62"/>
    </row>
    <row r="42" spans="1:41" ht="15.75" x14ac:dyDescent="0.3">
      <c r="A42" s="2"/>
      <c r="B42" s="2"/>
      <c r="C42" s="2"/>
      <c r="D42" s="2"/>
      <c r="E42" s="2"/>
      <c r="F42" s="2"/>
      <c r="G42" s="2"/>
      <c r="H42" s="2"/>
      <c r="I42" s="2"/>
      <c r="J42" s="2"/>
      <c r="K42" s="2"/>
      <c r="L42" s="2"/>
      <c r="N42" s="3"/>
      <c r="O42" s="3"/>
      <c r="P42" s="29" t="s">
        <v>29</v>
      </c>
      <c r="Q42" s="32">
        <f>'Referenz Plattenfertiger'!$W$16+'Referenz Plattenfertiger'!W21</f>
        <v>43.0426</v>
      </c>
      <c r="R42" s="32">
        <f>W115+W120</f>
        <v>32.712375999999999</v>
      </c>
      <c r="S42" s="32">
        <f>W187+W192</f>
        <v>32.712375999999999</v>
      </c>
      <c r="T42" s="25" t="s">
        <v>148</v>
      </c>
      <c r="U42" s="3"/>
      <c r="V42" s="2"/>
      <c r="W42" s="3"/>
      <c r="X42" s="3"/>
      <c r="Y42" s="29" t="s">
        <v>104</v>
      </c>
      <c r="Z42" s="26">
        <f>'Referenz Plattenfertiger'!S78</f>
        <v>94.932355060000006</v>
      </c>
      <c r="AA42" s="26">
        <f>R176</f>
        <v>82.681459059999995</v>
      </c>
      <c r="AB42" s="26">
        <f>R248</f>
        <v>82.681459059999995</v>
      </c>
      <c r="AC42" s="25" t="s">
        <v>148</v>
      </c>
      <c r="AD42" s="3"/>
      <c r="AE42" s="2"/>
      <c r="AF42" s="3"/>
      <c r="AG42" s="3"/>
      <c r="AH42" s="56" t="s">
        <v>144</v>
      </c>
      <c r="AI42" s="57">
        <f>SUM(AI43:AI49)</f>
        <v>109669</v>
      </c>
      <c r="AJ42" s="57">
        <f t="shared" ref="AJ42:AK42" si="0">SUM(AJ43:AJ49)</f>
        <v>103575.4</v>
      </c>
      <c r="AK42" s="57">
        <f t="shared" si="0"/>
        <v>103575.4</v>
      </c>
      <c r="AL42" s="3"/>
      <c r="AM42" s="63"/>
      <c r="AN42" s="63"/>
      <c r="AO42" s="62"/>
    </row>
    <row r="43" spans="1:41" ht="15.75" x14ac:dyDescent="0.3">
      <c r="A43" s="2"/>
      <c r="B43" s="2"/>
      <c r="C43" s="2"/>
      <c r="D43" s="2"/>
      <c r="E43" s="2"/>
      <c r="F43" s="2"/>
      <c r="G43" s="2"/>
      <c r="H43" s="2"/>
      <c r="I43" s="2"/>
      <c r="J43" s="2"/>
      <c r="K43" s="2"/>
      <c r="L43" s="2"/>
      <c r="N43" s="3"/>
      <c r="O43" s="3"/>
      <c r="P43" s="8" t="s">
        <v>30</v>
      </c>
      <c r="Q43" s="10">
        <f>'Referenz Plattenfertiger'!$W$17+'Referenz Plattenfertiger'!W22</f>
        <v>16.005600000000001</v>
      </c>
      <c r="R43" s="10">
        <f>W116+W121</f>
        <v>14.084928</v>
      </c>
      <c r="S43" s="10">
        <f>W188+W193</f>
        <v>14.084928</v>
      </c>
      <c r="T43" s="3" t="s">
        <v>148</v>
      </c>
      <c r="U43" s="3"/>
      <c r="V43" s="2"/>
      <c r="W43" s="3"/>
      <c r="X43" s="3"/>
      <c r="Y43" s="8" t="s">
        <v>26</v>
      </c>
      <c r="Z43" s="9">
        <f>'Referenz Plattenfertiger'!T78</f>
        <v>171.9</v>
      </c>
      <c r="AA43" s="9">
        <f>S176</f>
        <v>121.145673676052</v>
      </c>
      <c r="AB43" s="9">
        <f>S248</f>
        <v>59.705978200727237</v>
      </c>
      <c r="AC43" s="3" t="s">
        <v>148</v>
      </c>
      <c r="AD43" s="3"/>
      <c r="AE43" s="2"/>
      <c r="AF43" s="3"/>
      <c r="AG43" s="3"/>
      <c r="AH43" s="31" t="s">
        <v>29</v>
      </c>
      <c r="AI43" s="51">
        <f>'Referenz Plattenfertiger'!AD16</f>
        <v>14335</v>
      </c>
      <c r="AJ43" s="51">
        <f>AG115+AG120</f>
        <v>10894.599999999999</v>
      </c>
      <c r="AK43" s="51">
        <f>AG183+AG188</f>
        <v>10894.599999999999</v>
      </c>
      <c r="AL43" s="3"/>
      <c r="AM43" s="63"/>
      <c r="AN43" s="63"/>
      <c r="AO43" s="62"/>
    </row>
    <row r="44" spans="1:41" ht="15.75" x14ac:dyDescent="0.3">
      <c r="A44" s="2"/>
      <c r="B44" s="2"/>
      <c r="C44" s="2"/>
      <c r="D44" s="2"/>
      <c r="E44" s="2"/>
      <c r="F44" s="2"/>
      <c r="G44" s="2"/>
      <c r="H44" s="2"/>
      <c r="I44" s="2"/>
      <c r="J44" s="2"/>
      <c r="K44" s="2"/>
      <c r="L44" s="2"/>
      <c r="N44" s="3"/>
      <c r="O44" s="3"/>
      <c r="P44" s="29" t="s">
        <v>31</v>
      </c>
      <c r="Q44" s="32">
        <f>'Referenz Plattenfertiger'!$W$18+'Referenz Plattenfertiger'!T24</f>
        <v>171.9</v>
      </c>
      <c r="R44" s="32">
        <f>W117+W123</f>
        <v>121.145673676052</v>
      </c>
      <c r="S44" s="32">
        <f>W189+W195</f>
        <v>59.705978200727237</v>
      </c>
      <c r="T44" s="25" t="s">
        <v>148</v>
      </c>
      <c r="U44" s="3"/>
      <c r="V44" s="2"/>
      <c r="W44" s="3"/>
      <c r="X44" s="3"/>
      <c r="Y44" s="29" t="s">
        <v>27</v>
      </c>
      <c r="Z44" s="26">
        <f>'Referenz Plattenfertiger'!U78</f>
        <v>5831.5296228095176</v>
      </c>
      <c r="AA44" s="26">
        <f>T176</f>
        <v>5741.7170708081012</v>
      </c>
      <c r="AB44" s="26">
        <f>T248</f>
        <v>5732.7102044556977</v>
      </c>
      <c r="AC44" s="25" t="s">
        <v>148</v>
      </c>
      <c r="AD44" s="3"/>
      <c r="AE44" s="2"/>
      <c r="AF44" s="3"/>
      <c r="AG44" s="3"/>
      <c r="AH44" s="31" t="s">
        <v>30</v>
      </c>
      <c r="AI44" s="51">
        <f>'Referenz Plattenfertiger'!AD17</f>
        <v>2760</v>
      </c>
      <c r="AJ44" s="51">
        <f>AG116+AG121</f>
        <v>2428.7999999999997</v>
      </c>
      <c r="AK44" s="51">
        <f>AG184+AG189</f>
        <v>2428.7999999999997</v>
      </c>
      <c r="AL44" s="3"/>
      <c r="AM44" s="63"/>
      <c r="AN44" s="63"/>
      <c r="AO44" s="62"/>
    </row>
    <row r="45" spans="1:41" ht="16.5" thickBot="1" x14ac:dyDescent="0.35">
      <c r="A45" s="2"/>
      <c r="B45" s="2"/>
      <c r="C45" s="2"/>
      <c r="D45" s="2"/>
      <c r="E45" s="2"/>
      <c r="F45" s="2"/>
      <c r="G45" s="2"/>
      <c r="H45" s="2"/>
      <c r="I45" s="2"/>
      <c r="J45" s="2"/>
      <c r="K45" s="2"/>
      <c r="L45" s="2"/>
      <c r="N45" s="3"/>
      <c r="O45" s="3"/>
      <c r="P45" s="8" t="s">
        <v>115</v>
      </c>
      <c r="Q45" s="10">
        <f>'Referenz Plattenfertiger'!$W$19</f>
        <v>0</v>
      </c>
      <c r="R45" s="10">
        <f>W118</f>
        <v>0</v>
      </c>
      <c r="S45" s="10">
        <f>W190</f>
        <v>0</v>
      </c>
      <c r="T45" s="3" t="s">
        <v>148</v>
      </c>
      <c r="U45" s="3"/>
      <c r="V45" s="2"/>
      <c r="W45" s="3"/>
      <c r="X45" s="3"/>
      <c r="Y45" s="27" t="s">
        <v>67</v>
      </c>
      <c r="Z45" s="28">
        <f>SUM(Z42:Z44)</f>
        <v>6098.3619778695174</v>
      </c>
      <c r="AA45" s="28">
        <f t="shared" ref="AA45:AB45" si="1">SUM(AA42:AA44)</f>
        <v>5945.5442035441529</v>
      </c>
      <c r="AB45" s="28">
        <f t="shared" si="1"/>
        <v>5875.0976417164247</v>
      </c>
      <c r="AC45" s="27" t="s">
        <v>149</v>
      </c>
      <c r="AD45" s="3"/>
      <c r="AE45" s="2"/>
      <c r="AF45" s="3"/>
      <c r="AG45" s="3"/>
      <c r="AH45" s="31" t="s">
        <v>31</v>
      </c>
      <c r="AI45" s="51">
        <f>'Referenz Plattenfertiger'!AD18</f>
        <v>77400</v>
      </c>
      <c r="AJ45" s="51">
        <f>AG117+AG123</f>
        <v>75078</v>
      </c>
      <c r="AK45" s="51">
        <f>AG185+AG191</f>
        <v>75078</v>
      </c>
      <c r="AL45" s="3"/>
      <c r="AM45" s="63"/>
      <c r="AN45" s="63"/>
      <c r="AO45" s="62"/>
    </row>
    <row r="46" spans="1:41" ht="16.5" thickTop="1" x14ac:dyDescent="0.3">
      <c r="A46" s="2"/>
      <c r="B46" s="2"/>
      <c r="C46" s="2"/>
      <c r="D46" s="2"/>
      <c r="E46" s="2"/>
      <c r="F46" s="2"/>
      <c r="G46" s="2"/>
      <c r="H46" s="2"/>
      <c r="I46" s="2"/>
      <c r="J46" s="2"/>
      <c r="K46" s="2"/>
      <c r="L46" s="2"/>
      <c r="N46" s="3"/>
      <c r="O46" s="3"/>
      <c r="P46" s="29" t="s">
        <v>111</v>
      </c>
      <c r="Q46" s="32">
        <f>'Referenz Plattenfertiger'!$W$25</f>
        <v>0</v>
      </c>
      <c r="R46" s="32">
        <f>W124</f>
        <v>0</v>
      </c>
      <c r="S46" s="32">
        <f>W196</f>
        <v>0</v>
      </c>
      <c r="T46" s="25" t="s">
        <v>148</v>
      </c>
      <c r="U46" s="3"/>
      <c r="V46" s="2"/>
      <c r="W46" s="3"/>
      <c r="X46" s="3"/>
      <c r="Y46" s="3"/>
      <c r="Z46" s="3"/>
      <c r="AA46" s="3"/>
      <c r="AB46" s="3"/>
      <c r="AC46" s="3"/>
      <c r="AD46" s="3"/>
      <c r="AE46" s="2"/>
      <c r="AF46" s="3"/>
      <c r="AG46" s="3"/>
      <c r="AH46" s="31" t="s">
        <v>111</v>
      </c>
      <c r="AI46" s="51">
        <f>'Referenz Plattenfertiger'!AD19</f>
        <v>0</v>
      </c>
      <c r="AJ46" s="51">
        <f>AG124</f>
        <v>0</v>
      </c>
      <c r="AK46" s="51">
        <f>AG192</f>
        <v>0</v>
      </c>
      <c r="AL46" s="3"/>
      <c r="AM46" s="63"/>
      <c r="AN46" s="63"/>
      <c r="AO46" s="62"/>
    </row>
    <row r="47" spans="1:41" ht="15.75" x14ac:dyDescent="0.3">
      <c r="A47" s="2"/>
      <c r="B47" s="2"/>
      <c r="C47" s="2"/>
      <c r="D47" s="2"/>
      <c r="E47" s="2"/>
      <c r="F47" s="2"/>
      <c r="G47" s="2"/>
      <c r="H47" s="2"/>
      <c r="I47" s="2"/>
      <c r="J47" s="2"/>
      <c r="K47" s="2"/>
      <c r="L47" s="2"/>
      <c r="N47" s="3"/>
      <c r="O47" s="3"/>
      <c r="P47" s="8" t="s">
        <v>135</v>
      </c>
      <c r="Q47" s="10">
        <f>'Referenz Plattenfertiger'!$W$26</f>
        <v>0</v>
      </c>
      <c r="R47" s="10">
        <f>W125</f>
        <v>0</v>
      </c>
      <c r="S47" s="10">
        <f>W197</f>
        <v>0</v>
      </c>
      <c r="T47" s="3" t="s">
        <v>148</v>
      </c>
      <c r="U47" s="3"/>
      <c r="V47" s="2"/>
      <c r="W47" s="3"/>
      <c r="X47" s="3"/>
      <c r="Y47" s="3"/>
      <c r="Z47" s="3"/>
      <c r="AA47" s="3"/>
      <c r="AB47" s="3"/>
      <c r="AC47" s="3"/>
      <c r="AD47" s="3"/>
      <c r="AE47" s="2"/>
      <c r="AF47" s="3"/>
      <c r="AG47" s="3"/>
      <c r="AH47" s="31" t="s">
        <v>112</v>
      </c>
      <c r="AI47" s="51">
        <f>'Referenz Plattenfertiger'!AD20</f>
        <v>0</v>
      </c>
      <c r="AJ47" s="51">
        <f>AG118</f>
        <v>0</v>
      </c>
      <c r="AK47" s="51">
        <f>AG186</f>
        <v>0</v>
      </c>
      <c r="AL47" s="3"/>
      <c r="AM47" s="63"/>
      <c r="AN47" s="63"/>
      <c r="AO47" s="62"/>
    </row>
    <row r="48" spans="1:41" ht="15.75" x14ac:dyDescent="0.3">
      <c r="A48" s="2"/>
      <c r="B48" s="2"/>
      <c r="C48" s="2"/>
      <c r="D48" s="2"/>
      <c r="E48" s="2"/>
      <c r="F48" s="2"/>
      <c r="G48" s="2"/>
      <c r="H48" s="2"/>
      <c r="I48" s="2"/>
      <c r="J48" s="2"/>
      <c r="K48" s="2"/>
      <c r="L48" s="2"/>
      <c r="N48" s="3"/>
      <c r="O48" s="3"/>
      <c r="P48" s="29" t="s">
        <v>32</v>
      </c>
      <c r="Q48" s="32">
        <f>'Referenz Plattenfertiger'!$W$28+'Referenz Plattenfertiger'!$W$29</f>
        <v>35.884155059999998</v>
      </c>
      <c r="R48" s="32">
        <f>W127+W128</f>
        <v>35.884155059999998</v>
      </c>
      <c r="S48" s="32">
        <f>W199+W200</f>
        <v>35.884155059999998</v>
      </c>
      <c r="T48" s="25" t="s">
        <v>148</v>
      </c>
      <c r="U48" s="3"/>
      <c r="V48" s="2"/>
      <c r="W48" s="3"/>
      <c r="X48" s="3"/>
      <c r="Y48" s="23" t="s">
        <v>178</v>
      </c>
      <c r="Z48" s="24"/>
      <c r="AA48" s="24"/>
      <c r="AB48" s="24"/>
      <c r="AC48" s="24"/>
      <c r="AD48" s="3"/>
      <c r="AE48" s="2"/>
      <c r="AF48" s="3"/>
      <c r="AG48" s="3"/>
      <c r="AH48" s="31" t="s">
        <v>410</v>
      </c>
      <c r="AI48" s="51">
        <f>'Referenz Plattenfertiger'!AD21</f>
        <v>0</v>
      </c>
      <c r="AJ48" s="51">
        <f>AG125</f>
        <v>0</v>
      </c>
      <c r="AK48" s="51">
        <f>AG193</f>
        <v>0</v>
      </c>
      <c r="AL48" s="3"/>
      <c r="AM48" s="63"/>
      <c r="AN48" s="63"/>
      <c r="AO48" s="62"/>
    </row>
    <row r="49" spans="1:41" ht="15.75" thickBot="1" x14ac:dyDescent="0.3">
      <c r="A49" s="2"/>
      <c r="B49" s="2"/>
      <c r="C49" s="2"/>
      <c r="D49" s="2"/>
      <c r="E49" s="2"/>
      <c r="F49" s="2"/>
      <c r="G49" s="2"/>
      <c r="H49" s="2"/>
      <c r="I49" s="2"/>
      <c r="J49" s="2"/>
      <c r="K49" s="2"/>
      <c r="L49" s="2"/>
      <c r="N49" s="3"/>
      <c r="O49" s="3"/>
      <c r="P49" s="27" t="s">
        <v>67</v>
      </c>
      <c r="Q49" s="33">
        <f>SUM(Q42:Q48)</f>
        <v>266.83235506</v>
      </c>
      <c r="R49" s="33">
        <f>SUM(R42:R48)</f>
        <v>203.82713273605202</v>
      </c>
      <c r="S49" s="33">
        <f>SUM(S42:S48)</f>
        <v>142.38743726072721</v>
      </c>
      <c r="T49" s="27" t="s">
        <v>149</v>
      </c>
      <c r="U49" s="3"/>
      <c r="V49" s="2"/>
      <c r="W49" s="3"/>
      <c r="X49" s="483" t="s">
        <v>131</v>
      </c>
      <c r="Y49" s="34"/>
      <c r="Z49" s="45">
        <f>Q40</f>
        <v>0</v>
      </c>
      <c r="AA49" s="45">
        <f>R40</f>
        <v>5</v>
      </c>
      <c r="AB49" s="45">
        <f>S40</f>
        <v>10</v>
      </c>
      <c r="AC49" s="34"/>
      <c r="AD49" s="3"/>
      <c r="AE49" s="2"/>
      <c r="AF49" s="3"/>
      <c r="AG49" s="3"/>
      <c r="AH49" s="50" t="s">
        <v>32</v>
      </c>
      <c r="AI49" s="52">
        <f>'Referenz Plattenfertiger'!AD22</f>
        <v>15174.000000000002</v>
      </c>
      <c r="AJ49" s="53">
        <f>AG127+AG128</f>
        <v>15174.000000000002</v>
      </c>
      <c r="AK49" s="53">
        <f>AG195+AG196</f>
        <v>15174.000000000002</v>
      </c>
      <c r="AL49" s="3"/>
      <c r="AM49" s="63"/>
      <c r="AN49" s="63"/>
      <c r="AO49" s="62"/>
    </row>
    <row r="50" spans="1:41" ht="13.5" thickTop="1" x14ac:dyDescent="0.2">
      <c r="A50" s="2"/>
      <c r="B50" s="2"/>
      <c r="C50" s="2"/>
      <c r="D50" s="2"/>
      <c r="E50" s="2"/>
      <c r="F50" s="2"/>
      <c r="G50" s="2"/>
      <c r="H50" s="2"/>
      <c r="I50" s="2"/>
      <c r="J50" s="2"/>
      <c r="K50" s="2"/>
      <c r="L50" s="2"/>
      <c r="N50" s="3"/>
      <c r="O50" s="3"/>
      <c r="P50" s="3"/>
      <c r="Q50" s="3"/>
      <c r="R50" s="3"/>
      <c r="S50" s="3"/>
      <c r="T50" s="3"/>
      <c r="U50" s="3"/>
      <c r="V50" s="2"/>
      <c r="W50" s="3"/>
      <c r="X50" s="483"/>
      <c r="Y50" s="24"/>
      <c r="Z50" s="47" t="s">
        <v>81</v>
      </c>
      <c r="AA50" s="48"/>
      <c r="AB50" s="48"/>
      <c r="AC50" s="24"/>
      <c r="AD50" s="3"/>
      <c r="AE50" s="2"/>
      <c r="AF50" s="3"/>
      <c r="AG50" s="3"/>
      <c r="AH50" s="8" t="s">
        <v>28</v>
      </c>
      <c r="AI50" s="54">
        <v>0</v>
      </c>
      <c r="AJ50" s="54">
        <f>AG131</f>
        <v>72000</v>
      </c>
      <c r="AK50" s="54">
        <f>AG199</f>
        <v>72000</v>
      </c>
      <c r="AL50" s="3"/>
      <c r="AM50" s="63"/>
      <c r="AN50" s="63"/>
      <c r="AO50" s="62"/>
    </row>
    <row r="51" spans="1:41" ht="15.75" x14ac:dyDescent="0.3">
      <c r="A51" s="2"/>
      <c r="B51" s="2"/>
      <c r="C51" s="2"/>
      <c r="D51" s="2"/>
      <c r="E51" s="2"/>
      <c r="F51" s="2"/>
      <c r="G51" s="2"/>
      <c r="H51" s="2"/>
      <c r="I51" s="2"/>
      <c r="J51" s="2"/>
      <c r="K51" s="2"/>
      <c r="L51" s="2"/>
      <c r="N51" s="3"/>
      <c r="O51" s="3"/>
      <c r="P51" s="3"/>
      <c r="Q51" s="3"/>
      <c r="R51" s="3"/>
      <c r="S51" s="3"/>
      <c r="T51" s="3"/>
      <c r="U51" s="3"/>
      <c r="V51" s="2"/>
      <c r="W51" s="3"/>
      <c r="X51" s="3"/>
      <c r="Y51" s="29" t="str">
        <f>O113</f>
        <v>Energieträger gesamt</v>
      </c>
      <c r="Z51" s="26">
        <f>SUM('Referenz Plattenfertiger'!U16:U29)</f>
        <v>41.281733459999998</v>
      </c>
      <c r="AA51" s="26">
        <f>T113</f>
        <v>31.788221458583543</v>
      </c>
      <c r="AB51" s="26">
        <f>T185</f>
        <v>22.781355106179909</v>
      </c>
      <c r="AC51" s="25" t="s">
        <v>148</v>
      </c>
      <c r="AD51" s="3"/>
      <c r="AE51" s="2"/>
      <c r="AF51" s="3"/>
      <c r="AG51" s="3"/>
      <c r="AH51" s="8" t="s">
        <v>139</v>
      </c>
      <c r="AI51" s="54">
        <v>0</v>
      </c>
      <c r="AJ51" s="54">
        <f>AG132</f>
        <v>0</v>
      </c>
      <c r="AK51" s="54">
        <f>AG200</f>
        <v>0</v>
      </c>
      <c r="AL51" s="3"/>
      <c r="AM51" s="63"/>
      <c r="AN51" s="63"/>
      <c r="AO51" s="62"/>
    </row>
    <row r="52" spans="1:41" ht="15.75" x14ac:dyDescent="0.3">
      <c r="A52" s="2"/>
      <c r="B52" s="2"/>
      <c r="C52" s="2"/>
      <c r="D52" s="2"/>
      <c r="E52" s="2"/>
      <c r="F52" s="2"/>
      <c r="G52" s="2"/>
      <c r="H52" s="2"/>
      <c r="I52" s="2"/>
      <c r="J52" s="2"/>
      <c r="K52" s="2"/>
      <c r="L52" s="2"/>
      <c r="N52" s="3"/>
      <c r="O52" s="3"/>
      <c r="P52" s="3"/>
      <c r="Q52" s="3"/>
      <c r="R52" s="3"/>
      <c r="S52" s="3"/>
      <c r="T52" s="3"/>
      <c r="U52" s="3"/>
      <c r="V52" s="2"/>
      <c r="W52" s="3"/>
      <c r="X52" s="3"/>
      <c r="Y52" s="8" t="str">
        <f>O129</f>
        <v>Transport gesamt</v>
      </c>
      <c r="Z52" s="9">
        <f>'Referenz Plattenfertiger'!U32+'Referenz Plattenfertiger'!U33</f>
        <v>469.15642799999995</v>
      </c>
      <c r="AA52" s="9">
        <f>T129</f>
        <v>469.15642799999995</v>
      </c>
      <c r="AB52" s="9">
        <f>T201</f>
        <v>469.15642799999995</v>
      </c>
      <c r="AC52" s="3" t="s">
        <v>148</v>
      </c>
      <c r="AD52" s="3"/>
      <c r="AE52" s="2"/>
      <c r="AF52" s="3"/>
      <c r="AG52" s="3"/>
      <c r="AH52" s="58" t="s">
        <v>146</v>
      </c>
      <c r="AI52" s="60">
        <v>0</v>
      </c>
      <c r="AJ52" s="60">
        <f>AG133</f>
        <v>0</v>
      </c>
      <c r="AK52" s="60">
        <f>AG201</f>
        <v>0</v>
      </c>
      <c r="AL52" s="3"/>
      <c r="AM52" s="63"/>
      <c r="AN52" s="63"/>
      <c r="AO52" s="62"/>
    </row>
    <row r="53" spans="1:41" ht="15.75" x14ac:dyDescent="0.3">
      <c r="A53" s="2"/>
      <c r="B53" s="2"/>
      <c r="C53" s="2"/>
      <c r="D53" s="2"/>
      <c r="E53" s="2"/>
      <c r="F53" s="2"/>
      <c r="G53" s="2"/>
      <c r="H53" s="2"/>
      <c r="I53" s="2"/>
      <c r="J53" s="2"/>
      <c r="K53" s="2"/>
      <c r="L53" s="2"/>
      <c r="N53" s="3"/>
      <c r="O53" s="3"/>
      <c r="P53" s="3"/>
      <c r="Q53" s="3"/>
      <c r="R53" s="3"/>
      <c r="S53" s="3"/>
      <c r="T53" s="3"/>
      <c r="U53" s="3"/>
      <c r="V53" s="2"/>
      <c r="W53" s="3"/>
      <c r="X53" s="3"/>
      <c r="Y53" s="29" t="str">
        <f>O133</f>
        <v>Zement</v>
      </c>
      <c r="Z53" s="26">
        <f>'Referenz Plattenfertiger'!U35</f>
        <v>4548.5439999999999</v>
      </c>
      <c r="AA53" s="26">
        <f>T133</f>
        <v>4548.5439999999999</v>
      </c>
      <c r="AB53" s="26">
        <f>T205</f>
        <v>4548.5439999999999</v>
      </c>
      <c r="AC53" s="25" t="s">
        <v>148</v>
      </c>
      <c r="AD53" s="3"/>
      <c r="AE53" s="2"/>
      <c r="AF53" s="3"/>
      <c r="AG53" s="3"/>
      <c r="AH53" s="56" t="s">
        <v>140</v>
      </c>
      <c r="AI53" s="57">
        <f>SUM(AI54:AI56)</f>
        <v>152459.04944673795</v>
      </c>
      <c r="AJ53" s="57">
        <f t="shared" ref="AJ53:AK53" si="2">SUM(AJ54:AJ56)</f>
        <v>267549.4891594869</v>
      </c>
      <c r="AK53" s="57">
        <f t="shared" si="2"/>
        <v>470007.81133731396</v>
      </c>
      <c r="AL53" s="3"/>
      <c r="AM53" s="63"/>
      <c r="AN53" s="63"/>
      <c r="AO53" s="62"/>
    </row>
    <row r="54" spans="1:41" ht="15.75" x14ac:dyDescent="0.3">
      <c r="A54" s="2"/>
      <c r="B54" s="2"/>
      <c r="C54" s="2"/>
      <c r="D54" s="2"/>
      <c r="E54" s="2"/>
      <c r="F54" s="2"/>
      <c r="G54" s="2"/>
      <c r="H54" s="2"/>
      <c r="I54" s="2"/>
      <c r="J54" s="2"/>
      <c r="K54" s="2"/>
      <c r="L54" s="2"/>
      <c r="N54" s="3"/>
      <c r="O54" s="3"/>
      <c r="P54" s="3"/>
      <c r="Q54" s="3"/>
      <c r="R54" s="3"/>
      <c r="S54" s="3"/>
      <c r="T54" s="3"/>
      <c r="U54" s="3"/>
      <c r="V54" s="2"/>
      <c r="W54" s="3"/>
      <c r="X54" s="3"/>
      <c r="Y54" s="8" t="str">
        <f>O139</f>
        <v>Gesteinskörnungen (Zuschlagsstoffe)</v>
      </c>
      <c r="Z54" s="9">
        <f>'Referenz Plattenfertiger'!U41</f>
        <v>129.59200000000001</v>
      </c>
      <c r="AA54" s="9">
        <f>T139</f>
        <v>129.59200000000001</v>
      </c>
      <c r="AB54" s="9">
        <f>T211</f>
        <v>129.59200000000001</v>
      </c>
      <c r="AC54" s="3" t="s">
        <v>148</v>
      </c>
      <c r="AD54" s="3"/>
      <c r="AE54" s="2"/>
      <c r="AF54" s="3"/>
      <c r="AG54" s="3"/>
      <c r="AH54" s="31" t="s">
        <v>141</v>
      </c>
      <c r="AI54" s="51">
        <f>'Referenz Plattenfertiger'!AD26</f>
        <v>2373.3088765000002</v>
      </c>
      <c r="AJ54" s="51">
        <f>AG136</f>
        <v>3720.6656576999999</v>
      </c>
      <c r="AK54" s="51">
        <f>AG204</f>
        <v>6614.5167247999998</v>
      </c>
      <c r="AL54" s="3"/>
      <c r="AM54" s="63"/>
      <c r="AN54" s="63"/>
      <c r="AO54" s="62"/>
    </row>
    <row r="55" spans="1:41" ht="15.75" x14ac:dyDescent="0.3">
      <c r="A55" s="2"/>
      <c r="B55" s="2"/>
      <c r="C55" s="2"/>
      <c r="D55" s="2"/>
      <c r="E55" s="2"/>
      <c r="F55" s="2"/>
      <c r="G55" s="2"/>
      <c r="H55" s="2"/>
      <c r="I55" s="2"/>
      <c r="J55" s="2"/>
      <c r="K55" s="2"/>
      <c r="L55" s="2"/>
      <c r="N55" s="3"/>
      <c r="O55" s="3"/>
      <c r="P55" s="3"/>
      <c r="Q55" s="3"/>
      <c r="R55" s="3"/>
      <c r="S55" s="3"/>
      <c r="T55" s="3"/>
      <c r="U55" s="3"/>
      <c r="V55" s="2"/>
      <c r="W55" s="3"/>
      <c r="X55" s="3"/>
      <c r="Y55" s="29" t="str">
        <f>P146</f>
        <v>Farben</v>
      </c>
      <c r="Z55" s="26">
        <f>'Referenz Plattenfertiger'!U48</f>
        <v>208</v>
      </c>
      <c r="AA55" s="26">
        <f>T146</f>
        <v>208</v>
      </c>
      <c r="AB55" s="26">
        <f>T218</f>
        <v>208</v>
      </c>
      <c r="AC55" s="25" t="s">
        <v>148</v>
      </c>
      <c r="AD55" s="3"/>
      <c r="AE55" s="2"/>
      <c r="AF55" s="3"/>
      <c r="AG55" s="3"/>
      <c r="AH55" s="31" t="s">
        <v>142</v>
      </c>
      <c r="AI55" s="51">
        <f>'Referenz Plattenfertiger'!AD27</f>
        <v>4297.5</v>
      </c>
      <c r="AJ55" s="51">
        <f>AG137</f>
        <v>5451.5553154223398</v>
      </c>
      <c r="AK55" s="51">
        <f>AG205</f>
        <v>4776.4782560581789</v>
      </c>
      <c r="AL55" s="3"/>
      <c r="AM55" s="63"/>
      <c r="AN55" s="63"/>
      <c r="AO55" s="62"/>
    </row>
    <row r="56" spans="1:41" ht="15.75" x14ac:dyDescent="0.3">
      <c r="A56" s="2"/>
      <c r="B56" s="2"/>
      <c r="C56" s="2"/>
      <c r="D56" s="2"/>
      <c r="E56" s="2"/>
      <c r="F56" s="2"/>
      <c r="G56" s="2"/>
      <c r="H56" s="2"/>
      <c r="I56" s="2"/>
      <c r="J56" s="2"/>
      <c r="K56" s="2"/>
      <c r="L56" s="2"/>
      <c r="N56" s="3"/>
      <c r="O56" s="3"/>
      <c r="P56" s="3"/>
      <c r="Q56" s="3"/>
      <c r="R56" s="3"/>
      <c r="S56" s="3"/>
      <c r="T56" s="3"/>
      <c r="U56" s="3"/>
      <c r="V56" s="2"/>
      <c r="W56" s="3"/>
      <c r="X56" s="3"/>
      <c r="Y56" s="8" t="str">
        <f>O148</f>
        <v>Zusatzstoffe (Füllstoffe)</v>
      </c>
      <c r="Z56" s="9">
        <f>'Referenz Plattenfertiger'!U50</f>
        <v>81.003999999999991</v>
      </c>
      <c r="AA56" s="9">
        <f>T148</f>
        <v>81.003999999999991</v>
      </c>
      <c r="AB56" s="9">
        <f>T220</f>
        <v>81.003999999999991</v>
      </c>
      <c r="AC56" s="3" t="s">
        <v>148</v>
      </c>
      <c r="AD56" s="3"/>
      <c r="AE56" s="2"/>
      <c r="AF56" s="3"/>
      <c r="AG56" s="3"/>
      <c r="AH56" s="31" t="s">
        <v>143</v>
      </c>
      <c r="AI56" s="51">
        <f>'Referenz Plattenfertiger'!AD28</f>
        <v>145788.24057023795</v>
      </c>
      <c r="AJ56" s="51">
        <f>AG138</f>
        <v>258377.26818636456</v>
      </c>
      <c r="AK56" s="51">
        <f>AG206</f>
        <v>458616.81635645579</v>
      </c>
      <c r="AL56" s="3"/>
      <c r="AM56" s="63"/>
      <c r="AN56" s="63"/>
      <c r="AO56" s="62"/>
    </row>
    <row r="57" spans="1:41" ht="16.5" thickBot="1" x14ac:dyDescent="0.35">
      <c r="A57" s="2"/>
      <c r="B57" s="2"/>
      <c r="C57" s="2"/>
      <c r="D57" s="2"/>
      <c r="E57" s="2"/>
      <c r="F57" s="2"/>
      <c r="G57" s="2"/>
      <c r="H57" s="2"/>
      <c r="I57" s="2"/>
      <c r="J57" s="2"/>
      <c r="K57" s="2"/>
      <c r="L57" s="2"/>
      <c r="N57" s="3"/>
      <c r="O57" s="3"/>
      <c r="P57" s="3"/>
      <c r="Q57" s="3"/>
      <c r="R57" s="3"/>
      <c r="S57" s="3"/>
      <c r="T57" s="3"/>
      <c r="U57" s="3"/>
      <c r="V57" s="2"/>
      <c r="W57" s="3"/>
      <c r="X57" s="3"/>
      <c r="Y57" s="29" t="str">
        <f>O155</f>
        <v>Zusatzmittel</v>
      </c>
      <c r="Z57" s="26">
        <f>'Referenz Plattenfertiger'!U57</f>
        <v>148.44746134951595</v>
      </c>
      <c r="AA57" s="26">
        <f>T155</f>
        <v>148.44746134951595</v>
      </c>
      <c r="AB57" s="26">
        <f>T227</f>
        <v>148.44746134951595</v>
      </c>
      <c r="AC57" s="25" t="s">
        <v>148</v>
      </c>
      <c r="AD57" s="3"/>
      <c r="AE57" s="2"/>
      <c r="AF57" s="3"/>
      <c r="AG57" s="3"/>
      <c r="AH57" s="27" t="s">
        <v>67</v>
      </c>
      <c r="AI57" s="55">
        <f>AI53+AI52+AI51+AI50+AI42</f>
        <v>262128.04944673795</v>
      </c>
      <c r="AJ57" s="55">
        <f t="shared" ref="AJ57:AK57" si="3">AJ53+AJ52+AJ51+AJ50+AJ42</f>
        <v>443124.88915948686</v>
      </c>
      <c r="AK57" s="55">
        <f t="shared" si="3"/>
        <v>645583.21133731399</v>
      </c>
      <c r="AL57" s="3"/>
      <c r="AM57" s="63"/>
      <c r="AN57" s="63"/>
      <c r="AO57" s="62"/>
    </row>
    <row r="58" spans="1:41" ht="16.5" thickTop="1" x14ac:dyDescent="0.3">
      <c r="A58" s="2"/>
      <c r="B58" s="2"/>
      <c r="C58" s="2"/>
      <c r="D58" s="2"/>
      <c r="E58" s="2"/>
      <c r="F58" s="2"/>
      <c r="G58" s="2"/>
      <c r="H58" s="2"/>
      <c r="I58" s="2"/>
      <c r="J58" s="2"/>
      <c r="K58" s="2"/>
      <c r="L58" s="2"/>
      <c r="N58" s="3"/>
      <c r="O58" s="3"/>
      <c r="P58" s="3"/>
      <c r="Q58" s="3"/>
      <c r="R58" s="3"/>
      <c r="S58" s="3"/>
      <c r="T58" s="3"/>
      <c r="U58" s="3"/>
      <c r="V58" s="2"/>
      <c r="W58" s="3"/>
      <c r="X58" s="3"/>
      <c r="Y58" s="8" t="s">
        <v>179</v>
      </c>
      <c r="Z58" s="9">
        <f>'Referenz Plattenfertiger'!U63+'Referenz Plattenfertiger'!U64</f>
        <v>0.54400000000000004</v>
      </c>
      <c r="AA58" s="9">
        <f>T161+T162</f>
        <v>0.54400000000000004</v>
      </c>
      <c r="AB58" s="9">
        <f>T233+T234</f>
        <v>0.54400000000000004</v>
      </c>
      <c r="AC58" s="3" t="s">
        <v>148</v>
      </c>
      <c r="AD58" s="3"/>
      <c r="AE58" s="2"/>
      <c r="AF58" s="3"/>
      <c r="AG58" s="3"/>
      <c r="AH58" s="3"/>
      <c r="AI58" s="3"/>
      <c r="AJ58" s="3"/>
      <c r="AK58" s="3"/>
      <c r="AL58" s="3"/>
      <c r="AM58" s="62"/>
      <c r="AN58" s="62"/>
      <c r="AO58" s="62"/>
    </row>
    <row r="59" spans="1:41" ht="16.5" thickBot="1" x14ac:dyDescent="0.35">
      <c r="A59" s="2"/>
      <c r="B59" s="2"/>
      <c r="C59" s="2"/>
      <c r="D59" s="2"/>
      <c r="E59" s="2"/>
      <c r="F59" s="2"/>
      <c r="G59" s="2"/>
      <c r="H59" s="2"/>
      <c r="I59" s="2"/>
      <c r="J59" s="2"/>
      <c r="K59" s="2"/>
      <c r="L59" s="2"/>
      <c r="N59" s="3"/>
      <c r="O59" s="3"/>
      <c r="P59" s="3"/>
      <c r="Q59" s="3"/>
      <c r="R59" s="3"/>
      <c r="S59" s="3"/>
      <c r="T59" s="3"/>
      <c r="U59" s="3"/>
      <c r="V59" s="2"/>
      <c r="W59" s="3"/>
      <c r="X59" s="3"/>
      <c r="Y59" s="29" t="str">
        <f>O164</f>
        <v>Oberflächenschutzsysteme</v>
      </c>
      <c r="Z59" s="26">
        <f>'Referenz Plattenfertiger'!U66</f>
        <v>80.47999999999999</v>
      </c>
      <c r="AA59" s="26">
        <f>T164</f>
        <v>0.16095999999999999</v>
      </c>
      <c r="AB59" s="26">
        <f>T236</f>
        <v>0.16095999999999999</v>
      </c>
      <c r="AC59" s="25" t="s">
        <v>148</v>
      </c>
      <c r="AD59" s="3"/>
      <c r="AE59" s="2"/>
      <c r="AF59" s="3"/>
      <c r="AG59" s="3"/>
      <c r="AH59" s="104" t="s">
        <v>196</v>
      </c>
      <c r="AI59" s="105">
        <f>AI57-AI56</f>
        <v>116339.8088765</v>
      </c>
      <c r="AJ59" s="105">
        <f>AJ57-AJ56</f>
        <v>184747.62097312231</v>
      </c>
      <c r="AK59" s="105">
        <f>AK57-AK56</f>
        <v>186966.3949808582</v>
      </c>
      <c r="AL59" s="3"/>
      <c r="AM59" s="3"/>
      <c r="AN59" s="3"/>
      <c r="AO59" s="3"/>
    </row>
    <row r="60" spans="1:41" ht="16.5" thickBot="1" x14ac:dyDescent="0.35">
      <c r="A60" s="2"/>
      <c r="B60" s="2"/>
      <c r="C60" s="2"/>
      <c r="D60" s="2"/>
      <c r="E60" s="2"/>
      <c r="F60" s="2"/>
      <c r="G60" s="2"/>
      <c r="H60" s="2"/>
      <c r="I60" s="2"/>
      <c r="J60" s="2"/>
      <c r="K60" s="2"/>
      <c r="L60" s="2"/>
      <c r="N60" s="3"/>
      <c r="O60" s="3"/>
      <c r="P60" s="3"/>
      <c r="Q60" s="3"/>
      <c r="R60" s="3"/>
      <c r="S60" s="3"/>
      <c r="T60" s="3"/>
      <c r="U60" s="3"/>
      <c r="V60" s="2"/>
      <c r="W60" s="3"/>
      <c r="X60" s="3"/>
      <c r="Y60" s="8" t="str">
        <f>O169</f>
        <v>Oberflächenbearbeitung (vor/nach Erhärtung)</v>
      </c>
      <c r="Z60" s="9">
        <f>'Referenz Plattenfertiger'!U71</f>
        <v>60</v>
      </c>
      <c r="AA60" s="9">
        <f>T169</f>
        <v>60</v>
      </c>
      <c r="AB60" s="9">
        <f>T241</f>
        <v>60</v>
      </c>
      <c r="AC60" s="3" t="s">
        <v>148</v>
      </c>
      <c r="AD60" s="3"/>
      <c r="AE60" s="2"/>
      <c r="AF60" s="3"/>
      <c r="AG60" s="3"/>
      <c r="AH60" s="106" t="s">
        <v>145</v>
      </c>
      <c r="AI60" s="107">
        <f>AI57-AI53</f>
        <v>109669</v>
      </c>
      <c r="AJ60" s="107">
        <f>AJ57-AJ53</f>
        <v>175575.39999999997</v>
      </c>
      <c r="AK60" s="107">
        <f>AK57-AK53</f>
        <v>175575.40000000002</v>
      </c>
      <c r="AL60" s="3"/>
      <c r="AM60" s="3"/>
      <c r="AN60" s="3"/>
      <c r="AO60" s="3"/>
    </row>
    <row r="61" spans="1:41" ht="15.75" x14ac:dyDescent="0.3">
      <c r="A61" s="2"/>
      <c r="B61" s="2"/>
      <c r="C61" s="2"/>
      <c r="D61" s="2"/>
      <c r="E61" s="2"/>
      <c r="F61" s="2"/>
      <c r="G61" s="2"/>
      <c r="H61" s="2"/>
      <c r="I61" s="2"/>
      <c r="J61" s="2"/>
      <c r="K61" s="2"/>
      <c r="L61" s="2"/>
      <c r="N61" s="3"/>
      <c r="O61" s="3"/>
      <c r="P61" s="3"/>
      <c r="Q61" s="3"/>
      <c r="R61" s="3"/>
      <c r="S61" s="3"/>
      <c r="T61" s="3"/>
      <c r="U61" s="3"/>
      <c r="V61" s="2"/>
      <c r="W61" s="3"/>
      <c r="X61" s="3"/>
      <c r="Y61" s="29" t="str">
        <f>P174</f>
        <v>Verpackungsmaterial</v>
      </c>
      <c r="Z61" s="26">
        <f>'Referenz Plattenfertiger'!U76</f>
        <v>64.48</v>
      </c>
      <c r="AA61" s="26">
        <f>T174</f>
        <v>64.48</v>
      </c>
      <c r="AB61" s="26">
        <f>T246</f>
        <v>64.48</v>
      </c>
      <c r="AC61" s="25" t="s">
        <v>148</v>
      </c>
      <c r="AD61" s="3"/>
      <c r="AE61" s="2"/>
      <c r="AF61" s="3"/>
      <c r="AG61" s="3"/>
      <c r="AH61" s="3"/>
      <c r="AI61" s="3"/>
      <c r="AJ61" s="3"/>
      <c r="AK61" s="3"/>
      <c r="AL61" s="3"/>
      <c r="AM61" s="3"/>
      <c r="AN61" s="3"/>
      <c r="AO61" s="3"/>
    </row>
    <row r="62" spans="1:41" ht="15" thickBot="1" x14ac:dyDescent="0.3">
      <c r="A62" s="2"/>
      <c r="B62" s="2"/>
      <c r="C62" s="2"/>
      <c r="D62" s="2"/>
      <c r="E62" s="2"/>
      <c r="F62" s="2"/>
      <c r="G62" s="2"/>
      <c r="H62" s="2"/>
      <c r="I62" s="2"/>
      <c r="J62" s="2"/>
      <c r="K62" s="2"/>
      <c r="L62" s="2"/>
      <c r="N62" s="3"/>
      <c r="O62" s="3"/>
      <c r="P62" s="3"/>
      <c r="Q62" s="3"/>
      <c r="R62" s="3"/>
      <c r="S62" s="3"/>
      <c r="T62" s="3"/>
      <c r="U62" s="3"/>
      <c r="V62" s="2"/>
      <c r="W62" s="3"/>
      <c r="X62" s="3"/>
      <c r="Y62" s="27" t="s">
        <v>67</v>
      </c>
      <c r="Z62" s="28">
        <f>SUM(Z51:Z61)</f>
        <v>5831.529622809514</v>
      </c>
      <c r="AA62" s="28">
        <f t="shared" ref="AA62" si="4">SUM(AA51:AA61)</f>
        <v>5741.7170708080985</v>
      </c>
      <c r="AB62" s="28">
        <f>SUM(AB51:AB61)</f>
        <v>5732.710204455695</v>
      </c>
      <c r="AC62" s="27" t="s">
        <v>149</v>
      </c>
      <c r="AD62" s="3"/>
      <c r="AE62" s="2"/>
      <c r="AF62" s="3"/>
      <c r="AG62" s="3"/>
      <c r="AH62" s="3"/>
      <c r="AI62" s="3"/>
      <c r="AJ62" s="3"/>
      <c r="AK62" s="3"/>
      <c r="AL62" s="3"/>
      <c r="AM62" s="3"/>
      <c r="AN62" s="3"/>
      <c r="AO62" s="3"/>
    </row>
    <row r="63" spans="1:41" ht="13.5" thickTop="1" x14ac:dyDescent="0.2">
      <c r="A63" s="2"/>
      <c r="B63" s="2"/>
      <c r="C63" s="2"/>
      <c r="D63" s="2"/>
      <c r="E63" s="2"/>
      <c r="F63" s="2"/>
      <c r="G63" s="2"/>
      <c r="H63" s="2"/>
      <c r="I63" s="2"/>
      <c r="J63" s="2"/>
      <c r="K63" s="2"/>
      <c r="L63" s="2"/>
      <c r="N63" s="3"/>
      <c r="O63" s="3"/>
      <c r="P63" s="3"/>
      <c r="Q63" s="3"/>
      <c r="R63" s="3"/>
      <c r="S63" s="3"/>
      <c r="T63" s="3"/>
      <c r="U63" s="3"/>
      <c r="V63" s="2"/>
      <c r="W63" s="3"/>
      <c r="X63" s="3"/>
      <c r="Y63" s="8"/>
      <c r="Z63" s="82"/>
      <c r="AA63" s="82"/>
      <c r="AB63" s="82"/>
      <c r="AC63" s="8"/>
      <c r="AD63" s="3"/>
      <c r="AE63" s="2"/>
      <c r="AF63" s="3"/>
      <c r="AG63" s="3"/>
      <c r="AH63" s="3"/>
      <c r="AI63" s="3"/>
      <c r="AJ63" s="3"/>
      <c r="AK63" s="3"/>
      <c r="AL63" s="3"/>
      <c r="AM63" s="3"/>
      <c r="AN63" s="3"/>
      <c r="AO63" s="3"/>
    </row>
    <row r="64" spans="1:41" x14ac:dyDescent="0.2">
      <c r="A64" s="2"/>
      <c r="B64" s="2"/>
      <c r="C64" s="2"/>
      <c r="D64" s="2"/>
      <c r="E64" s="2"/>
      <c r="F64" s="2"/>
      <c r="G64" s="2"/>
      <c r="H64" s="2"/>
      <c r="I64" s="2"/>
      <c r="J64" s="2"/>
      <c r="K64" s="2"/>
      <c r="L64" s="2"/>
      <c r="N64" s="3"/>
      <c r="O64" s="3"/>
      <c r="P64" s="3"/>
      <c r="Q64" s="3"/>
      <c r="R64" s="3"/>
      <c r="S64" s="3"/>
      <c r="T64" s="3"/>
      <c r="U64" s="3"/>
      <c r="V64" s="2"/>
      <c r="W64" s="3"/>
      <c r="X64" s="3"/>
      <c r="Y64" s="8"/>
      <c r="Z64" s="82"/>
      <c r="AA64" s="82"/>
      <c r="AB64" s="82"/>
      <c r="AC64" s="8"/>
      <c r="AD64" s="3"/>
      <c r="AE64" s="2"/>
      <c r="AF64" s="3"/>
      <c r="AG64" s="3"/>
      <c r="AH64" s="3"/>
      <c r="AI64" s="3"/>
      <c r="AJ64" s="3"/>
      <c r="AK64" s="3"/>
      <c r="AL64" s="3"/>
      <c r="AM64" s="3"/>
      <c r="AN64" s="3"/>
      <c r="AO64" s="3"/>
    </row>
    <row r="65" spans="1:41" ht="15" x14ac:dyDescent="0.25">
      <c r="A65" s="2"/>
      <c r="B65" s="2"/>
      <c r="C65" s="2"/>
      <c r="D65" s="2"/>
      <c r="E65" s="2"/>
      <c r="F65" s="2"/>
      <c r="G65" s="2"/>
      <c r="H65" s="2"/>
      <c r="I65" s="2"/>
      <c r="J65" s="2"/>
      <c r="K65" s="2"/>
      <c r="L65" s="2"/>
      <c r="N65" s="3"/>
      <c r="O65" s="3"/>
      <c r="P65" s="3"/>
      <c r="Q65" s="3"/>
      <c r="R65" s="3"/>
      <c r="S65" s="3"/>
      <c r="T65" s="3"/>
      <c r="U65" s="3"/>
      <c r="V65" s="2"/>
      <c r="W65" s="3"/>
      <c r="X65" s="3"/>
      <c r="Y65" s="23" t="s">
        <v>194</v>
      </c>
      <c r="Z65" s="3"/>
      <c r="AA65" s="3"/>
      <c r="AB65" s="3"/>
      <c r="AC65" s="3"/>
      <c r="AD65" s="3"/>
      <c r="AE65" s="2"/>
      <c r="AF65" s="3"/>
      <c r="AG65" s="3"/>
      <c r="AH65" s="3"/>
      <c r="AI65" s="3"/>
      <c r="AJ65" s="3"/>
      <c r="AK65" s="3"/>
      <c r="AL65" s="3"/>
      <c r="AM65" s="3"/>
      <c r="AN65" s="3"/>
      <c r="AO65" s="3"/>
    </row>
    <row r="66" spans="1:41" ht="15" x14ac:dyDescent="0.25">
      <c r="A66" s="2"/>
      <c r="B66" s="2"/>
      <c r="C66" s="2"/>
      <c r="D66" s="2"/>
      <c r="E66" s="2"/>
      <c r="F66" s="2"/>
      <c r="G66" s="2"/>
      <c r="H66" s="2"/>
      <c r="I66" s="2"/>
      <c r="J66" s="2"/>
      <c r="K66" s="2"/>
      <c r="L66" s="2"/>
      <c r="N66" s="3"/>
      <c r="O66" s="3"/>
      <c r="P66" s="3"/>
      <c r="Q66" s="3"/>
      <c r="R66" s="3"/>
      <c r="S66" s="3"/>
      <c r="T66" s="3"/>
      <c r="U66" s="3"/>
      <c r="V66" s="2"/>
      <c r="W66" s="3"/>
      <c r="X66" s="3"/>
      <c r="Y66" s="34"/>
      <c r="Z66" s="45">
        <f>Q40</f>
        <v>0</v>
      </c>
      <c r="AA66" s="45">
        <f>R40</f>
        <v>5</v>
      </c>
      <c r="AB66" s="45">
        <f>S40</f>
        <v>10</v>
      </c>
      <c r="AC66" s="34"/>
      <c r="AD66" s="3"/>
      <c r="AE66" s="2"/>
      <c r="AF66" s="3"/>
      <c r="AG66" s="3"/>
      <c r="AH66" s="3"/>
      <c r="AI66" s="3"/>
      <c r="AJ66" s="3"/>
      <c r="AK66" s="3"/>
      <c r="AL66" s="3"/>
      <c r="AM66" s="3"/>
      <c r="AN66" s="3"/>
      <c r="AO66" s="3"/>
    </row>
    <row r="67" spans="1:41" x14ac:dyDescent="0.2">
      <c r="A67" s="2"/>
      <c r="B67" s="2"/>
      <c r="C67" s="2"/>
      <c r="D67" s="2"/>
      <c r="E67" s="2"/>
      <c r="F67" s="2"/>
      <c r="G67" s="2"/>
      <c r="H67" s="2"/>
      <c r="I67" s="2"/>
      <c r="J67" s="2"/>
      <c r="K67" s="2"/>
      <c r="L67" s="2"/>
      <c r="N67" s="3"/>
      <c r="O67" s="3"/>
      <c r="P67" s="3"/>
      <c r="Q67" s="3"/>
      <c r="R67" s="3"/>
      <c r="S67" s="3"/>
      <c r="T67" s="3"/>
      <c r="U67" s="3"/>
      <c r="V67" s="2"/>
      <c r="W67" s="3"/>
      <c r="X67" s="3"/>
      <c r="Y67" s="24"/>
      <c r="Z67" s="47" t="s">
        <v>81</v>
      </c>
      <c r="AA67" s="48"/>
      <c r="AB67" s="48"/>
      <c r="AC67" s="24"/>
      <c r="AD67" s="3"/>
      <c r="AE67" s="2"/>
      <c r="AF67" s="3"/>
      <c r="AG67" s="3"/>
      <c r="AH67" s="3"/>
      <c r="AI67" s="3"/>
      <c r="AJ67" s="3"/>
      <c r="AK67" s="3"/>
      <c r="AL67" s="3"/>
      <c r="AM67" s="3"/>
      <c r="AN67" s="3"/>
      <c r="AO67" s="3"/>
    </row>
    <row r="68" spans="1:41" ht="15.75" x14ac:dyDescent="0.3">
      <c r="A68" s="2"/>
      <c r="B68" s="2"/>
      <c r="C68" s="2"/>
      <c r="D68" s="2"/>
      <c r="E68" s="2"/>
      <c r="F68" s="2"/>
      <c r="G68" s="2"/>
      <c r="H68" s="2"/>
      <c r="I68" s="2"/>
      <c r="J68" s="2"/>
      <c r="K68" s="2"/>
      <c r="L68" s="2"/>
      <c r="N68" s="3"/>
      <c r="O68" s="3"/>
      <c r="P68" s="3"/>
      <c r="Q68" s="3"/>
      <c r="R68" s="3"/>
      <c r="S68" s="3"/>
      <c r="T68" s="3"/>
      <c r="U68" s="3"/>
      <c r="V68" s="2"/>
      <c r="W68" s="3"/>
      <c r="X68" s="3"/>
      <c r="Y68" s="29" t="s">
        <v>104</v>
      </c>
      <c r="Z68" s="97">
        <f>Z42/IF(NOT(ISBLANK('Referenz Plattenfertiger'!$I$12)),'Referenz Plattenfertiger'!$I$12,'Referenz Plattenfertiger'!$F$12)</f>
        <v>2.3733088764999999E-3</v>
      </c>
      <c r="AA68" s="97">
        <f>AA42/IF(NOT(ISBLANK('Referenz Plattenfertiger'!$I$12)),'Referenz Plattenfertiger'!$I$12,'Referenz Plattenfertiger'!$F$12)</f>
        <v>2.0670364765E-3</v>
      </c>
      <c r="AB68" s="97">
        <f>AB42/IF(NOT(ISBLANK('Referenz Plattenfertiger'!$I$12)),'Referenz Plattenfertiger'!$I$12,'Referenz Plattenfertiger'!$F$12)</f>
        <v>2.0670364765E-3</v>
      </c>
      <c r="AC68" s="25" t="s">
        <v>193</v>
      </c>
      <c r="AD68" s="3"/>
      <c r="AE68" s="2"/>
      <c r="AF68" s="3"/>
      <c r="AG68" s="3"/>
      <c r="AH68" s="3"/>
      <c r="AI68" s="3"/>
      <c r="AJ68" s="3"/>
      <c r="AK68" s="3"/>
      <c r="AL68" s="3"/>
      <c r="AM68" s="3"/>
      <c r="AN68" s="3"/>
      <c r="AO68" s="3"/>
    </row>
    <row r="69" spans="1:41" ht="15.75" x14ac:dyDescent="0.3">
      <c r="A69" s="2"/>
      <c r="B69" s="2"/>
      <c r="C69" s="2"/>
      <c r="D69" s="2"/>
      <c r="E69" s="2"/>
      <c r="F69" s="2"/>
      <c r="G69" s="2"/>
      <c r="H69" s="2"/>
      <c r="I69" s="2"/>
      <c r="J69" s="2"/>
      <c r="K69" s="2"/>
      <c r="L69" s="2"/>
      <c r="N69" s="3"/>
      <c r="O69" s="3"/>
      <c r="P69" s="3"/>
      <c r="Q69" s="3"/>
      <c r="R69" s="3"/>
      <c r="S69" s="3"/>
      <c r="T69" s="3"/>
      <c r="U69" s="3"/>
      <c r="V69" s="2"/>
      <c r="W69" s="3"/>
      <c r="X69" s="3"/>
      <c r="Y69" s="8" t="s">
        <v>26</v>
      </c>
      <c r="Z69" s="98">
        <f>Z43/IF(NOT(ISBLANK('Referenz Plattenfertiger'!$I$12)),'Referenz Plattenfertiger'!$I$12,'Referenz Plattenfertiger'!$F$12)</f>
        <v>4.2975000000000001E-3</v>
      </c>
      <c r="AA69" s="98">
        <f>AA43/IF(NOT(ISBLANK('Referenz Plattenfertiger'!$I$12)),'Referenz Plattenfertiger'!$I$12,'Referenz Plattenfertiger'!$F$12)</f>
        <v>3.0286418419012999E-3</v>
      </c>
      <c r="AB69" s="98">
        <f>AB43/IF(NOT(ISBLANK('Referenz Plattenfertiger'!$I$12)),'Referenz Plattenfertiger'!$I$12,'Referenz Plattenfertiger'!$F$12)</f>
        <v>1.4926494550181809E-3</v>
      </c>
      <c r="AC69" s="3" t="s">
        <v>193</v>
      </c>
      <c r="AD69" s="3"/>
      <c r="AE69" s="2"/>
      <c r="AF69" s="3"/>
      <c r="AG69" s="3"/>
      <c r="AH69" s="3"/>
      <c r="AI69" s="3"/>
      <c r="AJ69" s="3"/>
      <c r="AK69" s="3"/>
      <c r="AL69" s="3"/>
      <c r="AM69" s="3"/>
      <c r="AN69" s="3"/>
      <c r="AO69" s="3"/>
    </row>
    <row r="70" spans="1:41" ht="15.75" x14ac:dyDescent="0.3">
      <c r="A70" s="2"/>
      <c r="B70" s="2"/>
      <c r="C70" s="2"/>
      <c r="D70" s="2"/>
      <c r="E70" s="2"/>
      <c r="F70" s="2"/>
      <c r="G70" s="2"/>
      <c r="H70" s="2"/>
      <c r="I70" s="2"/>
      <c r="J70" s="2"/>
      <c r="K70" s="2"/>
      <c r="L70" s="2"/>
      <c r="N70" s="3"/>
      <c r="O70" s="3"/>
      <c r="P70" s="3"/>
      <c r="Q70" s="3"/>
      <c r="R70" s="3"/>
      <c r="S70" s="3"/>
      <c r="T70" s="3"/>
      <c r="U70" s="3"/>
      <c r="V70" s="2"/>
      <c r="W70" s="3"/>
      <c r="X70" s="3"/>
      <c r="Y70" s="29" t="s">
        <v>27</v>
      </c>
      <c r="Z70" s="97">
        <f>Z44/IF(NOT(ISBLANK('Referenz Plattenfertiger'!$I$12)),'Referenz Plattenfertiger'!$I$12,'Referenz Plattenfertiger'!$F$12)</f>
        <v>0.14578824057023795</v>
      </c>
      <c r="AA70" s="97">
        <f>AA44/IF(NOT(ISBLANK('Referenz Plattenfertiger'!$I$12)),'Referenz Plattenfertiger'!$I$12,'Referenz Plattenfertiger'!$F$12)</f>
        <v>0.14354292677020253</v>
      </c>
      <c r="AB70" s="97">
        <f>AB44/IF(NOT(ISBLANK('Referenz Plattenfertiger'!$I$12)),'Referenz Plattenfertiger'!$I$12,'Referenz Plattenfertiger'!$F$12)</f>
        <v>0.14331775511139244</v>
      </c>
      <c r="AC70" s="25" t="s">
        <v>193</v>
      </c>
      <c r="AD70" s="3"/>
      <c r="AE70" s="2"/>
      <c r="AF70" s="3"/>
      <c r="AG70" s="3"/>
      <c r="AH70" s="3"/>
      <c r="AI70" s="3"/>
      <c r="AJ70" s="3"/>
      <c r="AK70" s="3"/>
      <c r="AL70" s="3"/>
      <c r="AM70" s="3"/>
      <c r="AN70" s="3"/>
      <c r="AO70" s="3"/>
    </row>
    <row r="71" spans="1:41" ht="15" thickBot="1" x14ac:dyDescent="0.3">
      <c r="A71" s="2"/>
      <c r="B71" s="2"/>
      <c r="C71" s="2"/>
      <c r="D71" s="2"/>
      <c r="E71" s="2"/>
      <c r="F71" s="2"/>
      <c r="G71" s="2"/>
      <c r="H71" s="2"/>
      <c r="I71" s="2"/>
      <c r="J71" s="2"/>
      <c r="K71" s="2"/>
      <c r="L71" s="2"/>
      <c r="N71" s="3"/>
      <c r="O71" s="3"/>
      <c r="P71" s="3"/>
      <c r="Q71" s="3"/>
      <c r="R71" s="3"/>
      <c r="S71" s="3"/>
      <c r="T71" s="3"/>
      <c r="U71" s="3"/>
      <c r="V71" s="2"/>
      <c r="W71" s="3"/>
      <c r="X71" s="3"/>
      <c r="Y71" s="27" t="s">
        <v>67</v>
      </c>
      <c r="Z71" s="99">
        <f>Z45/IF(NOT(ISBLANK('Referenz Plattenfertiger'!$I$12)),'Referenz Plattenfertiger'!$I$12,'Referenz Plattenfertiger'!$F$12)</f>
        <v>0.15245904944673794</v>
      </c>
      <c r="AA71" s="99">
        <f>AA45/IF(NOT(ISBLANK('Referenz Plattenfertiger'!$I$12)),'Referenz Plattenfertiger'!$I$12,'Referenz Plattenfertiger'!$F$12)</f>
        <v>0.14863860508860383</v>
      </c>
      <c r="AB71" s="99">
        <f>AB45/IF(NOT(ISBLANK('Referenz Plattenfertiger'!$I$12)),'Referenz Plattenfertiger'!$I$12,'Referenz Plattenfertiger'!$F$12)</f>
        <v>0.14687744104291062</v>
      </c>
      <c r="AC71" s="27" t="s">
        <v>195</v>
      </c>
      <c r="AD71" s="3"/>
      <c r="AE71" s="2"/>
      <c r="AF71" s="3"/>
      <c r="AG71" s="3"/>
      <c r="AH71" s="3"/>
      <c r="AI71" s="3"/>
      <c r="AJ71" s="3"/>
      <c r="AK71" s="3"/>
      <c r="AL71" s="3"/>
      <c r="AM71" s="3"/>
      <c r="AN71" s="3"/>
      <c r="AO71" s="3"/>
    </row>
    <row r="72" spans="1:41" ht="13.5" thickTop="1" x14ac:dyDescent="0.2">
      <c r="A72" s="2"/>
      <c r="B72" s="2"/>
      <c r="C72" s="2"/>
      <c r="D72" s="2"/>
      <c r="E72" s="2"/>
      <c r="F72" s="2"/>
      <c r="G72" s="2"/>
      <c r="H72" s="2"/>
      <c r="I72" s="2"/>
      <c r="J72" s="2"/>
      <c r="K72" s="2"/>
      <c r="L72" s="2"/>
      <c r="N72" s="3"/>
      <c r="O72" s="3"/>
      <c r="P72" s="3"/>
      <c r="Q72" s="3"/>
      <c r="R72" s="3"/>
      <c r="S72" s="3"/>
      <c r="T72" s="3"/>
      <c r="U72" s="3"/>
      <c r="V72" s="2"/>
      <c r="W72" s="3"/>
      <c r="X72" s="3"/>
      <c r="Y72" s="3"/>
      <c r="Z72" s="3"/>
      <c r="AA72" s="3"/>
      <c r="AB72" s="3"/>
      <c r="AC72" s="3"/>
      <c r="AD72" s="3"/>
      <c r="AE72" s="2"/>
      <c r="AF72" s="3"/>
      <c r="AG72" s="3"/>
      <c r="AH72" s="3"/>
      <c r="AI72" s="3"/>
      <c r="AJ72" s="3"/>
      <c r="AK72" s="3"/>
      <c r="AL72" s="3"/>
      <c r="AM72" s="3"/>
      <c r="AN72" s="3"/>
      <c r="AO72" s="3"/>
    </row>
    <row r="73" spans="1:41" x14ac:dyDescent="0.2">
      <c r="N73" s="3"/>
      <c r="O73" s="3"/>
      <c r="P73" s="3"/>
      <c r="Q73" s="3"/>
      <c r="R73" s="3"/>
      <c r="S73" s="3"/>
      <c r="T73" s="3"/>
      <c r="U73" s="3"/>
      <c r="V73" s="2"/>
      <c r="W73" s="3"/>
      <c r="X73" s="3"/>
      <c r="Y73" s="3"/>
      <c r="Z73" s="3"/>
      <c r="AA73" s="3"/>
      <c r="AB73" s="3"/>
      <c r="AC73" s="3"/>
      <c r="AD73" s="3"/>
      <c r="AE73" s="2"/>
      <c r="AF73" s="3"/>
      <c r="AG73" s="3"/>
      <c r="AH73" s="3"/>
      <c r="AI73" s="3"/>
      <c r="AJ73" s="3"/>
      <c r="AK73" s="3"/>
      <c r="AL73" s="3"/>
      <c r="AM73" s="3"/>
      <c r="AN73" s="3"/>
      <c r="AO73" s="3"/>
    </row>
    <row r="74" spans="1:41" x14ac:dyDescent="0.2">
      <c r="N74" s="3"/>
      <c r="O74" s="3"/>
      <c r="P74" s="3"/>
      <c r="Q74" s="3"/>
      <c r="R74" s="3"/>
      <c r="S74" s="3"/>
      <c r="T74" s="3"/>
      <c r="U74" s="3"/>
      <c r="V74" s="2"/>
      <c r="W74" s="3"/>
      <c r="X74" s="3"/>
      <c r="Y74" s="3"/>
      <c r="Z74" s="3"/>
      <c r="AA74" s="3"/>
      <c r="AB74" s="3"/>
      <c r="AC74" s="3"/>
      <c r="AD74" s="3"/>
      <c r="AE74" s="2"/>
      <c r="AF74" s="3"/>
      <c r="AG74" s="3"/>
      <c r="AH74" s="3"/>
      <c r="AI74" s="3"/>
      <c r="AJ74" s="3"/>
      <c r="AK74" s="3"/>
      <c r="AL74" s="3"/>
      <c r="AM74" s="3"/>
      <c r="AN74" s="3"/>
      <c r="AO74" s="3"/>
    </row>
    <row r="75" spans="1:41" x14ac:dyDescent="0.2">
      <c r="V75" s="2"/>
      <c r="AE75" s="2"/>
    </row>
    <row r="76" spans="1:41" hidden="1" outlineLevel="1" x14ac:dyDescent="0.2">
      <c r="B76" s="102" t="str">
        <f>IF(AND($F$16&gt;0,J16&lt;F16),"Bitte den Handeingabewert 'Reduktion' für 'Bilanzjahr +10 Jahre' auch anpassen. Dieser muss dem Werte Ihrer Handeingabe  'Bilanzjahr + 5 Jahre' entsprechen, sollte nur eine Maßnahme im  'Bilanzjahr + 5 Jahre' umgesetzt werden.","")</f>
        <v/>
      </c>
    </row>
    <row r="77" spans="1:41" hidden="1" outlineLevel="1" x14ac:dyDescent="0.2">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row>
    <row r="78" spans="1:41" ht="15.75" hidden="1" outlineLevel="1" x14ac:dyDescent="0.25">
      <c r="N78" s="3"/>
      <c r="O78" s="3"/>
      <c r="P78" s="61" t="s">
        <v>130</v>
      </c>
      <c r="Q78" s="3"/>
      <c r="R78" s="3"/>
      <c r="S78" s="3"/>
      <c r="T78" s="3"/>
      <c r="U78" s="3"/>
      <c r="V78" s="3"/>
      <c r="W78" s="3"/>
      <c r="X78" s="3"/>
      <c r="Y78" s="61" t="s">
        <v>130</v>
      </c>
      <c r="Z78" s="3"/>
      <c r="AA78" s="3"/>
      <c r="AB78" s="3"/>
      <c r="AC78" s="3"/>
      <c r="AD78" s="3"/>
      <c r="AE78" s="3"/>
      <c r="AF78" s="3"/>
      <c r="AG78" s="61" t="s">
        <v>130</v>
      </c>
      <c r="AH78" s="24"/>
      <c r="AI78" s="24"/>
      <c r="AJ78" s="24"/>
      <c r="AK78" s="24"/>
      <c r="AL78" s="3"/>
      <c r="AM78" s="3"/>
      <c r="AN78" s="3"/>
      <c r="AO78" s="3"/>
    </row>
    <row r="79" spans="1:41" ht="15" hidden="1" outlineLevel="1" x14ac:dyDescent="0.25">
      <c r="B79"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N79" s="3"/>
      <c r="O79" s="3"/>
      <c r="P79" s="35" t="s">
        <v>102</v>
      </c>
      <c r="Q79" s="35">
        <f>'Referenz Plattenfertiger'!D9</f>
        <v>0</v>
      </c>
      <c r="R79" s="35">
        <f>Q79+5</f>
        <v>5</v>
      </c>
      <c r="S79" s="35">
        <f>Q79+10</f>
        <v>10</v>
      </c>
      <c r="T79" s="34"/>
      <c r="U79" s="3"/>
      <c r="V79" s="3"/>
      <c r="W79" s="3"/>
      <c r="X79" s="3"/>
      <c r="Y79" s="35" t="s">
        <v>239</v>
      </c>
      <c r="Z79" s="35">
        <v>2020</v>
      </c>
      <c r="AA79" s="35" t="s">
        <v>475</v>
      </c>
      <c r="AB79" s="35" t="s">
        <v>474</v>
      </c>
      <c r="AC79" s="34" t="s">
        <v>474</v>
      </c>
      <c r="AD79" s="3"/>
      <c r="AE79" s="3"/>
      <c r="AF79" s="3"/>
      <c r="AG79" s="3"/>
      <c r="AH79" s="45" t="s">
        <v>185</v>
      </c>
      <c r="AI79" s="46">
        <f>Q79</f>
        <v>0</v>
      </c>
      <c r="AJ79" s="46">
        <f>R79</f>
        <v>5</v>
      </c>
      <c r="AK79" s="46">
        <f>S79</f>
        <v>10</v>
      </c>
      <c r="AL79" s="3"/>
      <c r="AM79" s="3"/>
      <c r="AN79" s="3"/>
      <c r="AO79" s="3"/>
    </row>
    <row r="80" spans="1:41" hidden="1" outlineLevel="1" x14ac:dyDescent="0.2">
      <c r="N80" s="3"/>
      <c r="O80" s="3"/>
      <c r="P80" s="24"/>
      <c r="Q80" s="59" t="s">
        <v>81</v>
      </c>
      <c r="R80" s="58"/>
      <c r="S80" s="58"/>
      <c r="T80" s="24"/>
      <c r="U80" s="3"/>
      <c r="V80" s="3"/>
      <c r="W80" s="3"/>
      <c r="X80" s="3"/>
      <c r="Y80" s="24"/>
      <c r="Z80" s="59" t="s">
        <v>81</v>
      </c>
      <c r="AA80" s="58"/>
      <c r="AB80" s="58" t="s">
        <v>475</v>
      </c>
      <c r="AC80" s="24" t="s">
        <v>474</v>
      </c>
      <c r="AD80" s="3"/>
      <c r="AE80" s="3"/>
      <c r="AF80" s="3"/>
      <c r="AG80" s="3"/>
      <c r="AH80" s="24"/>
      <c r="AI80" s="49"/>
      <c r="AJ80" s="49"/>
      <c r="AK80" s="58"/>
      <c r="AL80" s="3"/>
      <c r="AM80" s="3"/>
      <c r="AN80" s="3"/>
      <c r="AO80" s="3"/>
    </row>
    <row r="81" spans="14:41" ht="15.75" hidden="1" outlineLevel="1" x14ac:dyDescent="0.3">
      <c r="N81" s="3"/>
      <c r="O81" s="3"/>
      <c r="P81" s="3" t="str">
        <f t="shared" ref="P81:P87" si="5">IF($U81,P42,"")</f>
        <v>Erdgas</v>
      </c>
      <c r="Q81" s="10">
        <f t="shared" ref="Q81:S87" si="6">IF($U81,Q42,NA())</f>
        <v>43.0426</v>
      </c>
      <c r="R81" s="10">
        <f t="shared" si="6"/>
        <v>32.712375999999999</v>
      </c>
      <c r="S81" s="10">
        <f t="shared" si="6"/>
        <v>32.712375999999999</v>
      </c>
      <c r="T81" s="3" t="s">
        <v>148</v>
      </c>
      <c r="U81" s="374" t="b">
        <v>1</v>
      </c>
      <c r="V81" s="3"/>
      <c r="W81" s="3"/>
      <c r="X81" s="3"/>
      <c r="Y81" s="3" t="str">
        <f t="shared" ref="Y81:Y91" si="7">IF($AD81,Y51,"")</f>
        <v>Energieträger gesamt</v>
      </c>
      <c r="Z81" s="9">
        <f>IF($AD81,Z51,NA())</f>
        <v>41.281733459999998</v>
      </c>
      <c r="AA81" s="9">
        <f>IF($AD81,AA51,NA())</f>
        <v>31.788221458583543</v>
      </c>
      <c r="AB81" s="9">
        <f t="shared" ref="AB81" si="8">IF($AD81,AB51,NA())</f>
        <v>22.781355106179909</v>
      </c>
      <c r="AC81" s="3" t="s">
        <v>148</v>
      </c>
      <c r="AD81" s="3" t="b">
        <v>1</v>
      </c>
      <c r="AE81" s="3"/>
      <c r="AF81" s="3"/>
      <c r="AG81" s="3"/>
      <c r="AH81" s="56" t="s">
        <v>144</v>
      </c>
      <c r="AI81" s="57">
        <f>SUM(AI82:AI88)</f>
        <v>109669</v>
      </c>
      <c r="AJ81" s="57">
        <f t="shared" ref="AJ81:AK81" si="9">SUM(AJ82:AJ88)</f>
        <v>103575.4</v>
      </c>
      <c r="AK81" s="57">
        <f t="shared" si="9"/>
        <v>103575.4</v>
      </c>
      <c r="AL81" s="3"/>
      <c r="AM81" s="3"/>
      <c r="AN81" s="3"/>
      <c r="AO81" s="3"/>
    </row>
    <row r="82" spans="14:41" ht="15.75" hidden="1" outlineLevel="1" x14ac:dyDescent="0.3">
      <c r="N82" s="3"/>
      <c r="O82" s="3"/>
      <c r="P82" s="3" t="str">
        <f t="shared" si="5"/>
        <v>Heizöl</v>
      </c>
      <c r="Q82" s="10">
        <f t="shared" si="6"/>
        <v>16.005600000000001</v>
      </c>
      <c r="R82" s="10">
        <f t="shared" si="6"/>
        <v>14.084928</v>
      </c>
      <c r="S82" s="10">
        <f t="shared" si="6"/>
        <v>14.084928</v>
      </c>
      <c r="T82" s="3" t="s">
        <v>148</v>
      </c>
      <c r="U82" s="374" t="b">
        <v>1</v>
      </c>
      <c r="V82" s="3"/>
      <c r="W82" s="3"/>
      <c r="X82" s="3"/>
      <c r="Y82" s="3" t="str">
        <f t="shared" si="7"/>
        <v>Transport gesamt</v>
      </c>
      <c r="Z82" s="9">
        <f t="shared" ref="Z82:AB91" si="10">IF($AD82,Z52,NA())</f>
        <v>469.15642799999995</v>
      </c>
      <c r="AA82" s="9">
        <f t="shared" si="10"/>
        <v>469.15642799999995</v>
      </c>
      <c r="AB82" s="9">
        <f t="shared" si="10"/>
        <v>469.15642799999995</v>
      </c>
      <c r="AC82" s="3" t="s">
        <v>148</v>
      </c>
      <c r="AD82" s="3" t="b">
        <v>1</v>
      </c>
      <c r="AE82" s="3"/>
      <c r="AF82" s="3"/>
      <c r="AG82" s="3"/>
      <c r="AH82" s="31" t="s">
        <v>29</v>
      </c>
      <c r="AI82" s="51">
        <f>AI43</f>
        <v>14335</v>
      </c>
      <c r="AJ82" s="51">
        <f t="shared" ref="AJ82:AK82" si="11">AJ43</f>
        <v>10894.599999999999</v>
      </c>
      <c r="AK82" s="51">
        <f t="shared" si="11"/>
        <v>10894.599999999999</v>
      </c>
      <c r="AL82" s="3"/>
      <c r="AM82" s="3"/>
      <c r="AN82" s="3"/>
      <c r="AO82" s="3"/>
    </row>
    <row r="83" spans="14:41" ht="15.75" hidden="1" outlineLevel="1" x14ac:dyDescent="0.3">
      <c r="N83" s="3"/>
      <c r="O83" s="3"/>
      <c r="P83" s="3" t="str">
        <f t="shared" si="5"/>
        <v>Strom</v>
      </c>
      <c r="Q83" s="10">
        <f t="shared" si="6"/>
        <v>171.9</v>
      </c>
      <c r="R83" s="10">
        <f t="shared" si="6"/>
        <v>121.145673676052</v>
      </c>
      <c r="S83" s="10">
        <f t="shared" si="6"/>
        <v>59.705978200727237</v>
      </c>
      <c r="T83" s="3" t="s">
        <v>148</v>
      </c>
      <c r="U83" s="374" t="b">
        <v>1</v>
      </c>
      <c r="V83" s="3"/>
      <c r="W83" s="3"/>
      <c r="X83" s="3"/>
      <c r="Y83" s="3" t="str">
        <f t="shared" si="7"/>
        <v>Zement</v>
      </c>
      <c r="Z83" s="9">
        <f t="shared" si="10"/>
        <v>4548.5439999999999</v>
      </c>
      <c r="AA83" s="9">
        <f t="shared" si="10"/>
        <v>4548.5439999999999</v>
      </c>
      <c r="AB83" s="9">
        <f t="shared" si="10"/>
        <v>4548.5439999999999</v>
      </c>
      <c r="AC83" s="3" t="s">
        <v>148</v>
      </c>
      <c r="AD83" s="3" t="b">
        <v>1</v>
      </c>
      <c r="AE83" s="3"/>
      <c r="AF83" s="3"/>
      <c r="AG83" s="3"/>
      <c r="AH83" s="31" t="s">
        <v>30</v>
      </c>
      <c r="AI83" s="51">
        <f t="shared" ref="AI83:AK88" si="12">AI44</f>
        <v>2760</v>
      </c>
      <c r="AJ83" s="51">
        <f t="shared" si="12"/>
        <v>2428.7999999999997</v>
      </c>
      <c r="AK83" s="51">
        <f t="shared" si="12"/>
        <v>2428.7999999999997</v>
      </c>
      <c r="AL83" s="3"/>
      <c r="AM83" s="3"/>
      <c r="AN83" s="3"/>
      <c r="AO83" s="3"/>
    </row>
    <row r="84" spans="14:41" ht="15.75" hidden="1" outlineLevel="1" x14ac:dyDescent="0.3">
      <c r="N84" s="3"/>
      <c r="O84" s="3"/>
      <c r="P84" s="3" t="str">
        <f t="shared" si="5"/>
        <v>Alternativer Energieträger Härtekammer</v>
      </c>
      <c r="Q84" s="10">
        <f t="shared" si="6"/>
        <v>0</v>
      </c>
      <c r="R84" s="10">
        <f t="shared" si="6"/>
        <v>0</v>
      </c>
      <c r="S84" s="10">
        <f t="shared" si="6"/>
        <v>0</v>
      </c>
      <c r="T84" s="3" t="s">
        <v>148</v>
      </c>
      <c r="U84" s="374" t="b">
        <v>1</v>
      </c>
      <c r="V84" s="3"/>
      <c r="W84" s="3"/>
      <c r="X84" s="3"/>
      <c r="Y84" s="3" t="str">
        <f t="shared" si="7"/>
        <v>Gesteinskörnungen (Zuschlagsstoffe)</v>
      </c>
      <c r="Z84" s="9">
        <f t="shared" si="10"/>
        <v>129.59200000000001</v>
      </c>
      <c r="AA84" s="9">
        <f t="shared" si="10"/>
        <v>129.59200000000001</v>
      </c>
      <c r="AB84" s="9">
        <f t="shared" si="10"/>
        <v>129.59200000000001</v>
      </c>
      <c r="AC84" s="3" t="s">
        <v>148</v>
      </c>
      <c r="AD84" s="3" t="b">
        <v>1</v>
      </c>
      <c r="AE84" s="3"/>
      <c r="AF84" s="3"/>
      <c r="AG84" s="3"/>
      <c r="AH84" s="31" t="s">
        <v>31</v>
      </c>
      <c r="AI84" s="51">
        <f t="shared" si="12"/>
        <v>77400</v>
      </c>
      <c r="AJ84" s="51">
        <f t="shared" si="12"/>
        <v>75078</v>
      </c>
      <c r="AK84" s="51">
        <f t="shared" si="12"/>
        <v>75078</v>
      </c>
      <c r="AL84" s="3"/>
      <c r="AM84" s="3"/>
      <c r="AN84" s="3"/>
      <c r="AO84" s="3"/>
    </row>
    <row r="85" spans="14:41" ht="15.75" hidden="1" outlineLevel="1" x14ac:dyDescent="0.3">
      <c r="N85" s="3"/>
      <c r="O85" s="3"/>
      <c r="P85" s="3" t="str">
        <f t="shared" si="5"/>
        <v>Flüssiggas</v>
      </c>
      <c r="Q85" s="10">
        <f t="shared" si="6"/>
        <v>0</v>
      </c>
      <c r="R85" s="10">
        <f t="shared" si="6"/>
        <v>0</v>
      </c>
      <c r="S85" s="10">
        <f t="shared" si="6"/>
        <v>0</v>
      </c>
      <c r="T85" s="3" t="s">
        <v>148</v>
      </c>
      <c r="U85" s="374" t="b">
        <v>1</v>
      </c>
      <c r="V85" s="3"/>
      <c r="W85" s="3"/>
      <c r="X85" s="3"/>
      <c r="Y85" s="3" t="str">
        <f t="shared" si="7"/>
        <v>Farben</v>
      </c>
      <c r="Z85" s="9">
        <f t="shared" si="10"/>
        <v>208</v>
      </c>
      <c r="AA85" s="9">
        <f t="shared" si="10"/>
        <v>208</v>
      </c>
      <c r="AB85" s="9">
        <f t="shared" si="10"/>
        <v>208</v>
      </c>
      <c r="AC85" s="3" t="s">
        <v>148</v>
      </c>
      <c r="AD85" s="3" t="b">
        <v>1</v>
      </c>
      <c r="AE85" s="3"/>
      <c r="AF85" s="3"/>
      <c r="AG85" s="3"/>
      <c r="AH85" s="31" t="s">
        <v>111</v>
      </c>
      <c r="AI85" s="51">
        <f t="shared" si="12"/>
        <v>0</v>
      </c>
      <c r="AJ85" s="51">
        <f t="shared" si="12"/>
        <v>0</v>
      </c>
      <c r="AK85" s="51">
        <f t="shared" si="12"/>
        <v>0</v>
      </c>
      <c r="AL85" s="3"/>
      <c r="AM85" s="3"/>
      <c r="AN85" s="3"/>
      <c r="AO85" s="3"/>
    </row>
    <row r="86" spans="14:41" ht="15.75" hidden="1" outlineLevel="1" x14ac:dyDescent="0.3">
      <c r="N86" s="3"/>
      <c r="O86" s="3"/>
      <c r="P86" s="3" t="str">
        <f t="shared" si="5"/>
        <v>Alternativer Energieträger restliches Werk</v>
      </c>
      <c r="Q86" s="10">
        <f t="shared" si="6"/>
        <v>0</v>
      </c>
      <c r="R86" s="10">
        <f t="shared" si="6"/>
        <v>0</v>
      </c>
      <c r="S86" s="10">
        <f t="shared" si="6"/>
        <v>0</v>
      </c>
      <c r="T86" s="3" t="s">
        <v>148</v>
      </c>
      <c r="U86" s="374" t="b">
        <v>1</v>
      </c>
      <c r="V86" s="3"/>
      <c r="W86" s="3"/>
      <c r="X86" s="3"/>
      <c r="Y86" s="3" t="str">
        <f t="shared" si="7"/>
        <v>Zusatzstoffe (Füllstoffe)</v>
      </c>
      <c r="Z86" s="9">
        <f t="shared" si="10"/>
        <v>81.003999999999991</v>
      </c>
      <c r="AA86" s="9">
        <f t="shared" si="10"/>
        <v>81.003999999999991</v>
      </c>
      <c r="AB86" s="9">
        <f t="shared" si="10"/>
        <v>81.003999999999991</v>
      </c>
      <c r="AC86" s="3" t="s">
        <v>148</v>
      </c>
      <c r="AD86" s="3" t="b">
        <v>1</v>
      </c>
      <c r="AE86" s="3"/>
      <c r="AF86" s="3"/>
      <c r="AG86" s="3"/>
      <c r="AH86" s="31" t="s">
        <v>112</v>
      </c>
      <c r="AI86" s="51">
        <f t="shared" si="12"/>
        <v>0</v>
      </c>
      <c r="AJ86" s="51">
        <f t="shared" si="12"/>
        <v>0</v>
      </c>
      <c r="AK86" s="51">
        <f t="shared" si="12"/>
        <v>0</v>
      </c>
      <c r="AL86" s="3"/>
      <c r="AM86" s="3"/>
      <c r="AN86" s="3"/>
      <c r="AO86" s="3"/>
    </row>
    <row r="87" spans="14:41" ht="15.75" hidden="1" outlineLevel="1" x14ac:dyDescent="0.3">
      <c r="N87" s="3"/>
      <c r="O87" s="3"/>
      <c r="P87" s="3" t="str">
        <f t="shared" si="5"/>
        <v>Diesel</v>
      </c>
      <c r="Q87" s="10">
        <f t="shared" si="6"/>
        <v>35.884155059999998</v>
      </c>
      <c r="R87" s="10">
        <f t="shared" si="6"/>
        <v>35.884155059999998</v>
      </c>
      <c r="S87" s="10">
        <f t="shared" si="6"/>
        <v>35.884155059999998</v>
      </c>
      <c r="T87" s="3" t="s">
        <v>148</v>
      </c>
      <c r="U87" s="374" t="b">
        <v>1</v>
      </c>
      <c r="V87" s="3"/>
      <c r="W87" s="3"/>
      <c r="X87" s="3"/>
      <c r="Y87" s="3" t="str">
        <f t="shared" si="7"/>
        <v>Zusatzmittel</v>
      </c>
      <c r="Z87" s="9">
        <f t="shared" si="10"/>
        <v>148.44746134951595</v>
      </c>
      <c r="AA87" s="9">
        <f t="shared" si="10"/>
        <v>148.44746134951595</v>
      </c>
      <c r="AB87" s="9">
        <f t="shared" si="10"/>
        <v>148.44746134951595</v>
      </c>
      <c r="AC87" s="3" t="s">
        <v>148</v>
      </c>
      <c r="AD87" s="3" t="b">
        <v>1</v>
      </c>
      <c r="AE87" s="3"/>
      <c r="AF87" s="3"/>
      <c r="AG87" s="3"/>
      <c r="AH87" s="31" t="s">
        <v>113</v>
      </c>
      <c r="AI87" s="51">
        <f t="shared" si="12"/>
        <v>0</v>
      </c>
      <c r="AJ87" s="51">
        <f t="shared" si="12"/>
        <v>0</v>
      </c>
      <c r="AK87" s="51">
        <f t="shared" si="12"/>
        <v>0</v>
      </c>
      <c r="AL87" s="3"/>
      <c r="AM87" s="3"/>
      <c r="AN87" s="3"/>
      <c r="AO87" s="3"/>
    </row>
    <row r="88" spans="14:41" ht="16.5" hidden="1" outlineLevel="1" thickBot="1" x14ac:dyDescent="0.35">
      <c r="N88" s="3"/>
      <c r="O88" s="3"/>
      <c r="P88" s="27" t="s">
        <v>67</v>
      </c>
      <c r="Q88" s="33">
        <f>SUMIF($U$81:$U$87,TRUE,Q81:Q87)</f>
        <v>266.83235506</v>
      </c>
      <c r="R88" s="33">
        <f>SUMIF($U$81:$U$87,TRUE,R81:R87)</f>
        <v>203.82713273605202</v>
      </c>
      <c r="S88" s="33">
        <f>SUMIF($U$81:$U$87,TRUE,S81:S87)</f>
        <v>142.38743726072721</v>
      </c>
      <c r="T88" s="27" t="s">
        <v>149</v>
      </c>
      <c r="U88" s="3"/>
      <c r="V88" s="3"/>
      <c r="W88" s="3"/>
      <c r="X88" s="3"/>
      <c r="Y88" s="3" t="str">
        <f t="shared" si="7"/>
        <v/>
      </c>
      <c r="Z88" s="9" t="e">
        <f t="shared" si="10"/>
        <v>#N/A</v>
      </c>
      <c r="AA88" s="9" t="e">
        <f t="shared" si="10"/>
        <v>#N/A</v>
      </c>
      <c r="AB88" s="9" t="e">
        <f t="shared" si="10"/>
        <v>#N/A</v>
      </c>
      <c r="AC88" s="3" t="s">
        <v>148</v>
      </c>
      <c r="AD88" s="3" t="b">
        <v>0</v>
      </c>
      <c r="AE88" s="3"/>
      <c r="AF88" s="3"/>
      <c r="AG88" s="3"/>
      <c r="AH88" s="50" t="s">
        <v>32</v>
      </c>
      <c r="AI88" s="52">
        <f t="shared" si="12"/>
        <v>15174.000000000002</v>
      </c>
      <c r="AJ88" s="53">
        <f t="shared" si="12"/>
        <v>15174.000000000002</v>
      </c>
      <c r="AK88" s="53">
        <f t="shared" si="12"/>
        <v>15174.000000000002</v>
      </c>
      <c r="AL88" s="3"/>
      <c r="AM88" s="3"/>
      <c r="AN88" s="3"/>
      <c r="AO88" s="3"/>
    </row>
    <row r="89" spans="14:41" ht="16.5" hidden="1" outlineLevel="1" thickTop="1" x14ac:dyDescent="0.3">
      <c r="N89" s="3"/>
      <c r="O89" s="3"/>
      <c r="P89" s="3"/>
      <c r="Q89" s="3"/>
      <c r="R89" s="3"/>
      <c r="S89" s="3"/>
      <c r="T89" s="3"/>
      <c r="U89" s="3"/>
      <c r="V89" s="3"/>
      <c r="W89" s="3"/>
      <c r="X89" s="3"/>
      <c r="Y89" s="3" t="str">
        <f t="shared" si="7"/>
        <v/>
      </c>
      <c r="Z89" s="9" t="e">
        <f t="shared" si="10"/>
        <v>#N/A</v>
      </c>
      <c r="AA89" s="9" t="e">
        <f t="shared" si="10"/>
        <v>#N/A</v>
      </c>
      <c r="AB89" s="9" t="e">
        <f t="shared" si="10"/>
        <v>#N/A</v>
      </c>
      <c r="AC89" s="3" t="s">
        <v>148</v>
      </c>
      <c r="AD89" s="3" t="b">
        <v>0</v>
      </c>
      <c r="AE89" s="3"/>
      <c r="AF89" s="3"/>
      <c r="AG89" s="3"/>
      <c r="AH89" s="8" t="str">
        <f>IF(AL89,"CAPEX","")</f>
        <v>CAPEX</v>
      </c>
      <c r="AI89" s="54">
        <f>IF($AL89,AI50,NA())</f>
        <v>0</v>
      </c>
      <c r="AJ89" s="54">
        <f t="shared" ref="AJ89:AK91" si="13">IF($AL89,AJ50,NA())</f>
        <v>72000</v>
      </c>
      <c r="AK89" s="54">
        <f t="shared" si="13"/>
        <v>72000</v>
      </c>
      <c r="AL89" s="374" t="b">
        <v>1</v>
      </c>
      <c r="AM89" s="3"/>
      <c r="AN89" s="3"/>
      <c r="AO89" s="3"/>
    </row>
    <row r="90" spans="14:41" ht="15.75" hidden="1" outlineLevel="1" x14ac:dyDescent="0.3">
      <c r="N90" s="3"/>
      <c r="O90" s="3"/>
      <c r="P90" s="3"/>
      <c r="Q90" s="3"/>
      <c r="R90" s="3"/>
      <c r="S90" s="3"/>
      <c r="T90" s="3"/>
      <c r="U90" s="3"/>
      <c r="V90" s="3"/>
      <c r="W90" s="3"/>
      <c r="X90" s="3"/>
      <c r="Y90" s="3" t="str">
        <f t="shared" si="7"/>
        <v/>
      </c>
      <c r="Z90" s="9" t="e">
        <f t="shared" si="10"/>
        <v>#N/A</v>
      </c>
      <c r="AA90" s="9" t="e">
        <f t="shared" si="10"/>
        <v>#N/A</v>
      </c>
      <c r="AB90" s="9" t="e">
        <f t="shared" si="10"/>
        <v>#N/A</v>
      </c>
      <c r="AC90" s="3" t="s">
        <v>148</v>
      </c>
      <c r="AD90" s="3" t="b">
        <v>0</v>
      </c>
      <c r="AE90" s="3"/>
      <c r="AF90" s="3"/>
      <c r="AG90" s="3"/>
      <c r="AH90" s="8" t="str">
        <f>IF(AL90,"Zusätzliche jährliche Kosten","")</f>
        <v>Zusätzliche jährliche Kosten</v>
      </c>
      <c r="AI90" s="54">
        <f>IF($AL90,AI51,NA())</f>
        <v>0</v>
      </c>
      <c r="AJ90" s="54">
        <f t="shared" si="13"/>
        <v>0</v>
      </c>
      <c r="AK90" s="54">
        <f t="shared" si="13"/>
        <v>0</v>
      </c>
      <c r="AL90" s="374" t="b">
        <v>1</v>
      </c>
      <c r="AM90" s="3"/>
      <c r="AN90" s="3"/>
      <c r="AO90" s="3"/>
    </row>
    <row r="91" spans="14:41" ht="15.75" hidden="1" outlineLevel="1" x14ac:dyDescent="0.3">
      <c r="N91" s="3"/>
      <c r="O91" s="3"/>
      <c r="P91" s="3"/>
      <c r="Q91" s="3"/>
      <c r="R91" s="3"/>
      <c r="S91" s="3"/>
      <c r="T91" s="3"/>
      <c r="U91" s="3"/>
      <c r="V91" s="3"/>
      <c r="W91" s="3"/>
      <c r="X91" s="3"/>
      <c r="Y91" s="3" t="str">
        <f t="shared" si="7"/>
        <v>Verpackungsmaterial</v>
      </c>
      <c r="Z91" s="9">
        <f t="shared" si="10"/>
        <v>64.48</v>
      </c>
      <c r="AA91" s="9">
        <f t="shared" si="10"/>
        <v>64.48</v>
      </c>
      <c r="AB91" s="9">
        <f t="shared" si="10"/>
        <v>64.48</v>
      </c>
      <c r="AC91" s="3" t="s">
        <v>148</v>
      </c>
      <c r="AD91" s="3" t="b">
        <v>1</v>
      </c>
      <c r="AE91" s="3"/>
      <c r="AF91" s="3"/>
      <c r="AG91" s="3"/>
      <c r="AH91" s="58" t="str">
        <f>IF(AL91,"Einmalige Kosten","")</f>
        <v>Einmalige Kosten</v>
      </c>
      <c r="AI91" s="54">
        <f>IF($AL91,AI52,NA())</f>
        <v>0</v>
      </c>
      <c r="AJ91" s="54">
        <f t="shared" si="13"/>
        <v>0</v>
      </c>
      <c r="AK91" s="54">
        <f t="shared" si="13"/>
        <v>0</v>
      </c>
      <c r="AL91" s="374" t="b">
        <v>1</v>
      </c>
      <c r="AM91" s="3"/>
      <c r="AN91" s="3"/>
      <c r="AO91" s="3"/>
    </row>
    <row r="92" spans="14:41" ht="15" hidden="1" outlineLevel="1" thickBot="1" x14ac:dyDescent="0.3">
      <c r="N92" s="3"/>
      <c r="O92" s="3"/>
      <c r="P92" s="3"/>
      <c r="Q92" s="3"/>
      <c r="R92" s="3"/>
      <c r="S92" s="3"/>
      <c r="T92" s="3"/>
      <c r="U92" s="3"/>
      <c r="V92" s="3"/>
      <c r="W92" s="3"/>
      <c r="X92" s="3"/>
      <c r="Y92" s="27" t="s">
        <v>67</v>
      </c>
      <c r="Z92" s="28">
        <f>SUMIF($AD$81:$AD$91,TRUE,Z81:Z91)</f>
        <v>5690.5056228095145</v>
      </c>
      <c r="AA92" s="28">
        <f>SUMIF($AD$81:$AD$91,TRUE,AA81:AA91)</f>
        <v>5681.0121108080984</v>
      </c>
      <c r="AB92" s="28">
        <f>SUMIF($AD$81:$AD$91,TRUE,AB81:AB91)</f>
        <v>5672.005244455695</v>
      </c>
      <c r="AC92" s="27" t="s">
        <v>149</v>
      </c>
      <c r="AD92" s="3"/>
      <c r="AE92" s="3"/>
      <c r="AF92" s="3"/>
      <c r="AG92" s="3"/>
      <c r="AH92" s="56" t="str">
        <f>IF(AL92,"CO2-Kosten","")</f>
        <v>CO2-Kosten</v>
      </c>
      <c r="AI92" s="57">
        <f>IF($AL$92,SUMIF($AL$93:$AL$95,TRUE,AI93:AI95),NA())</f>
        <v>152459.04944673795</v>
      </c>
      <c r="AJ92" s="57">
        <f>IF($AL$92,SUMIF($AL$93:$AL$95,TRUE,AJ93:AJ95),NA())</f>
        <v>267549.4891594869</v>
      </c>
      <c r="AK92" s="57">
        <f>IF($AL$92,SUMIF($AL$93:$AL$95,TRUE,AK93:AK95),NA())</f>
        <v>470007.81133731396</v>
      </c>
      <c r="AL92" s="374" t="b">
        <v>1</v>
      </c>
      <c r="AM92" s="3"/>
      <c r="AN92" s="3"/>
      <c r="AO92" s="3"/>
    </row>
    <row r="93" spans="14:41" ht="16.5" hidden="1" outlineLevel="1" thickTop="1" x14ac:dyDescent="0.3">
      <c r="N93" s="3"/>
      <c r="O93" s="3"/>
      <c r="P93" s="3"/>
      <c r="Q93" s="3"/>
      <c r="R93" s="3"/>
      <c r="S93" s="3"/>
      <c r="T93" s="3"/>
      <c r="U93" s="3"/>
      <c r="V93" s="3"/>
      <c r="W93" s="3"/>
      <c r="X93" s="3"/>
      <c r="Y93" s="3"/>
      <c r="Z93" s="3"/>
      <c r="AA93" s="3"/>
      <c r="AB93" s="3"/>
      <c r="AC93" s="3"/>
      <c r="AD93" s="3"/>
      <c r="AE93" s="3"/>
      <c r="AF93" s="3"/>
      <c r="AG93" s="3"/>
      <c r="AH93" s="31" t="s">
        <v>141</v>
      </c>
      <c r="AI93" s="51">
        <f>IF($AL93,AI54,NA())</f>
        <v>2373.3088765000002</v>
      </c>
      <c r="AJ93" s="51">
        <f t="shared" ref="AJ93:AK93" si="14">IF($AL93,AJ54,NA())</f>
        <v>3720.6656576999999</v>
      </c>
      <c r="AK93" s="51">
        <f t="shared" si="14"/>
        <v>6614.5167247999998</v>
      </c>
      <c r="AL93" s="374" t="b">
        <v>1</v>
      </c>
      <c r="AM93" s="3"/>
      <c r="AN93" s="3"/>
      <c r="AO93" s="3"/>
    </row>
    <row r="94" spans="14:41" ht="15.75" hidden="1" outlineLevel="1" x14ac:dyDescent="0.3">
      <c r="N94" s="3"/>
      <c r="O94" s="3"/>
      <c r="P94" s="3"/>
      <c r="Q94" s="3"/>
      <c r="R94" s="3"/>
      <c r="S94" s="3"/>
      <c r="T94" s="3"/>
      <c r="U94" s="3"/>
      <c r="V94" s="3"/>
      <c r="W94" s="3"/>
      <c r="X94" s="3"/>
      <c r="Y94" s="3"/>
      <c r="Z94" s="3"/>
      <c r="AA94" s="3"/>
      <c r="AB94" s="3"/>
      <c r="AC94" s="3"/>
      <c r="AD94" s="3"/>
      <c r="AE94" s="3"/>
      <c r="AF94" s="3"/>
      <c r="AG94" s="3"/>
      <c r="AH94" s="31" t="s">
        <v>142</v>
      </c>
      <c r="AI94" s="51">
        <f t="shared" ref="AI94:AK95" si="15">IF($AL94,AI55,NA())</f>
        <v>4297.5</v>
      </c>
      <c r="AJ94" s="51">
        <f t="shared" si="15"/>
        <v>5451.5553154223398</v>
      </c>
      <c r="AK94" s="51">
        <f t="shared" si="15"/>
        <v>4776.4782560581789</v>
      </c>
      <c r="AL94" s="374" t="b">
        <v>1</v>
      </c>
      <c r="AM94" s="3"/>
      <c r="AN94" s="3"/>
      <c r="AO94" s="3"/>
    </row>
    <row r="95" spans="14:41" ht="15.75" hidden="1" outlineLevel="1" x14ac:dyDescent="0.3">
      <c r="N95" s="3"/>
      <c r="O95" s="3"/>
      <c r="P95" s="3"/>
      <c r="Q95" s="3"/>
      <c r="R95" s="3"/>
      <c r="S95" s="3"/>
      <c r="T95" s="3"/>
      <c r="U95" s="3"/>
      <c r="V95" s="3"/>
      <c r="W95" s="3"/>
      <c r="X95" s="3"/>
      <c r="Y95" s="3"/>
      <c r="Z95" s="3"/>
      <c r="AA95" s="3"/>
      <c r="AB95" s="3"/>
      <c r="AC95" s="3"/>
      <c r="AD95" s="3"/>
      <c r="AE95" s="3"/>
      <c r="AF95" s="3"/>
      <c r="AG95" s="3"/>
      <c r="AH95" s="31" t="s">
        <v>143</v>
      </c>
      <c r="AI95" s="51">
        <f t="shared" si="15"/>
        <v>145788.24057023795</v>
      </c>
      <c r="AJ95" s="51">
        <f t="shared" si="15"/>
        <v>258377.26818636456</v>
      </c>
      <c r="AK95" s="51">
        <f t="shared" si="15"/>
        <v>458616.81635645579</v>
      </c>
      <c r="AL95" s="374" t="b">
        <v>1</v>
      </c>
      <c r="AM95" s="3"/>
      <c r="AN95" s="3"/>
      <c r="AO95" s="3"/>
    </row>
    <row r="96" spans="14:41" ht="13.5" hidden="1" outlineLevel="1" thickBot="1" x14ac:dyDescent="0.25">
      <c r="N96" s="3"/>
      <c r="O96" s="3"/>
      <c r="P96" s="3"/>
      <c r="Q96" s="3"/>
      <c r="R96" s="3"/>
      <c r="S96" s="3"/>
      <c r="T96" s="3"/>
      <c r="U96" s="3"/>
      <c r="V96" s="3"/>
      <c r="W96" s="3"/>
      <c r="X96" s="3"/>
      <c r="Y96" s="3"/>
      <c r="Z96" s="3"/>
      <c r="AA96" s="3"/>
      <c r="AB96" s="3"/>
      <c r="AC96" s="3"/>
      <c r="AD96" s="3"/>
      <c r="AE96" s="3"/>
      <c r="AF96" s="3"/>
      <c r="AG96" s="3"/>
      <c r="AH96" s="27" t="s">
        <v>67</v>
      </c>
      <c r="AI96" s="55">
        <f>IF($AL$92,AI92,0)+IF($AL$91,AI91,0)+IF($AL$90,AI90,0)+IF($AL$89,AI89,0)+AI81</f>
        <v>262128.04944673795</v>
      </c>
      <c r="AJ96" s="55">
        <f t="shared" ref="AJ96:AK96" si="16">IF($AL$92,AJ92,0)+IF($AL$91,AJ91,0)+IF($AL$90,AJ90,0)+IF($AL$89,AJ89,0)+AJ81</f>
        <v>443124.88915948686</v>
      </c>
      <c r="AK96" s="55">
        <f t="shared" si="16"/>
        <v>645583.21133731399</v>
      </c>
      <c r="AL96" s="3"/>
      <c r="AM96" s="3"/>
      <c r="AN96" s="3"/>
      <c r="AO96" s="3"/>
    </row>
    <row r="97" spans="2:41" ht="13.5" hidden="1" outlineLevel="1" thickTop="1" x14ac:dyDescent="0.2">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2:41" hidden="1" outlineLevel="1" x14ac:dyDescent="0.2">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2:41" hidden="1" outlineLevel="1" x14ac:dyDescent="0.2">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2:41" hidden="1" outlineLevel="1" x14ac:dyDescent="0.2">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2:41" hidden="1" outlineLevel="1" x14ac:dyDescent="0.2">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2:41" hidden="1" outlineLevel="1" x14ac:dyDescent="0.2">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2:41" hidden="1" outlineLevel="1" x14ac:dyDescent="0.2">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2:41" hidden="1" outlineLevel="1" x14ac:dyDescent="0.2">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2:41" hidden="1" outlineLevel="1" x14ac:dyDescent="0.2"/>
    <row r="106" spans="2:41" hidden="1" outlineLevel="1" collapsed="1" x14ac:dyDescent="0.2"/>
    <row r="107" spans="2:41" ht="15.75" hidden="1" outlineLevel="1" x14ac:dyDescent="0.25">
      <c r="B107" s="6" t="str">
        <f>IF(AND($G$16&gt;0,K16&lt;G16),"Bitte den Handeingabewert 'selbsterzeugte Strommenge' für 'Bilanzjahr +10 Jahre' auch anpassen. Dieser muss dem Werte Ihrer Handeingabe 'Bilanzjahr +5 Jahre' entsprechen, sollte nur eine Maßnahme in 'Bilanzjahr +5 Jahre' umgesetzt werden.","")</f>
        <v/>
      </c>
      <c r="N107" s="22"/>
      <c r="O107" s="22" t="s">
        <v>103</v>
      </c>
      <c r="P107" s="17"/>
      <c r="Q107" s="17"/>
      <c r="R107" s="17"/>
      <c r="S107" s="17"/>
      <c r="T107" s="17"/>
      <c r="U107" s="17"/>
      <c r="V107" s="17"/>
      <c r="W107" s="17"/>
      <c r="X107" s="17"/>
      <c r="Y107" s="17"/>
      <c r="AA107" s="22" t="s">
        <v>106</v>
      </c>
      <c r="AB107" s="17"/>
      <c r="AC107" s="17"/>
      <c r="AD107" s="17"/>
      <c r="AE107" s="17"/>
      <c r="AF107" s="17"/>
      <c r="AG107" s="17"/>
      <c r="AH107" s="17"/>
    </row>
    <row r="108" spans="2:41" ht="15" hidden="1" outlineLevel="1" x14ac:dyDescent="0.25">
      <c r="N108" s="64"/>
      <c r="O108" s="64">
        <f>R79</f>
        <v>5</v>
      </c>
      <c r="P108" s="17"/>
      <c r="Q108" s="17"/>
      <c r="R108" s="17"/>
      <c r="S108" s="17"/>
      <c r="T108" s="17"/>
      <c r="U108" s="17"/>
      <c r="V108" s="17"/>
      <c r="W108" s="17"/>
      <c r="X108" s="17"/>
      <c r="Y108" s="17"/>
      <c r="AA108" s="64">
        <f>R79</f>
        <v>5</v>
      </c>
      <c r="AB108" s="17"/>
      <c r="AC108" s="17"/>
      <c r="AD108" s="17"/>
      <c r="AE108" s="17"/>
      <c r="AF108" s="17"/>
      <c r="AG108" s="17"/>
      <c r="AH108" s="17"/>
    </row>
    <row r="109" spans="2:41" hidden="1" outlineLevel="1" x14ac:dyDescent="0.2">
      <c r="N109" s="17"/>
      <c r="O109" s="17"/>
      <c r="P109" s="17" t="s">
        <v>192</v>
      </c>
      <c r="Q109" s="38">
        <f>(1-(IF(NOT(ISBLANK($F16)),$F16/100,$D16/100)))</f>
        <v>0.7</v>
      </c>
      <c r="R109" s="17"/>
      <c r="S109" s="17"/>
      <c r="T109" s="17"/>
      <c r="U109" s="17"/>
      <c r="V109" s="17"/>
      <c r="W109" s="17"/>
      <c r="X109" s="17"/>
      <c r="Y109" s="17"/>
      <c r="AA109" s="21"/>
      <c r="AB109" s="17"/>
      <c r="AC109" s="17"/>
      <c r="AD109" s="17"/>
      <c r="AE109" s="17"/>
      <c r="AF109" s="17"/>
      <c r="AG109" s="17"/>
      <c r="AH109" s="17"/>
    </row>
    <row r="110" spans="2:41" hidden="1" outlineLevel="1" x14ac:dyDescent="0.2">
      <c r="N110" s="17"/>
      <c r="O110" s="17"/>
      <c r="P110" s="17"/>
      <c r="Q110" s="17"/>
      <c r="R110" s="20"/>
      <c r="S110" s="20"/>
      <c r="T110" s="20"/>
      <c r="U110" s="17"/>
      <c r="V110" s="17"/>
      <c r="W110" s="17"/>
      <c r="X110" s="17"/>
      <c r="Y110" s="17"/>
      <c r="AA110" s="17"/>
      <c r="AB110" s="17"/>
      <c r="AC110" s="17"/>
      <c r="AD110" s="17"/>
      <c r="AE110" s="17"/>
      <c r="AF110" s="17"/>
      <c r="AG110" s="17"/>
      <c r="AH110" s="17"/>
    </row>
    <row r="111" spans="2:41" hidden="1" outlineLevel="1" x14ac:dyDescent="0.2">
      <c r="N111" s="17"/>
      <c r="O111" s="17"/>
      <c r="P111" s="17"/>
      <c r="Q111" s="17"/>
      <c r="R111" s="20"/>
      <c r="S111" s="20"/>
      <c r="T111" s="20"/>
      <c r="U111" s="17"/>
      <c r="V111" s="17"/>
      <c r="W111" s="17"/>
      <c r="X111" s="17"/>
      <c r="Y111" s="17"/>
      <c r="AA111" s="17"/>
      <c r="AB111" s="17"/>
      <c r="AC111" s="17"/>
      <c r="AD111" s="17"/>
      <c r="AE111" s="17"/>
      <c r="AF111" s="17"/>
      <c r="AG111" s="17"/>
      <c r="AH111" s="17"/>
    </row>
    <row r="112" spans="2:41" ht="63.75" hidden="1" outlineLevel="1" x14ac:dyDescent="0.2">
      <c r="N112" s="17"/>
      <c r="O112" s="17"/>
      <c r="P112" s="17"/>
      <c r="Q112" s="17"/>
      <c r="R112" s="36" t="s">
        <v>25</v>
      </c>
      <c r="S112" s="36" t="s">
        <v>77</v>
      </c>
      <c r="T112" s="36" t="s">
        <v>27</v>
      </c>
      <c r="U112" s="17"/>
      <c r="V112" s="18"/>
      <c r="W112" s="39" t="s">
        <v>100</v>
      </c>
      <c r="X112" s="40" t="s">
        <v>37</v>
      </c>
      <c r="Y112" s="17"/>
      <c r="AA112" s="17"/>
      <c r="AB112" s="17"/>
      <c r="AC112" s="17"/>
      <c r="AD112" s="18"/>
      <c r="AE112" s="18"/>
      <c r="AF112" s="18"/>
      <c r="AG112" s="18"/>
      <c r="AH112" s="18"/>
    </row>
    <row r="113" spans="2:34" ht="14.25" hidden="1" outlineLevel="1" x14ac:dyDescent="0.25">
      <c r="B113" s="6" t="str">
        <f>IF(AND($G$21&gt;0,K21&lt;G21),"Bitte den Handeingabewert 'Reduktion' für 'Bilanzjahr +10 Jahre' auch anpassen. Dieser muss dem Werte Ihrer Handeingabe 'Bilanzjahr +5 Jahre' entsprechen, sollte nur eine Maßnahme in 'Bilanzjahr +5 Jahre' umgesetzt werden.","")</f>
        <v/>
      </c>
      <c r="N113" s="76"/>
      <c r="O113" s="76" t="s">
        <v>176</v>
      </c>
      <c r="P113" s="76"/>
      <c r="Q113" s="76"/>
      <c r="R113" s="77">
        <f>SUM(R115:R128)</f>
        <v>82.681459059999995</v>
      </c>
      <c r="S113" s="77">
        <f t="shared" ref="S113:T113" si="17">SUM(S115:S128)</f>
        <v>121.145673676052</v>
      </c>
      <c r="T113" s="77">
        <f t="shared" si="17"/>
        <v>31.788221458583543</v>
      </c>
      <c r="U113" s="76"/>
      <c r="V113" s="18"/>
      <c r="W113" s="77">
        <f>R113+S113</f>
        <v>203.82713273605199</v>
      </c>
      <c r="X113" s="77">
        <f>SUM(R113:T113)</f>
        <v>235.61535419463553</v>
      </c>
      <c r="Y113" s="76" t="s">
        <v>183</v>
      </c>
      <c r="AA113" s="17"/>
      <c r="AB113" s="17"/>
      <c r="AC113" s="17"/>
      <c r="AD113" s="18"/>
      <c r="AE113" s="18"/>
      <c r="AF113" s="18"/>
      <c r="AG113" s="18"/>
      <c r="AH113" s="18"/>
    </row>
    <row r="114" spans="2:34" hidden="1" outlineLevel="1" x14ac:dyDescent="0.2">
      <c r="N114" s="17"/>
      <c r="O114" s="17" t="s">
        <v>132</v>
      </c>
      <c r="P114" s="17"/>
      <c r="Q114" s="17"/>
      <c r="R114" s="17"/>
      <c r="S114" s="17"/>
      <c r="T114" s="17"/>
      <c r="U114" s="17"/>
      <c r="V114" s="18"/>
      <c r="W114" s="17"/>
      <c r="X114" s="17"/>
      <c r="Y114" s="17"/>
      <c r="AA114" s="17" t="s">
        <v>132</v>
      </c>
      <c r="AB114" s="17"/>
      <c r="AC114" s="17"/>
      <c r="AD114" s="18"/>
      <c r="AE114" s="18"/>
      <c r="AF114" s="18"/>
      <c r="AG114" s="18"/>
      <c r="AH114" s="18"/>
    </row>
    <row r="115" spans="2:34" ht="15.75" hidden="1" outlineLevel="1" x14ac:dyDescent="0.3">
      <c r="N115" s="17"/>
      <c r="O115" s="17"/>
      <c r="P115" s="17" t="s">
        <v>114</v>
      </c>
      <c r="Q115" s="17"/>
      <c r="R115" s="450">
        <f>IF(NOT(ISBLANK('Referenz Plattenfertiger'!$I16)),'Referenz Plattenfertiger'!$I16,'Referenz Plattenfertiger'!$F16)*IF(NOT(ISBLANK('Eingabe EF'!$AA9)),'Eingabe EF'!$AA9,'Eingabe EF'!$Y9)*$Q$109</f>
        <v>24.103856</v>
      </c>
      <c r="S115" s="450">
        <f>IF(NOT(ISBLANK('Referenz Plattenfertiger'!$I16)),'Referenz Plattenfertiger'!$I16,'Referenz Plattenfertiger'!$F16)*IF(NOT(ISBLANK('Eingabe EF'!$AE9)),'Eingabe EF'!$AE9,'Eingabe EF'!$AC9)*$Q$109</f>
        <v>0</v>
      </c>
      <c r="T115" s="450">
        <f>IF(NOT(ISBLANK('Referenz Plattenfertiger'!$I16)),'Referenz Plattenfertiger'!$I16,'Referenz Plattenfertiger'!$F16)*IF(NOT(ISBLANK('Eingabe EF'!$AI9)),'Eingabe EF'!$AI9,'Eingabe EF'!$AG9)*$Q$109</f>
        <v>4.1256599999999999</v>
      </c>
      <c r="U115" s="17"/>
      <c r="V115" s="19"/>
      <c r="W115" s="37">
        <f>R115+S115</f>
        <v>24.103856</v>
      </c>
      <c r="X115" s="37">
        <f>SUM(R115:T115)</f>
        <v>28.229516</v>
      </c>
      <c r="Y115" s="17" t="s">
        <v>184</v>
      </c>
      <c r="AA115" s="17"/>
      <c r="AB115" s="17" t="s">
        <v>114</v>
      </c>
      <c r="AC115" s="17"/>
      <c r="AD115" s="19"/>
      <c r="AE115" s="19"/>
      <c r="AF115" s="20"/>
      <c r="AG115" s="41">
        <f>IF(NOT(ISBLANK('Referenz Plattenfertiger'!$I16)),'Referenz Plattenfertiger'!$I16,'Referenz Plattenfertiger'!$F16)/1000*$Q$109*IF(NOT(ISBLANK('Eingabe Preise'!$K10)),'Eingabe Preise'!$K10,'Eingabe Preise'!$I10)</f>
        <v>8027.5999999999995</v>
      </c>
      <c r="AH115" s="20" t="s">
        <v>96</v>
      </c>
    </row>
    <row r="116" spans="2:34" ht="15.75" hidden="1" outlineLevel="1" x14ac:dyDescent="0.3">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N116" s="17"/>
      <c r="O116" s="17"/>
      <c r="P116" s="17" t="s">
        <v>151</v>
      </c>
      <c r="Q116" s="17"/>
      <c r="R116" s="450">
        <f>IF(NOT(ISBLANK('Referenz Plattenfertiger'!$I17)),'Referenz Plattenfertiger'!$I17,'Referenz Plattenfertiger'!$F17)*IF(NOT(ISBLANK('Eingabe EF'!$AA10)),'Eingabe EF'!$AA10,'Eingabe EF'!$Y10)*$Q$109</f>
        <v>4.4815679999999993</v>
      </c>
      <c r="S116" s="450">
        <f>IF(NOT(ISBLANK('Referenz Plattenfertiger'!$I17)),'Referenz Plattenfertiger'!$I17,'Referenz Plattenfertiger'!$F17)*IF(NOT(ISBLANK('Eingabe EF'!$AE10)),'Eingabe EF'!$AE10,'Eingabe EF'!$AC10)*$Q$109</f>
        <v>0</v>
      </c>
      <c r="T116" s="450">
        <f>IF(NOT(ISBLANK('Referenz Plattenfertiger'!$I17)),'Referenz Plattenfertiger'!$I17,'Referenz Plattenfertiger'!$F17)*IF(NOT(ISBLANK('Eingabe EF'!$AI10)),'Eingabe EF'!$AI10,'Eingabe EF'!$AG10)*$Q$109</f>
        <v>0.66487679999999993</v>
      </c>
      <c r="U116" s="17"/>
      <c r="V116" s="20"/>
      <c r="W116" s="37">
        <f>R116+S116</f>
        <v>4.4815679999999993</v>
      </c>
      <c r="X116" s="37">
        <f>SUM(R116:T116)</f>
        <v>5.1464447999999994</v>
      </c>
      <c r="Y116" s="17" t="s">
        <v>184</v>
      </c>
      <c r="AA116" s="17"/>
      <c r="AB116" s="17" t="s">
        <v>151</v>
      </c>
      <c r="AC116" s="17"/>
      <c r="AD116" s="20"/>
      <c r="AE116" s="20"/>
      <c r="AF116" s="20"/>
      <c r="AG116" s="41">
        <f>IF(NOT(ISBLANK('Referenz Plattenfertiger'!$I17)),'Referenz Plattenfertiger'!$I17,'Referenz Plattenfertiger'!$F17)/1000*$Q$109*IF(NOT(ISBLANK('Eingabe Preise'!$K11)),'Eingabe Preise'!$K11,'Eingabe Preise'!$I11)</f>
        <v>772.79999999999984</v>
      </c>
      <c r="AH116" s="20" t="s">
        <v>96</v>
      </c>
    </row>
    <row r="117" spans="2:34" ht="15.75" hidden="1" outlineLevel="1" x14ac:dyDescent="0.3">
      <c r="N117" s="17"/>
      <c r="O117" s="17"/>
      <c r="P117" s="17" t="s">
        <v>152</v>
      </c>
      <c r="Q117" s="17"/>
      <c r="R117" s="450">
        <f>IF(NOT(ISBLANK('Referenz Plattenfertiger'!$I18)),'Referenz Plattenfertiger'!$I18,'Referenz Plattenfertiger'!$F18)*IF(NOT(ISBLANK('Eingabe EF'!$AA11)),'Eingabe EF'!$AA11,'Eingabe EF'!$Y11)*$Q$109</f>
        <v>0</v>
      </c>
      <c r="S117" s="450">
        <f>IF(NOT(ISBLANK('Referenz Plattenfertiger'!$I18)),'Referenz Plattenfertiger'!$I18,'Referenz Plattenfertiger'!$F18)*IF(NOT(ISBLANK('Eingabe EF'!$AE11)),'Eingabe EF'!$AE11,'Eingabe EF'!$AC11)*$Q$109</f>
        <v>8.7424712962099367</v>
      </c>
      <c r="T117" s="450">
        <f>IF(NOT(ISBLANK('Referenz Plattenfertiger'!$I18)),'Referenz Plattenfertiger'!$I18,'Referenz Plattenfertiger'!$F18)*IF(NOT(ISBLANK('Eingabe EF'!$AI11)),'Eingabe EF'!$AI11,'Eingabe EF'!$AG11)*$Q$109</f>
        <v>1.2816188287637604</v>
      </c>
      <c r="U117" s="17"/>
      <c r="V117" s="20"/>
      <c r="W117" s="37">
        <f>R117+S117</f>
        <v>8.7424712962099367</v>
      </c>
      <c r="X117" s="37">
        <f>SUM(R117:T117)</f>
        <v>10.024090124973696</v>
      </c>
      <c r="Y117" s="17" t="s">
        <v>184</v>
      </c>
      <c r="AA117" s="17"/>
      <c r="AB117" s="17" t="s">
        <v>152</v>
      </c>
      <c r="AC117" s="17"/>
      <c r="AD117" s="20"/>
      <c r="AE117" s="20"/>
      <c r="AF117" s="20"/>
      <c r="AG117" s="41">
        <f>IF(NOT(ISBLANK('Referenz Plattenfertiger'!$I18)),'Referenz Plattenfertiger'!$I18,'Referenz Plattenfertiger'!$F18)/1000*$Q$109*IF(NOT(ISBLANK('Eingabe Preise'!$K12)),'Eingabe Preise'!$K12,'Eingabe Preise'!$I12)</f>
        <v>5417.9999999999991</v>
      </c>
      <c r="AH117" s="20" t="s">
        <v>96</v>
      </c>
    </row>
    <row r="118" spans="2:34" ht="15.75" hidden="1" outlineLevel="1" x14ac:dyDescent="0.3">
      <c r="N118" s="17"/>
      <c r="O118" s="17"/>
      <c r="P118" s="17" t="s">
        <v>115</v>
      </c>
      <c r="Q118" s="17"/>
      <c r="R118" s="450">
        <f>IF(NOT(ISBLANK('Referenz Plattenfertiger'!$I19)),'Referenz Plattenfertiger'!$I19,'Referenz Plattenfertiger'!$F19)*IF(NOT(ISBLANK('Eingabe EF'!$AA12)),'Eingabe EF'!$AA12,0)*Q109</f>
        <v>0</v>
      </c>
      <c r="S118" s="450">
        <f>IF(NOT(ISBLANK('Referenz Plattenfertiger'!$I19)),'Referenz Plattenfertiger'!$I19,'Referenz Plattenfertiger'!$F19)*IF(NOT(ISBLANK('Eingabe EF'!$AE12)),'Eingabe EF'!$AE12,0)*Q109</f>
        <v>0</v>
      </c>
      <c r="T118" s="450">
        <f>IF(NOT(ISBLANK('Referenz Plattenfertiger'!$I19)),'Referenz Plattenfertiger'!$I19,'Referenz Plattenfertiger'!$F19)*IF(NOT(ISBLANK('Eingabe EF'!$AI12)),'Eingabe EF'!$AI12,0)*Q109</f>
        <v>0</v>
      </c>
      <c r="U118" s="17"/>
      <c r="V118" s="20"/>
      <c r="W118" s="37">
        <f>R118+S118</f>
        <v>0</v>
      </c>
      <c r="X118" s="37">
        <f>SUM(R118:T118)</f>
        <v>0</v>
      </c>
      <c r="Y118" s="17" t="s">
        <v>184</v>
      </c>
      <c r="AA118" s="17"/>
      <c r="AB118" s="17" t="s">
        <v>115</v>
      </c>
      <c r="AC118" s="17"/>
      <c r="AD118" s="20"/>
      <c r="AE118" s="20"/>
      <c r="AF118" s="20"/>
      <c r="AG118" s="41">
        <f>IF(NOT(ISBLANK('Referenz Plattenfertiger'!$I19)),'Referenz Plattenfertiger'!$I19,'Referenz Plattenfertiger'!$F19)/1000*$Q$109*IF(NOT(ISBLANK('Eingabe Preise'!$K16)),'Eingabe Preise'!$K16,0)</f>
        <v>0</v>
      </c>
      <c r="AH118" s="20" t="s">
        <v>96</v>
      </c>
    </row>
    <row r="119" spans="2:34" hidden="1" outlineLevel="1" x14ac:dyDescent="0.2">
      <c r="N119" s="17"/>
      <c r="O119" s="17" t="s">
        <v>133</v>
      </c>
      <c r="P119" s="17"/>
      <c r="Q119" s="17"/>
      <c r="R119" s="20"/>
      <c r="S119" s="20"/>
      <c r="T119" s="20"/>
      <c r="U119" s="17"/>
      <c r="V119" s="20"/>
      <c r="W119" s="17"/>
      <c r="X119" s="17"/>
      <c r="Y119" s="17"/>
      <c r="AA119" s="17" t="s">
        <v>133</v>
      </c>
      <c r="AB119" s="17"/>
      <c r="AC119" s="17"/>
      <c r="AD119" s="20"/>
      <c r="AE119" s="20"/>
      <c r="AF119" s="20"/>
      <c r="AG119" s="20"/>
      <c r="AH119" s="20"/>
    </row>
    <row r="120" spans="2:34" ht="15.75" hidden="1" outlineLevel="1" x14ac:dyDescent="0.3">
      <c r="N120" s="17"/>
      <c r="O120" s="17"/>
      <c r="P120" s="17" t="s">
        <v>29</v>
      </c>
      <c r="Q120" s="17"/>
      <c r="R120" s="37">
        <f>IF(NOT(ISBLANK('Referenz Plattenfertiger'!$I21)),'Referenz Plattenfertiger'!$I21,'Referenz Plattenfertiger'!$F21)*IF(NOT(ISBLANK('Eingabe EF'!$AA9)),'Eingabe EF'!$AA9,'Eingabe EF'!$Y9)</f>
        <v>8.6085200000000004</v>
      </c>
      <c r="S120" s="37">
        <f>IF(NOT(ISBLANK('Referenz Plattenfertiger'!$I21)),'Referenz Plattenfertiger'!$I21,'Referenz Plattenfertiger'!$F21)*IF(NOT(ISBLANK('Eingabe EF'!$AE9)),'Eingabe EF'!$AE9,'Eingabe EF'!$AC9)</f>
        <v>0</v>
      </c>
      <c r="T120" s="37">
        <f>IF(NOT(ISBLANK('Referenz Plattenfertiger'!$I21)),'Referenz Plattenfertiger'!$I21,'Referenz Plattenfertiger'!$F21)*IF(NOT(ISBLANK('Eingabe EF'!$AG9)),'Eingabe EF'!$AG9,'Eingabe EF'!$AIC9)</f>
        <v>1.4734500000000001</v>
      </c>
      <c r="U120" s="17"/>
      <c r="V120" s="20"/>
      <c r="W120" s="37">
        <f t="shared" ref="W120:W121" si="18">R120+S120</f>
        <v>8.6085200000000004</v>
      </c>
      <c r="X120" s="37">
        <f>SUM(R120:T120)</f>
        <v>10.08197</v>
      </c>
      <c r="Y120" s="17" t="s">
        <v>184</v>
      </c>
      <c r="Z120" s="42"/>
      <c r="AA120" s="17"/>
      <c r="AB120" s="17" t="s">
        <v>29</v>
      </c>
      <c r="AC120" s="17"/>
      <c r="AD120" s="20"/>
      <c r="AE120" s="20"/>
      <c r="AF120" s="20"/>
      <c r="AG120" s="41">
        <f>IF(NOT(ISBLANK('Referenz Plattenfertiger'!$I21)),'Referenz Plattenfertiger'!$I21,'Referenz Plattenfertiger'!$F21)/1000*IF(NOT(ISBLANK('Eingabe Preise'!$K10)),'Eingabe Preise'!$K10,'Eingabe Preise'!$I10)</f>
        <v>2867</v>
      </c>
      <c r="AH120" s="20" t="s">
        <v>96</v>
      </c>
    </row>
    <row r="121" spans="2:34" ht="15.75" hidden="1" outlineLevel="1" x14ac:dyDescent="0.3">
      <c r="N121" s="17"/>
      <c r="O121" s="17"/>
      <c r="P121" s="17" t="s">
        <v>30</v>
      </c>
      <c r="Q121" s="17"/>
      <c r="R121" s="37">
        <f>IF(NOT(ISBLANK('Referenz Plattenfertiger'!$I22)),'Referenz Plattenfertiger'!$I22,'Referenz Plattenfertiger'!$F22)*IF(NOT(ISBLANK('Eingabe EF'!$AA10)),'Eingabe EF'!$AA10,'Eingabe EF'!$Y10)</f>
        <v>9.6033600000000003</v>
      </c>
      <c r="S121" s="37">
        <f>IF(NOT(ISBLANK('Referenz Plattenfertiger'!$I22)),'Referenz Plattenfertiger'!$I22,'Referenz Plattenfertiger'!$F22)*IF(NOT(ISBLANK('Eingabe EF'!$AE10)),'Eingabe EF'!$AE10,'Eingabe EF'!$AC10)</f>
        <v>0</v>
      </c>
      <c r="T121" s="37">
        <f>IF(NOT(ISBLANK('Referenz Plattenfertiger'!$I22)),'Referenz Plattenfertiger'!$I22,'Referenz Plattenfertiger'!$F22)*IF(NOT(ISBLANK('Eingabe EF'!$AG10)),'Eingabe EF'!$AG10,'Eingabe EF'!$AIC10)</f>
        <v>1.424736</v>
      </c>
      <c r="U121" s="17"/>
      <c r="V121" s="20"/>
      <c r="W121" s="37">
        <f t="shared" si="18"/>
        <v>9.6033600000000003</v>
      </c>
      <c r="X121" s="37">
        <f>SUM(R121:T121)</f>
        <v>11.028096</v>
      </c>
      <c r="Y121" s="17" t="s">
        <v>184</v>
      </c>
      <c r="Z121" s="42"/>
      <c r="AA121" s="17"/>
      <c r="AB121" s="17" t="s">
        <v>30</v>
      </c>
      <c r="AC121" s="17"/>
      <c r="AD121" s="20"/>
      <c r="AE121" s="20"/>
      <c r="AF121" s="20"/>
      <c r="AG121" s="41">
        <f>IF(NOT(ISBLANK('Referenz Plattenfertiger'!$I22)),'Referenz Plattenfertiger'!$I22,'Referenz Plattenfertiger'!$F22)/1000*IF(NOT(ISBLANK('Eingabe Preise'!$K11)),'Eingabe Preise'!$K11,'Eingabe Preise'!$I11)</f>
        <v>1656</v>
      </c>
      <c r="AH121" s="20" t="s">
        <v>96</v>
      </c>
    </row>
    <row r="122" spans="2:34" hidden="1" outlineLevel="1" x14ac:dyDescent="0.2">
      <c r="N122" s="17"/>
      <c r="O122" s="17" t="s">
        <v>134</v>
      </c>
      <c r="P122" s="17"/>
      <c r="Q122" s="17"/>
      <c r="R122" s="20"/>
      <c r="S122" s="20"/>
      <c r="T122" s="20"/>
      <c r="U122" s="17"/>
      <c r="V122" s="20"/>
      <c r="W122" s="17"/>
      <c r="X122" s="17"/>
      <c r="Y122" s="17"/>
      <c r="AA122" s="17" t="s">
        <v>134</v>
      </c>
      <c r="AB122" s="17"/>
      <c r="AC122" s="17"/>
      <c r="AD122" s="20"/>
      <c r="AE122" s="20"/>
      <c r="AF122" s="20"/>
      <c r="AG122" s="20"/>
      <c r="AH122" s="20"/>
    </row>
    <row r="123" spans="2:34" ht="15.75" hidden="1" outlineLevel="1" x14ac:dyDescent="0.3">
      <c r="N123" s="17"/>
      <c r="O123" s="17"/>
      <c r="P123" s="17" t="s">
        <v>136</v>
      </c>
      <c r="Q123" s="17"/>
      <c r="R123" s="37">
        <f>IF(NOT(ISBLANK('Referenz Plattenfertiger'!$I24)),'Referenz Plattenfertiger'!$I24,'Referenz Plattenfertiger'!$F24)*IF(NOT(ISBLANK('Eingabe EF'!$AA11)),'Eingabe EF'!$AA11,'Eingabe EF'!$Y11)</f>
        <v>0</v>
      </c>
      <c r="S123" s="37">
        <f>IF(NOT(ISBLANK('Referenz Plattenfertiger'!$I24)),'Referenz Plattenfertiger'!$I24,'Referenz Plattenfertiger'!$F24)*IF(NOT(ISBLANK('Eingabe EF'!$AE11)),'Eingabe EF'!$AE11,'Eingabe EF'!$AC11)</f>
        <v>112.40320237984206</v>
      </c>
      <c r="T123" s="37">
        <f>IF(NOT(ISBLANK('Referenz Plattenfertiger'!$I24)),'Referenz Plattenfertiger'!$I24,'Referenz Plattenfertiger'!$F24)*IF(NOT(ISBLANK('Eingabe EF'!$AI11)),'Eingabe EF'!$AI11,'Eingabe EF'!$AG11)</f>
        <v>16.477956369819779</v>
      </c>
      <c r="U123" s="17"/>
      <c r="V123" s="20"/>
      <c r="W123" s="37">
        <f t="shared" ref="W123:W131" si="19">R123+S123</f>
        <v>112.40320237984206</v>
      </c>
      <c r="X123" s="37">
        <f>SUM(R123:T123)</f>
        <v>128.88115874966184</v>
      </c>
      <c r="Y123" s="17" t="s">
        <v>184</v>
      </c>
      <c r="Z123" s="42"/>
      <c r="AA123" s="17"/>
      <c r="AB123" s="17" t="s">
        <v>153</v>
      </c>
      <c r="AC123" s="17"/>
      <c r="AD123" s="20"/>
      <c r="AE123" s="20"/>
      <c r="AF123" s="20"/>
      <c r="AG123" s="41">
        <f>IF(NOT(ISBLANK('Referenz Plattenfertiger'!$I24)),'Referenz Plattenfertiger'!$I24,'Referenz Plattenfertiger'!$F24)/1000*IF(NOT(ISBLANK('Eingabe Preise'!$K12)),'Eingabe Preise'!$K12,'Eingabe Preise'!$I12)</f>
        <v>69660</v>
      </c>
      <c r="AH123" s="20" t="s">
        <v>96</v>
      </c>
    </row>
    <row r="124" spans="2:34"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N124" s="17"/>
      <c r="O124" s="17"/>
      <c r="P124" s="17" t="s">
        <v>111</v>
      </c>
      <c r="Q124" s="17"/>
      <c r="R124" s="37">
        <f>IF(NOT(ISBLANK('Referenz Plattenfertiger'!$I25)),'Referenz Plattenfertiger'!$I25,'Referenz Plattenfertiger'!$F25)*IF(NOT(ISBLANK('Eingabe EF'!$AA13)),'Eingabe EF'!$AA13,'Eingabe EF'!$Y13)</f>
        <v>0</v>
      </c>
      <c r="S124" s="37">
        <f>IF(NOT(ISBLANK('Referenz Plattenfertiger'!$I25)),'Referenz Plattenfertiger'!$I25,'Referenz Plattenfertiger'!$F25)*IF(NOT(ISBLANK('Eingabe EF'!$AE13)),'Eingabe EF'!$AE13,'Eingabe EF'!$AC13)</f>
        <v>0</v>
      </c>
      <c r="T124" s="37">
        <f>IF(NOT(ISBLANK('Referenz Plattenfertiger'!$I25)),'Referenz Plattenfertiger'!$I25,'Referenz Plattenfertiger'!$F25)*IF(NOT(ISBLANK('Eingabe EF'!$AI13)),'Eingabe EF'!$AI13,'Eingabe EF'!$AG13)</f>
        <v>0</v>
      </c>
      <c r="U124" s="17"/>
      <c r="V124" s="20"/>
      <c r="W124" s="37">
        <f t="shared" si="19"/>
        <v>0</v>
      </c>
      <c r="X124" s="37">
        <f>SUM(R124:T124)</f>
        <v>0</v>
      </c>
      <c r="Y124" s="17" t="s">
        <v>184</v>
      </c>
      <c r="Z124" s="42"/>
      <c r="AA124" s="17"/>
      <c r="AB124" s="17" t="s">
        <v>111</v>
      </c>
      <c r="AC124" s="17"/>
      <c r="AD124" s="20"/>
      <c r="AE124" s="20"/>
      <c r="AF124" s="20"/>
      <c r="AG124" s="41">
        <f>IF(NOT(ISBLANK('Referenz Plattenfertiger'!$I25)),'Referenz Plattenfertiger'!$I25,'Referenz Plattenfertiger'!$F25)/1000*IF(NOT(ISBLANK('Eingabe Preise'!$K13)),'Eingabe Preise'!$K13,'Eingabe Preise'!$I13)</f>
        <v>0</v>
      </c>
      <c r="AH124" s="20" t="s">
        <v>96</v>
      </c>
    </row>
    <row r="125" spans="2:34" ht="15.75" hidden="1" outlineLevel="1" x14ac:dyDescent="0.3">
      <c r="N125" s="17"/>
      <c r="O125" s="17"/>
      <c r="P125" s="17" t="s">
        <v>135</v>
      </c>
      <c r="Q125" s="17"/>
      <c r="R125" s="37">
        <f>IF(NOT(ISBLANK('Referenz Plattenfertiger'!$I26)),'Referenz Plattenfertiger'!$I26,'Referenz Plattenfertiger'!$F26)*IF(NOT(ISBLANK('Eingabe EF'!$AA14)),'Eingabe EF'!$AA14,0)</f>
        <v>0</v>
      </c>
      <c r="S125" s="37">
        <f>IF(NOT(ISBLANK('Referenz Plattenfertiger'!$I26)),'Referenz Plattenfertiger'!$I26,'Referenz Plattenfertiger'!$F26)*IF(NOT(ISBLANK('Eingabe EF'!$AE14)),'Eingabe EF'!$AE14,0)</f>
        <v>0</v>
      </c>
      <c r="T125" s="37">
        <f>IF(NOT(ISBLANK('Referenz Plattenfertiger'!$I26)),'Referenz Plattenfertiger'!$I26,'Referenz Plattenfertiger'!$F26)*IF(NOT(ISBLANK('Eingabe EF'!$AI14)),'Eingabe EF'!$AI14,0)</f>
        <v>0</v>
      </c>
      <c r="U125" s="17"/>
      <c r="V125" s="30"/>
      <c r="W125" s="37">
        <f t="shared" si="19"/>
        <v>0</v>
      </c>
      <c r="X125" s="37">
        <f>SUM(R125:T125)</f>
        <v>0</v>
      </c>
      <c r="Y125" s="17" t="s">
        <v>184</v>
      </c>
      <c r="Z125" s="42"/>
      <c r="AA125" s="17"/>
      <c r="AB125" s="17" t="s">
        <v>135</v>
      </c>
      <c r="AC125" s="17"/>
      <c r="AD125" s="30"/>
      <c r="AE125" s="30"/>
      <c r="AF125" s="17"/>
      <c r="AG125" s="41">
        <f>IF(NOT(ISBLANK('Referenz Plattenfertiger'!$I26)),'Referenz Plattenfertiger'!$I26,'Referenz Plattenfertiger'!$F26)/1000*IF(NOT(ISBLANK('Eingabe Preise'!$K17)),'Eingabe Preise'!$K17,0)</f>
        <v>0</v>
      </c>
      <c r="AH125" s="20" t="s">
        <v>96</v>
      </c>
    </row>
    <row r="126" spans="2:34" hidden="1" outlineLevel="1" x14ac:dyDescent="0.2">
      <c r="N126" s="17"/>
      <c r="O126" s="17"/>
      <c r="P126" s="17"/>
      <c r="Q126" s="17"/>
      <c r="R126" s="20"/>
      <c r="S126" s="20"/>
      <c r="T126" s="20"/>
      <c r="U126" s="17"/>
      <c r="V126" s="30"/>
      <c r="W126" s="17"/>
      <c r="X126" s="17"/>
      <c r="Y126" s="17"/>
      <c r="AA126" s="17"/>
      <c r="AB126" s="17"/>
      <c r="AC126" s="17"/>
      <c r="AD126" s="30"/>
      <c r="AE126" s="30"/>
      <c r="AF126" s="17"/>
      <c r="AG126" s="17"/>
      <c r="AH126" s="17"/>
    </row>
    <row r="127" spans="2:34" ht="15.75" hidden="1" outlineLevel="1" x14ac:dyDescent="0.3">
      <c r="N127" s="17"/>
      <c r="O127" s="17" t="s">
        <v>408</v>
      </c>
      <c r="P127" s="17" t="s">
        <v>32</v>
      </c>
      <c r="Q127" s="17"/>
      <c r="R127" s="37">
        <f>IF(NOT(ISBLANK('Referenz Plattenfertiger'!$I28)),'Referenz Plattenfertiger'!$I28,'Referenz Plattenfertiger'!$F28)*IF(NOT(ISBLANK('Eingabe EF'!$AA15)),'Eingabe EF'!$AA15,'Eingabe EF'!$Y15)</f>
        <v>29.238941159999996</v>
      </c>
      <c r="S127" s="37">
        <f>IF(NOT(ISBLANK('Referenz Plattenfertiger'!$I28)),'Referenz Plattenfertiger'!$I28,'Referenz Plattenfertiger'!$F28)*IF(NOT(ISBLANK('Eingabe EF'!$AE15)),'Eingabe EF'!$AE15,'Eingabe EF'!$AC15)</f>
        <v>0</v>
      </c>
      <c r="T127" s="37">
        <f>IF(NOT(ISBLANK('Referenz Plattenfertiger'!$I28)),'Referenz Plattenfertiger'!$I28,'Referenz Plattenfertiger'!$F28)*IF(NOT(ISBLANK('Eingabe EF'!$AI15)),'Eingabe EF'!$AI15,'Eingabe EF'!$AG15)</f>
        <v>5.1658635600000009</v>
      </c>
      <c r="U127" s="17"/>
      <c r="V127" s="30"/>
      <c r="W127" s="37">
        <f t="shared" si="19"/>
        <v>29.238941159999996</v>
      </c>
      <c r="X127" s="37">
        <f>SUM(R127:T127)</f>
        <v>34.404804719999994</v>
      </c>
      <c r="Y127" s="17" t="s">
        <v>184</v>
      </c>
      <c r="Z127" s="42"/>
      <c r="AA127" s="17"/>
      <c r="AB127" s="17" t="s">
        <v>32</v>
      </c>
      <c r="AC127" s="17" t="s">
        <v>408</v>
      </c>
      <c r="AD127" s="30"/>
      <c r="AE127" s="30"/>
      <c r="AF127" s="17"/>
      <c r="AG127" s="41">
        <f>IF(NOT(ISBLANK('Referenz Plattenfertiger'!$I28)),'Referenz Plattenfertiger'!$I28,'Referenz Plattenfertiger'!$F28)*IF(NOT(ISBLANK('Eingabe Preise'!$K14)),'Eingabe Preise'!$K14,'Eingabe Preise'!$I14)</f>
        <v>12364.000000000002</v>
      </c>
      <c r="AH127" s="20" t="s">
        <v>96</v>
      </c>
    </row>
    <row r="128" spans="2:34" ht="15.75" hidden="1" outlineLevel="1" x14ac:dyDescent="0.3">
      <c r="N128" s="17"/>
      <c r="O128" s="17" t="s">
        <v>70</v>
      </c>
      <c r="P128" s="17" t="s">
        <v>32</v>
      </c>
      <c r="Q128" s="17"/>
      <c r="R128" s="37">
        <f>IF(NOT(ISBLANK('Referenz Plattenfertiger'!$I29)),'Referenz Plattenfertiger'!$I29,'Referenz Plattenfertiger'!$F29)*IF(NOT(ISBLANK('Eingabe EF'!$AA15)),'Eingabe EF'!$AA15,'Eingabe EF'!$Y15)</f>
        <v>6.645213899999999</v>
      </c>
      <c r="S128" s="37">
        <f>IF(NOT(ISBLANK('Referenz Plattenfertiger'!$I29)),'Referenz Plattenfertiger'!$I29,'Referenz Plattenfertiger'!$F29)*IF(NOT(ISBLANK('Eingabe EF'!$AE15)),'Eingabe EF'!$AE15,'Eingabe EF'!$AC15)</f>
        <v>0</v>
      </c>
      <c r="T128" s="37">
        <f>IF(NOT(ISBLANK('Referenz Plattenfertiger'!$I29)),'Referenz Plattenfertiger'!$I29,'Referenz Plattenfertiger'!$F29)*IF(NOT(ISBLANK('Eingabe EF'!$AI15)),'Eingabe EF'!$AI15,'Eingabe EF'!$AG15)</f>
        <v>1.1740599000000003</v>
      </c>
      <c r="U128" s="17"/>
      <c r="V128" s="30"/>
      <c r="W128" s="37">
        <f t="shared" si="19"/>
        <v>6.645213899999999</v>
      </c>
      <c r="X128" s="37">
        <f>SUM(R128:T128)</f>
        <v>7.8192737999999995</v>
      </c>
      <c r="Y128" s="17" t="s">
        <v>184</v>
      </c>
      <c r="Z128" s="42"/>
      <c r="AA128" s="17"/>
      <c r="AB128" s="17" t="s">
        <v>32</v>
      </c>
      <c r="AC128" s="17" t="s">
        <v>70</v>
      </c>
      <c r="AD128" s="30"/>
      <c r="AE128" s="30"/>
      <c r="AF128" s="17"/>
      <c r="AG128" s="41">
        <f>IF(NOT(ISBLANK('Referenz Plattenfertiger'!$I29)),'Referenz Plattenfertiger'!$I29,'Referenz Plattenfertiger'!$F29)*IF(NOT(ISBLANK('Eingabe Preise'!$K14)),'Eingabe Preise'!$K14,'Eingabe Preise'!$I14)</f>
        <v>2810.0000000000005</v>
      </c>
      <c r="AH128" s="20" t="s">
        <v>96</v>
      </c>
    </row>
    <row r="129" spans="14:54" ht="14.25" hidden="1" outlineLevel="1" x14ac:dyDescent="0.25">
      <c r="N129" s="69"/>
      <c r="O129" s="69" t="s">
        <v>175</v>
      </c>
      <c r="P129" s="69"/>
      <c r="Q129" s="69"/>
      <c r="R129" s="71">
        <f>R130+R131</f>
        <v>0</v>
      </c>
      <c r="S129" s="71">
        <f t="shared" ref="S129:T129" si="20">S130+S131</f>
        <v>0</v>
      </c>
      <c r="T129" s="71">
        <f t="shared" si="20"/>
        <v>469.15642799999995</v>
      </c>
      <c r="U129" s="69"/>
      <c r="V129" s="73"/>
      <c r="W129" s="71">
        <f t="shared" si="19"/>
        <v>0</v>
      </c>
      <c r="X129" s="71">
        <f>SUM(R129:T129)</f>
        <v>469.15642799999995</v>
      </c>
      <c r="Y129" s="76" t="s">
        <v>183</v>
      </c>
      <c r="Z129" s="72"/>
      <c r="AA129" s="21"/>
      <c r="AB129" s="21"/>
      <c r="AC129" s="21"/>
      <c r="AD129" s="73"/>
      <c r="AE129" s="73"/>
      <c r="AF129" s="21"/>
      <c r="AG129" s="21"/>
      <c r="AH129" s="21"/>
      <c r="AJ129" s="72"/>
      <c r="AK129" s="72"/>
      <c r="AL129" s="72"/>
      <c r="AM129" s="72"/>
      <c r="AN129" s="72"/>
      <c r="AO129" s="72"/>
      <c r="AP129" s="72"/>
    </row>
    <row r="130" spans="14:54" ht="15.75" hidden="1" outlineLevel="1" x14ac:dyDescent="0.3">
      <c r="N130" s="17"/>
      <c r="O130" s="17"/>
      <c r="P130" s="17" t="s">
        <v>43</v>
      </c>
      <c r="Q130" s="17"/>
      <c r="R130" s="37"/>
      <c r="S130" s="37"/>
      <c r="T130" s="37">
        <f>IF(NOT(ISBLANK('Referenz Plattenfertiger'!$I32)),'Referenz Plattenfertiger'!$I32,'Referenz Plattenfertiger'!$F32)*IF(NOT(ISBLANK('Eingabe EF'!$AI17)),'Eingabe EF'!$AI17,'Eingabe EF'!$AG17)</f>
        <v>109.4698332</v>
      </c>
      <c r="U130" s="17"/>
      <c r="V130" s="30"/>
      <c r="W130" s="37">
        <f t="shared" si="19"/>
        <v>0</v>
      </c>
      <c r="X130" s="37">
        <f>SUM(R130:T130)</f>
        <v>109.4698332</v>
      </c>
      <c r="Y130" s="17" t="s">
        <v>184</v>
      </c>
      <c r="Z130" s="42"/>
      <c r="AA130" s="17"/>
      <c r="AB130" s="17"/>
      <c r="AC130" s="17"/>
      <c r="AD130" s="30"/>
      <c r="AE130" s="30"/>
      <c r="AF130" s="17"/>
      <c r="AG130" s="17"/>
      <c r="AH130" s="17"/>
      <c r="AQ130" s="72"/>
      <c r="AR130" s="72"/>
      <c r="AS130" s="72"/>
      <c r="AT130" s="72"/>
      <c r="AU130" s="72"/>
      <c r="AV130" s="72"/>
      <c r="AW130" s="72"/>
      <c r="AX130" s="72"/>
      <c r="AY130" s="72"/>
      <c r="AZ130" s="72"/>
      <c r="BA130" s="72"/>
      <c r="BB130" s="72"/>
    </row>
    <row r="131" spans="14:54" ht="15.75" hidden="1" outlineLevel="1" x14ac:dyDescent="0.3">
      <c r="N131" s="17"/>
      <c r="O131" s="17"/>
      <c r="P131" s="17" t="s">
        <v>44</v>
      </c>
      <c r="Q131" s="17"/>
      <c r="R131" s="37"/>
      <c r="S131" s="37"/>
      <c r="T131" s="37">
        <f>IF(NOT(ISBLANK('Referenz Plattenfertiger'!$I33)),'Referenz Plattenfertiger'!$I33,'Referenz Plattenfertiger'!$F33)*IF(NOT(ISBLANK('Eingabe EF'!$AI18)),'Eingabe EF'!$AI18,'Eingabe EF'!$AG18)</f>
        <v>359.68659479999997</v>
      </c>
      <c r="U131" s="17"/>
      <c r="V131" s="30"/>
      <c r="W131" s="37">
        <f t="shared" si="19"/>
        <v>0</v>
      </c>
      <c r="X131" s="37">
        <f>SUM(R131:T131)</f>
        <v>359.68659479999997</v>
      </c>
      <c r="Y131" s="17" t="s">
        <v>184</v>
      </c>
      <c r="Z131" s="42"/>
      <c r="AA131" s="17"/>
      <c r="AB131" s="17" t="s">
        <v>28</v>
      </c>
      <c r="AC131" s="17"/>
      <c r="AD131" s="30"/>
      <c r="AE131" s="30"/>
      <c r="AF131" s="17"/>
      <c r="AG131" s="41">
        <f>IF(NOT(ISBLANK($F$18)),$F$18,$D$18)/IF(NOT(ISBLANK($F$23)),$F$23,$D$23)+IF(NOT(ISBLANK($F$18)),$F$18,$D$18)*(IF(NOT(ISBLANK($F$24)),$F$24,$D$24)/100)</f>
        <v>72000</v>
      </c>
      <c r="AH131" s="20" t="s">
        <v>96</v>
      </c>
    </row>
    <row r="132" spans="14:54" hidden="1" outlineLevel="1" x14ac:dyDescent="0.2">
      <c r="N132" s="17"/>
      <c r="O132" s="17"/>
      <c r="P132" s="17"/>
      <c r="Q132" s="17"/>
      <c r="R132" s="20"/>
      <c r="S132" s="20"/>
      <c r="T132" s="20"/>
      <c r="U132" s="17"/>
      <c r="V132" s="30"/>
      <c r="W132" s="20"/>
      <c r="X132" s="20"/>
      <c r="Y132" s="17"/>
      <c r="AA132" s="17"/>
      <c r="AB132" s="44" t="s">
        <v>139</v>
      </c>
      <c r="AC132" s="17"/>
      <c r="AD132" s="30"/>
      <c r="AE132" s="30"/>
      <c r="AF132" s="17"/>
      <c r="AG132" s="41">
        <f>IF(NOT(ISBLANK($F$19)),$F$19,$D$19)</f>
        <v>0</v>
      </c>
      <c r="AH132" s="20" t="s">
        <v>96</v>
      </c>
    </row>
    <row r="133" spans="14:54" ht="14.25" hidden="1" outlineLevel="1" x14ac:dyDescent="0.25">
      <c r="N133" s="69"/>
      <c r="O133" s="69" t="s">
        <v>66</v>
      </c>
      <c r="P133" s="70"/>
      <c r="Q133" s="70"/>
      <c r="R133" s="71"/>
      <c r="S133" s="71"/>
      <c r="T133" s="71">
        <f>SUM(T134:T137)</f>
        <v>4548.5439999999999</v>
      </c>
      <c r="U133" s="70"/>
      <c r="V133" s="30"/>
      <c r="W133" s="71">
        <f t="shared" ref="W133:W137" si="21">R133+S133</f>
        <v>0</v>
      </c>
      <c r="X133" s="71">
        <f>SUM(R133:T133)</f>
        <v>4548.5439999999999</v>
      </c>
      <c r="Y133" s="76" t="s">
        <v>183</v>
      </c>
      <c r="AA133" s="17"/>
      <c r="AB133" s="44" t="s">
        <v>146</v>
      </c>
      <c r="AC133" s="17"/>
      <c r="AD133" s="30"/>
      <c r="AE133" s="30"/>
      <c r="AF133" s="17"/>
      <c r="AG133" s="41">
        <f>IF(NOT(ISBLANK($F$20)),$F$20,$D$20)/IF(NOT(ISBLANK($F$23)),$F$23,$D$23)+IF(NOT(ISBLANK($F$20)),$F$20,$D$20)*(IF(NOT(ISBLANK($F$24)),$F$24,$D$24)/100)</f>
        <v>0</v>
      </c>
      <c r="AH133" s="20" t="s">
        <v>96</v>
      </c>
    </row>
    <row r="134" spans="14:54" ht="15.75" hidden="1" outlineLevel="1" x14ac:dyDescent="0.3">
      <c r="N134" s="17"/>
      <c r="O134" s="17"/>
      <c r="P134" s="17" t="s">
        <v>45</v>
      </c>
      <c r="Q134" s="17"/>
      <c r="R134" s="37"/>
      <c r="S134" s="37"/>
      <c r="T134" s="450">
        <f>IF(NOT(ISBLANK('Referenz Plattenfertiger'!$K36)),'Referenz Plattenfertiger'!$K36*(IF(NOT(ISBLANK('Eingabe EF'!$AI21)),'Eingabe EF'!$AI21,'Eingabe EF'!$AG21)),IF(NOT(ISBLANK('Referenz Plattenfertiger'!$I36)),'Referenz Plattenfertiger'!$I36,'Referenz Plattenfertiger'!$F36)*IF(NOT(ISBLANK('Eingabe EF'!$AI21)),'Eingabe EF'!$AI21,'Eingabe EF'!$AG21)*IF(NOT(ISBLANK('Referenz Plattenfertiger'!$I$12)),'Referenz Plattenfertiger'!$I$12,'Referenz Plattenfertiger'!$F$12))</f>
        <v>1210.3</v>
      </c>
      <c r="U134" s="17"/>
      <c r="V134" s="17"/>
      <c r="W134" s="37">
        <f t="shared" si="21"/>
        <v>0</v>
      </c>
      <c r="X134" s="37">
        <f>SUM(R134:T134)</f>
        <v>1210.3</v>
      </c>
      <c r="Y134" s="17" t="s">
        <v>184</v>
      </c>
      <c r="Z134" s="42"/>
      <c r="AA134" s="17"/>
      <c r="AB134" s="17"/>
      <c r="AC134" s="17"/>
      <c r="AD134" s="17"/>
      <c r="AE134" s="17"/>
      <c r="AF134" s="17"/>
      <c r="AG134" s="17"/>
      <c r="AH134" s="17"/>
    </row>
    <row r="135" spans="14:54" ht="15.75" hidden="1" outlineLevel="1" x14ac:dyDescent="0.3">
      <c r="N135" s="17"/>
      <c r="O135" s="17"/>
      <c r="P135" s="17" t="s">
        <v>47</v>
      </c>
      <c r="Q135" s="17"/>
      <c r="R135" s="37"/>
      <c r="S135" s="37"/>
      <c r="T135" s="450">
        <f>IF(NOT(ISBLANK('Referenz Plattenfertiger'!$K37)),'Referenz Plattenfertiger'!$K37*(IF(NOT(ISBLANK('Eingabe EF'!$AI22)),'Eingabe EF'!$AI22,'Eingabe EF'!$AG22)),IF(NOT(ISBLANK('Referenz Plattenfertiger'!$I37)),'Referenz Plattenfertiger'!$I37,'Referenz Plattenfertiger'!$F37)*IF(NOT(ISBLANK('Eingabe EF'!$AI22)),'Eingabe EF'!$AI22,'Eingabe EF'!$AG22)*IF(NOT(ISBLANK('Referenz Plattenfertiger'!$I$12)),'Referenz Plattenfertiger'!$I$12,'Referenz Plattenfertiger'!$F$12))</f>
        <v>2415.5039999999999</v>
      </c>
      <c r="U135" s="17"/>
      <c r="V135" s="17"/>
      <c r="W135" s="37">
        <f t="shared" si="21"/>
        <v>0</v>
      </c>
      <c r="X135" s="37">
        <f>SUM(R135:T135)</f>
        <v>2415.5039999999999</v>
      </c>
      <c r="Y135" s="17" t="s">
        <v>184</v>
      </c>
      <c r="Z135" s="42"/>
      <c r="AA135" s="17"/>
      <c r="AB135" s="17"/>
      <c r="AC135" s="17"/>
      <c r="AD135" s="17"/>
      <c r="AE135" s="17"/>
      <c r="AF135" s="17"/>
      <c r="AG135" s="17"/>
      <c r="AH135" s="17"/>
    </row>
    <row r="136" spans="14:54" ht="15.75" hidden="1" outlineLevel="1" x14ac:dyDescent="0.3">
      <c r="N136" s="17"/>
      <c r="O136" s="17"/>
      <c r="P136" s="17" t="s">
        <v>48</v>
      </c>
      <c r="Q136" s="17"/>
      <c r="R136" s="37"/>
      <c r="S136" s="37"/>
      <c r="T136" s="450">
        <f>IF(NOT(ISBLANK('Referenz Plattenfertiger'!$K38)),'Referenz Plattenfertiger'!$K38*(IF(NOT(ISBLANK('Eingabe EF'!$AI23)),'Eingabe EF'!$AI23,'Eingabe EF'!$AG23)),IF(NOT(ISBLANK('Referenz Plattenfertiger'!$I38)),'Referenz Plattenfertiger'!$I38,'Referenz Plattenfertiger'!$F38)*IF(NOT(ISBLANK('Eingabe EF'!$AI23)),'Eingabe EF'!$AI23,'Eingabe EF'!$AG23)*IF(NOT(ISBLANK('Referenz Plattenfertiger'!$I$12)),'Referenz Plattenfertiger'!$I$12,'Referenz Plattenfertiger'!$F$12))</f>
        <v>922.7399999999999</v>
      </c>
      <c r="U136" s="17"/>
      <c r="V136" s="30"/>
      <c r="W136" s="37">
        <f t="shared" si="21"/>
        <v>0</v>
      </c>
      <c r="X136" s="37">
        <f>SUM(R136:T136)</f>
        <v>922.7399999999999</v>
      </c>
      <c r="Y136" s="17" t="s">
        <v>184</v>
      </c>
      <c r="Z136" s="42"/>
      <c r="AA136" s="17"/>
      <c r="AB136" s="17" t="s">
        <v>186</v>
      </c>
      <c r="AC136" s="17"/>
      <c r="AD136" s="30"/>
      <c r="AE136" s="30"/>
      <c r="AF136" s="17"/>
      <c r="AG136" s="41">
        <f>R176*IF(NOT(ISBLANK('Eingabe Preise'!$K21)),'Eingabe Preise'!$K21,'Eingabe Preise'!$I21)</f>
        <v>3720.6656576999999</v>
      </c>
      <c r="AH136" s="20" t="s">
        <v>96</v>
      </c>
    </row>
    <row r="137" spans="14:54" ht="15.75" hidden="1" outlineLevel="1" x14ac:dyDescent="0.3">
      <c r="N137" s="17"/>
      <c r="O137" s="17"/>
      <c r="P137" s="17" t="s">
        <v>147</v>
      </c>
      <c r="Q137" s="17"/>
      <c r="R137" s="37"/>
      <c r="S137" s="37"/>
      <c r="T137" s="453">
        <f>IF(NOT(ISBLANK('Referenz Plattenfertiger'!$K39)),'Referenz Plattenfertiger'!$K39*('Eingabe EF'!$AI24),IF(NOT(ISBLANK('Referenz Plattenfertiger'!$I39)),'Referenz Plattenfertiger'!$I39,'Referenz Plattenfertiger'!$F39)*('Eingabe EF'!$AI24)*IF(NOT(ISBLANK('Referenz Plattenfertiger'!$I$12)),'Referenz Plattenfertiger'!$I$12,'Referenz Plattenfertiger'!$F$12))</f>
        <v>0</v>
      </c>
      <c r="U137" s="17"/>
      <c r="V137" s="30"/>
      <c r="W137" s="37">
        <f t="shared" si="21"/>
        <v>0</v>
      </c>
      <c r="X137" s="37">
        <f>SUM(R137:T137)</f>
        <v>0</v>
      </c>
      <c r="Y137" s="17" t="s">
        <v>184</v>
      </c>
      <c r="Z137" s="42"/>
      <c r="AA137" s="17"/>
      <c r="AB137" s="17" t="s">
        <v>187</v>
      </c>
      <c r="AC137" s="17"/>
      <c r="AD137" s="30"/>
      <c r="AE137" s="30"/>
      <c r="AF137" s="17"/>
      <c r="AG137" s="41">
        <f>S176*IF(NOT(ISBLANK('Eingabe Preise'!$K22)),'Eingabe Preise'!$K22,'Eingabe Preise'!$I22)</f>
        <v>5451.5553154223398</v>
      </c>
      <c r="AH137" s="20" t="s">
        <v>96</v>
      </c>
    </row>
    <row r="138" spans="14:54" ht="15.75" hidden="1" outlineLevel="1" x14ac:dyDescent="0.3">
      <c r="N138" s="17"/>
      <c r="O138" s="17"/>
      <c r="P138" s="17"/>
      <c r="Q138" s="17"/>
      <c r="R138" s="20"/>
      <c r="S138" s="20"/>
      <c r="T138" s="20"/>
      <c r="U138" s="17"/>
      <c r="V138" s="30"/>
      <c r="W138" s="17"/>
      <c r="X138" s="20"/>
      <c r="Y138" s="20"/>
      <c r="Z138" s="42"/>
      <c r="AA138" s="17"/>
      <c r="AB138" s="17" t="s">
        <v>188</v>
      </c>
      <c r="AC138" s="17"/>
      <c r="AD138" s="30"/>
      <c r="AE138" s="30"/>
      <c r="AF138" s="17"/>
      <c r="AG138" s="41">
        <f>T176*IF(NOT(ISBLANK('Eingabe Preise'!$K23)),'Eingabe Preise'!$K23,'Eingabe Preise'!$I23)</f>
        <v>258377.26818636456</v>
      </c>
      <c r="AH138" s="20" t="s">
        <v>96</v>
      </c>
    </row>
    <row r="139" spans="14:54" ht="14.25" hidden="1" outlineLevel="1" x14ac:dyDescent="0.25">
      <c r="N139" s="69"/>
      <c r="O139" s="69" t="s">
        <v>163</v>
      </c>
      <c r="P139" s="70"/>
      <c r="Q139" s="70"/>
      <c r="R139" s="71"/>
      <c r="S139" s="71"/>
      <c r="T139" s="71">
        <f t="shared" ref="T139" si="22">SUM(T140:T144)</f>
        <v>129.59200000000001</v>
      </c>
      <c r="U139" s="70"/>
      <c r="V139" s="30"/>
      <c r="W139" s="71">
        <f t="shared" ref="W139" si="23">R139+S139</f>
        <v>0</v>
      </c>
      <c r="X139" s="71">
        <f>SUM(R139:T139)</f>
        <v>129.59200000000001</v>
      </c>
      <c r="Y139" s="76" t="s">
        <v>183</v>
      </c>
      <c r="Z139" s="42"/>
      <c r="AA139" s="17"/>
      <c r="AB139" s="17"/>
      <c r="AC139" s="17"/>
      <c r="AD139" s="30"/>
      <c r="AE139" s="30"/>
      <c r="AF139" s="17"/>
      <c r="AG139" s="66"/>
      <c r="AH139" s="17"/>
    </row>
    <row r="140" spans="14:54" ht="15.75" hidden="1" outlineLevel="1" x14ac:dyDescent="0.3">
      <c r="N140" s="17"/>
      <c r="O140" s="17"/>
      <c r="P140" s="17" t="s">
        <v>164</v>
      </c>
      <c r="Q140" s="17"/>
      <c r="R140" s="37"/>
      <c r="S140" s="37"/>
      <c r="T140" s="450">
        <f>IF(NOT(ISBLANK('Referenz Plattenfertiger'!$K42)),'Referenz Plattenfertiger'!$K42*(IF(NOT(ISBLANK('Eingabe EF'!$AI27)),'Eingabe EF'!$AI27,'Eingabe EF'!$AG27)),IF(NOT(ISBLANK('Referenz Plattenfertiger'!$I42)),'Referenz Plattenfertiger'!$I42,'Referenz Plattenfertiger'!$F42)*IF(NOT(ISBLANK('Eingabe EF'!$AI27)),'Eingabe EF'!$AI27,'Eingabe EF'!$AG27)*IF(NOT(ISBLANK('Referenz Plattenfertiger'!$I$12)),'Referenz Plattenfertiger'!$I$12,'Referenz Plattenfertiger'!$F$12))</f>
        <v>129.59200000000001</v>
      </c>
      <c r="U140" s="17"/>
      <c r="V140" s="30"/>
      <c r="W140" s="37">
        <f>R140+S140</f>
        <v>0</v>
      </c>
      <c r="X140" s="37">
        <f>SUM(R140:T140)</f>
        <v>129.59200000000001</v>
      </c>
      <c r="Y140" s="17" t="s">
        <v>184</v>
      </c>
      <c r="Z140" s="42"/>
      <c r="AA140" s="17"/>
      <c r="AB140" s="17"/>
      <c r="AC140" s="17"/>
      <c r="AD140" s="30"/>
      <c r="AE140" s="30"/>
      <c r="AF140" s="17"/>
      <c r="AG140" s="17"/>
      <c r="AH140" s="17"/>
    </row>
    <row r="141" spans="14:54" ht="15.75" hidden="1" outlineLevel="1" x14ac:dyDescent="0.3">
      <c r="N141" s="17"/>
      <c r="O141" s="17"/>
      <c r="P141" s="17" t="s">
        <v>165</v>
      </c>
      <c r="Q141" s="17"/>
      <c r="R141" s="37"/>
      <c r="S141" s="37"/>
      <c r="T141" s="453">
        <f>IF(NOT(ISBLANK('Referenz Plattenfertiger'!$K43)),'Referenz Plattenfertiger'!$K43*('Eingabe EF'!$AI28),IF(NOT(ISBLANK('Referenz Plattenfertiger'!$I43)),'Referenz Plattenfertiger'!$I43,'Referenz Plattenfertiger'!$F43)*('Eingabe EF'!$AI28)*IF(NOT(ISBLANK('Referenz Plattenfertiger'!$I$12)),'Referenz Plattenfertiger'!$I$12,'Referenz Plattenfertiger'!$F$12))</f>
        <v>0</v>
      </c>
      <c r="U141" s="17"/>
      <c r="V141" s="30"/>
      <c r="W141" s="37">
        <f t="shared" ref="W141:W142" si="24">R141+S141</f>
        <v>0</v>
      </c>
      <c r="X141" s="37">
        <f>SUM(R141:T141)</f>
        <v>0</v>
      </c>
      <c r="Y141" s="17" t="s">
        <v>184</v>
      </c>
      <c r="Z141" s="42"/>
      <c r="AA141" s="17"/>
      <c r="AB141" s="17"/>
      <c r="AC141" s="17"/>
      <c r="AD141" s="30"/>
      <c r="AE141" s="30"/>
      <c r="AF141" s="17"/>
      <c r="AG141" s="66"/>
      <c r="AH141" s="17"/>
    </row>
    <row r="142" spans="14:54" ht="15.75" hidden="1" outlineLevel="1" x14ac:dyDescent="0.3">
      <c r="N142" s="17"/>
      <c r="O142" s="17"/>
      <c r="P142" s="17" t="s">
        <v>166</v>
      </c>
      <c r="Q142" s="17"/>
      <c r="R142" s="37"/>
      <c r="S142" s="37"/>
      <c r="T142" s="453">
        <f>IF(NOT(ISBLANK('Referenz Plattenfertiger'!$K44)),'Referenz Plattenfertiger'!$K44*('Eingabe EF'!$AI29),IF(NOT(ISBLANK('Referenz Plattenfertiger'!$I44)),'Referenz Plattenfertiger'!$I44,'Referenz Plattenfertiger'!$F44)*('Eingabe EF'!$AI29)*IF(NOT(ISBLANK('Referenz Plattenfertiger'!$I$12)),'Referenz Plattenfertiger'!$I$12,'Referenz Plattenfertiger'!$F$12))</f>
        <v>0</v>
      </c>
      <c r="U142" s="17"/>
      <c r="V142" s="42"/>
      <c r="W142" s="37">
        <f t="shared" si="24"/>
        <v>0</v>
      </c>
      <c r="X142" s="37">
        <f>SUM(R142:T142)</f>
        <v>0</v>
      </c>
      <c r="Y142" s="17" t="s">
        <v>184</v>
      </c>
      <c r="Z142" s="42"/>
      <c r="AA142" s="42"/>
      <c r="AB142" s="42"/>
      <c r="AC142" s="42"/>
      <c r="AD142" s="42"/>
      <c r="AE142" s="42"/>
      <c r="AF142" s="42"/>
      <c r="AG142" s="42"/>
    </row>
    <row r="143" spans="14:54" ht="15.75" hidden="1" outlineLevel="1" x14ac:dyDescent="0.3">
      <c r="N143" s="17"/>
      <c r="O143" s="17"/>
      <c r="P143" s="17" t="str">
        <f>'Referenz Plattenfertiger'!D45</f>
        <v>Weiterer Zuschlagstoff 1</v>
      </c>
      <c r="Q143" s="17"/>
      <c r="R143" s="37"/>
      <c r="S143" s="37"/>
      <c r="T143" s="453">
        <f>IF(NOT(ISBLANK('Referenz Plattenfertiger'!$K45)),'Referenz Plattenfertiger'!$K45*('Eingabe EF'!$AI30),IF(NOT(ISBLANK('Referenz Plattenfertiger'!$I45)),'Referenz Plattenfertiger'!$I45,'Referenz Plattenfertiger'!$F45)*('Eingabe EF'!$AI30)*IF(NOT(ISBLANK('Referenz Plattenfertiger'!$I$12)),'Referenz Plattenfertiger'!$I$12,'Referenz Plattenfertiger'!$F$12))</f>
        <v>0</v>
      </c>
      <c r="U143" s="17"/>
      <c r="V143" s="42"/>
      <c r="W143" s="37">
        <f t="shared" ref="W143:W144" si="25">R143+S143</f>
        <v>0</v>
      </c>
      <c r="X143" s="37">
        <f t="shared" ref="X143:X144" si="26">SUM(R143:T143)</f>
        <v>0</v>
      </c>
      <c r="Y143" s="17" t="s">
        <v>184</v>
      </c>
      <c r="Z143" s="42"/>
      <c r="AA143" s="42"/>
      <c r="AB143" s="42"/>
      <c r="AC143" s="42"/>
      <c r="AD143" s="42"/>
      <c r="AE143" s="42"/>
      <c r="AF143" s="42"/>
      <c r="AG143" s="42"/>
    </row>
    <row r="144" spans="14:54" ht="15.75" hidden="1" outlineLevel="1" x14ac:dyDescent="0.3">
      <c r="N144" s="17"/>
      <c r="O144" s="17"/>
      <c r="P144" s="17" t="str">
        <f>'Referenz Plattenfertiger'!D46</f>
        <v>Weiterer Zuschlagstoff 2</v>
      </c>
      <c r="Q144" s="17"/>
      <c r="R144" s="37"/>
      <c r="S144" s="37"/>
      <c r="T144" s="453">
        <f>IF(NOT(ISBLANK('Referenz Plattenfertiger'!$K46)),'Referenz Plattenfertiger'!$K46*('Eingabe EF'!$AI31),IF(NOT(ISBLANK('Referenz Plattenfertiger'!$I46)),'Referenz Plattenfertiger'!$I46,'Referenz Plattenfertiger'!$F46)*('Eingabe EF'!$AI31)*IF(NOT(ISBLANK('Referenz Plattenfertiger'!$I$12)),'Referenz Plattenfertiger'!$I$12,'Referenz Plattenfertiger'!$F$12))</f>
        <v>0</v>
      </c>
      <c r="U144" s="17"/>
      <c r="V144" s="42"/>
      <c r="W144" s="37">
        <f t="shared" si="25"/>
        <v>0</v>
      </c>
      <c r="X144" s="37">
        <f t="shared" si="26"/>
        <v>0</v>
      </c>
      <c r="Y144" s="17" t="s">
        <v>184</v>
      </c>
      <c r="Z144" s="42"/>
      <c r="AA144" s="42"/>
      <c r="AB144" s="42"/>
      <c r="AC144" s="42"/>
      <c r="AD144" s="42"/>
      <c r="AE144" s="42"/>
      <c r="AF144" s="42"/>
      <c r="AG144" s="42"/>
    </row>
    <row r="145" spans="14:54" hidden="1" outlineLevel="1" x14ac:dyDescent="0.2">
      <c r="N145" s="17"/>
      <c r="O145" s="17"/>
      <c r="P145" s="17"/>
      <c r="Q145" s="17"/>
      <c r="R145" s="20"/>
      <c r="S145" s="20"/>
      <c r="T145" s="20"/>
      <c r="U145" s="17"/>
      <c r="V145" s="42"/>
      <c r="W145" s="17"/>
      <c r="X145" s="20"/>
      <c r="Y145" s="20"/>
      <c r="Z145" s="42"/>
      <c r="AA145" s="42"/>
      <c r="AB145" s="42"/>
      <c r="AC145" s="42"/>
      <c r="AD145" s="42"/>
      <c r="AE145" s="42"/>
      <c r="AF145" s="42"/>
      <c r="AG145" s="42"/>
    </row>
    <row r="146" spans="14:54" ht="14.25" hidden="1" outlineLevel="1" x14ac:dyDescent="0.25">
      <c r="N146" s="17"/>
      <c r="O146" s="17"/>
      <c r="P146" s="21" t="s">
        <v>55</v>
      </c>
      <c r="Q146" s="21"/>
      <c r="R146" s="74"/>
      <c r="S146" s="74"/>
      <c r="T146" s="456">
        <f>IF(NOT(ISBLANK('Referenz Plattenfertiger'!$K48)),'Referenz Plattenfertiger'!$K48/1000*(IF(NOT(ISBLANK('Eingabe EF'!$AI33)),'Eingabe EF'!$AI33,'Eingabe EF'!$AG33)),IF(NOT(ISBLANK('Referenz Plattenfertiger'!$I48)),'Referenz Plattenfertiger'!$I48,'Referenz Plattenfertiger'!$F48)*IF(NOT(ISBLANK('Eingabe EF'!$AI33)),'Eingabe EF'!$AI33,'Eingabe EF'!$AG33)*IF(NOT(ISBLANK('Referenz Plattenfertiger'!$I$12)),'Referenz Plattenfertiger'!$I$12,'Referenz Plattenfertiger'!$F$12))</f>
        <v>208</v>
      </c>
      <c r="U146" s="21"/>
      <c r="V146" s="42"/>
      <c r="W146" s="74">
        <f>R146+S146</f>
        <v>0</v>
      </c>
      <c r="X146" s="74">
        <f>SUM(R146:T146)</f>
        <v>208</v>
      </c>
      <c r="Y146" s="21" t="s">
        <v>183</v>
      </c>
      <c r="Z146" s="42"/>
      <c r="AA146" s="42"/>
      <c r="AB146" s="42"/>
      <c r="AC146" s="42"/>
      <c r="AD146" s="42"/>
      <c r="AE146" s="42"/>
      <c r="AF146" s="42"/>
      <c r="AG146" s="42"/>
    </row>
    <row r="147" spans="14:54" hidden="1" outlineLevel="1" x14ac:dyDescent="0.2">
      <c r="N147" s="17"/>
      <c r="O147" s="17"/>
      <c r="P147" s="17"/>
      <c r="Q147" s="17"/>
      <c r="R147" s="20"/>
      <c r="S147" s="20"/>
      <c r="T147" s="20"/>
      <c r="U147" s="17"/>
      <c r="V147" s="42"/>
      <c r="W147" s="17"/>
      <c r="X147" s="20"/>
      <c r="Y147" s="20"/>
      <c r="Z147" s="42"/>
      <c r="AA147" s="42"/>
      <c r="AB147" s="42"/>
      <c r="AC147" s="42"/>
      <c r="AD147" s="42"/>
      <c r="AE147" s="42"/>
      <c r="AF147" s="42"/>
      <c r="AG147" s="42"/>
    </row>
    <row r="148" spans="14:54" ht="14.25" hidden="1" outlineLevel="1" x14ac:dyDescent="0.25">
      <c r="N148" s="69"/>
      <c r="O148" s="69" t="s">
        <v>167</v>
      </c>
      <c r="P148" s="70"/>
      <c r="Q148" s="70"/>
      <c r="R148" s="71"/>
      <c r="S148" s="71"/>
      <c r="T148" s="71">
        <f>SUM(T149:T153)</f>
        <v>81.003999999999991</v>
      </c>
      <c r="U148" s="457"/>
      <c r="V148" s="42"/>
      <c r="W148" s="71">
        <f t="shared" ref="W148" si="27">R148+S148</f>
        <v>0</v>
      </c>
      <c r="X148" s="71">
        <f>SUM(R148:T148)</f>
        <v>81.003999999999991</v>
      </c>
      <c r="Y148" s="76" t="s">
        <v>183</v>
      </c>
      <c r="Z148" s="42"/>
      <c r="AA148" s="42"/>
      <c r="AB148" s="42"/>
      <c r="AC148" s="42"/>
      <c r="AD148" s="42"/>
      <c r="AE148" s="42"/>
      <c r="AF148" s="42"/>
      <c r="AG148" s="42"/>
    </row>
    <row r="149" spans="14:54" ht="15.75" hidden="1" outlineLevel="1" x14ac:dyDescent="0.3">
      <c r="N149" s="17"/>
      <c r="O149" s="17"/>
      <c r="P149" s="17" t="s">
        <v>57</v>
      </c>
      <c r="Q149" s="17"/>
      <c r="R149" s="37"/>
      <c r="S149" s="37"/>
      <c r="T149" s="450">
        <f>IF(NOT(ISBLANK('Referenz Plattenfertiger'!$K51)),'Referenz Plattenfertiger'!$K51*(IF(NOT(ISBLANK('Eingabe EF'!$AI36)),'Eingabe EF'!$AI36,'Eingabe EF'!$AG36)),IF(NOT(ISBLANK('Referenz Plattenfertiger'!$I51)),'Referenz Plattenfertiger'!$I51,'Referenz Plattenfertiger'!$F51)*IF(NOT(ISBLANK('Eingabe EF'!$AI36)),'Eingabe EF'!$AI36,'Eingabe EF'!$AG36)*IF(NOT(ISBLANK('Referenz Plattenfertiger'!$I$12)),'Referenz Plattenfertiger'!$I$12,'Referenz Plattenfertiger'!$F$12))</f>
        <v>0</v>
      </c>
      <c r="U149" s="17"/>
      <c r="V149" s="42"/>
      <c r="W149" s="37">
        <f>R149+S149</f>
        <v>0</v>
      </c>
      <c r="X149" s="37">
        <f>SUM(R149:T149)</f>
        <v>0</v>
      </c>
      <c r="Y149" s="17" t="s">
        <v>184</v>
      </c>
      <c r="Z149" s="42"/>
      <c r="AA149" s="42"/>
      <c r="AB149" s="42"/>
      <c r="AC149" s="42"/>
      <c r="AD149" s="42"/>
      <c r="AE149" s="42"/>
      <c r="AF149" s="42"/>
      <c r="AG149" s="42"/>
    </row>
    <row r="150" spans="14:54" ht="15.75" hidden="1" outlineLevel="1" x14ac:dyDescent="0.3">
      <c r="N150" s="17"/>
      <c r="O150" s="17"/>
      <c r="P150" s="17" t="s">
        <v>58</v>
      </c>
      <c r="Q150" s="17"/>
      <c r="R150" s="37"/>
      <c r="S150" s="37"/>
      <c r="T150" s="450">
        <f>IF(NOT(ISBLANK('Referenz Plattenfertiger'!$K52)),'Referenz Plattenfertiger'!$K52*(IF(NOT(ISBLANK('Eingabe EF'!$AI37)),'Eingabe EF'!$AI37,'Eingabe EF'!$AG37)),IF(NOT(ISBLANK('Referenz Plattenfertiger'!$I52)),'Referenz Plattenfertiger'!$I52,'Referenz Plattenfertiger'!$F52)*IF(NOT(ISBLANK('Eingabe EF'!$AI37)),'Eingabe EF'!$AI37,'Eingabe EF'!$AG37)*IF(NOT(ISBLANK('Referenz Plattenfertiger'!$I$12)),'Referenz Plattenfertiger'!$I$12,'Referenz Plattenfertiger'!$F$12))</f>
        <v>8.6840000000000011</v>
      </c>
      <c r="U150" s="17"/>
      <c r="V150" s="42"/>
      <c r="W150" s="37">
        <f>R150+S150</f>
        <v>0</v>
      </c>
      <c r="X150" s="37">
        <f>SUM(R150:T150)</f>
        <v>8.6840000000000011</v>
      </c>
      <c r="Y150" s="17" t="s">
        <v>184</v>
      </c>
      <c r="Z150" s="42"/>
      <c r="AA150" s="42"/>
      <c r="AB150" s="42"/>
      <c r="AC150" s="42"/>
      <c r="AD150" s="42"/>
      <c r="AE150" s="42"/>
      <c r="AF150" s="42"/>
      <c r="AG150" s="42"/>
    </row>
    <row r="151" spans="14:54" ht="15.75" hidden="1" outlineLevel="1" x14ac:dyDescent="0.3">
      <c r="N151" s="17"/>
      <c r="O151" s="17"/>
      <c r="P151" s="17" t="s">
        <v>59</v>
      </c>
      <c r="Q151" s="17"/>
      <c r="R151" s="37"/>
      <c r="S151" s="37"/>
      <c r="T151" s="450">
        <f>IF(NOT(ISBLANK('Referenz Plattenfertiger'!$K53)),'Referenz Plattenfertiger'!$K53*(IF(NOT(ISBLANK('Eingabe EF'!$AI38)),'Eingabe EF'!$AI38,'Eingabe EF'!$AG38)),IF(NOT(ISBLANK('Referenz Plattenfertiger'!$I53)),'Referenz Plattenfertiger'!$I53,'Referenz Plattenfertiger'!$F53)*IF(NOT(ISBLANK('Eingabe EF'!$AI38)),'Eingabe EF'!$AI38,'Eingabe EF'!$AG38)*IF(NOT(ISBLANK('Referenz Plattenfertiger'!$I$12)),'Referenz Plattenfertiger'!$I$12,'Referenz Plattenfertiger'!$F$12))</f>
        <v>72.319999999999993</v>
      </c>
      <c r="U151" s="17"/>
      <c r="V151" s="42"/>
      <c r="W151" s="37">
        <f>R151+S151</f>
        <v>0</v>
      </c>
      <c r="X151" s="37">
        <f>SUM(R151:T151)</f>
        <v>72.319999999999993</v>
      </c>
      <c r="Y151" s="17" t="s">
        <v>184</v>
      </c>
      <c r="Z151" s="42"/>
      <c r="AA151" s="42"/>
      <c r="AB151" s="42"/>
      <c r="AC151" s="42"/>
      <c r="AD151" s="42"/>
      <c r="AE151" s="42"/>
      <c r="AF151" s="42"/>
      <c r="AG151" s="42"/>
    </row>
    <row r="152" spans="14:54" ht="15.75" hidden="1" outlineLevel="1" x14ac:dyDescent="0.3">
      <c r="N152" s="17"/>
      <c r="O152" s="17"/>
      <c r="P152" s="17" t="str">
        <f>'Referenz Plattenfertiger'!D54</f>
        <v>Weiterer Zusatzstoff 1</v>
      </c>
      <c r="Q152" s="17"/>
      <c r="R152" s="37"/>
      <c r="S152" s="37"/>
      <c r="T152" s="453">
        <f>IF(NOT(ISBLANK('Referenz Plattenfertiger'!$K54)),'Referenz Plattenfertiger'!$K54*'Eingabe EF'!$AI39,IF(NOT(ISBLANK('Referenz Plattenfertiger'!$I54)),'Referenz Plattenfertiger'!$I54,'Referenz Plattenfertiger'!$F54)*('Eingabe EF'!$AI39)*IF(NOT(ISBLANK('Referenz Plattenfertiger'!$I$12)),'Referenz Plattenfertiger'!$I$12,'Referenz Plattenfertiger'!$F$12))</f>
        <v>0</v>
      </c>
      <c r="U152" s="17"/>
      <c r="V152" s="42"/>
      <c r="W152" s="37">
        <f t="shared" ref="W152:W153" si="28">R152+S152</f>
        <v>0</v>
      </c>
      <c r="X152" s="37">
        <f t="shared" ref="X152:X153" si="29">SUM(R152:T152)</f>
        <v>0</v>
      </c>
      <c r="Y152" s="17" t="s">
        <v>184</v>
      </c>
      <c r="Z152" s="42"/>
      <c r="AA152" s="42"/>
      <c r="AB152" s="42"/>
      <c r="AC152" s="42"/>
      <c r="AD152" s="42"/>
      <c r="AE152" s="42"/>
      <c r="AF152" s="42"/>
      <c r="AG152" s="42"/>
    </row>
    <row r="153" spans="14:54" ht="15.75" hidden="1" outlineLevel="1" x14ac:dyDescent="0.3">
      <c r="N153" s="17"/>
      <c r="O153" s="17"/>
      <c r="P153" s="17" t="str">
        <f>'Referenz Plattenfertiger'!D55</f>
        <v>Weiterer Zusatzstoff 2</v>
      </c>
      <c r="Q153" s="17"/>
      <c r="R153" s="37"/>
      <c r="S153" s="37"/>
      <c r="T153" s="453">
        <f>IF(NOT(ISBLANK('Referenz Plattenfertiger'!$K55)),'Referenz Plattenfertiger'!$K55*'Eingabe EF'!$AI40,IF(NOT(ISBLANK('Referenz Plattenfertiger'!$I55)),'Referenz Plattenfertiger'!$I55,'Referenz Plattenfertiger'!$F55)*('Eingabe EF'!$AI40)*IF(NOT(ISBLANK('Referenz Plattenfertiger'!$I$12)),'Referenz Plattenfertiger'!$I$12,'Referenz Plattenfertiger'!$F$12))</f>
        <v>0</v>
      </c>
      <c r="U153" s="17"/>
      <c r="V153" s="42"/>
      <c r="W153" s="37">
        <f t="shared" si="28"/>
        <v>0</v>
      </c>
      <c r="X153" s="37">
        <f t="shared" si="29"/>
        <v>0</v>
      </c>
      <c r="Y153" s="17" t="s">
        <v>184</v>
      </c>
      <c r="Z153" s="42"/>
      <c r="AA153" s="42"/>
      <c r="AB153" s="42"/>
      <c r="AC153" s="42"/>
      <c r="AD153" s="42"/>
      <c r="AE153" s="42"/>
      <c r="AF153" s="42"/>
      <c r="AG153" s="42"/>
    </row>
    <row r="154" spans="14:54" hidden="1" outlineLevel="1" x14ac:dyDescent="0.2">
      <c r="N154" s="17"/>
      <c r="O154" s="17"/>
      <c r="P154" s="17"/>
      <c r="Q154" s="17"/>
      <c r="R154" s="20"/>
      <c r="S154" s="20"/>
      <c r="T154" s="20"/>
      <c r="U154" s="17"/>
      <c r="V154" s="42"/>
      <c r="W154" s="17"/>
      <c r="X154" s="20"/>
      <c r="Y154" s="20"/>
      <c r="Z154" s="42"/>
      <c r="AA154" s="42"/>
      <c r="AB154" s="42"/>
      <c r="AC154" s="42"/>
      <c r="AD154" s="42"/>
      <c r="AE154" s="42"/>
      <c r="AF154" s="42"/>
      <c r="AG154" s="42"/>
    </row>
    <row r="155" spans="14:54" ht="14.25" hidden="1" outlineLevel="1" x14ac:dyDescent="0.25">
      <c r="N155" s="69"/>
      <c r="O155" s="69" t="s">
        <v>49</v>
      </c>
      <c r="P155" s="70"/>
      <c r="Q155" s="70"/>
      <c r="R155" s="71"/>
      <c r="S155" s="71"/>
      <c r="T155" s="71">
        <f>SUM(T156:T159)</f>
        <v>148.44746134951595</v>
      </c>
      <c r="U155" s="70"/>
      <c r="V155" s="42"/>
      <c r="W155" s="71">
        <f t="shared" ref="W155:W159" si="30">R155+S155</f>
        <v>0</v>
      </c>
      <c r="X155" s="71">
        <f>SUM(R155:T155)</f>
        <v>148.44746134951595</v>
      </c>
      <c r="Y155" s="76" t="s">
        <v>183</v>
      </c>
      <c r="Z155" s="42"/>
      <c r="AA155" s="42"/>
      <c r="AB155" s="42"/>
      <c r="AC155" s="42"/>
      <c r="AD155" s="42"/>
      <c r="AE155" s="42"/>
      <c r="AF155" s="42"/>
      <c r="AG155" s="42"/>
    </row>
    <row r="156" spans="14:54" ht="15.75" hidden="1" outlineLevel="1" x14ac:dyDescent="0.3">
      <c r="N156" s="17"/>
      <c r="O156" s="17"/>
      <c r="P156" s="17" t="s">
        <v>50</v>
      </c>
      <c r="Q156" s="17"/>
      <c r="R156" s="37"/>
      <c r="S156" s="37"/>
      <c r="T156" s="454">
        <f>IF(NOT(ISBLANK('Referenz Plattenfertiger'!$K58)),'Referenz Plattenfertiger'!$K58/1000*(IF(NOT(ISBLANK('Eingabe EF'!$AI43)),'Eingabe EF'!$AI43,'Eingabe EF'!$AG43)),IF(NOT(ISBLANK('Referenz Plattenfertiger'!$I$57)),'Referenz Plattenfertiger'!$I$57,'Referenz Plattenfertiger'!$F$57)*IF(NOT(ISBLANK('Referenz Plattenfertiger'!$I58)),'Referenz Plattenfertiger'!$I58,'Referenz Plattenfertiger'!$F58)*IF(NOT(ISBLANK('Eingabe EF'!$AI43)),'Eingabe EF'!$AI43,'Eingabe EF'!$AG43)*IF(NOT(ISBLANK('Referenz Plattenfertiger'!$I$12)),'Referenz Plattenfertiger'!$I$12,'Referenz Plattenfertiger'!$F$12))</f>
        <v>47.997919375812742</v>
      </c>
      <c r="U156" s="17"/>
      <c r="V156" s="42"/>
      <c r="W156" s="37">
        <f t="shared" si="30"/>
        <v>0</v>
      </c>
      <c r="X156" s="37">
        <f>SUM(R156:T156)</f>
        <v>47.997919375812742</v>
      </c>
      <c r="Y156" s="17" t="s">
        <v>184</v>
      </c>
      <c r="Z156" s="42"/>
      <c r="AA156" s="42"/>
      <c r="AB156" s="42"/>
      <c r="AC156" s="42"/>
      <c r="AD156" s="42"/>
      <c r="AE156" s="42"/>
      <c r="AF156" s="42"/>
      <c r="AG156" s="42"/>
    </row>
    <row r="157" spans="14:54" ht="15.75" hidden="1" outlineLevel="1" x14ac:dyDescent="0.3">
      <c r="N157" s="17"/>
      <c r="O157" s="17"/>
      <c r="P157" s="17" t="s">
        <v>52</v>
      </c>
      <c r="Q157" s="17"/>
      <c r="R157" s="37"/>
      <c r="S157" s="37"/>
      <c r="T157" s="454">
        <f>IF(NOT(ISBLANK('Referenz Plattenfertiger'!$K59)),'Referenz Plattenfertiger'!$K59/1000*(IF(NOT(ISBLANK('Eingabe EF'!$AI44)),'Eingabe EF'!$AI44,'Eingabe EF'!$AG44)),IF(NOT(ISBLANK('Referenz Plattenfertiger'!$I$57)),'Referenz Plattenfertiger'!$I$57,'Referenz Plattenfertiger'!$F$57)*IF(NOT(ISBLANK('Referenz Plattenfertiger'!$I59)),'Referenz Plattenfertiger'!$I59,'Referenz Plattenfertiger'!$F59)*IF(NOT(ISBLANK('Eingabe EF'!$AI44)),'Eingabe EF'!$AI44,'Eingabe EF'!$AG44)*IF(NOT(ISBLANK('Referenz Plattenfertiger'!$I$12)),'Referenz Plattenfertiger'!$I$12,'Referenz Plattenfertiger'!$F$12))</f>
        <v>5.7797543707556596</v>
      </c>
      <c r="U157" s="17"/>
      <c r="V157" s="42"/>
      <c r="W157" s="37">
        <f t="shared" si="30"/>
        <v>0</v>
      </c>
      <c r="X157" s="37">
        <f>SUM(R157:T157)</f>
        <v>5.7797543707556596</v>
      </c>
      <c r="Y157" s="17" t="s">
        <v>184</v>
      </c>
      <c r="Z157" s="42"/>
      <c r="AA157" s="42"/>
      <c r="AB157" s="42"/>
      <c r="AC157" s="42"/>
      <c r="AD157" s="42"/>
      <c r="AE157" s="42"/>
      <c r="AF157" s="42"/>
      <c r="AG157" s="42"/>
    </row>
    <row r="158" spans="14:54" ht="15.75" hidden="1" outlineLevel="1" x14ac:dyDescent="0.3">
      <c r="N158" s="17"/>
      <c r="O158" s="17"/>
      <c r="P158" s="17" t="s">
        <v>53</v>
      </c>
      <c r="Q158" s="17"/>
      <c r="R158" s="37"/>
      <c r="S158" s="37"/>
      <c r="T158" s="454">
        <f>IF(NOT(ISBLANK('Referenz Plattenfertiger'!$K60)),'Referenz Plattenfertiger'!$K60/1000*(IF(NOT(ISBLANK('Eingabe EF'!$AI45)),'Eingabe EF'!$AI45,'Eingabe EF'!$AG45)),IF(NOT(ISBLANK('Referenz Plattenfertiger'!$I$57)),'Referenz Plattenfertiger'!$I$57,'Referenz Plattenfertiger'!$F$57)*IF(NOT(ISBLANK('Referenz Plattenfertiger'!$I60)),'Referenz Plattenfertiger'!$I60,'Referenz Plattenfertiger'!$F60)*IF(NOT(ISBLANK('Eingabe EF'!$AI45)),'Eingabe EF'!$AI45,'Eingabe EF'!$AG45)*IF(NOT(ISBLANK('Referenz Plattenfertiger'!$I$12)),'Referenz Plattenfertiger'!$I$12,'Referenz Plattenfertiger'!$F$12))</f>
        <v>1.4217598612917211E-2</v>
      </c>
      <c r="U158" s="17"/>
      <c r="V158" s="42"/>
      <c r="W158" s="37">
        <f t="shared" si="30"/>
        <v>0</v>
      </c>
      <c r="X158" s="37">
        <f>SUM(R158:T158)</f>
        <v>1.4217598612917211E-2</v>
      </c>
      <c r="Y158" s="17" t="s">
        <v>184</v>
      </c>
      <c r="Z158" s="42"/>
      <c r="AA158" s="42"/>
      <c r="AB158" s="42"/>
      <c r="AC158" s="42"/>
      <c r="AD158" s="42"/>
      <c r="AE158" s="42"/>
      <c r="AF158" s="42"/>
      <c r="AG158" s="42"/>
    </row>
    <row r="159" spans="14:54" s="72" customFormat="1" ht="15.75" hidden="1" outlineLevel="1" x14ac:dyDescent="0.3">
      <c r="N159" s="17"/>
      <c r="O159" s="17"/>
      <c r="P159" s="17" t="s">
        <v>54</v>
      </c>
      <c r="Q159" s="17"/>
      <c r="R159" s="37"/>
      <c r="S159" s="37"/>
      <c r="T159" s="454">
        <f>IF(NOT(ISBLANK('Referenz Plattenfertiger'!$K61)),'Referenz Plattenfertiger'!$K61/1000*(IF(NOT(ISBLANK('Eingabe EF'!$AI46)),'Eingabe EF'!$AI46,'Eingabe EF'!$AG46)),IF(NOT(ISBLANK('Referenz Plattenfertiger'!$I$57)),'Referenz Plattenfertiger'!$I$57,'Referenz Plattenfertiger'!$F$57)*IF(NOT(ISBLANK('Referenz Plattenfertiger'!$I61)),'Referenz Plattenfertiger'!$I61,'Referenz Plattenfertiger'!$F61)*IF(NOT(ISBLANK('Eingabe EF'!$AI46)),'Eingabe EF'!$AI46,'Eingabe EF'!$AG46)*IF(NOT(ISBLANK('Referenz Plattenfertiger'!$I$12)),'Referenz Plattenfertiger'!$I$12,'Referenz Plattenfertiger'!$F$12))</f>
        <v>94.655570004334635</v>
      </c>
      <c r="U159" s="17"/>
      <c r="V159" s="42"/>
      <c r="W159" s="37">
        <f t="shared" si="30"/>
        <v>0</v>
      </c>
      <c r="X159" s="37">
        <f>SUM(R159:T159)</f>
        <v>94.655570004334635</v>
      </c>
      <c r="Y159" s="17" t="s">
        <v>184</v>
      </c>
      <c r="Z159" s="42"/>
      <c r="AA159" s="42"/>
      <c r="AB159" s="42"/>
      <c r="AC159" s="42"/>
      <c r="AD159" s="42"/>
      <c r="AE159" s="42"/>
      <c r="AF159" s="42"/>
      <c r="AG159" s="42"/>
      <c r="AH159" s="6"/>
      <c r="AI159" s="6"/>
      <c r="AJ159" s="6"/>
      <c r="AK159" s="6"/>
      <c r="AL159" s="6"/>
      <c r="AM159" s="6"/>
      <c r="AN159" s="6"/>
      <c r="AO159" s="6"/>
      <c r="AP159" s="6"/>
      <c r="AQ159" s="6"/>
      <c r="AR159" s="6"/>
      <c r="AS159" s="6"/>
      <c r="AT159" s="6"/>
      <c r="AU159" s="6"/>
      <c r="AV159" s="6"/>
      <c r="AW159" s="6"/>
      <c r="AX159" s="6"/>
      <c r="AY159" s="6"/>
      <c r="AZ159" s="6"/>
      <c r="BA159" s="6"/>
      <c r="BB159" s="6"/>
    </row>
    <row r="160" spans="14:54" hidden="1" outlineLevel="1" x14ac:dyDescent="0.2">
      <c r="N160" s="17"/>
      <c r="O160" s="17"/>
      <c r="P160" s="17"/>
      <c r="Q160" s="17"/>
      <c r="R160" s="20"/>
      <c r="S160" s="20"/>
      <c r="T160" s="20"/>
      <c r="U160" s="17"/>
      <c r="V160" s="42"/>
      <c r="W160" s="20"/>
      <c r="X160" s="20"/>
      <c r="Y160" s="17"/>
      <c r="Z160" s="42"/>
      <c r="AA160" s="42"/>
      <c r="AB160" s="42"/>
      <c r="AC160" s="42"/>
      <c r="AD160" s="42"/>
      <c r="AE160" s="42"/>
      <c r="AF160" s="42"/>
      <c r="AG160" s="42"/>
    </row>
    <row r="161" spans="14:34" ht="14.25" hidden="1" outlineLevel="1" x14ac:dyDescent="0.25">
      <c r="N161" s="17"/>
      <c r="O161" s="17"/>
      <c r="P161" s="21" t="s">
        <v>99</v>
      </c>
      <c r="Q161" s="21"/>
      <c r="R161" s="74"/>
      <c r="S161" s="74"/>
      <c r="T161" s="74">
        <f>IF(NOT(ISBLANK('Referenz Plattenfertiger'!$I63)),'Referenz Plattenfertiger'!$I63,'Referenz Plattenfertiger'!$F63)*IF(NOT(ISBLANK('Eingabe EF'!$AI48)),'Eingabe EF'!$AI48,0)*IF(NOT(ISBLANK('Referenz Plattenfertiger'!$I$12)),'Referenz Plattenfertiger'!$I$12,'Referenz Plattenfertiger'!$F$12)</f>
        <v>0</v>
      </c>
      <c r="U161" s="21"/>
      <c r="V161" s="42"/>
      <c r="W161" s="74">
        <f>R161+S161</f>
        <v>0</v>
      </c>
      <c r="X161" s="74">
        <f>SUM(R161:T161)</f>
        <v>0</v>
      </c>
      <c r="Y161" s="21" t="s">
        <v>183</v>
      </c>
      <c r="Z161" s="42"/>
      <c r="AA161" s="42"/>
      <c r="AB161" s="42"/>
      <c r="AC161" s="42"/>
      <c r="AD161" s="42"/>
      <c r="AE161" s="42"/>
      <c r="AF161" s="42"/>
      <c r="AG161" s="42"/>
    </row>
    <row r="162" spans="14:34" ht="14.25" hidden="1" outlineLevel="1" x14ac:dyDescent="0.25">
      <c r="N162" s="17"/>
      <c r="O162" s="17"/>
      <c r="P162" s="21" t="s">
        <v>62</v>
      </c>
      <c r="Q162" s="21"/>
      <c r="R162" s="74"/>
      <c r="S162" s="74"/>
      <c r="T162" s="74">
        <f>IF(NOT(ISBLANK('Referenz Plattenfertiger'!$I64)),'Referenz Plattenfertiger'!$I64,'Referenz Plattenfertiger'!$F64)*IF(NOT(ISBLANK('Eingabe EF'!$AI49)),'Eingabe EF'!$AI49,'Eingabe EF'!$AG49)</f>
        <v>0.54400000000000004</v>
      </c>
      <c r="U162" s="21"/>
      <c r="V162" s="42"/>
      <c r="W162" s="74">
        <f>R162+S162</f>
        <v>0</v>
      </c>
      <c r="X162" s="74">
        <f>SUM(R162:T162)</f>
        <v>0.54400000000000004</v>
      </c>
      <c r="Y162" s="21" t="s">
        <v>183</v>
      </c>
      <c r="Z162" s="42"/>
      <c r="AA162" s="42"/>
      <c r="AB162" s="42"/>
      <c r="AC162" s="42"/>
      <c r="AD162" s="42"/>
      <c r="AE162" s="42"/>
      <c r="AF162" s="42"/>
      <c r="AG162" s="42"/>
    </row>
    <row r="163" spans="14:34" hidden="1" outlineLevel="1" x14ac:dyDescent="0.2">
      <c r="N163" s="17"/>
      <c r="O163" s="17"/>
      <c r="P163" s="17"/>
      <c r="Q163" s="17"/>
      <c r="R163" s="20"/>
      <c r="S163" s="20"/>
      <c r="T163" s="20"/>
      <c r="U163" s="17"/>
      <c r="V163" s="42"/>
      <c r="W163" s="20"/>
      <c r="X163" s="20"/>
      <c r="Y163" s="17"/>
      <c r="Z163" s="42"/>
      <c r="AA163" s="42"/>
      <c r="AB163" s="42"/>
      <c r="AC163" s="42"/>
      <c r="AD163" s="42"/>
      <c r="AE163" s="42"/>
      <c r="AF163" s="42"/>
      <c r="AG163" s="42"/>
    </row>
    <row r="164" spans="14:34" ht="14.25" hidden="1" outlineLevel="1" x14ac:dyDescent="0.25">
      <c r="N164" s="69"/>
      <c r="O164" s="69" t="s">
        <v>168</v>
      </c>
      <c r="P164" s="70"/>
      <c r="Q164" s="70"/>
      <c r="R164" s="71"/>
      <c r="S164" s="71"/>
      <c r="T164" s="71">
        <f>SUM(T165:T167)</f>
        <v>0.16095999999999999</v>
      </c>
      <c r="U164" s="70"/>
      <c r="V164" s="42"/>
      <c r="W164" s="71">
        <f t="shared" ref="W164:W167" si="31">R164+S164</f>
        <v>0</v>
      </c>
      <c r="X164" s="71">
        <f>SUM(R164:T164)</f>
        <v>0.16095999999999999</v>
      </c>
      <c r="Y164" s="76" t="s">
        <v>183</v>
      </c>
      <c r="Z164" s="42"/>
      <c r="AA164" s="42"/>
      <c r="AB164" s="42"/>
      <c r="AC164" s="42"/>
      <c r="AD164" s="42"/>
      <c r="AE164" s="42"/>
      <c r="AF164" s="42"/>
      <c r="AG164" s="42"/>
    </row>
    <row r="165" spans="14:34" ht="15.75" hidden="1" outlineLevel="1" x14ac:dyDescent="0.3">
      <c r="N165" s="17"/>
      <c r="O165" s="17"/>
      <c r="P165" s="17" t="s">
        <v>169</v>
      </c>
      <c r="Q165" s="17"/>
      <c r="R165" s="37"/>
      <c r="S165" s="37"/>
      <c r="T165" s="455">
        <f>IF(NOT(ISBLANK('Referenz Plattenfertiger'!$K67)),'Referenz Plattenfertiger'!$K67/1000*('Eingabe EF'!$AI52),IF(NOT(ISBLANK('Referenz Plattenfertiger'!$I$57)),'Referenz Plattenfertiger'!$I$57,'Referenz Plattenfertiger'!$F$57)*IF(NOT(ISBLANK('Referenz Plattenfertiger'!$I67)),'Referenz Plattenfertiger'!$I67,'Referenz Plattenfertiger'!$F67)*('Eingabe EF'!$AI52)*IF(NOT(ISBLANK('Referenz Plattenfertiger'!$I$12)),'Referenz Plattenfertiger'!$I$12,'Referenz Plattenfertiger'!$F$12))</f>
        <v>0</v>
      </c>
      <c r="U165" s="17"/>
      <c r="V165" s="42"/>
      <c r="W165" s="37">
        <f t="shared" si="31"/>
        <v>0</v>
      </c>
      <c r="X165" s="37">
        <f>SUM(R165:T165)</f>
        <v>0</v>
      </c>
      <c r="Y165" s="17" t="s">
        <v>184</v>
      </c>
      <c r="Z165" s="42"/>
      <c r="AA165" s="42"/>
      <c r="AB165" s="42"/>
      <c r="AC165" s="42"/>
      <c r="AD165" s="42"/>
      <c r="AE165" s="42"/>
      <c r="AF165" s="42"/>
      <c r="AG165" s="42"/>
    </row>
    <row r="166" spans="14:34" ht="15.75" hidden="1" outlineLevel="1" x14ac:dyDescent="0.3">
      <c r="N166" s="17"/>
      <c r="O166" s="17"/>
      <c r="P166" s="17" t="s">
        <v>60</v>
      </c>
      <c r="Q166" s="17"/>
      <c r="R166" s="37"/>
      <c r="S166" s="37"/>
      <c r="T166" s="454">
        <f>IF(NOT(ISBLANK('Referenz Plattenfertiger'!$K68)),'Referenz Plattenfertiger'!$K68/1000*(IF(NOT(ISBLANK('Eingabe EF'!$AI53)),'Eingabe EF'!$AI53,'Eingabe EF'!$AG53)),IF(NOT(ISBLANK('Referenz Plattenfertiger'!$I$57)),'Referenz Plattenfertiger'!$I$57,'Referenz Plattenfertiger'!$F$57)*IF(NOT(ISBLANK('Referenz Plattenfertiger'!$I68)),'Referenz Plattenfertiger'!$I68,'Referenz Plattenfertiger'!$F68)*IF(NOT(ISBLANK('Eingabe EF'!$AI53)),'Eingabe EF'!$AI53,'Eingabe EF'!$AG53)*IF(NOT(ISBLANK('Referenz Plattenfertiger'!$I$12)),'Referenz Plattenfertiger'!$I$12,'Referenz Plattenfertiger'!$F$12))</f>
        <v>0.16095999999999999</v>
      </c>
      <c r="U166" s="17"/>
      <c r="V166" s="42"/>
      <c r="W166" s="37">
        <f t="shared" si="31"/>
        <v>0</v>
      </c>
      <c r="X166" s="37">
        <f>SUM(R166:T166)</f>
        <v>0.16095999999999999</v>
      </c>
      <c r="Y166" s="17" t="s">
        <v>184</v>
      </c>
      <c r="Z166" s="42"/>
      <c r="AA166" s="42"/>
      <c r="AB166" s="42"/>
      <c r="AC166" s="42"/>
      <c r="AD166" s="42"/>
      <c r="AE166" s="42"/>
      <c r="AF166" s="42"/>
      <c r="AG166" s="42"/>
    </row>
    <row r="167" spans="14:34" ht="15.75" hidden="1" outlineLevel="1" x14ac:dyDescent="0.3">
      <c r="N167" s="17"/>
      <c r="O167" s="17"/>
      <c r="P167" s="17" t="s">
        <v>170</v>
      </c>
      <c r="Q167" s="17"/>
      <c r="R167" s="37"/>
      <c r="S167" s="37"/>
      <c r="T167" s="455">
        <f>IF(NOT(ISBLANK('Referenz Plattenfertiger'!$K69)),'Referenz Plattenfertiger'!$K69/1000*('Eingabe EF'!$AI54),IF(NOT(ISBLANK('Referenz Plattenfertiger'!$I$57)),'Referenz Plattenfertiger'!$I$57,'Referenz Plattenfertiger'!$F$57)*IF(NOT(ISBLANK('Referenz Plattenfertiger'!$I69)),'Referenz Plattenfertiger'!$I69,'Referenz Plattenfertiger'!$F69)*('Eingabe EF'!$AI54)*IF(NOT(ISBLANK('Referenz Plattenfertiger'!$I$12)),'Referenz Plattenfertiger'!$I$12,'Referenz Plattenfertiger'!$F$12))</f>
        <v>0</v>
      </c>
      <c r="U167" s="17"/>
      <c r="V167" s="42"/>
      <c r="W167" s="37">
        <f t="shared" si="31"/>
        <v>0</v>
      </c>
      <c r="X167" s="37">
        <f>SUM(R167:T167)</f>
        <v>0</v>
      </c>
      <c r="Y167" s="17" t="s">
        <v>184</v>
      </c>
      <c r="Z167" s="42"/>
      <c r="AA167" s="42"/>
      <c r="AB167" s="42"/>
      <c r="AC167" s="42"/>
      <c r="AD167" s="42"/>
      <c r="AE167" s="42"/>
      <c r="AF167" s="42"/>
      <c r="AG167" s="42"/>
    </row>
    <row r="168" spans="14:34" hidden="1" outlineLevel="1" x14ac:dyDescent="0.2">
      <c r="N168" s="17"/>
      <c r="O168" s="17"/>
      <c r="P168" s="17"/>
      <c r="Q168" s="17"/>
      <c r="R168" s="20"/>
      <c r="S168" s="20"/>
      <c r="T168" s="20"/>
      <c r="U168" s="17"/>
      <c r="V168" s="42"/>
      <c r="W168" s="17"/>
      <c r="X168" s="17"/>
      <c r="Y168" s="20"/>
      <c r="Z168" s="42"/>
      <c r="AA168" s="42"/>
      <c r="AB168" s="42"/>
      <c r="AC168" s="42"/>
      <c r="AD168" s="42"/>
      <c r="AE168" s="42"/>
      <c r="AF168" s="42"/>
      <c r="AG168" s="42"/>
    </row>
    <row r="169" spans="14:34" ht="14.25" hidden="1" outlineLevel="1" x14ac:dyDescent="0.25">
      <c r="N169" s="69"/>
      <c r="O169" s="69" t="s">
        <v>171</v>
      </c>
      <c r="P169" s="70"/>
      <c r="Q169" s="70"/>
      <c r="R169" s="71"/>
      <c r="S169" s="71"/>
      <c r="T169" s="71">
        <f>SUM(T170:T172)</f>
        <v>60</v>
      </c>
      <c r="U169" s="70"/>
      <c r="V169" s="42"/>
      <c r="W169" s="71">
        <f>R169+S169</f>
        <v>0</v>
      </c>
      <c r="X169" s="71">
        <f>SUM(R169:T169)</f>
        <v>60</v>
      </c>
      <c r="Y169" s="76" t="s">
        <v>183</v>
      </c>
      <c r="Z169" s="42"/>
      <c r="AA169" s="42"/>
      <c r="AB169" s="42"/>
      <c r="AC169" s="42"/>
      <c r="AD169" s="42"/>
      <c r="AE169" s="42"/>
      <c r="AF169" s="42"/>
      <c r="AG169" s="42"/>
    </row>
    <row r="170" spans="14:34" ht="15.75" hidden="1" outlineLevel="1" x14ac:dyDescent="0.3">
      <c r="N170" s="17"/>
      <c r="O170" s="17"/>
      <c r="P170" s="17" t="s">
        <v>64</v>
      </c>
      <c r="Q170" s="17"/>
      <c r="R170" s="37"/>
      <c r="S170" s="37"/>
      <c r="T170" s="37">
        <f>IF(NOT(ISBLANK('Referenz Plattenfertiger'!$I72)),'Referenz Plattenfertiger'!$I72,'Referenz Plattenfertiger'!$F72)*IF(NOT(ISBLANK('Eingabe EF'!$AI57)),'Eingabe EF'!$AI57,'Eingabe EF'!$AG57)</f>
        <v>60</v>
      </c>
      <c r="U170" s="17"/>
      <c r="V170" s="42"/>
      <c r="W170" s="37">
        <f>R170+S170</f>
        <v>0</v>
      </c>
      <c r="X170" s="37">
        <f>SUM(R170:T170)</f>
        <v>60</v>
      </c>
      <c r="Y170" s="17" t="s">
        <v>184</v>
      </c>
      <c r="Z170" s="42"/>
      <c r="AA170" s="42"/>
      <c r="AB170" s="42"/>
      <c r="AC170" s="42"/>
      <c r="AD170" s="42"/>
      <c r="AE170" s="42"/>
      <c r="AF170" s="42"/>
      <c r="AG170" s="42"/>
    </row>
    <row r="171" spans="14:34" ht="15.75" hidden="1" outlineLevel="1" x14ac:dyDescent="0.3">
      <c r="N171" s="17"/>
      <c r="O171" s="17"/>
      <c r="P171" s="17" t="s">
        <v>173</v>
      </c>
      <c r="Q171" s="17"/>
      <c r="R171" s="37"/>
      <c r="S171" s="37"/>
      <c r="T171" s="37">
        <f>IF(NOT(ISBLANK('Referenz Plattenfertiger'!$I73)),'Referenz Plattenfertiger'!$I73,'Referenz Plattenfertiger'!$F73)*IF(NOT(ISBLANK('Eingabe EF'!$AI58)),'Eingabe EF'!$AI58,0)</f>
        <v>0</v>
      </c>
      <c r="U171" s="17"/>
      <c r="V171" s="42"/>
      <c r="W171" s="37">
        <f t="shared" ref="W171:W172" si="32">R171+S171</f>
        <v>0</v>
      </c>
      <c r="X171" s="37">
        <f>SUM(R171:T171)</f>
        <v>0</v>
      </c>
      <c r="Y171" s="17" t="s">
        <v>184</v>
      </c>
      <c r="Z171" s="42"/>
      <c r="AA171" s="42"/>
      <c r="AB171" s="42"/>
      <c r="AC171" s="42"/>
      <c r="AD171" s="42"/>
      <c r="AE171" s="42"/>
      <c r="AF171" s="42"/>
      <c r="AG171" s="42"/>
    </row>
    <row r="172" spans="14:34" ht="15.75" hidden="1" outlineLevel="1" x14ac:dyDescent="0.3">
      <c r="N172" s="17"/>
      <c r="O172" s="17"/>
      <c r="P172" s="17" t="s">
        <v>172</v>
      </c>
      <c r="Q172" s="17"/>
      <c r="R172" s="37"/>
      <c r="S172" s="37"/>
      <c r="T172" s="37">
        <f>IF(NOT(ISBLANK('Referenz Plattenfertiger'!$I74)),'Referenz Plattenfertiger'!$I74,'Referenz Plattenfertiger'!$F74)*IF(NOT(ISBLANK('Eingabe EF'!$AI59)),'Eingabe EF'!$AI59,0)</f>
        <v>0</v>
      </c>
      <c r="U172" s="17"/>
      <c r="V172" s="42"/>
      <c r="W172" s="37">
        <f t="shared" si="32"/>
        <v>0</v>
      </c>
      <c r="X172" s="37">
        <f>SUM(R172:T172)</f>
        <v>0</v>
      </c>
      <c r="Y172" s="17" t="s">
        <v>184</v>
      </c>
      <c r="Z172" s="42"/>
      <c r="AA172" s="42"/>
      <c r="AB172" s="42"/>
      <c r="AC172" s="42"/>
      <c r="AD172" s="42"/>
      <c r="AE172" s="42"/>
      <c r="AF172" s="42"/>
      <c r="AG172" s="42"/>
    </row>
    <row r="173" spans="14:34" hidden="1" outlineLevel="1" x14ac:dyDescent="0.2">
      <c r="N173" s="17"/>
      <c r="O173" s="17"/>
      <c r="P173" s="17"/>
      <c r="Q173" s="17"/>
      <c r="R173" s="20"/>
      <c r="S173" s="20"/>
      <c r="T173" s="20"/>
      <c r="U173" s="17"/>
      <c r="V173" s="42"/>
      <c r="W173" s="17"/>
      <c r="X173" s="17"/>
      <c r="Y173" s="20"/>
      <c r="Z173" s="42"/>
      <c r="AA173" s="42"/>
      <c r="AB173" s="42"/>
      <c r="AC173" s="42"/>
      <c r="AD173" s="42"/>
      <c r="AE173" s="42"/>
      <c r="AF173" s="42"/>
      <c r="AG173" s="42"/>
    </row>
    <row r="174" spans="14:34" ht="14.25" hidden="1" outlineLevel="1" x14ac:dyDescent="0.25">
      <c r="N174" s="17"/>
      <c r="O174" s="17"/>
      <c r="P174" s="21" t="s">
        <v>61</v>
      </c>
      <c r="Q174" s="21"/>
      <c r="R174" s="74"/>
      <c r="S174" s="74"/>
      <c r="T174" s="74">
        <f>IF(NOT(ISBLANK('Referenz Plattenfertiger'!$I76)),'Referenz Plattenfertiger'!$I76,'Referenz Plattenfertiger'!$F76)*IF(NOT(ISBLANK('Eingabe EF'!$AI61)),'Eingabe EF'!$AI61,'Eingabe EF'!$AG61)</f>
        <v>64.48</v>
      </c>
      <c r="U174" s="21"/>
      <c r="V174" s="42"/>
      <c r="W174" s="74">
        <f t="shared" ref="W174" si="33">R174+S174</f>
        <v>0</v>
      </c>
      <c r="X174" s="74">
        <f>SUM(R174:T174)</f>
        <v>64.48</v>
      </c>
      <c r="Y174" s="21" t="s">
        <v>183</v>
      </c>
    </row>
    <row r="175" spans="14:34" hidden="1" outlineLevel="1" x14ac:dyDescent="0.2">
      <c r="N175" s="17"/>
      <c r="O175" s="17"/>
      <c r="P175" s="17"/>
      <c r="Q175" s="17"/>
      <c r="R175" s="20"/>
      <c r="S175" s="20"/>
      <c r="T175" s="20"/>
      <c r="U175" s="17"/>
      <c r="V175" s="42"/>
      <c r="W175" s="17"/>
      <c r="X175" s="17"/>
      <c r="Y175" s="20"/>
    </row>
    <row r="176" spans="14:34" ht="16.5" hidden="1" outlineLevel="1" thickBot="1" x14ac:dyDescent="0.3">
      <c r="N176" s="17"/>
      <c r="O176" s="17"/>
      <c r="P176" s="67" t="s">
        <v>67</v>
      </c>
      <c r="Q176" s="67"/>
      <c r="R176" s="68">
        <f>SUM(R115:R174)-R129-R133-R139-R148-R155-R164-R169</f>
        <v>82.681459059999995</v>
      </c>
      <c r="S176" s="68">
        <f>SUM(S115:S174)-S129-S133-S139-S148-S155-S164-S169</f>
        <v>121.145673676052</v>
      </c>
      <c r="T176" s="68">
        <f>SUM(T115:T174)-T129-T133-T139-T148-T155-T164-T169</f>
        <v>5741.7170708081012</v>
      </c>
      <c r="U176" s="21"/>
      <c r="V176" s="42"/>
      <c r="W176" s="68">
        <f>SUM(W115:W174)-W129-W133-W139-W148-W155-W164-W169</f>
        <v>203.82713273605199</v>
      </c>
      <c r="X176" s="68">
        <f>SUM(X115:X174)-X129-X133-X139-X148-X155-X164-X169</f>
        <v>5945.5442035441538</v>
      </c>
      <c r="Y176" s="68" t="s">
        <v>183</v>
      </c>
      <c r="AA176" s="22" t="s">
        <v>106</v>
      </c>
      <c r="AB176" s="17"/>
      <c r="AC176" s="17"/>
      <c r="AD176" s="17"/>
      <c r="AE176" s="17"/>
      <c r="AF176" s="17"/>
      <c r="AG176" s="17"/>
      <c r="AH176" s="17"/>
    </row>
    <row r="177" spans="14:34" ht="15.75" hidden="1" outlineLevel="1" thickTop="1" x14ac:dyDescent="0.25">
      <c r="N177" s="17"/>
      <c r="O177" s="17"/>
      <c r="P177" s="17"/>
      <c r="Q177" s="17"/>
      <c r="R177" s="20"/>
      <c r="S177" s="20"/>
      <c r="T177" s="20"/>
      <c r="U177" s="17"/>
      <c r="V177" s="42"/>
      <c r="W177" s="17"/>
      <c r="X177" s="17"/>
      <c r="Y177" s="20"/>
      <c r="AA177" s="64">
        <f>S79</f>
        <v>10</v>
      </c>
      <c r="AB177" s="17"/>
      <c r="AC177" s="17"/>
      <c r="AD177" s="17"/>
      <c r="AE177" s="17"/>
      <c r="AF177" s="17"/>
      <c r="AG177" s="17"/>
      <c r="AH177" s="17"/>
    </row>
    <row r="178" spans="14:34" hidden="1" outlineLevel="1" x14ac:dyDescent="0.2">
      <c r="AA178" s="17"/>
      <c r="AB178" s="17"/>
      <c r="AC178" s="17"/>
      <c r="AD178" s="17"/>
      <c r="AE178" s="17"/>
      <c r="AF178" s="17"/>
      <c r="AG178" s="17"/>
      <c r="AH178" s="17"/>
    </row>
    <row r="179" spans="14:34" hidden="1" outlineLevel="1" x14ac:dyDescent="0.2">
      <c r="AA179" s="17"/>
      <c r="AB179" s="17"/>
      <c r="AC179" s="17"/>
      <c r="AD179" s="17"/>
      <c r="AE179" s="17"/>
      <c r="AF179" s="17"/>
      <c r="AG179" s="17"/>
      <c r="AH179" s="17"/>
    </row>
    <row r="180" spans="14:34" ht="15.75" hidden="1" outlineLevel="1" x14ac:dyDescent="0.25">
      <c r="N180" s="22"/>
      <c r="O180" s="22" t="s">
        <v>103</v>
      </c>
      <c r="P180" s="17"/>
      <c r="Q180" s="17"/>
      <c r="R180" s="17"/>
      <c r="S180" s="17"/>
      <c r="T180" s="17"/>
      <c r="U180" s="17"/>
      <c r="V180" s="17"/>
      <c r="W180" s="17"/>
      <c r="X180" s="17"/>
      <c r="Y180" s="17"/>
      <c r="AA180" s="17"/>
      <c r="AB180" s="17"/>
      <c r="AC180" s="17"/>
      <c r="AD180" s="18"/>
      <c r="AE180" s="18"/>
      <c r="AF180" s="17"/>
      <c r="AG180" s="18"/>
      <c r="AH180" s="18"/>
    </row>
    <row r="181" spans="14:34" ht="15" hidden="1" outlineLevel="1" x14ac:dyDescent="0.25">
      <c r="N181" s="64"/>
      <c r="O181" s="64">
        <f>S79</f>
        <v>10</v>
      </c>
      <c r="P181" s="25"/>
      <c r="Q181" s="25"/>
      <c r="R181" s="25"/>
      <c r="S181" s="25"/>
      <c r="T181" s="25"/>
      <c r="U181" s="25"/>
      <c r="V181" s="17"/>
      <c r="W181" s="25"/>
      <c r="X181" s="25"/>
      <c r="Y181" s="25"/>
      <c r="AA181" s="17"/>
      <c r="AB181" s="17"/>
      <c r="AC181" s="17"/>
      <c r="AD181" s="18"/>
      <c r="AE181" s="18"/>
      <c r="AF181" s="17"/>
      <c r="AG181" s="18"/>
      <c r="AH181" s="18"/>
    </row>
    <row r="182" spans="14:34" hidden="1" outlineLevel="1" x14ac:dyDescent="0.2">
      <c r="N182" s="17"/>
      <c r="O182" s="17"/>
      <c r="P182" s="17" t="s">
        <v>192</v>
      </c>
      <c r="Q182" s="38">
        <f>(1-(IF(NOT(ISBLANK($J16)),$J16/100,$H16/100)))</f>
        <v>0.7</v>
      </c>
      <c r="R182" s="17"/>
      <c r="S182" s="17"/>
      <c r="T182" s="17"/>
      <c r="U182" s="17"/>
      <c r="V182" s="17"/>
      <c r="W182" s="17"/>
      <c r="X182" s="17"/>
      <c r="Y182" s="17"/>
      <c r="AA182" s="17" t="s">
        <v>132</v>
      </c>
      <c r="AB182" s="17"/>
      <c r="AC182" s="17"/>
      <c r="AD182" s="18"/>
      <c r="AE182" s="18"/>
      <c r="AF182" s="17"/>
      <c r="AG182" s="18"/>
      <c r="AH182" s="18"/>
    </row>
    <row r="183" spans="14:34" hidden="1" outlineLevel="1" x14ac:dyDescent="0.2">
      <c r="N183" s="17"/>
      <c r="O183" s="17"/>
      <c r="P183" s="17"/>
      <c r="Q183" s="17"/>
      <c r="R183" s="17"/>
      <c r="S183" s="17"/>
      <c r="T183" s="17"/>
      <c r="U183" s="17"/>
      <c r="V183" s="17"/>
      <c r="W183" s="17"/>
      <c r="X183" s="17"/>
      <c r="Y183" s="17"/>
      <c r="AA183" s="17"/>
      <c r="AB183" s="17" t="s">
        <v>114</v>
      </c>
      <c r="AC183" s="17"/>
      <c r="AD183" s="19"/>
      <c r="AE183" s="19"/>
      <c r="AF183" s="17"/>
      <c r="AG183" s="41">
        <f>IF(NOT(ISBLANK('Referenz Plattenfertiger'!$I16)),'Referenz Plattenfertiger'!$I16,'Referenz Plattenfertiger'!$F16)/1000*$Q$182*IF(NOT(ISBLANK('Eingabe Preise'!$O10)),'Eingabe Preise'!$O10,'Eingabe Preise'!$M10)</f>
        <v>8027.5999999999995</v>
      </c>
      <c r="AH183" s="20" t="s">
        <v>96</v>
      </c>
    </row>
    <row r="184" spans="14:34" ht="63.75" hidden="1" outlineLevel="1" x14ac:dyDescent="0.2">
      <c r="N184" s="17"/>
      <c r="O184" s="17"/>
      <c r="P184" s="17"/>
      <c r="Q184" s="17"/>
      <c r="R184" s="36" t="s">
        <v>25</v>
      </c>
      <c r="S184" s="36" t="s">
        <v>77</v>
      </c>
      <c r="T184" s="36" t="s">
        <v>27</v>
      </c>
      <c r="U184" s="17"/>
      <c r="V184" s="18"/>
      <c r="W184" s="39" t="s">
        <v>100</v>
      </c>
      <c r="X184" s="40" t="s">
        <v>37</v>
      </c>
      <c r="Y184" s="17"/>
      <c r="AA184" s="17"/>
      <c r="AB184" s="17" t="s">
        <v>151</v>
      </c>
      <c r="AC184" s="17"/>
      <c r="AD184" s="20"/>
      <c r="AE184" s="20"/>
      <c r="AF184" s="17"/>
      <c r="AG184" s="41">
        <f>IF(NOT(ISBLANK('Referenz Plattenfertiger'!$I17)),'Referenz Plattenfertiger'!$I17,'Referenz Plattenfertiger'!$F17)/1000*$Q$182*IF(NOT(ISBLANK('Eingabe Preise'!$O11)),'Eingabe Preise'!$O11,'Eingabe Preise'!$M11)</f>
        <v>772.79999999999984</v>
      </c>
      <c r="AH184" s="20" t="s">
        <v>96</v>
      </c>
    </row>
    <row r="185" spans="14:34" ht="14.25" hidden="1" outlineLevel="1" x14ac:dyDescent="0.25">
      <c r="N185" s="76"/>
      <c r="O185" s="76" t="s">
        <v>176</v>
      </c>
      <c r="P185" s="76"/>
      <c r="Q185" s="76"/>
      <c r="R185" s="77">
        <f>SUM(R187:R200)</f>
        <v>82.681459059999995</v>
      </c>
      <c r="S185" s="77">
        <f>SUM(S187:S200)</f>
        <v>59.705978200727237</v>
      </c>
      <c r="T185" s="77">
        <f>SUM(T187:T200)</f>
        <v>22.781355106179909</v>
      </c>
      <c r="U185" s="76"/>
      <c r="V185" s="18"/>
      <c r="W185" s="77">
        <f>R185+S185</f>
        <v>142.38743726072724</v>
      </c>
      <c r="X185" s="77">
        <f>SUM(R185:T185)</f>
        <v>165.16879236690716</v>
      </c>
      <c r="Y185" s="76" t="s">
        <v>183</v>
      </c>
      <c r="AA185" s="17"/>
      <c r="AB185" s="17" t="s">
        <v>138</v>
      </c>
      <c r="AC185" s="17"/>
      <c r="AD185" s="20"/>
      <c r="AE185" s="20"/>
      <c r="AF185" s="17"/>
      <c r="AG185" s="41">
        <f>IF(NOT(ISBLANK('Referenz Plattenfertiger'!$I18)),'Referenz Plattenfertiger'!$I18,'Referenz Plattenfertiger'!$F18)/1000*$Q$182*IF(NOT(ISBLANK('Eingabe Preise'!$O12)),'Eingabe Preise'!$O12,'Eingabe Preise'!$M12)</f>
        <v>5417.9999999999991</v>
      </c>
      <c r="AH185" s="20" t="s">
        <v>96</v>
      </c>
    </row>
    <row r="186" spans="14:34" hidden="1" outlineLevel="1" x14ac:dyDescent="0.2">
      <c r="N186" s="17"/>
      <c r="O186" s="17" t="s">
        <v>132</v>
      </c>
      <c r="P186" s="17"/>
      <c r="Q186" s="17"/>
      <c r="R186" s="17"/>
      <c r="S186" s="17"/>
      <c r="T186" s="17"/>
      <c r="U186" s="17"/>
      <c r="V186" s="18"/>
      <c r="W186" s="17"/>
      <c r="X186" s="17"/>
      <c r="Y186" s="17"/>
      <c r="AA186" s="17"/>
      <c r="AB186" s="17" t="s">
        <v>115</v>
      </c>
      <c r="AC186" s="17"/>
      <c r="AD186" s="20"/>
      <c r="AE186" s="20"/>
      <c r="AF186" s="17"/>
      <c r="AG186" s="41">
        <f>IF(NOT(ISBLANK('Referenz Plattenfertiger'!$I19)),'Referenz Plattenfertiger'!$I19,'Referenz Plattenfertiger'!$F19)/1000*$Q$182*IF(NOT(ISBLANK('Eingabe Preise'!$O16)),'Eingabe Preise'!$O16,0)</f>
        <v>0</v>
      </c>
      <c r="AH186" s="20" t="s">
        <v>96</v>
      </c>
    </row>
    <row r="187" spans="14:34" ht="15.75" hidden="1" outlineLevel="1" x14ac:dyDescent="0.3">
      <c r="N187" s="17"/>
      <c r="O187" s="17"/>
      <c r="P187" s="17" t="s">
        <v>114</v>
      </c>
      <c r="Q187" s="17"/>
      <c r="R187" s="37">
        <f>IF(NOT(ISBLANK('Referenz Plattenfertiger'!$I16)),'Referenz Plattenfertiger'!$I16,'Referenz Plattenfertiger'!$F16)*IF(NOT(ISBLANK('Eingabe EF'!$AS9)),'Eingabe EF'!$AS9,'Eingabe EF'!$AQ9)*$Q$182</f>
        <v>24.103856</v>
      </c>
      <c r="S187" s="37">
        <f>IF(NOT(ISBLANK('Referenz Plattenfertiger'!$I16)),'Referenz Plattenfertiger'!$I16,'Referenz Plattenfertiger'!$F16)*IF(NOT(ISBLANK('Eingabe EF'!$AW9)),'Eingabe EF'!$AW9,'Eingabe EF'!$AU9)*$Q$182</f>
        <v>0</v>
      </c>
      <c r="T187" s="37">
        <f>IF(NOT(ISBLANK('Referenz Plattenfertiger'!$I16)),'Referenz Plattenfertiger'!$I16,'Referenz Plattenfertiger'!$F16)*IF(NOT(ISBLANK('Eingabe EF'!$BA9)),'Eingabe EF'!$BA9,'Eingabe EF'!$AY9)*$Q$182</f>
        <v>4.1256599999999999</v>
      </c>
      <c r="U187" s="17"/>
      <c r="V187" s="19"/>
      <c r="W187" s="37">
        <f>R187+S187</f>
        <v>24.103856</v>
      </c>
      <c r="X187" s="37">
        <f>SUM(R187:T187)</f>
        <v>28.229516</v>
      </c>
      <c r="Y187" s="17" t="s">
        <v>184</v>
      </c>
      <c r="AA187" s="17" t="s">
        <v>133</v>
      </c>
      <c r="AB187" s="17"/>
      <c r="AC187" s="17"/>
      <c r="AD187" s="20"/>
      <c r="AE187" s="20"/>
      <c r="AF187" s="17"/>
      <c r="AG187" s="20"/>
      <c r="AH187" s="20"/>
    </row>
    <row r="188" spans="14:34" ht="15.75" hidden="1" outlineLevel="1" x14ac:dyDescent="0.3">
      <c r="N188" s="17"/>
      <c r="O188" s="17"/>
      <c r="P188" s="17" t="s">
        <v>151</v>
      </c>
      <c r="Q188" s="17"/>
      <c r="R188" s="37">
        <f>IF(NOT(ISBLANK('Referenz Plattenfertiger'!$I17)),'Referenz Plattenfertiger'!$I17,'Referenz Plattenfertiger'!$F17)*IF(NOT(ISBLANK('Eingabe EF'!$AS10)),'Eingabe EF'!$AS10,'Eingabe EF'!$AQ10)*$Q$182</f>
        <v>4.4815679999999993</v>
      </c>
      <c r="S188" s="37">
        <f>IF(NOT(ISBLANK('Referenz Plattenfertiger'!$I17)),'Referenz Plattenfertiger'!$I17,'Referenz Plattenfertiger'!$F17)*IF(NOT(ISBLANK('Eingabe EF'!$AW10)),'Eingabe EF'!$AW10,'Eingabe EF'!$AU10)*$Q$182</f>
        <v>0</v>
      </c>
      <c r="T188" s="37">
        <f>IF(NOT(ISBLANK('Referenz Plattenfertiger'!$I17)),'Referenz Plattenfertiger'!$I17,'Referenz Plattenfertiger'!$F17)*IF(NOT(ISBLANK('Eingabe EF'!$BA10)),'Eingabe EF'!$BA10,'Eingabe EF'!$AY10)*$Q$182</f>
        <v>0.66487679999999993</v>
      </c>
      <c r="U188" s="17"/>
      <c r="V188" s="20"/>
      <c r="W188" s="37">
        <f>R188+S188</f>
        <v>4.4815679999999993</v>
      </c>
      <c r="X188" s="37">
        <f>SUM(R188:T188)</f>
        <v>5.1464447999999994</v>
      </c>
      <c r="Y188" s="17" t="s">
        <v>184</v>
      </c>
      <c r="AA188" s="17"/>
      <c r="AB188" s="17" t="s">
        <v>29</v>
      </c>
      <c r="AC188" s="17"/>
      <c r="AD188" s="20"/>
      <c r="AE188" s="20"/>
      <c r="AF188" s="17"/>
      <c r="AG188" s="41">
        <f>IF(NOT(ISBLANK('Referenz Plattenfertiger'!$I21)),'Referenz Plattenfertiger'!$I21,'Referenz Plattenfertiger'!$F21)/1000*IF(NOT(ISBLANK('Eingabe Preise'!$O10)),'Eingabe Preise'!$O10,'Eingabe Preise'!$M10)</f>
        <v>2867</v>
      </c>
      <c r="AH188" s="20" t="s">
        <v>96</v>
      </c>
    </row>
    <row r="189" spans="14:34" ht="15.75" hidden="1" outlineLevel="1" x14ac:dyDescent="0.3">
      <c r="N189" s="17"/>
      <c r="O189" s="17"/>
      <c r="P189" s="17" t="s">
        <v>138</v>
      </c>
      <c r="Q189" s="17"/>
      <c r="R189" s="37">
        <f>IF(NOT(ISBLANK('Referenz Plattenfertiger'!$I18)),'Referenz Plattenfertiger'!$I18,'Referenz Plattenfertiger'!$F18)*IF(NOT(ISBLANK('Eingabe EF'!$AS11)),'Eingabe EF'!$AS11,'Eingabe EF'!$AQ11)*$Q$182</f>
        <v>0</v>
      </c>
      <c r="S189" s="37">
        <f>IF(NOT(ISBLANK('Referenz Plattenfertiger'!$I18)),'Referenz Plattenfertiger'!$I18,'Referenz Plattenfertiger'!$F18)*IF(NOT(ISBLANK('Eingabe EF'!$AW11)),'Eingabe EF'!$AW11,'Eingabe EF'!$AU11)*$Q$182</f>
        <v>4.3086788392277384</v>
      </c>
      <c r="T189" s="37">
        <f>IF(NOT(ISBLANK('Referenz Plattenfertiger'!$I18)),'Referenz Plattenfertiger'!$I18,'Referenz Plattenfertiger'!$F18)*IF(NOT(ISBLANK('Eingabe EF'!$BA11)),'Eingabe EF'!$BA11,'Eingabe EF'!$AY11)*$Q$182</f>
        <v>0.63163878271401397</v>
      </c>
      <c r="U189" s="17"/>
      <c r="V189" s="20"/>
      <c r="W189" s="37">
        <f>R189+S189</f>
        <v>4.3086788392277384</v>
      </c>
      <c r="X189" s="37">
        <f>SUM(R189:T189)</f>
        <v>4.9403176219417526</v>
      </c>
      <c r="Y189" s="17" t="s">
        <v>184</v>
      </c>
      <c r="AA189" s="17"/>
      <c r="AB189" s="17" t="s">
        <v>30</v>
      </c>
      <c r="AC189" s="17"/>
      <c r="AD189" s="20"/>
      <c r="AE189" s="20"/>
      <c r="AF189" s="17"/>
      <c r="AG189" s="41">
        <f>IF(NOT(ISBLANK('Referenz Plattenfertiger'!$I22)),'Referenz Plattenfertiger'!$I22,'Referenz Plattenfertiger'!$F22)/1000*IF(NOT(ISBLANK('Eingabe Preise'!$O11)),'Eingabe Preise'!$O11,'Eingabe Preise'!$M11)</f>
        <v>1656</v>
      </c>
      <c r="AH189" s="20" t="s">
        <v>96</v>
      </c>
    </row>
    <row r="190" spans="14:34" ht="15.75" hidden="1" outlineLevel="1" x14ac:dyDescent="0.3">
      <c r="N190" s="17"/>
      <c r="O190" s="17"/>
      <c r="P190" s="17" t="s">
        <v>115</v>
      </c>
      <c r="Q190" s="17"/>
      <c r="R190" s="43">
        <f>IF(NOT(ISBLANK('Referenz Plattenfertiger'!$I19)),'Referenz Plattenfertiger'!$I19,'Referenz Plattenfertiger'!$F19)*IF(NOT(ISBLANK('Eingabe EF'!$AS12)),'Eingabe EF'!$AS12,0)*$Q$182</f>
        <v>0</v>
      </c>
      <c r="S190" s="43">
        <f>IF(NOT(ISBLANK('Referenz Plattenfertiger'!$I19)),'Referenz Plattenfertiger'!$I19,'Referenz Plattenfertiger'!$F19)*IF(NOT(ISBLANK('Eingabe EF'!$AW12)),'Eingabe EF'!$AW12,0)*$Q$182</f>
        <v>0</v>
      </c>
      <c r="T190" s="43">
        <f>IF(NOT(ISBLANK('Referenz Plattenfertiger'!$I19)),'Referenz Plattenfertiger'!$I19,'Referenz Plattenfertiger'!$F19)*IF(NOT(ISBLANK('Eingabe EF'!$BA12)),'Eingabe EF'!$BA12,0)*$Q$182</f>
        <v>0</v>
      </c>
      <c r="U190" s="17"/>
      <c r="V190" s="20"/>
      <c r="W190" s="37">
        <f>R190+S190</f>
        <v>0</v>
      </c>
      <c r="X190" s="37">
        <f>SUM(R190:T190)</f>
        <v>0</v>
      </c>
      <c r="Y190" s="17" t="s">
        <v>184</v>
      </c>
      <c r="AA190" s="17" t="s">
        <v>134</v>
      </c>
      <c r="AB190" s="17"/>
      <c r="AC190" s="17"/>
      <c r="AD190" s="20"/>
      <c r="AE190" s="20"/>
      <c r="AF190" s="17"/>
      <c r="AG190" s="20"/>
      <c r="AH190" s="20"/>
    </row>
    <row r="191" spans="14:34" hidden="1" outlineLevel="1" x14ac:dyDescent="0.2">
      <c r="N191" s="17"/>
      <c r="O191" s="17" t="s">
        <v>133</v>
      </c>
      <c r="P191" s="17"/>
      <c r="Q191" s="17"/>
      <c r="R191" s="17"/>
      <c r="S191" s="17"/>
      <c r="T191" s="17"/>
      <c r="U191" s="17"/>
      <c r="V191" s="20"/>
      <c r="W191" s="17"/>
      <c r="X191" s="17"/>
      <c r="Y191" s="17"/>
      <c r="AA191" s="17"/>
      <c r="AB191" s="17" t="s">
        <v>136</v>
      </c>
      <c r="AC191" s="17"/>
      <c r="AD191" s="20"/>
      <c r="AE191" s="20"/>
      <c r="AF191" s="17"/>
      <c r="AG191" s="41">
        <f>IF(NOT(ISBLANK('Referenz Plattenfertiger'!$I24)),'Referenz Plattenfertiger'!$I24,'Referenz Plattenfertiger'!$F24)/1000*IF(NOT(ISBLANK('Eingabe Preise'!$O12)),'Eingabe Preise'!$O12,'Eingabe Preise'!$M12)</f>
        <v>69660</v>
      </c>
      <c r="AH191" s="20" t="s">
        <v>96</v>
      </c>
    </row>
    <row r="192" spans="14:34" ht="15.75" hidden="1" outlineLevel="1" x14ac:dyDescent="0.3">
      <c r="N192" s="17"/>
      <c r="O192" s="17"/>
      <c r="P192" s="17" t="s">
        <v>29</v>
      </c>
      <c r="Q192" s="17"/>
      <c r="R192" s="43">
        <f>IF(NOT(ISBLANK('Referenz Plattenfertiger'!$I21)),'Referenz Plattenfertiger'!$I21,'Referenz Plattenfertiger'!$F21)*IF(NOT(ISBLANK('Eingabe EF'!$AS9)),'Eingabe EF'!$AS9,'Eingabe EF'!$AQ9)</f>
        <v>8.6085200000000004</v>
      </c>
      <c r="S192" s="43">
        <f>IF(NOT(ISBLANK('Referenz Plattenfertiger'!$I21)),'Referenz Plattenfertiger'!$I21,'Referenz Plattenfertiger'!$F21)*IF(NOT(ISBLANK('Eingabe EF'!$AW9)),'Eingabe EF'!$AW9,'Eingabe EF'!$AU9)</f>
        <v>0</v>
      </c>
      <c r="T192" s="43">
        <f>IF(NOT(ISBLANK('Referenz Plattenfertiger'!$I21)),'Referenz Plattenfertiger'!$I21,'Referenz Plattenfertiger'!$F21)*IF(NOT(ISBLANK('Eingabe EF'!$BA9)),'Eingabe EF'!$BA9,'Eingabe EF'!$AY9)</f>
        <v>1.4734500000000001</v>
      </c>
      <c r="U192" s="17"/>
      <c r="V192" s="20"/>
      <c r="W192" s="37">
        <f t="shared" ref="W192:W193" si="34">R192+S192</f>
        <v>8.6085200000000004</v>
      </c>
      <c r="X192" s="37">
        <f>SUM(R192:T192)</f>
        <v>10.08197</v>
      </c>
      <c r="Y192" s="17" t="s">
        <v>184</v>
      </c>
      <c r="AA192" s="17"/>
      <c r="AB192" s="17" t="s">
        <v>111</v>
      </c>
      <c r="AC192" s="17"/>
      <c r="AD192" s="20"/>
      <c r="AE192" s="20"/>
      <c r="AF192" s="17"/>
      <c r="AG192" s="41">
        <f>IF(NOT(ISBLANK('Referenz Plattenfertiger'!$I25)),'Referenz Plattenfertiger'!$I25,'Referenz Plattenfertiger'!$F25)/1000*IF(NOT(ISBLANK('Eingabe Preise'!$O13)),'Eingabe Preise'!$O13,'Eingabe Preise'!$M13)</f>
        <v>0</v>
      </c>
      <c r="AH192" s="20" t="s">
        <v>96</v>
      </c>
    </row>
    <row r="193" spans="14:34" ht="15.75" hidden="1" outlineLevel="1" x14ac:dyDescent="0.3">
      <c r="N193" s="17"/>
      <c r="O193" s="17"/>
      <c r="P193" s="17" t="s">
        <v>30</v>
      </c>
      <c r="Q193" s="17"/>
      <c r="R193" s="43">
        <f>IF(NOT(ISBLANK('Referenz Plattenfertiger'!$I22)),'Referenz Plattenfertiger'!$I22,'Referenz Plattenfertiger'!$F22)*IF(NOT(ISBLANK('Eingabe EF'!$AS10)),'Eingabe EF'!$AS10,'Eingabe EF'!$AQ10)</f>
        <v>9.6033600000000003</v>
      </c>
      <c r="S193" s="43">
        <f>IF(NOT(ISBLANK('Referenz Plattenfertiger'!$I22)),'Referenz Plattenfertiger'!$I22,'Referenz Plattenfertiger'!$F22)*IF(NOT(ISBLANK('Eingabe EF'!$AW10)),'Eingabe EF'!$AW10,'Eingabe EF'!$AU10)</f>
        <v>0</v>
      </c>
      <c r="T193" s="43">
        <f>IF(NOT(ISBLANK('Referenz Plattenfertiger'!$I22)),'Referenz Plattenfertiger'!$I22,'Referenz Plattenfertiger'!$F22)*IF(NOT(ISBLANK('Eingabe EF'!$BA10)),'Eingabe EF'!$BA10,'Eingabe EF'!$AY10)</f>
        <v>1.424736</v>
      </c>
      <c r="U193" s="17"/>
      <c r="V193" s="20"/>
      <c r="W193" s="37">
        <f t="shared" si="34"/>
        <v>9.6033600000000003</v>
      </c>
      <c r="X193" s="37">
        <f>SUM(R193:T193)</f>
        <v>11.028096</v>
      </c>
      <c r="Y193" s="17" t="s">
        <v>184</v>
      </c>
      <c r="AA193" s="17"/>
      <c r="AB193" s="17" t="s">
        <v>135</v>
      </c>
      <c r="AC193" s="17"/>
      <c r="AD193" s="30"/>
      <c r="AE193" s="30"/>
      <c r="AF193" s="17"/>
      <c r="AG193" s="41">
        <f>IF(NOT(ISBLANK('Referenz Plattenfertiger'!$I26)),'Referenz Plattenfertiger'!$I26,'Referenz Plattenfertiger'!$F26)/1000*IF(NOT(ISBLANK('Eingabe Preise'!$O17)),'Eingabe Preise'!$O17,0)</f>
        <v>0</v>
      </c>
      <c r="AH193" s="20" t="s">
        <v>96</v>
      </c>
    </row>
    <row r="194" spans="14:34" hidden="1" outlineLevel="1" x14ac:dyDescent="0.2">
      <c r="N194" s="17"/>
      <c r="O194" s="17" t="s">
        <v>134</v>
      </c>
      <c r="P194" s="17"/>
      <c r="Q194" s="17"/>
      <c r="R194" s="17"/>
      <c r="S194" s="17"/>
      <c r="T194" s="17"/>
      <c r="U194" s="17"/>
      <c r="V194" s="20"/>
      <c r="W194" s="17"/>
      <c r="X194" s="17"/>
      <c r="Y194" s="17"/>
      <c r="AA194" s="17"/>
      <c r="AB194" s="17"/>
      <c r="AC194" s="17"/>
      <c r="AD194" s="30"/>
      <c r="AE194" s="30"/>
      <c r="AF194" s="17"/>
      <c r="AG194" s="17"/>
      <c r="AH194" s="17"/>
    </row>
    <row r="195" spans="14:34" ht="15.75" hidden="1" outlineLevel="1" x14ac:dyDescent="0.3">
      <c r="N195" s="17"/>
      <c r="O195" s="17"/>
      <c r="P195" s="17" t="s">
        <v>136</v>
      </c>
      <c r="Q195" s="17"/>
      <c r="R195" s="43">
        <f>IF(NOT(ISBLANK('Referenz Plattenfertiger'!$I24)),'Referenz Plattenfertiger'!$I24,'Referenz Plattenfertiger'!$F24)*IF(NOT(ISBLANK('Eingabe EF'!$AS11)),'Eingabe EF'!$AS11,'Eingabe EF'!$AQ11)</f>
        <v>0</v>
      </c>
      <c r="S195" s="43">
        <f>IF(NOT(ISBLANK('Referenz Plattenfertiger'!$I24)),'Referenz Plattenfertiger'!$I24,'Referenz Plattenfertiger'!$F24)*IF(NOT(ISBLANK('Eingabe EF'!$AW11)),'Eingabe EF'!$AW11,'Eingabe EF'!$AU11)</f>
        <v>55.397299361499499</v>
      </c>
      <c r="T195" s="43">
        <f>IF(NOT(ISBLANK('Referenz Plattenfertiger'!$I24)),'Referenz Plattenfertiger'!$I24,'Referenz Plattenfertiger'!$F24)*IF(NOT(ISBLANK('Eingabe EF'!$BA11)),'Eingabe EF'!$BA11,'Eingabe EF'!$AY11)</f>
        <v>8.1210700634658952</v>
      </c>
      <c r="U195" s="17"/>
      <c r="V195" s="20"/>
      <c r="W195" s="37">
        <f t="shared" ref="W195:W203" si="35">R195+S195</f>
        <v>55.397299361499499</v>
      </c>
      <c r="X195" s="37">
        <f>SUM(R195:T195)</f>
        <v>63.518369424965393</v>
      </c>
      <c r="Y195" s="17" t="s">
        <v>184</v>
      </c>
      <c r="AA195" s="17"/>
      <c r="AB195" s="17" t="s">
        <v>32</v>
      </c>
      <c r="AC195" s="17" t="s">
        <v>408</v>
      </c>
      <c r="AD195" s="30"/>
      <c r="AE195" s="30"/>
      <c r="AF195" s="17"/>
      <c r="AG195" s="41">
        <f>IF(NOT(ISBLANK('Referenz Plattenfertiger'!$I28)),'Referenz Plattenfertiger'!$I28,'Referenz Plattenfertiger'!$F28)*IF(NOT(ISBLANK('Eingabe Preise'!$O14)),'Eingabe Preise'!$O14,'Eingabe Preise'!$M14)</f>
        <v>12364.000000000002</v>
      </c>
      <c r="AH195" s="20" t="s">
        <v>96</v>
      </c>
    </row>
    <row r="196" spans="14:34" ht="15.75" hidden="1" outlineLevel="1" x14ac:dyDescent="0.3">
      <c r="N196" s="17"/>
      <c r="O196" s="17"/>
      <c r="P196" s="17" t="s">
        <v>111</v>
      </c>
      <c r="Q196" s="17"/>
      <c r="R196" s="43">
        <f>IF(NOT(ISBLANK('Referenz Plattenfertiger'!$I25)),'Referenz Plattenfertiger'!$I25,'Referenz Plattenfertiger'!$F25)*IF(NOT(ISBLANK('Eingabe EF'!$AS13)),'Eingabe EF'!$AS13,'Eingabe EF'!$AQ13)</f>
        <v>0</v>
      </c>
      <c r="S196" s="43">
        <f>IF(NOT(ISBLANK('Referenz Plattenfertiger'!$I25)),'Referenz Plattenfertiger'!$I25,'Referenz Plattenfertiger'!$F25)*IF(NOT(ISBLANK('Eingabe EF'!$AW13)),'Eingabe EF'!$AW13,'Eingabe EF'!$AU13)</f>
        <v>0</v>
      </c>
      <c r="T196" s="43">
        <f>IF(NOT(ISBLANK('Referenz Plattenfertiger'!$I25)),'Referenz Plattenfertiger'!$I25,'Referenz Plattenfertiger'!$F25)*IF(NOT(ISBLANK('Eingabe EF'!$BA13)),'Eingabe EF'!$BA13,'Eingabe EF'!$AY13)</f>
        <v>0</v>
      </c>
      <c r="U196" s="17"/>
      <c r="V196" s="20"/>
      <c r="W196" s="37">
        <f t="shared" si="35"/>
        <v>0</v>
      </c>
      <c r="X196" s="37">
        <f>SUM(R196:T196)</f>
        <v>0</v>
      </c>
      <c r="Y196" s="17" t="s">
        <v>184</v>
      </c>
      <c r="AA196" s="17"/>
      <c r="AB196" s="17" t="s">
        <v>32</v>
      </c>
      <c r="AC196" s="17" t="s">
        <v>70</v>
      </c>
      <c r="AD196" s="30"/>
      <c r="AE196" s="30"/>
      <c r="AF196" s="17"/>
      <c r="AG196" s="41">
        <f>IF(NOT(ISBLANK('Referenz Plattenfertiger'!$I29)),'Referenz Plattenfertiger'!$I29,'Referenz Plattenfertiger'!$F29)*IF(NOT(ISBLANK('Eingabe Preise'!$O14)),'Eingabe Preise'!$O14,'Eingabe Preise'!$M14)</f>
        <v>2810.0000000000005</v>
      </c>
      <c r="AH196" s="20" t="s">
        <v>96</v>
      </c>
    </row>
    <row r="197" spans="14:34" ht="15.75" hidden="1" outlineLevel="1" x14ac:dyDescent="0.3">
      <c r="N197" s="17"/>
      <c r="O197" s="17"/>
      <c r="P197" s="17" t="s">
        <v>135</v>
      </c>
      <c r="Q197" s="17"/>
      <c r="R197" s="43">
        <f>IF(NOT(ISBLANK('Referenz Plattenfertiger'!$I26)),'Referenz Plattenfertiger'!$I26,'Referenz Plattenfertiger'!$F26)*IF(NOT(ISBLANK('Eingabe EF'!$AS14)),'Eingabe EF'!$AS14,0)</f>
        <v>0</v>
      </c>
      <c r="S197" s="43">
        <f>IF(NOT(ISBLANK('Referenz Plattenfertiger'!$I26)),'Referenz Plattenfertiger'!$I26,'Referenz Plattenfertiger'!$F26)*IF(NOT(ISBLANK('Eingabe EF'!$AW14)),'Eingabe EF'!$AW14,0)</f>
        <v>0</v>
      </c>
      <c r="T197" s="43">
        <f>IF(NOT(ISBLANK('Referenz Plattenfertiger'!$I26)),'Referenz Plattenfertiger'!$I26,'Referenz Plattenfertiger'!$F26)*IF(NOT(ISBLANK('Eingabe EF'!$BA14)),'Eingabe EF'!$BA14,0)</f>
        <v>0</v>
      </c>
      <c r="U197" s="17"/>
      <c r="V197" s="30"/>
      <c r="W197" s="37">
        <f t="shared" si="35"/>
        <v>0</v>
      </c>
      <c r="X197" s="37">
        <f>SUM(R197:T197)</f>
        <v>0</v>
      </c>
      <c r="Y197" s="17" t="s">
        <v>184</v>
      </c>
      <c r="AA197" s="17"/>
      <c r="AB197" s="17"/>
      <c r="AC197" s="17"/>
      <c r="AD197" s="30"/>
      <c r="AE197" s="30"/>
      <c r="AF197" s="17"/>
      <c r="AG197" s="17"/>
      <c r="AH197" s="17"/>
    </row>
    <row r="198" spans="14:34" hidden="1" outlineLevel="1" x14ac:dyDescent="0.2">
      <c r="N198" s="17"/>
      <c r="O198" s="17"/>
      <c r="P198" s="17"/>
      <c r="Q198" s="17"/>
      <c r="R198" s="17"/>
      <c r="S198" s="17"/>
      <c r="T198" s="17"/>
      <c r="U198" s="17"/>
      <c r="V198" s="30"/>
      <c r="W198" s="17"/>
      <c r="X198" s="17"/>
      <c r="Y198" s="17"/>
      <c r="AA198" s="17"/>
      <c r="AB198" s="17"/>
      <c r="AC198" s="17"/>
      <c r="AD198" s="30"/>
      <c r="AE198" s="30"/>
      <c r="AF198" s="17"/>
      <c r="AG198" s="17"/>
      <c r="AH198" s="17"/>
    </row>
    <row r="199" spans="14:34" ht="15.75" hidden="1" outlineLevel="1" x14ac:dyDescent="0.3">
      <c r="N199" s="17"/>
      <c r="O199" s="17" t="s">
        <v>408</v>
      </c>
      <c r="P199" s="17" t="s">
        <v>32</v>
      </c>
      <c r="Q199" s="17"/>
      <c r="R199" s="43">
        <f>IF(NOT(ISBLANK('Referenz Plattenfertiger'!$I28)),'Referenz Plattenfertiger'!$I28,'Referenz Plattenfertiger'!$F28)*IF(NOT(ISBLANK('Eingabe EF'!$AS15)),'Eingabe EF'!$AS15,'Eingabe EF'!$AQ15)</f>
        <v>29.238941159999996</v>
      </c>
      <c r="S199" s="43">
        <f>IF(NOT(ISBLANK('Referenz Plattenfertiger'!$I28)),'Referenz Plattenfertiger'!$I28,'Referenz Plattenfertiger'!$F28)*IF(NOT(ISBLANK('Eingabe EF'!$AW15)),'Eingabe EF'!$AW15,'Eingabe EF'!$AU15)</f>
        <v>0</v>
      </c>
      <c r="T199" s="43">
        <f>IF(NOT(ISBLANK('Referenz Plattenfertiger'!$I28)),'Referenz Plattenfertiger'!$I28,'Referenz Plattenfertiger'!$F28)*IF(NOT(ISBLANK('Eingabe EF'!$BA15)),'Eingabe EF'!$BA15,'Eingabe EF'!$AY15)</f>
        <v>5.1658635600000009</v>
      </c>
      <c r="U199" s="17"/>
      <c r="V199" s="30"/>
      <c r="W199" s="37">
        <f t="shared" ref="W199:W201" si="36">R199+S199</f>
        <v>29.238941159999996</v>
      </c>
      <c r="X199" s="37">
        <f>SUM(R199:T199)</f>
        <v>34.404804719999994</v>
      </c>
      <c r="Y199" s="17" t="s">
        <v>184</v>
      </c>
      <c r="AA199" s="17"/>
      <c r="AB199" s="17" t="s">
        <v>28</v>
      </c>
      <c r="AC199" s="17"/>
      <c r="AD199" s="30"/>
      <c r="AE199" s="30"/>
      <c r="AF199" s="17"/>
      <c r="AG199" s="41">
        <f>AG211+AG212</f>
        <v>72000</v>
      </c>
      <c r="AH199" s="20" t="s">
        <v>96</v>
      </c>
    </row>
    <row r="200" spans="14:34" ht="15.75" hidden="1" outlineLevel="1" x14ac:dyDescent="0.3">
      <c r="N200" s="17"/>
      <c r="O200" s="17" t="s">
        <v>70</v>
      </c>
      <c r="P200" s="17" t="s">
        <v>32</v>
      </c>
      <c r="Q200" s="17"/>
      <c r="R200" s="43">
        <f>IF(NOT(ISBLANK('Referenz Plattenfertiger'!$I29)),'Referenz Plattenfertiger'!$I29,'Referenz Plattenfertiger'!$F29)*IF(NOT(ISBLANK('Eingabe EF'!$AS15)),'Eingabe EF'!$AS15,'Eingabe EF'!$AQ15)</f>
        <v>6.645213899999999</v>
      </c>
      <c r="S200" s="43">
        <f>IF(NOT(ISBLANK('Referenz Plattenfertiger'!$I29)),'Referenz Plattenfertiger'!$I29,'Referenz Plattenfertiger'!$F29)*IF(NOT(ISBLANK('Eingabe EF'!$AW15)),'Eingabe EF'!$AW15,'Eingabe EF'!$AU15)</f>
        <v>0</v>
      </c>
      <c r="T200" s="43">
        <f>IF(NOT(ISBLANK('Referenz Plattenfertiger'!$I29)),'Referenz Plattenfertiger'!$I29,'Referenz Plattenfertiger'!$F29)*IF(NOT(ISBLANK('Eingabe EF'!$BA15)),'Eingabe EF'!$BA15,'Eingabe EF'!$AY15)</f>
        <v>1.1740599000000003</v>
      </c>
      <c r="U200" s="17"/>
      <c r="V200" s="30"/>
      <c r="W200" s="37">
        <f t="shared" si="36"/>
        <v>6.645213899999999</v>
      </c>
      <c r="X200" s="37">
        <f>SUM(R200:T200)</f>
        <v>7.8192737999999995</v>
      </c>
      <c r="Y200" s="17" t="s">
        <v>184</v>
      </c>
      <c r="AA200" s="17"/>
      <c r="AB200" s="44" t="s">
        <v>139</v>
      </c>
      <c r="AC200" s="17"/>
      <c r="AD200" s="30"/>
      <c r="AE200" s="30"/>
      <c r="AF200" s="17"/>
      <c r="AG200" s="41">
        <f>IF(NOT(ISBLANK($J$19)),$J$19,$H$19)</f>
        <v>0</v>
      </c>
      <c r="AH200" s="20" t="s">
        <v>96</v>
      </c>
    </row>
    <row r="201" spans="14:34" ht="14.25" hidden="1" outlineLevel="1" x14ac:dyDescent="0.25">
      <c r="N201" s="69"/>
      <c r="O201" s="69" t="s">
        <v>175</v>
      </c>
      <c r="P201" s="69"/>
      <c r="Q201" s="69"/>
      <c r="R201" s="71"/>
      <c r="S201" s="71"/>
      <c r="T201" s="71">
        <f t="shared" ref="T201" si="37">T202+T203</f>
        <v>469.15642799999995</v>
      </c>
      <c r="U201" s="69"/>
      <c r="V201" s="30"/>
      <c r="W201" s="71">
        <f t="shared" si="36"/>
        <v>0</v>
      </c>
      <c r="X201" s="71">
        <f>SUM(R201:T201)</f>
        <v>469.15642799999995</v>
      </c>
      <c r="Y201" s="76" t="s">
        <v>183</v>
      </c>
      <c r="AA201" s="17"/>
      <c r="AB201" s="44" t="s">
        <v>146</v>
      </c>
      <c r="AC201" s="17"/>
      <c r="AD201" s="30"/>
      <c r="AE201" s="30"/>
      <c r="AF201" s="17"/>
      <c r="AG201" s="41">
        <f>AG214+AG215</f>
        <v>0</v>
      </c>
      <c r="AH201" s="20" t="s">
        <v>96</v>
      </c>
    </row>
    <row r="202" spans="14:34" ht="15.75" hidden="1" outlineLevel="1" x14ac:dyDescent="0.3">
      <c r="N202" s="17"/>
      <c r="O202" s="17"/>
      <c r="P202" s="17" t="s">
        <v>43</v>
      </c>
      <c r="Q202" s="17"/>
      <c r="R202" s="43"/>
      <c r="S202" s="43"/>
      <c r="T202" s="43">
        <f>IF(NOT(ISBLANK('Referenz Plattenfertiger'!$I32)),'Referenz Plattenfertiger'!$I32,'Referenz Plattenfertiger'!$F32)*IF(NOT(ISBLANK('Eingabe EF'!$BA17)),'Eingabe EF'!$BA17,'Eingabe EF'!$AY17)</f>
        <v>109.4698332</v>
      </c>
      <c r="U202" s="17"/>
      <c r="V202" s="30"/>
      <c r="W202" s="37">
        <f t="shared" si="35"/>
        <v>0</v>
      </c>
      <c r="X202" s="37">
        <f>SUM(R202:T202)</f>
        <v>109.4698332</v>
      </c>
      <c r="Y202" s="17" t="s">
        <v>184</v>
      </c>
      <c r="AA202" s="17"/>
      <c r="AB202" s="17"/>
      <c r="AC202" s="17"/>
      <c r="AD202" s="17"/>
      <c r="AE202" s="17"/>
      <c r="AF202" s="17"/>
      <c r="AG202" s="17"/>
      <c r="AH202" s="17"/>
    </row>
    <row r="203" spans="14:34" ht="15.75" hidden="1" outlineLevel="1" x14ac:dyDescent="0.3">
      <c r="N203" s="17"/>
      <c r="O203" s="17"/>
      <c r="P203" s="17" t="s">
        <v>44</v>
      </c>
      <c r="Q203" s="17"/>
      <c r="R203" s="43"/>
      <c r="S203" s="43"/>
      <c r="T203" s="43">
        <f>IF(NOT(ISBLANK('Referenz Plattenfertiger'!$I33)),'Referenz Plattenfertiger'!$I33,'Referenz Plattenfertiger'!$F33)*IF(NOT(ISBLANK('Eingabe EF'!$BA18)),'Eingabe EF'!$BA18,'Eingabe EF'!$AY18)</f>
        <v>359.68659479999997</v>
      </c>
      <c r="U203" s="17"/>
      <c r="V203" s="30"/>
      <c r="W203" s="37">
        <f t="shared" si="35"/>
        <v>0</v>
      </c>
      <c r="X203" s="37">
        <f>SUM(R203:T203)</f>
        <v>359.68659479999997</v>
      </c>
      <c r="Y203" s="17" t="s">
        <v>184</v>
      </c>
      <c r="AA203" s="17"/>
      <c r="AB203" s="17"/>
      <c r="AC203" s="17"/>
      <c r="AD203" s="17"/>
      <c r="AE203" s="17"/>
      <c r="AF203" s="17"/>
      <c r="AG203" s="17"/>
      <c r="AH203" s="17"/>
    </row>
    <row r="204" spans="14:34" ht="15.75" hidden="1" outlineLevel="1" x14ac:dyDescent="0.3">
      <c r="N204" s="17"/>
      <c r="O204" s="17"/>
      <c r="P204" s="17"/>
      <c r="Q204" s="17"/>
      <c r="R204" s="20"/>
      <c r="S204" s="20"/>
      <c r="T204" s="20"/>
      <c r="U204" s="17"/>
      <c r="V204" s="30"/>
      <c r="W204" s="20"/>
      <c r="X204" s="20"/>
      <c r="Y204" s="17"/>
      <c r="AA204" s="17"/>
      <c r="AB204" s="17" t="s">
        <v>186</v>
      </c>
      <c r="AC204" s="17"/>
      <c r="AD204" s="30"/>
      <c r="AE204" s="30"/>
      <c r="AF204" s="17"/>
      <c r="AG204" s="41">
        <f>R248*IF(NOT(ISBLANK('Eingabe Preise'!$O21)),'Eingabe Preise'!$O21,'Eingabe Preise'!$M21)</f>
        <v>6614.5167247999998</v>
      </c>
      <c r="AH204" s="20" t="s">
        <v>96</v>
      </c>
    </row>
    <row r="205" spans="14:34" ht="15.75" hidden="1" outlineLevel="1" x14ac:dyDescent="0.3">
      <c r="N205" s="69"/>
      <c r="O205" s="69" t="s">
        <v>66</v>
      </c>
      <c r="P205" s="70"/>
      <c r="Q205" s="70"/>
      <c r="R205" s="71"/>
      <c r="S205" s="71"/>
      <c r="T205" s="71">
        <f>SUM(T206:T209)</f>
        <v>4548.5439999999999</v>
      </c>
      <c r="U205" s="70"/>
      <c r="V205" s="30"/>
      <c r="W205" s="71">
        <f t="shared" ref="W205:W209" si="38">R205+S205</f>
        <v>0</v>
      </c>
      <c r="X205" s="71">
        <f>SUM(R205:T205)</f>
        <v>4548.5439999999999</v>
      </c>
      <c r="Y205" s="76" t="s">
        <v>183</v>
      </c>
      <c r="AA205" s="17"/>
      <c r="AB205" s="17" t="s">
        <v>187</v>
      </c>
      <c r="AC205" s="17"/>
      <c r="AD205" s="30"/>
      <c r="AE205" s="30"/>
      <c r="AF205" s="17"/>
      <c r="AG205" s="41">
        <f>S248*IF(NOT(ISBLANK('Eingabe Preise'!$O22)),'Eingabe Preise'!$O22,'Eingabe Preise'!$M22)</f>
        <v>4776.4782560581789</v>
      </c>
      <c r="AH205" s="20" t="s">
        <v>96</v>
      </c>
    </row>
    <row r="206" spans="14:34" ht="15.75" hidden="1" outlineLevel="1" x14ac:dyDescent="0.3">
      <c r="N206" s="17"/>
      <c r="O206" s="17"/>
      <c r="P206" s="17" t="s">
        <v>45</v>
      </c>
      <c r="Q206" s="17"/>
      <c r="R206" s="37"/>
      <c r="S206" s="37"/>
      <c r="T206" s="450">
        <f>IF(NOT(ISBLANK('Referenz Plattenfertiger'!$K36)),'Referenz Plattenfertiger'!$K36*(IF(NOT(ISBLANK('Eingabe EF'!$BA21)),'Eingabe EF'!$BA21,'Eingabe EF'!$AY21)),IF(NOT(ISBLANK('Referenz Plattenfertiger'!$I36)),'Referenz Plattenfertiger'!$I36,'Referenz Plattenfertiger'!$F36)*IF(NOT(ISBLANK('Eingabe EF'!$BA21)),'Eingabe EF'!$BA21,'Eingabe EF'!$AY21)*IF(NOT(ISBLANK('Referenz Plattenfertiger'!$I$12)),'Referenz Plattenfertiger'!$I$12,'Referenz Plattenfertiger'!$F$12))</f>
        <v>1210.3</v>
      </c>
      <c r="U206" s="17"/>
      <c r="V206" s="17"/>
      <c r="W206" s="37">
        <f t="shared" si="38"/>
        <v>0</v>
      </c>
      <c r="X206" s="37">
        <f>SUM(R206:T206)</f>
        <v>1210.3</v>
      </c>
      <c r="Y206" s="17" t="s">
        <v>184</v>
      </c>
      <c r="AA206" s="17"/>
      <c r="AB206" s="17" t="s">
        <v>188</v>
      </c>
      <c r="AC206" s="17"/>
      <c r="AD206" s="30"/>
      <c r="AE206" s="30"/>
      <c r="AF206" s="17"/>
      <c r="AG206" s="41">
        <f>T248*IF(NOT(ISBLANK('Eingabe Preise'!$O23)),'Eingabe Preise'!$O23,'Eingabe Preise'!$M23)</f>
        <v>458616.81635645579</v>
      </c>
      <c r="AH206" s="20" t="s">
        <v>96</v>
      </c>
    </row>
    <row r="207" spans="14:34" ht="15.75" hidden="1" outlineLevel="1" x14ac:dyDescent="0.3">
      <c r="N207" s="17"/>
      <c r="O207" s="17"/>
      <c r="P207" s="17" t="s">
        <v>47</v>
      </c>
      <c r="Q207" s="17"/>
      <c r="R207" s="37"/>
      <c r="S207" s="37"/>
      <c r="T207" s="450">
        <f>IF(NOT(ISBLANK('Referenz Plattenfertiger'!$K37)),'Referenz Plattenfertiger'!$K37*(IF(NOT(ISBLANK('Eingabe EF'!$BA22)),'Eingabe EF'!$BA22,'Eingabe EF'!$AY22)),IF(NOT(ISBLANK('Referenz Plattenfertiger'!$I37)),'Referenz Plattenfertiger'!$I37,'Referenz Plattenfertiger'!$F37)*IF(NOT(ISBLANK('Eingabe EF'!$BA22)),'Eingabe EF'!$BA22,'Eingabe EF'!$AY22)*IF(NOT(ISBLANK('Referenz Plattenfertiger'!$I$12)),'Referenz Plattenfertiger'!$I$12,'Referenz Plattenfertiger'!$F$12))</f>
        <v>2415.5039999999999</v>
      </c>
      <c r="U207" s="17"/>
      <c r="V207" s="17"/>
      <c r="W207" s="37">
        <f t="shared" si="38"/>
        <v>0</v>
      </c>
      <c r="X207" s="37">
        <f>SUM(R207:T207)</f>
        <v>2415.5039999999999</v>
      </c>
      <c r="Y207" s="17" t="s">
        <v>184</v>
      </c>
      <c r="AA207" s="17"/>
      <c r="AB207" s="17"/>
      <c r="AC207" s="17"/>
      <c r="AD207" s="17"/>
      <c r="AE207" s="17"/>
      <c r="AF207" s="17"/>
      <c r="AG207" s="17"/>
      <c r="AH207" s="17"/>
    </row>
    <row r="208" spans="14:34" ht="15.75" hidden="1" outlineLevel="1" x14ac:dyDescent="0.3">
      <c r="N208" s="17"/>
      <c r="O208" s="17"/>
      <c r="P208" s="17" t="s">
        <v>48</v>
      </c>
      <c r="Q208" s="17"/>
      <c r="R208" s="37"/>
      <c r="S208" s="37"/>
      <c r="T208" s="450">
        <f>IF(NOT(ISBLANK('Referenz Plattenfertiger'!$K38)),'Referenz Plattenfertiger'!$K38*(IF(NOT(ISBLANK('Eingabe EF'!$BA23)),'Eingabe EF'!$BA23,'Eingabe EF'!$AY23)),IF(NOT(ISBLANK('Referenz Plattenfertiger'!$I38)),'Referenz Plattenfertiger'!$I38,'Referenz Plattenfertiger'!$F38)*IF(NOT(ISBLANK('Eingabe EF'!$BA23)),'Eingabe EF'!$BA23,'Eingabe EF'!$AY23)*IF(NOT(ISBLANK('Referenz Plattenfertiger'!$I$12)),'Referenz Plattenfertiger'!$I$12,'Referenz Plattenfertiger'!$F$12))</f>
        <v>922.7399999999999</v>
      </c>
      <c r="U208" s="17"/>
      <c r="V208" s="30"/>
      <c r="W208" s="37">
        <f t="shared" si="38"/>
        <v>0</v>
      </c>
      <c r="X208" s="37">
        <f>SUM(R208:T208)</f>
        <v>922.7399999999999</v>
      </c>
      <c r="Y208" s="17" t="s">
        <v>184</v>
      </c>
      <c r="AA208" s="17"/>
      <c r="AB208" s="17"/>
      <c r="AC208" s="17"/>
      <c r="AD208" s="17"/>
      <c r="AE208" s="17"/>
      <c r="AF208" s="17"/>
      <c r="AG208" s="17"/>
      <c r="AH208" s="17"/>
    </row>
    <row r="209" spans="14:34" ht="15.75" hidden="1" outlineLevel="1" x14ac:dyDescent="0.3">
      <c r="N209" s="17"/>
      <c r="O209" s="17"/>
      <c r="P209" s="17" t="s">
        <v>147</v>
      </c>
      <c r="Q209" s="17"/>
      <c r="R209" s="37"/>
      <c r="S209" s="37"/>
      <c r="T209" s="453">
        <f>IF(NOT(ISBLANK('Referenz Plattenfertiger'!$K39)),'Referenz Plattenfertiger'!$K39*('Eingabe EF'!$BA24),IF(NOT(ISBLANK('Referenz Plattenfertiger'!$I39)),'Referenz Plattenfertiger'!$I39,'Referenz Plattenfertiger'!$F39)*('Eingabe EF'!$BA24)*IF(NOT(ISBLANK('Referenz Plattenfertiger'!$I$12)),'Referenz Plattenfertiger'!$I$12,'Referenz Plattenfertiger'!$F$12))</f>
        <v>0</v>
      </c>
      <c r="U209" s="17"/>
      <c r="V209" s="30"/>
      <c r="W209" s="37">
        <f t="shared" si="38"/>
        <v>0</v>
      </c>
      <c r="X209" s="37">
        <f>SUM(R209:T209)</f>
        <v>0</v>
      </c>
      <c r="Y209" s="17" t="s">
        <v>184</v>
      </c>
      <c r="AA209" s="17"/>
      <c r="AB209" s="17"/>
      <c r="AC209" s="17"/>
      <c r="AD209" s="18"/>
      <c r="AE209" s="18"/>
      <c r="AF209" s="17"/>
      <c r="AG209" s="18"/>
      <c r="AH209" s="18"/>
    </row>
    <row r="210" spans="14:34" hidden="1" outlineLevel="1" x14ac:dyDescent="0.2">
      <c r="N210" s="17"/>
      <c r="O210" s="17"/>
      <c r="P210" s="17"/>
      <c r="Q210" s="17"/>
      <c r="R210" s="17"/>
      <c r="S210" s="17"/>
      <c r="T210" s="20"/>
      <c r="U210" s="17"/>
      <c r="V210" s="30"/>
      <c r="W210" s="20"/>
      <c r="X210" s="20"/>
      <c r="Y210" s="17"/>
      <c r="AA210" s="21" t="s">
        <v>209</v>
      </c>
      <c r="AB210" s="17"/>
      <c r="AC210" s="17"/>
      <c r="AD210" s="17"/>
      <c r="AE210" s="17"/>
      <c r="AF210" s="17"/>
      <c r="AG210" s="17"/>
      <c r="AH210" s="17"/>
    </row>
    <row r="211" spans="14:34" ht="14.25" hidden="1" outlineLevel="1" x14ac:dyDescent="0.25">
      <c r="N211" s="69"/>
      <c r="O211" s="69" t="s">
        <v>163</v>
      </c>
      <c r="P211" s="70"/>
      <c r="Q211" s="70"/>
      <c r="R211" s="71"/>
      <c r="S211" s="71"/>
      <c r="T211" s="71">
        <f>SUM(T212:T216)</f>
        <v>129.59200000000001</v>
      </c>
      <c r="U211" s="70"/>
      <c r="V211" s="17"/>
      <c r="W211" s="71">
        <f t="shared" ref="W211" si="39">R211+S211</f>
        <v>0</v>
      </c>
      <c r="X211" s="71">
        <f>SUM(R211:T211)</f>
        <v>129.59200000000001</v>
      </c>
      <c r="Y211" s="76" t="s">
        <v>183</v>
      </c>
      <c r="AA211" s="17"/>
      <c r="AB211" s="17" t="s">
        <v>439</v>
      </c>
      <c r="AC211" s="17"/>
      <c r="AD211" s="18">
        <f>D13</f>
        <v>5</v>
      </c>
      <c r="AE211" s="18"/>
      <c r="AF211" s="17"/>
      <c r="AG211" s="41">
        <f>IF(IF(NOT(ISBLANK($F$23)),$F$23,$D$23)&gt;5,AG131,0)</f>
        <v>72000</v>
      </c>
      <c r="AH211" s="20" t="s">
        <v>96</v>
      </c>
    </row>
    <row r="212" spans="14:34" ht="15.75" hidden="1" outlineLevel="1" x14ac:dyDescent="0.3">
      <c r="N212" s="17"/>
      <c r="O212" s="17"/>
      <c r="P212" s="17" t="s">
        <v>164</v>
      </c>
      <c r="Q212" s="17"/>
      <c r="R212" s="37"/>
      <c r="S212" s="37"/>
      <c r="T212" s="450">
        <f>IF(NOT(ISBLANK('Referenz Plattenfertiger'!$K42)),'Referenz Plattenfertiger'!$K42*(IF(NOT(ISBLANK('Eingabe EF'!$BA27)),'Eingabe EF'!$BA27,'Eingabe EF'!$AY27)),IF(NOT(ISBLANK('Referenz Plattenfertiger'!$I42)),'Referenz Plattenfertiger'!$I42,'Referenz Plattenfertiger'!$F42)*IF(NOT(ISBLANK('Eingabe EF'!$BA27)),'Eingabe EF'!$BA27,'Eingabe EF'!$AY27)*IF(NOT(ISBLANK('Referenz Plattenfertiger'!$I$12)),'Referenz Plattenfertiger'!$I$12,'Referenz Plattenfertiger'!$F$12))</f>
        <v>129.59200000000001</v>
      </c>
      <c r="U212" s="17"/>
      <c r="V212" s="17"/>
      <c r="W212" s="37">
        <f>R212+S212</f>
        <v>0</v>
      </c>
      <c r="X212" s="37">
        <f>SUM(R212:T212)</f>
        <v>129.59200000000001</v>
      </c>
      <c r="Y212" s="17" t="s">
        <v>184</v>
      </c>
      <c r="AA212" s="17"/>
      <c r="AB212" s="17" t="s">
        <v>440</v>
      </c>
      <c r="AC212" s="17"/>
      <c r="AD212" s="17">
        <f>H13</f>
        <v>10</v>
      </c>
      <c r="AE212" s="17"/>
      <c r="AF212" s="17"/>
      <c r="AG212" s="41">
        <f>IF(NOT(ISBLANK($J$18)),$J$18,$H$18)/IF(NOT(ISBLANK($J$23)),$J$23,$H$23)+IF(NOT(ISBLANK($J$18)),$J$18,$H$18)*(IF(NOT(ISBLANK($J$24)),$J$24,$H$24)/100)</f>
        <v>0</v>
      </c>
      <c r="AH212" s="20" t="s">
        <v>96</v>
      </c>
    </row>
    <row r="213" spans="14:34" ht="15.75" hidden="1" outlineLevel="1" x14ac:dyDescent="0.3">
      <c r="N213" s="17"/>
      <c r="O213" s="17"/>
      <c r="P213" s="17" t="s">
        <v>165</v>
      </c>
      <c r="Q213" s="17"/>
      <c r="R213" s="37"/>
      <c r="S213" s="37"/>
      <c r="T213" s="453">
        <f>IF(NOT(ISBLANK('Referenz Plattenfertiger'!$K43)),'Referenz Plattenfertiger'!$K43*('Eingabe EF'!$BA28),IF(NOT(ISBLANK('Referenz Plattenfertiger'!$I43)),'Referenz Plattenfertiger'!$I43,'Referenz Plattenfertiger'!$F43)*('Eingabe EF'!$BA28)*IF(NOT(ISBLANK('Referenz Plattenfertiger'!$I$12)),'Referenz Plattenfertiger'!$I$12,'Referenz Plattenfertiger'!$F$12))</f>
        <v>0</v>
      </c>
      <c r="U213" s="17"/>
      <c r="V213" s="18"/>
      <c r="W213" s="37">
        <f>R213+S213</f>
        <v>0</v>
      </c>
      <c r="X213" s="37">
        <f>SUM(R213:T213)</f>
        <v>0</v>
      </c>
      <c r="Y213" s="17" t="s">
        <v>184</v>
      </c>
      <c r="AA213" s="17"/>
      <c r="AB213" s="17"/>
      <c r="AC213" s="17"/>
      <c r="AD213" s="18"/>
      <c r="AE213" s="18"/>
      <c r="AF213" s="17"/>
      <c r="AG213" s="18"/>
      <c r="AH213" s="18"/>
    </row>
    <row r="214" spans="14:34" ht="15.75" hidden="1" outlineLevel="1" x14ac:dyDescent="0.3">
      <c r="N214" s="17"/>
      <c r="O214" s="17"/>
      <c r="P214" s="17" t="s">
        <v>166</v>
      </c>
      <c r="Q214" s="17"/>
      <c r="R214" s="37"/>
      <c r="S214" s="37"/>
      <c r="T214" s="453">
        <f>IF(NOT(ISBLANK('Referenz Plattenfertiger'!$K44)),'Referenz Plattenfertiger'!$K44*('Eingabe EF'!$BA29),IF(NOT(ISBLANK('Referenz Plattenfertiger'!$I44)),'Referenz Plattenfertiger'!$I44,'Referenz Plattenfertiger'!$F44)*('Eingabe EF'!$BA29)*IF(NOT(ISBLANK('Referenz Plattenfertiger'!$I$12)),'Referenz Plattenfertiger'!$I$12,'Referenz Plattenfertiger'!$F$12))</f>
        <v>0</v>
      </c>
      <c r="U214" s="17"/>
      <c r="V214" s="17"/>
      <c r="W214" s="37">
        <f t="shared" ref="W214" si="40">R214+S214</f>
        <v>0</v>
      </c>
      <c r="X214" s="37">
        <f>SUM(R214:T214)</f>
        <v>0</v>
      </c>
      <c r="Y214" s="17" t="s">
        <v>184</v>
      </c>
      <c r="AA214" s="17"/>
      <c r="AB214" s="17" t="s">
        <v>441</v>
      </c>
      <c r="AC214" s="17"/>
      <c r="AD214" s="17">
        <f>AD211</f>
        <v>5</v>
      </c>
      <c r="AE214" s="17"/>
      <c r="AF214" s="17"/>
      <c r="AG214" s="41">
        <f>IF(IF(NOT(ISBLANK($F$23)),$F$23,$D$23)&gt;5,AG133,0)</f>
        <v>0</v>
      </c>
      <c r="AH214" s="20" t="s">
        <v>96</v>
      </c>
    </row>
    <row r="215" spans="14:34" ht="15.75" hidden="1" outlineLevel="1" x14ac:dyDescent="0.3">
      <c r="N215" s="17"/>
      <c r="O215" s="17"/>
      <c r="P215" s="17" t="str">
        <f>P143</f>
        <v>Weiterer Zuschlagstoff 1</v>
      </c>
      <c r="Q215" s="17"/>
      <c r="R215" s="37"/>
      <c r="S215" s="37"/>
      <c r="T215" s="453">
        <f>IF(NOT(ISBLANK('Referenz Plattenfertiger'!$K45)),'Referenz Plattenfertiger'!$K45*('Eingabe EF'!$BA30),IF(NOT(ISBLANK('Referenz Plattenfertiger'!$I45)),'Referenz Plattenfertiger'!$I45,'Referenz Plattenfertiger'!$F45)*('Eingabe EF'!$BA30)*IF(NOT(ISBLANK('Referenz Plattenfertiger'!$I$12)),'Referenz Plattenfertiger'!$I$12,'Referenz Plattenfertiger'!$F$12))</f>
        <v>0</v>
      </c>
      <c r="U215" s="17"/>
      <c r="V215" s="17"/>
      <c r="W215" s="37">
        <f t="shared" ref="W215:W216" si="41">R215+S215</f>
        <v>0</v>
      </c>
      <c r="X215" s="37">
        <f t="shared" ref="X215:X216" si="42">SUM(R215:T215)</f>
        <v>0</v>
      </c>
      <c r="Y215" s="17" t="s">
        <v>184</v>
      </c>
      <c r="AA215" s="17"/>
      <c r="AB215" s="17" t="s">
        <v>442</v>
      </c>
      <c r="AC215" s="17"/>
      <c r="AD215" s="18">
        <f>AD212</f>
        <v>10</v>
      </c>
      <c r="AE215" s="18"/>
      <c r="AF215" s="17"/>
      <c r="AG215" s="41">
        <f>IF(NOT(ISBLANK($J$20)),$J$20,$H$20)/IF(NOT(ISBLANK($J$23)),$J$23,$H$23)+IF(NOT(ISBLANK($J$20)),$J$20,$H$20)*(IF(NOT(ISBLANK($J$24)),$J$24,$H$24)/100)</f>
        <v>0</v>
      </c>
      <c r="AH215" s="20" t="s">
        <v>96</v>
      </c>
    </row>
    <row r="216" spans="14:34" ht="15.75" hidden="1" outlineLevel="1" x14ac:dyDescent="0.3">
      <c r="N216" s="17"/>
      <c r="O216" s="17"/>
      <c r="P216" s="17" t="str">
        <f>P144</f>
        <v>Weiterer Zuschlagstoff 2</v>
      </c>
      <c r="Q216" s="17"/>
      <c r="R216" s="37"/>
      <c r="S216" s="37"/>
      <c r="T216" s="453">
        <f>IF(NOT(ISBLANK('Referenz Plattenfertiger'!$K46)),'Referenz Plattenfertiger'!$K46*('Eingabe EF'!$BA31),IF(NOT(ISBLANK('Referenz Plattenfertiger'!$I46)),'Referenz Plattenfertiger'!$I46,'Referenz Plattenfertiger'!$F46)*('Eingabe EF'!$BA31)*IF(NOT(ISBLANK('Referenz Plattenfertiger'!$I$12)),'Referenz Plattenfertiger'!$I$12,'Referenz Plattenfertiger'!$F$12))</f>
        <v>0</v>
      </c>
      <c r="U216" s="17"/>
      <c r="V216" s="17"/>
      <c r="W216" s="37">
        <f t="shared" si="41"/>
        <v>0</v>
      </c>
      <c r="X216" s="37">
        <f t="shared" si="42"/>
        <v>0</v>
      </c>
      <c r="Y216" s="17" t="s">
        <v>184</v>
      </c>
      <c r="AA216" s="17"/>
      <c r="AB216" s="17"/>
      <c r="AC216" s="17"/>
      <c r="AD216" s="18"/>
      <c r="AE216" s="18"/>
      <c r="AF216" s="17"/>
      <c r="AG216" s="18"/>
      <c r="AH216" s="18"/>
    </row>
    <row r="217" spans="14:34" hidden="1" outlineLevel="1" x14ac:dyDescent="0.2">
      <c r="N217" s="17"/>
      <c r="O217" s="17"/>
      <c r="P217" s="17"/>
      <c r="Q217" s="17"/>
      <c r="R217" s="17"/>
      <c r="S217" s="17"/>
      <c r="T217" s="20"/>
      <c r="U217" s="17"/>
      <c r="V217" s="18"/>
      <c r="W217" s="20"/>
      <c r="X217" s="20"/>
      <c r="Y217" s="17"/>
      <c r="AA217" s="17"/>
      <c r="AB217" s="17"/>
      <c r="AC217" s="17"/>
      <c r="AD217" s="17"/>
      <c r="AE217" s="17"/>
      <c r="AF217" s="17"/>
      <c r="AG217" s="17"/>
      <c r="AH217" s="17"/>
    </row>
    <row r="218" spans="14:34" ht="14.25" hidden="1" outlineLevel="1" x14ac:dyDescent="0.25">
      <c r="N218" s="17"/>
      <c r="O218" s="17"/>
      <c r="P218" s="21" t="s">
        <v>55</v>
      </c>
      <c r="Q218" s="21"/>
      <c r="R218" s="74"/>
      <c r="S218" s="74"/>
      <c r="T218" s="456">
        <f>IF(NOT(ISBLANK('Referenz Plattenfertiger'!$K48)),'Referenz Plattenfertiger'!$K48/1000*(IF(NOT(ISBLANK('Eingabe EF'!$BA33)),'Eingabe EF'!$BA33,'Eingabe EF'!$AY33)),IF(NOT(ISBLANK('Referenz Plattenfertiger'!$I48)),'Referenz Plattenfertiger'!$I48,'Referenz Plattenfertiger'!$F48)*IF(NOT(ISBLANK('Eingabe EF'!$BA33)),'Eingabe EF'!$BA33,'Eingabe EF'!$AY33)*IF(NOT(ISBLANK('Referenz Plattenfertiger'!$I$12)),'Referenz Plattenfertiger'!$I$12,'Referenz Plattenfertiger'!$F$12))</f>
        <v>208</v>
      </c>
      <c r="U218" s="21"/>
      <c r="V218" s="17"/>
      <c r="W218" s="74">
        <f>R218+S218</f>
        <v>0</v>
      </c>
      <c r="X218" s="74">
        <f>SUM(R218:T218)</f>
        <v>208</v>
      </c>
      <c r="Y218" s="21" t="s">
        <v>183</v>
      </c>
      <c r="AA218" s="17"/>
      <c r="AB218" s="17"/>
      <c r="AC218" s="17"/>
      <c r="AD218" s="18"/>
      <c r="AE218" s="18"/>
      <c r="AF218" s="17"/>
      <c r="AG218" s="18"/>
      <c r="AH218" s="18"/>
    </row>
    <row r="219" spans="14:34" hidden="1" outlineLevel="1" x14ac:dyDescent="0.2">
      <c r="N219" s="17"/>
      <c r="O219" s="17"/>
      <c r="P219" s="17"/>
      <c r="Q219" s="17"/>
      <c r="R219" s="17"/>
      <c r="S219" s="17"/>
      <c r="T219" s="20"/>
      <c r="U219" s="17"/>
      <c r="V219" s="18"/>
      <c r="W219" s="20"/>
      <c r="X219" s="20"/>
      <c r="Y219" s="17"/>
    </row>
    <row r="220" spans="14:34" ht="14.25" hidden="1" outlineLevel="1" x14ac:dyDescent="0.25">
      <c r="N220" s="69"/>
      <c r="O220" s="69" t="s">
        <v>167</v>
      </c>
      <c r="P220" s="70"/>
      <c r="Q220" s="70"/>
      <c r="R220" s="71"/>
      <c r="S220" s="71"/>
      <c r="T220" s="71">
        <f>SUM(T221:T225)</f>
        <v>81.003999999999991</v>
      </c>
      <c r="U220" s="70"/>
      <c r="V220" s="17"/>
      <c r="W220" s="71">
        <f t="shared" ref="W220" si="43">R220+S220</f>
        <v>0</v>
      </c>
      <c r="X220" s="71">
        <f>SUM(R220:T220)</f>
        <v>81.003999999999991</v>
      </c>
      <c r="Y220" s="76" t="s">
        <v>183</v>
      </c>
    </row>
    <row r="221" spans="14:34" ht="15.75" hidden="1" outlineLevel="1" x14ac:dyDescent="0.3">
      <c r="N221" s="17"/>
      <c r="O221" s="17"/>
      <c r="P221" s="17" t="s">
        <v>57</v>
      </c>
      <c r="Q221" s="17"/>
      <c r="R221" s="37"/>
      <c r="S221" s="37"/>
      <c r="T221" s="450">
        <f>IF(NOT(ISBLANK('Referenz Plattenfertiger'!$K51)),'Referenz Plattenfertiger'!$K51*(IF(NOT(ISBLANK('Eingabe EF'!$BA36)),'Eingabe EF'!$BA36,'Eingabe EF'!$AY36)),IF(NOT(ISBLANK('Referenz Plattenfertiger'!$I51)),'Referenz Plattenfertiger'!$I51,'Referenz Plattenfertiger'!$F51)*IF(NOT(ISBLANK('Eingabe EF'!$BA36)),'Eingabe EF'!$BA36,'Eingabe EF'!$AY36)*IF(NOT(ISBLANK('Referenz Plattenfertiger'!$I$12)),'Referenz Plattenfertiger'!$I$12,'Referenz Plattenfertiger'!$F$12))</f>
        <v>0</v>
      </c>
      <c r="U221" s="17"/>
      <c r="V221" s="18"/>
      <c r="W221" s="37">
        <f>R221+S221</f>
        <v>0</v>
      </c>
      <c r="X221" s="37">
        <f>SUM(R221:T221)</f>
        <v>0</v>
      </c>
      <c r="Y221" s="17" t="s">
        <v>184</v>
      </c>
    </row>
    <row r="222" spans="14:34" ht="15.75" hidden="1" outlineLevel="1" x14ac:dyDescent="0.3">
      <c r="N222" s="17"/>
      <c r="O222" s="17"/>
      <c r="P222" s="17" t="s">
        <v>58</v>
      </c>
      <c r="Q222" s="17"/>
      <c r="R222" s="37"/>
      <c r="S222" s="37"/>
      <c r="T222" s="450">
        <f>IF(NOT(ISBLANK('Referenz Plattenfertiger'!$K52)),'Referenz Plattenfertiger'!$K52*(IF(NOT(ISBLANK('Eingabe EF'!$BA37)),'Eingabe EF'!$BA37,'Eingabe EF'!$AY37)),IF(NOT(ISBLANK('Referenz Plattenfertiger'!$I52)),'Referenz Plattenfertiger'!$I52,'Referenz Plattenfertiger'!$F52)*IF(NOT(ISBLANK('Eingabe EF'!$BA37)),'Eingabe EF'!$BA37,'Eingabe EF'!$AY37)*IF(NOT(ISBLANK('Referenz Plattenfertiger'!$I$12)),'Referenz Plattenfertiger'!$I$12,'Referenz Plattenfertiger'!$F$12))</f>
        <v>8.6840000000000011</v>
      </c>
      <c r="U222" s="17"/>
      <c r="V222" s="18"/>
      <c r="W222" s="37">
        <f>R222+S222</f>
        <v>0</v>
      </c>
      <c r="X222" s="37">
        <f>SUM(R222:T222)</f>
        <v>8.6840000000000011</v>
      </c>
      <c r="Y222" s="17" t="s">
        <v>184</v>
      </c>
    </row>
    <row r="223" spans="14:34" ht="15.75" hidden="1" outlineLevel="1" x14ac:dyDescent="0.3">
      <c r="N223" s="17"/>
      <c r="O223" s="17"/>
      <c r="P223" s="17" t="s">
        <v>59</v>
      </c>
      <c r="Q223" s="17"/>
      <c r="R223" s="37"/>
      <c r="S223" s="37"/>
      <c r="T223" s="450">
        <f>IF(NOT(ISBLANK('Referenz Plattenfertiger'!$K53)),'Referenz Plattenfertiger'!$K53*(IF(NOT(ISBLANK('Eingabe EF'!$BA38)),'Eingabe EF'!$BA38,'Eingabe EF'!$AY38)),IF(NOT(ISBLANK('Referenz Plattenfertiger'!$I53)),'Referenz Plattenfertiger'!$I53,'Referenz Plattenfertiger'!$F53)*IF(NOT(ISBLANK('Eingabe EF'!$BA38)),'Eingabe EF'!$BA38,'Eingabe EF'!$AY38)*IF(NOT(ISBLANK('Referenz Plattenfertiger'!$I$12)),'Referenz Plattenfertiger'!$I$12,'Referenz Plattenfertiger'!$F$12))</f>
        <v>72.319999999999993</v>
      </c>
      <c r="U223" s="17"/>
      <c r="V223" s="17"/>
      <c r="W223" s="37">
        <f>R223+S223</f>
        <v>0</v>
      </c>
      <c r="X223" s="37">
        <f>SUM(R223:T223)</f>
        <v>72.319999999999993</v>
      </c>
      <c r="Y223" s="17" t="s">
        <v>184</v>
      </c>
    </row>
    <row r="224" spans="14:34" ht="15.75" hidden="1" outlineLevel="1" x14ac:dyDescent="0.3">
      <c r="N224" s="17"/>
      <c r="O224" s="17"/>
      <c r="P224" s="17" t="str">
        <f>P152</f>
        <v>Weiterer Zusatzstoff 1</v>
      </c>
      <c r="Q224" s="17"/>
      <c r="R224" s="37"/>
      <c r="S224" s="37"/>
      <c r="T224" s="453">
        <f>IF(NOT(ISBLANK('Referenz Plattenfertiger'!$K54)),'Referenz Plattenfertiger'!$K54*('Eingabe EF'!$BA39),IF(NOT(ISBLANK('Referenz Plattenfertiger'!$I54)),'Referenz Plattenfertiger'!$I54,'Referenz Plattenfertiger'!$F54)*('Eingabe EF'!$BA39)*IF(NOT(ISBLANK('Referenz Plattenfertiger'!$I$12)),'Referenz Plattenfertiger'!$I$12,'Referenz Plattenfertiger'!$F$12))</f>
        <v>0</v>
      </c>
      <c r="U224" s="17"/>
      <c r="V224" s="17"/>
      <c r="W224" s="37">
        <f t="shared" ref="W224:W225" si="44">R224+S224</f>
        <v>0</v>
      </c>
      <c r="X224" s="37">
        <f t="shared" ref="X224:X225" si="45">SUM(R224:T224)</f>
        <v>0</v>
      </c>
      <c r="Y224" s="17" t="s">
        <v>184</v>
      </c>
    </row>
    <row r="225" spans="14:25" ht="15.75" hidden="1" outlineLevel="1" x14ac:dyDescent="0.3">
      <c r="N225" s="17"/>
      <c r="O225" s="17"/>
      <c r="P225" s="17" t="str">
        <f>P153</f>
        <v>Weiterer Zusatzstoff 2</v>
      </c>
      <c r="Q225" s="17"/>
      <c r="R225" s="37"/>
      <c r="S225" s="37"/>
      <c r="T225" s="453">
        <f>IF(NOT(ISBLANK('Referenz Plattenfertiger'!$K55)),'Referenz Plattenfertiger'!$K55*('Eingabe EF'!$BA40),IF(NOT(ISBLANK('Referenz Plattenfertiger'!$I55)),'Referenz Plattenfertiger'!$I55,'Referenz Plattenfertiger'!$F55)*('Eingabe EF'!$BA40)*IF(NOT(ISBLANK('Referenz Plattenfertiger'!$I$12)),'Referenz Plattenfertiger'!$I$12,'Referenz Plattenfertiger'!$F$12))</f>
        <v>0</v>
      </c>
      <c r="U225" s="17"/>
      <c r="V225" s="17"/>
      <c r="W225" s="37">
        <f t="shared" si="44"/>
        <v>0</v>
      </c>
      <c r="X225" s="37">
        <f t="shared" si="45"/>
        <v>0</v>
      </c>
      <c r="Y225" s="17" t="s">
        <v>184</v>
      </c>
    </row>
    <row r="226" spans="14:25" hidden="1" outlineLevel="1" x14ac:dyDescent="0.2">
      <c r="N226" s="17"/>
      <c r="O226" s="17"/>
      <c r="P226" s="17"/>
      <c r="Q226" s="17"/>
      <c r="R226" s="17"/>
      <c r="S226" s="17"/>
      <c r="T226" s="20"/>
      <c r="U226" s="17"/>
      <c r="V226" s="18"/>
      <c r="W226" s="17"/>
      <c r="X226" s="20"/>
      <c r="Y226" s="20"/>
    </row>
    <row r="227" spans="14:25" ht="14.25" hidden="1" outlineLevel="1" x14ac:dyDescent="0.25">
      <c r="N227" s="69"/>
      <c r="O227" s="69" t="s">
        <v>49</v>
      </c>
      <c r="P227" s="70"/>
      <c r="Q227" s="70"/>
      <c r="R227" s="71"/>
      <c r="S227" s="71"/>
      <c r="T227" s="71">
        <f>SUM(T228:T231)</f>
        <v>148.44746134951595</v>
      </c>
      <c r="U227" s="70"/>
      <c r="W227" s="71">
        <f t="shared" ref="W227:W231" si="46">R227+S227</f>
        <v>0</v>
      </c>
      <c r="X227" s="71">
        <f>SUM(R227:T227)</f>
        <v>148.44746134951595</v>
      </c>
      <c r="Y227" s="76" t="s">
        <v>183</v>
      </c>
    </row>
    <row r="228" spans="14:25" ht="15.75" hidden="1" outlineLevel="1" x14ac:dyDescent="0.3">
      <c r="N228" s="17"/>
      <c r="O228" s="17"/>
      <c r="P228" s="17" t="s">
        <v>50</v>
      </c>
      <c r="Q228" s="17"/>
      <c r="R228" s="37"/>
      <c r="S228" s="37"/>
      <c r="T228" s="454">
        <f>IF(NOT(ISBLANK('Referenz Plattenfertiger'!$K58)),'Referenz Plattenfertiger'!$K58/1000*(IF(NOT(ISBLANK('Eingabe EF'!$BA43)),'Eingabe EF'!$BA43,'Eingabe EF'!$AY43)),IF(NOT(ISBLANK('Referenz Plattenfertiger'!$I$57)),'Referenz Plattenfertiger'!$I$57,'Referenz Plattenfertiger'!$F$57)*IF(NOT(ISBLANK('Referenz Plattenfertiger'!$I58)),'Referenz Plattenfertiger'!$I58,'Referenz Plattenfertiger'!$F58)*IF(NOT(ISBLANK('Eingabe EF'!BA43)),'Eingabe EF'!$BA43,'Eingabe EF'!$AY43)*IF(NOT(ISBLANK('Referenz Plattenfertiger'!$I$12)),'Referenz Plattenfertiger'!$I$12,'Referenz Plattenfertiger'!$F$12))</f>
        <v>47.997919375812742</v>
      </c>
      <c r="U228" s="17"/>
      <c r="W228" s="37">
        <f t="shared" si="46"/>
        <v>0</v>
      </c>
      <c r="X228" s="37">
        <f>SUM(R228:T228)</f>
        <v>47.997919375812742</v>
      </c>
      <c r="Y228" s="17" t="s">
        <v>184</v>
      </c>
    </row>
    <row r="229" spans="14:25" ht="15.75" hidden="1" outlineLevel="1" x14ac:dyDescent="0.3">
      <c r="N229" s="17"/>
      <c r="O229" s="17"/>
      <c r="P229" s="17" t="s">
        <v>52</v>
      </c>
      <c r="Q229" s="17"/>
      <c r="R229" s="37"/>
      <c r="S229" s="37"/>
      <c r="T229" s="454">
        <f>IF(NOT(ISBLANK('Referenz Plattenfertiger'!$K59)),'Referenz Plattenfertiger'!$K59/1000*(IF(NOT(ISBLANK('Eingabe EF'!$BA44)),'Eingabe EF'!$BA44,'Eingabe EF'!$AY44)),IF(NOT(ISBLANK('Referenz Plattenfertiger'!$I$57)),'Referenz Plattenfertiger'!$I$57,'Referenz Plattenfertiger'!$F$57)*IF(NOT(ISBLANK('Referenz Plattenfertiger'!$I59)),'Referenz Plattenfertiger'!$I59,'Referenz Plattenfertiger'!$F59)*IF(NOT(ISBLANK('Eingabe EF'!BA44)),'Eingabe EF'!$BA44,'Eingabe EF'!$AY44)*IF(NOT(ISBLANK('Referenz Plattenfertiger'!$I$12)),'Referenz Plattenfertiger'!$I$12,'Referenz Plattenfertiger'!$F$12))</f>
        <v>5.7797543707556596</v>
      </c>
      <c r="U229" s="17"/>
      <c r="W229" s="37">
        <f t="shared" si="46"/>
        <v>0</v>
      </c>
      <c r="X229" s="37">
        <f>SUM(R229:T229)</f>
        <v>5.7797543707556596</v>
      </c>
      <c r="Y229" s="17" t="s">
        <v>184</v>
      </c>
    </row>
    <row r="230" spans="14:25" ht="15.75" hidden="1" outlineLevel="1" x14ac:dyDescent="0.3">
      <c r="N230" s="17"/>
      <c r="O230" s="17"/>
      <c r="P230" s="17" t="s">
        <v>53</v>
      </c>
      <c r="Q230" s="17"/>
      <c r="R230" s="37"/>
      <c r="S230" s="37"/>
      <c r="T230" s="454">
        <f>IF(NOT(ISBLANK('Referenz Plattenfertiger'!$K60)),'Referenz Plattenfertiger'!$K60/1000*(IF(NOT(ISBLANK('Eingabe EF'!$BA45)),'Eingabe EF'!$BA45,'Eingabe EF'!$AY45)),IF(NOT(ISBLANK('Referenz Plattenfertiger'!$I$57)),'Referenz Plattenfertiger'!$I$57,'Referenz Plattenfertiger'!$F$57)*IF(NOT(ISBLANK('Referenz Plattenfertiger'!$I60)),'Referenz Plattenfertiger'!$I60,'Referenz Plattenfertiger'!$F60)*IF(NOT(ISBLANK('Eingabe EF'!BA45)),'Eingabe EF'!$BA45,'Eingabe EF'!$AY45)*IF(NOT(ISBLANK('Referenz Plattenfertiger'!$I$12)),'Referenz Plattenfertiger'!$I$12,'Referenz Plattenfertiger'!$F$12))</f>
        <v>1.4217598612917211E-2</v>
      </c>
      <c r="U230" s="17"/>
      <c r="W230" s="37">
        <f t="shared" si="46"/>
        <v>0</v>
      </c>
      <c r="X230" s="37">
        <f>SUM(R230:T230)</f>
        <v>1.4217598612917211E-2</v>
      </c>
      <c r="Y230" s="17" t="s">
        <v>184</v>
      </c>
    </row>
    <row r="231" spans="14:25" ht="15.75" hidden="1" outlineLevel="1" x14ac:dyDescent="0.3">
      <c r="N231" s="17"/>
      <c r="O231" s="17"/>
      <c r="P231" s="17" t="s">
        <v>54</v>
      </c>
      <c r="Q231" s="17"/>
      <c r="R231" s="37"/>
      <c r="S231" s="37"/>
      <c r="T231" s="454">
        <f>IF(NOT(ISBLANK('Referenz Plattenfertiger'!$K61)),'Referenz Plattenfertiger'!$K61/1000*(IF(NOT(ISBLANK('Eingabe EF'!$BA46)),'Eingabe EF'!$BA46,'Eingabe EF'!$AY46)),IF(NOT(ISBLANK('Referenz Plattenfertiger'!$I$57)),'Referenz Plattenfertiger'!$I$57,'Referenz Plattenfertiger'!$F$57)*IF(NOT(ISBLANK('Referenz Plattenfertiger'!$I61)),'Referenz Plattenfertiger'!$I61,'Referenz Plattenfertiger'!$F61)*IF(NOT(ISBLANK('Eingabe EF'!BA46)),'Eingabe EF'!$BA46,'Eingabe EF'!$AY46)*IF(NOT(ISBLANK('Referenz Plattenfertiger'!$I$12)),'Referenz Plattenfertiger'!$I$12,'Referenz Plattenfertiger'!$F$12))</f>
        <v>94.655570004334635</v>
      </c>
      <c r="U231" s="17"/>
      <c r="W231" s="37">
        <f t="shared" si="46"/>
        <v>0</v>
      </c>
      <c r="X231" s="37">
        <f>SUM(R231:T231)</f>
        <v>94.655570004334635</v>
      </c>
      <c r="Y231" s="17" t="s">
        <v>184</v>
      </c>
    </row>
    <row r="232" spans="14:25" hidden="1" outlineLevel="1" x14ac:dyDescent="0.2">
      <c r="N232" s="17"/>
      <c r="O232" s="17"/>
      <c r="P232" s="17"/>
      <c r="Q232" s="17"/>
      <c r="R232" s="17"/>
      <c r="S232" s="17"/>
      <c r="T232" s="20"/>
      <c r="U232" s="17"/>
      <c r="W232" s="17"/>
      <c r="X232" s="17"/>
      <c r="Y232" s="20"/>
    </row>
    <row r="233" spans="14:25" ht="14.25" hidden="1" outlineLevel="1" x14ac:dyDescent="0.25">
      <c r="N233" s="17"/>
      <c r="O233" s="17"/>
      <c r="P233" s="21" t="s">
        <v>99</v>
      </c>
      <c r="Q233" s="21"/>
      <c r="R233" s="74"/>
      <c r="S233" s="74"/>
      <c r="T233" s="74">
        <f>IF(NOT(ISBLANK('Referenz Plattenfertiger'!$I63)),'Referenz Plattenfertiger'!$I63,'Referenz Plattenfertiger'!$F63)*IF(NOT(ISBLANK('Eingabe EF'!$BA48)),'Eingabe EF'!$BA48,0)*IF(NOT(ISBLANK('Referenz Plattenfertiger'!$I$12)),'Referenz Plattenfertiger'!$I$12,'Referenz Plattenfertiger'!$F$12)</f>
        <v>0</v>
      </c>
      <c r="U233" s="21"/>
      <c r="W233" s="74">
        <f>R233+S233</f>
        <v>0</v>
      </c>
      <c r="X233" s="74">
        <f>SUM(R233:T233)</f>
        <v>0</v>
      </c>
      <c r="Y233" s="21" t="s">
        <v>183</v>
      </c>
    </row>
    <row r="234" spans="14:25" ht="14.25" hidden="1" outlineLevel="1" x14ac:dyDescent="0.25">
      <c r="N234" s="17"/>
      <c r="O234" s="17"/>
      <c r="P234" s="21" t="s">
        <v>62</v>
      </c>
      <c r="Q234" s="21"/>
      <c r="R234" s="75"/>
      <c r="S234" s="75"/>
      <c r="T234" s="74">
        <f>IF(NOT(ISBLANK('Referenz Plattenfertiger'!$I64)),'Referenz Plattenfertiger'!$I64,'Referenz Plattenfertiger'!$F64)*IF(NOT(ISBLANK('Eingabe EF'!$BA49)),'Eingabe EF'!$BA49,'Eingabe EF'!$AY49)</f>
        <v>0.54400000000000004</v>
      </c>
      <c r="U234" s="21"/>
      <c r="W234" s="74">
        <f>R234+S234</f>
        <v>0</v>
      </c>
      <c r="X234" s="74">
        <f>SUM(R234:T234)</f>
        <v>0.54400000000000004</v>
      </c>
      <c r="Y234" s="21" t="s">
        <v>183</v>
      </c>
    </row>
    <row r="235" spans="14:25" hidden="1" outlineLevel="1" x14ac:dyDescent="0.2">
      <c r="N235" s="17"/>
      <c r="O235" s="17"/>
      <c r="P235" s="17"/>
      <c r="Q235" s="17"/>
      <c r="R235" s="17"/>
      <c r="S235" s="17"/>
      <c r="T235" s="20"/>
      <c r="U235" s="17"/>
      <c r="W235" s="17"/>
      <c r="X235" s="17"/>
      <c r="Y235" s="20"/>
    </row>
    <row r="236" spans="14:25" ht="14.25" hidden="1" outlineLevel="1" x14ac:dyDescent="0.25">
      <c r="N236" s="69"/>
      <c r="O236" s="69" t="s">
        <v>168</v>
      </c>
      <c r="P236" s="70"/>
      <c r="Q236" s="70"/>
      <c r="R236" s="71"/>
      <c r="S236" s="71"/>
      <c r="T236" s="71">
        <f t="shared" ref="T236" si="47">SUM(T237:T239)</f>
        <v>0.16095999999999999</v>
      </c>
      <c r="U236" s="70"/>
      <c r="W236" s="71">
        <f t="shared" ref="W236" si="48">R236+S236</f>
        <v>0</v>
      </c>
      <c r="X236" s="71">
        <f>SUM(R236:T236)</f>
        <v>0.16095999999999999</v>
      </c>
      <c r="Y236" s="76" t="s">
        <v>183</v>
      </c>
    </row>
    <row r="237" spans="14:25" ht="15.75" hidden="1" outlineLevel="1" x14ac:dyDescent="0.3">
      <c r="N237" s="17"/>
      <c r="O237" s="17"/>
      <c r="P237" s="17" t="s">
        <v>169</v>
      </c>
      <c r="Q237" s="17"/>
      <c r="R237" s="37"/>
      <c r="S237" s="37"/>
      <c r="T237" s="455">
        <f>IF(NOT(ISBLANK('Referenz Plattenfertiger'!$K67)),'Referenz Plattenfertiger'!$K67/1000*('Eingabe EF'!BA52),IF(NOT(ISBLANK('Referenz Plattenfertiger'!$I$57)),'Referenz Plattenfertiger'!$I$57,'Referenz Plattenfertiger'!$F$57)*IF(NOT(ISBLANK('Referenz Plattenfertiger'!$I67)),'Referenz Plattenfertiger'!$I67,'Referenz Plattenfertiger'!$F67)*('Eingabe EF'!$BA52)*IF(NOT(ISBLANK('Referenz Plattenfertiger'!$I$12)),'Referenz Plattenfertiger'!$I$12,'Referenz Plattenfertiger'!$F$12))</f>
        <v>0</v>
      </c>
      <c r="U237" s="17"/>
      <c r="W237" s="37">
        <f>R237+S237</f>
        <v>0</v>
      </c>
      <c r="X237" s="37">
        <f>SUM(R237:T237)</f>
        <v>0</v>
      </c>
      <c r="Y237" s="17" t="s">
        <v>184</v>
      </c>
    </row>
    <row r="238" spans="14:25" ht="15.75" hidden="1" outlineLevel="1" x14ac:dyDescent="0.3">
      <c r="N238" s="17"/>
      <c r="O238" s="17"/>
      <c r="P238" s="17" t="s">
        <v>60</v>
      </c>
      <c r="Q238" s="17"/>
      <c r="R238" s="37"/>
      <c r="S238" s="37"/>
      <c r="T238" s="454">
        <f>IF(NOT(ISBLANK('Referenz Plattenfertiger'!$K68)),'Referenz Plattenfertiger'!$K68/1000*(IF(NOT(ISBLANK('Eingabe EF'!$BA53)),'Eingabe EF'!$BA53,'Eingabe EF'!$AY53)),IF(NOT(ISBLANK('Referenz Plattenfertiger'!$I$57)),'Referenz Plattenfertiger'!$I$57,'Referenz Plattenfertiger'!$F$57)*IF(NOT(ISBLANK('Referenz Plattenfertiger'!$I68)),'Referenz Plattenfertiger'!$I68,'Referenz Plattenfertiger'!$F68)*IF(NOT(ISBLANK('Eingabe EF'!BA53)),'Eingabe EF'!$BA53,'Eingabe EF'!$AY53)*IF(NOT(ISBLANK('Referenz Plattenfertiger'!$I$12)),'Referenz Plattenfertiger'!$I$12,'Referenz Plattenfertiger'!$F$12))</f>
        <v>0.16095999999999999</v>
      </c>
      <c r="U238" s="17"/>
      <c r="W238" s="37">
        <f t="shared" ref="W238" si="49">R238+S238</f>
        <v>0</v>
      </c>
      <c r="X238" s="37">
        <f>SUM(R238:T238)</f>
        <v>0.16095999999999999</v>
      </c>
      <c r="Y238" s="17" t="s">
        <v>184</v>
      </c>
    </row>
    <row r="239" spans="14:25" ht="15.75" hidden="1" outlineLevel="1" x14ac:dyDescent="0.3">
      <c r="N239" s="17"/>
      <c r="O239" s="17"/>
      <c r="P239" s="17" t="s">
        <v>170</v>
      </c>
      <c r="Q239" s="17"/>
      <c r="R239" s="37"/>
      <c r="S239" s="37"/>
      <c r="T239" s="455">
        <f>IF(NOT(ISBLANK('Referenz Plattenfertiger'!$K69)),'Referenz Plattenfertiger'!$K69/1000*('Eingabe EF'!BA54),IF(NOT(ISBLANK('Referenz Plattenfertiger'!$I$57)),'Referenz Plattenfertiger'!$I$57,'Referenz Plattenfertiger'!$F$57)*IF(NOT(ISBLANK('Referenz Plattenfertiger'!$I69)),'Referenz Plattenfertiger'!$I69,'Referenz Plattenfertiger'!$F69)*('Eingabe EF'!$BA54)*IF(NOT(ISBLANK('Referenz Plattenfertiger'!$I$12)),'Referenz Plattenfertiger'!$I$12,'Referenz Plattenfertiger'!$F$12))</f>
        <v>0</v>
      </c>
      <c r="U239" s="17"/>
      <c r="W239" s="37">
        <f>R239+S239</f>
        <v>0</v>
      </c>
      <c r="X239" s="37">
        <f>SUM(R239:T239)</f>
        <v>0</v>
      </c>
      <c r="Y239" s="17" t="s">
        <v>184</v>
      </c>
    </row>
    <row r="240" spans="14:25" hidden="1" outlineLevel="1" x14ac:dyDescent="0.2">
      <c r="N240" s="17"/>
      <c r="O240" s="17"/>
      <c r="P240" s="17"/>
      <c r="Q240" s="17"/>
      <c r="R240" s="17"/>
      <c r="S240" s="17"/>
      <c r="T240" s="17"/>
      <c r="U240" s="17"/>
      <c r="W240" s="17"/>
      <c r="X240" s="17"/>
      <c r="Y240" s="20"/>
    </row>
    <row r="241" spans="14:25" ht="14.25" hidden="1" outlineLevel="1" x14ac:dyDescent="0.25">
      <c r="N241" s="69"/>
      <c r="O241" s="69" t="s">
        <v>171</v>
      </c>
      <c r="P241" s="70"/>
      <c r="Q241" s="70"/>
      <c r="R241" s="71"/>
      <c r="S241" s="71"/>
      <c r="T241" s="71">
        <f t="shared" ref="T241" si="50">SUM(T242:T244)</f>
        <v>60</v>
      </c>
      <c r="U241" s="70"/>
      <c r="W241" s="71">
        <f t="shared" ref="W241" si="51">R241+S241</f>
        <v>0</v>
      </c>
      <c r="X241" s="71">
        <f>SUM(R241:T241)</f>
        <v>60</v>
      </c>
      <c r="Y241" s="76" t="s">
        <v>183</v>
      </c>
    </row>
    <row r="242" spans="14:25" ht="15.75" hidden="1" outlineLevel="1" x14ac:dyDescent="0.3">
      <c r="N242" s="17"/>
      <c r="O242" s="17"/>
      <c r="P242" s="17" t="s">
        <v>64</v>
      </c>
      <c r="Q242" s="17"/>
      <c r="R242" s="43"/>
      <c r="S242" s="43"/>
      <c r="T242" s="43">
        <f>IF(NOT(ISBLANK('Referenz Plattenfertiger'!$I72)),'Referenz Plattenfertiger'!$I72,'Referenz Plattenfertiger'!$F72)*IF(NOT(ISBLANK('Eingabe EF'!$BA57)),'Eingabe EF'!$BA57,'Eingabe EF'!$AY57)</f>
        <v>60</v>
      </c>
      <c r="U242" s="17"/>
      <c r="W242" s="37">
        <f>R242+S242</f>
        <v>0</v>
      </c>
      <c r="X242" s="37">
        <f>SUM(R242:T242)</f>
        <v>60</v>
      </c>
      <c r="Y242" s="17" t="s">
        <v>184</v>
      </c>
    </row>
    <row r="243" spans="14:25" ht="15.75" hidden="1" outlineLevel="1" x14ac:dyDescent="0.3">
      <c r="N243" s="17"/>
      <c r="O243" s="17"/>
      <c r="P243" s="17" t="s">
        <v>173</v>
      </c>
      <c r="Q243" s="17"/>
      <c r="R243" s="43"/>
      <c r="S243" s="43"/>
      <c r="T243" s="43">
        <f>IF(NOT(ISBLANK('Referenz Plattenfertiger'!$I73)),'Referenz Plattenfertiger'!$I73,'Referenz Plattenfertiger'!$F73)*IF(NOT(ISBLANK('Eingabe EF'!$BA58)),'Eingabe EF'!$BA58,0)</f>
        <v>0</v>
      </c>
      <c r="U243" s="17"/>
      <c r="W243" s="37">
        <f t="shared" ref="W243:W244" si="52">R243+S243</f>
        <v>0</v>
      </c>
      <c r="X243" s="37">
        <f>SUM(R243:T243)</f>
        <v>0</v>
      </c>
      <c r="Y243" s="17" t="s">
        <v>184</v>
      </c>
    </row>
    <row r="244" spans="14:25" ht="15.75" hidden="1" outlineLevel="1" x14ac:dyDescent="0.3">
      <c r="N244" s="17"/>
      <c r="O244" s="17"/>
      <c r="P244" s="17" t="s">
        <v>172</v>
      </c>
      <c r="Q244" s="17"/>
      <c r="R244" s="43"/>
      <c r="S244" s="43"/>
      <c r="T244" s="43">
        <f>IF(NOT(ISBLANK('Referenz Plattenfertiger'!$I74)),'Referenz Plattenfertiger'!$I74,'Referenz Plattenfertiger'!$F74)*IF(NOT(ISBLANK('Eingabe EF'!$BA59)),'Eingabe EF'!$BA59,0)</f>
        <v>0</v>
      </c>
      <c r="U244" s="17"/>
      <c r="W244" s="37">
        <f t="shared" si="52"/>
        <v>0</v>
      </c>
      <c r="X244" s="37">
        <f>SUM(R244:T244)</f>
        <v>0</v>
      </c>
      <c r="Y244" s="17" t="s">
        <v>184</v>
      </c>
    </row>
    <row r="245" spans="14:25" hidden="1" outlineLevel="1" x14ac:dyDescent="0.2">
      <c r="N245" s="17"/>
      <c r="O245" s="17"/>
      <c r="P245" s="17"/>
      <c r="Q245" s="17"/>
      <c r="R245" s="17"/>
      <c r="S245" s="17"/>
      <c r="T245" s="17"/>
      <c r="U245" s="17"/>
      <c r="W245" s="17"/>
      <c r="X245" s="17"/>
      <c r="Y245" s="20"/>
    </row>
    <row r="246" spans="14:25" ht="14.25" hidden="1" outlineLevel="1" x14ac:dyDescent="0.25">
      <c r="N246" s="17"/>
      <c r="O246" s="17"/>
      <c r="P246" s="21" t="s">
        <v>61</v>
      </c>
      <c r="Q246" s="21"/>
      <c r="R246" s="75"/>
      <c r="S246" s="75"/>
      <c r="T246" s="75">
        <f>IF(NOT(ISBLANK('Referenz Plattenfertiger'!$I76)),'Referenz Plattenfertiger'!$I76,'Referenz Plattenfertiger'!$F76)*IF(NOT(ISBLANK('Eingabe EF'!$BA61)),'Eingabe EF'!$BA61,'Eingabe EF'!$AY61)</f>
        <v>64.48</v>
      </c>
      <c r="U246" s="21"/>
      <c r="W246" s="74">
        <f t="shared" ref="W246" si="53">R246+S246</f>
        <v>0</v>
      </c>
      <c r="X246" s="74">
        <f>SUM(R246:T246)</f>
        <v>64.48</v>
      </c>
      <c r="Y246" s="21" t="s">
        <v>183</v>
      </c>
    </row>
    <row r="247" spans="14:25" hidden="1" outlineLevel="1" x14ac:dyDescent="0.2">
      <c r="N247" s="17"/>
      <c r="O247" s="17"/>
      <c r="P247" s="17"/>
      <c r="Q247" s="17"/>
      <c r="R247" s="20"/>
      <c r="S247" s="20"/>
      <c r="T247" s="20"/>
      <c r="U247" s="17"/>
      <c r="W247" s="17"/>
      <c r="X247" s="20"/>
      <c r="Y247" s="20"/>
    </row>
    <row r="248" spans="14:25" ht="15" hidden="1" outlineLevel="1" thickBot="1" x14ac:dyDescent="0.3">
      <c r="N248" s="17"/>
      <c r="O248" s="17"/>
      <c r="P248" s="67" t="s">
        <v>67</v>
      </c>
      <c r="Q248" s="67"/>
      <c r="R248" s="68">
        <f>SUM(R187:R246)-R201-R205-R211-R220-R227-R236-R241</f>
        <v>82.681459059999995</v>
      </c>
      <c r="S248" s="68">
        <f>SUM(S187:S246)-S201-S205-S211-S220-S227-S236-S241</f>
        <v>59.705978200727237</v>
      </c>
      <c r="T248" s="68">
        <f>SUM(T187:T246)-T201-T205-T211-T220-T227-T236-T241</f>
        <v>5732.7102044556977</v>
      </c>
      <c r="U248" s="21"/>
      <c r="W248" s="68">
        <f>SUM(W187:W246)-W201-W205-W211-W220-W227-W236-W241</f>
        <v>142.38743726072721</v>
      </c>
      <c r="X248" s="68">
        <f>SUM(X187:X246)-X201-X205-X211-X220-X227-X236-X241</f>
        <v>5875.0976417164256</v>
      </c>
      <c r="Y248" s="68" t="s">
        <v>183</v>
      </c>
    </row>
    <row r="249" spans="14:25" ht="13.5" hidden="1" outlineLevel="1" thickTop="1" x14ac:dyDescent="0.2">
      <c r="N249" s="17"/>
      <c r="O249" s="17"/>
      <c r="P249" s="17"/>
      <c r="Q249" s="17"/>
      <c r="R249" s="20"/>
      <c r="S249" s="20"/>
      <c r="T249" s="20"/>
      <c r="U249" s="17"/>
      <c r="W249" s="17"/>
      <c r="X249" s="20"/>
      <c r="Y249" s="20"/>
    </row>
    <row r="250" spans="14:25" hidden="1" outlineLevel="1" x14ac:dyDescent="0.2"/>
    <row r="251" spans="14:25" hidden="1" outlineLevel="1" x14ac:dyDescent="0.2"/>
    <row r="252" spans="14:25" hidden="1" outlineLevel="1" x14ac:dyDescent="0.2"/>
    <row r="253" spans="14:25" hidden="1" outlineLevel="1" x14ac:dyDescent="0.2"/>
    <row r="254" spans="14:25" hidden="1" outlineLevel="1" x14ac:dyDescent="0.2"/>
    <row r="255" spans="14:25" hidden="1" outlineLevel="1" x14ac:dyDescent="0.2"/>
    <row r="256" spans="14:25"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collapsed="1" x14ac:dyDescent="0.2"/>
  </sheetData>
  <sheetProtection algorithmName="SHA-512" hashValue="0XbvuxZ0xZJ5VkLo4RBa1k2Z4wwWCfOrXhpk/7+6pMOT2DbSrht+h05vMooGkUPRzJw1z0dBGI+o42ONukY4KQ==" saltValue="b4uCFnS3YYPKH4KhrAbDXg==" spinCount="100000" sheet="1" selectLockedCells="1"/>
  <mergeCells count="6">
    <mergeCell ref="C6:K6"/>
    <mergeCell ref="D13:F13"/>
    <mergeCell ref="O40:O41"/>
    <mergeCell ref="AG40:AG41"/>
    <mergeCell ref="X49:X50"/>
    <mergeCell ref="H13:J13"/>
  </mergeCells>
  <phoneticPr fontId="22" type="noConversion"/>
  <hyperlinks>
    <hyperlink ref="A1" location="Cockpit!A1" display="zurück zu Cockpit" xr:uid="{BB077664-6DAF-43F1-8BA5-CA54F4E606D2}"/>
  </hyperlinks>
  <printOptions horizontalCentered="1"/>
  <pageMargins left="0.39370078740157483" right="0.39370078740157483" top="0.39370078740157483" bottom="0.59055118110236227" header="0.19685039370078741" footer="0.19685039370078741"/>
  <pageSetup paperSize="9" scale="49" fitToWidth="4" orientation="portrait" r:id="rId1"/>
  <colBreaks count="3" manualBreakCount="3">
    <brk id="12" min="1" max="71" man="1"/>
    <brk id="21" min="1" max="71" man="1"/>
    <brk id="30" min="1"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08" r:id="rId4" name="Check Box 8">
              <controlPr defaultSize="0" autoFill="0" autoLine="0" autoPict="0">
                <anchor moveWithCells="1">
                  <from>
                    <xdr:col>32</xdr:col>
                    <xdr:colOff>457200</xdr:colOff>
                    <xdr:row>52</xdr:row>
                    <xdr:rowOff>0</xdr:rowOff>
                  </from>
                  <to>
                    <xdr:col>32</xdr:col>
                    <xdr:colOff>685800</xdr:colOff>
                    <xdr:row>52</xdr:row>
                    <xdr:rowOff>190500</xdr:rowOff>
                  </to>
                </anchor>
              </controlPr>
            </control>
          </mc:Choice>
        </mc:AlternateContent>
        <mc:AlternateContent xmlns:mc="http://schemas.openxmlformats.org/markup-compatibility/2006">
          <mc:Choice Requires="x14">
            <control shapeId="102409" r:id="rId5" name="Check Box 9">
              <controlPr defaultSize="0" autoFill="0" autoLine="0" autoPict="0">
                <anchor moveWithCells="1">
                  <from>
                    <xdr:col>32</xdr:col>
                    <xdr:colOff>571500</xdr:colOff>
                    <xdr:row>53</xdr:row>
                    <xdr:rowOff>19050</xdr:rowOff>
                  </from>
                  <to>
                    <xdr:col>33</xdr:col>
                    <xdr:colOff>0</xdr:colOff>
                    <xdr:row>54</xdr:row>
                    <xdr:rowOff>0</xdr:rowOff>
                  </to>
                </anchor>
              </controlPr>
            </control>
          </mc:Choice>
        </mc:AlternateContent>
        <mc:AlternateContent xmlns:mc="http://schemas.openxmlformats.org/markup-compatibility/2006">
          <mc:Choice Requires="x14">
            <control shapeId="102410" r:id="rId6" name="Check Box 10">
              <controlPr defaultSize="0" autoFill="0" autoLine="0" autoPict="0">
                <anchor moveWithCells="1">
                  <from>
                    <xdr:col>32</xdr:col>
                    <xdr:colOff>571500</xdr:colOff>
                    <xdr:row>54</xdr:row>
                    <xdr:rowOff>19050</xdr:rowOff>
                  </from>
                  <to>
                    <xdr:col>33</xdr:col>
                    <xdr:colOff>0</xdr:colOff>
                    <xdr:row>55</xdr:row>
                    <xdr:rowOff>0</xdr:rowOff>
                  </to>
                </anchor>
              </controlPr>
            </control>
          </mc:Choice>
        </mc:AlternateContent>
        <mc:AlternateContent xmlns:mc="http://schemas.openxmlformats.org/markup-compatibility/2006">
          <mc:Choice Requires="x14">
            <control shapeId="102411" r:id="rId7" name="Check Box 11">
              <controlPr defaultSize="0" autoFill="0" autoLine="0" autoPict="0">
                <anchor moveWithCells="1">
                  <from>
                    <xdr:col>32</xdr:col>
                    <xdr:colOff>571500</xdr:colOff>
                    <xdr:row>55</xdr:row>
                    <xdr:rowOff>9525</xdr:rowOff>
                  </from>
                  <to>
                    <xdr:col>33</xdr:col>
                    <xdr:colOff>0</xdr:colOff>
                    <xdr:row>55</xdr:row>
                    <xdr:rowOff>190500</xdr:rowOff>
                  </to>
                </anchor>
              </controlPr>
            </control>
          </mc:Choice>
        </mc:AlternateContent>
        <mc:AlternateContent xmlns:mc="http://schemas.openxmlformats.org/markup-compatibility/2006">
          <mc:Choice Requires="x14">
            <control shapeId="102412" r:id="rId8" name="Check Box 12">
              <controlPr defaultSize="0" autoFill="0" autoLine="0" autoPict="0">
                <anchor moveWithCells="1">
                  <from>
                    <xdr:col>32</xdr:col>
                    <xdr:colOff>457200</xdr:colOff>
                    <xdr:row>50</xdr:row>
                    <xdr:rowOff>9525</xdr:rowOff>
                  </from>
                  <to>
                    <xdr:col>32</xdr:col>
                    <xdr:colOff>685800</xdr:colOff>
                    <xdr:row>51</xdr:row>
                    <xdr:rowOff>0</xdr:rowOff>
                  </to>
                </anchor>
              </controlPr>
            </control>
          </mc:Choice>
        </mc:AlternateContent>
        <mc:AlternateContent xmlns:mc="http://schemas.openxmlformats.org/markup-compatibility/2006">
          <mc:Choice Requires="x14">
            <control shapeId="102413" r:id="rId9" name="Check Box 13">
              <controlPr defaultSize="0" autoFill="0" autoLine="0" autoPict="0">
                <anchor moveWithCells="1">
                  <from>
                    <xdr:col>32</xdr:col>
                    <xdr:colOff>457200</xdr:colOff>
                    <xdr:row>49</xdr:row>
                    <xdr:rowOff>0</xdr:rowOff>
                  </from>
                  <to>
                    <xdr:col>32</xdr:col>
                    <xdr:colOff>685800</xdr:colOff>
                    <xdr:row>50</xdr:row>
                    <xdr:rowOff>0</xdr:rowOff>
                  </to>
                </anchor>
              </controlPr>
            </control>
          </mc:Choice>
        </mc:AlternateContent>
        <mc:AlternateContent xmlns:mc="http://schemas.openxmlformats.org/markup-compatibility/2006">
          <mc:Choice Requires="x14">
            <control shapeId="102414" r:id="rId10" name="Check Box 14">
              <controlPr defaultSize="0" autoFill="0" autoLine="0" autoPict="0">
                <anchor moveWithCells="1">
                  <from>
                    <xdr:col>32</xdr:col>
                    <xdr:colOff>457200</xdr:colOff>
                    <xdr:row>51</xdr:row>
                    <xdr:rowOff>9525</xdr:rowOff>
                  </from>
                  <to>
                    <xdr:col>32</xdr:col>
                    <xdr:colOff>685800</xdr:colOff>
                    <xdr:row>52</xdr:row>
                    <xdr:rowOff>0</xdr:rowOff>
                  </to>
                </anchor>
              </controlPr>
            </control>
          </mc:Choice>
        </mc:AlternateContent>
        <mc:AlternateContent xmlns:mc="http://schemas.openxmlformats.org/markup-compatibility/2006">
          <mc:Choice Requires="x14">
            <control shapeId="102415" r:id="rId11" name="Check Box 15">
              <controlPr defaultSize="0" autoFill="0" autoLine="0" autoPict="0">
                <anchor moveWithCells="1">
                  <from>
                    <xdr:col>23</xdr:col>
                    <xdr:colOff>514350</xdr:colOff>
                    <xdr:row>49</xdr:row>
                    <xdr:rowOff>152400</xdr:rowOff>
                  </from>
                  <to>
                    <xdr:col>23</xdr:col>
                    <xdr:colOff>733425</xdr:colOff>
                    <xdr:row>51</xdr:row>
                    <xdr:rowOff>0</xdr:rowOff>
                  </to>
                </anchor>
              </controlPr>
            </control>
          </mc:Choice>
        </mc:AlternateContent>
        <mc:AlternateContent xmlns:mc="http://schemas.openxmlformats.org/markup-compatibility/2006">
          <mc:Choice Requires="x14">
            <control shapeId="102416" r:id="rId12" name="Check Box 16">
              <controlPr defaultSize="0" autoFill="0" autoLine="0" autoPict="0">
                <anchor moveWithCells="1">
                  <from>
                    <xdr:col>23</xdr:col>
                    <xdr:colOff>514350</xdr:colOff>
                    <xdr:row>50</xdr:row>
                    <xdr:rowOff>171450</xdr:rowOff>
                  </from>
                  <to>
                    <xdr:col>23</xdr:col>
                    <xdr:colOff>733425</xdr:colOff>
                    <xdr:row>51</xdr:row>
                    <xdr:rowOff>190500</xdr:rowOff>
                  </to>
                </anchor>
              </controlPr>
            </control>
          </mc:Choice>
        </mc:AlternateContent>
        <mc:AlternateContent xmlns:mc="http://schemas.openxmlformats.org/markup-compatibility/2006">
          <mc:Choice Requires="x14">
            <control shapeId="102417" r:id="rId13" name="Check Box 17">
              <controlPr defaultSize="0" autoFill="0" autoLine="0" autoPict="0">
                <anchor moveWithCells="1">
                  <from>
                    <xdr:col>23</xdr:col>
                    <xdr:colOff>514350</xdr:colOff>
                    <xdr:row>51</xdr:row>
                    <xdr:rowOff>180975</xdr:rowOff>
                  </from>
                  <to>
                    <xdr:col>23</xdr:col>
                    <xdr:colOff>733425</xdr:colOff>
                    <xdr:row>52</xdr:row>
                    <xdr:rowOff>190500</xdr:rowOff>
                  </to>
                </anchor>
              </controlPr>
            </control>
          </mc:Choice>
        </mc:AlternateContent>
        <mc:AlternateContent xmlns:mc="http://schemas.openxmlformats.org/markup-compatibility/2006">
          <mc:Choice Requires="x14">
            <control shapeId="102418" r:id="rId14" name="Check Box 18">
              <controlPr defaultSize="0" autoFill="0" autoLine="0" autoPict="0">
                <anchor moveWithCells="1">
                  <from>
                    <xdr:col>23</xdr:col>
                    <xdr:colOff>514350</xdr:colOff>
                    <xdr:row>52</xdr:row>
                    <xdr:rowOff>180975</xdr:rowOff>
                  </from>
                  <to>
                    <xdr:col>23</xdr:col>
                    <xdr:colOff>733425</xdr:colOff>
                    <xdr:row>54</xdr:row>
                    <xdr:rowOff>0</xdr:rowOff>
                  </to>
                </anchor>
              </controlPr>
            </control>
          </mc:Choice>
        </mc:AlternateContent>
        <mc:AlternateContent xmlns:mc="http://schemas.openxmlformats.org/markup-compatibility/2006">
          <mc:Choice Requires="x14">
            <control shapeId="102419" r:id="rId15" name="Check Box 19">
              <controlPr defaultSize="0" autoFill="0" autoLine="0" autoPict="0">
                <anchor moveWithCells="1">
                  <from>
                    <xdr:col>23</xdr:col>
                    <xdr:colOff>514350</xdr:colOff>
                    <xdr:row>53</xdr:row>
                    <xdr:rowOff>180975</xdr:rowOff>
                  </from>
                  <to>
                    <xdr:col>23</xdr:col>
                    <xdr:colOff>733425</xdr:colOff>
                    <xdr:row>55</xdr:row>
                    <xdr:rowOff>0</xdr:rowOff>
                  </to>
                </anchor>
              </controlPr>
            </control>
          </mc:Choice>
        </mc:AlternateContent>
        <mc:AlternateContent xmlns:mc="http://schemas.openxmlformats.org/markup-compatibility/2006">
          <mc:Choice Requires="x14">
            <control shapeId="102420" r:id="rId16" name="Check Box 20">
              <controlPr defaultSize="0" autoFill="0" autoLine="0" autoPict="0">
                <anchor moveWithCells="1">
                  <from>
                    <xdr:col>23</xdr:col>
                    <xdr:colOff>514350</xdr:colOff>
                    <xdr:row>54</xdr:row>
                    <xdr:rowOff>180975</xdr:rowOff>
                  </from>
                  <to>
                    <xdr:col>23</xdr:col>
                    <xdr:colOff>733425</xdr:colOff>
                    <xdr:row>56</xdr:row>
                    <xdr:rowOff>0</xdr:rowOff>
                  </to>
                </anchor>
              </controlPr>
            </control>
          </mc:Choice>
        </mc:AlternateContent>
        <mc:AlternateContent xmlns:mc="http://schemas.openxmlformats.org/markup-compatibility/2006">
          <mc:Choice Requires="x14">
            <control shapeId="102421" r:id="rId17" name="Check Box 21">
              <controlPr defaultSize="0" autoFill="0" autoLine="0" autoPict="0">
                <anchor moveWithCells="1">
                  <from>
                    <xdr:col>23</xdr:col>
                    <xdr:colOff>514350</xdr:colOff>
                    <xdr:row>55</xdr:row>
                    <xdr:rowOff>180975</xdr:rowOff>
                  </from>
                  <to>
                    <xdr:col>23</xdr:col>
                    <xdr:colOff>733425</xdr:colOff>
                    <xdr:row>57</xdr:row>
                    <xdr:rowOff>0</xdr:rowOff>
                  </to>
                </anchor>
              </controlPr>
            </control>
          </mc:Choice>
        </mc:AlternateContent>
        <mc:AlternateContent xmlns:mc="http://schemas.openxmlformats.org/markup-compatibility/2006">
          <mc:Choice Requires="x14">
            <control shapeId="102422" r:id="rId18" name="Check Box 22">
              <controlPr defaultSize="0" autoFill="0" autoLine="0" autoPict="0">
                <anchor moveWithCells="1">
                  <from>
                    <xdr:col>23</xdr:col>
                    <xdr:colOff>514350</xdr:colOff>
                    <xdr:row>56</xdr:row>
                    <xdr:rowOff>190500</xdr:rowOff>
                  </from>
                  <to>
                    <xdr:col>23</xdr:col>
                    <xdr:colOff>733425</xdr:colOff>
                    <xdr:row>57</xdr:row>
                    <xdr:rowOff>190500</xdr:rowOff>
                  </to>
                </anchor>
              </controlPr>
            </control>
          </mc:Choice>
        </mc:AlternateContent>
        <mc:AlternateContent xmlns:mc="http://schemas.openxmlformats.org/markup-compatibility/2006">
          <mc:Choice Requires="x14">
            <control shapeId="102423" r:id="rId19" name="Check Box 23">
              <controlPr defaultSize="0" autoFill="0" autoLine="0" autoPict="0">
                <anchor moveWithCells="1">
                  <from>
                    <xdr:col>23</xdr:col>
                    <xdr:colOff>514350</xdr:colOff>
                    <xdr:row>57</xdr:row>
                    <xdr:rowOff>180975</xdr:rowOff>
                  </from>
                  <to>
                    <xdr:col>23</xdr:col>
                    <xdr:colOff>733425</xdr:colOff>
                    <xdr:row>58</xdr:row>
                    <xdr:rowOff>190500</xdr:rowOff>
                  </to>
                </anchor>
              </controlPr>
            </control>
          </mc:Choice>
        </mc:AlternateContent>
        <mc:AlternateContent xmlns:mc="http://schemas.openxmlformats.org/markup-compatibility/2006">
          <mc:Choice Requires="x14">
            <control shapeId="102424" r:id="rId20" name="Check Box 24">
              <controlPr defaultSize="0" autoFill="0" autoLine="0" autoPict="0">
                <anchor moveWithCells="1">
                  <from>
                    <xdr:col>23</xdr:col>
                    <xdr:colOff>514350</xdr:colOff>
                    <xdr:row>58</xdr:row>
                    <xdr:rowOff>171450</xdr:rowOff>
                  </from>
                  <to>
                    <xdr:col>23</xdr:col>
                    <xdr:colOff>733425</xdr:colOff>
                    <xdr:row>59</xdr:row>
                    <xdr:rowOff>190500</xdr:rowOff>
                  </to>
                </anchor>
              </controlPr>
            </control>
          </mc:Choice>
        </mc:AlternateContent>
        <mc:AlternateContent xmlns:mc="http://schemas.openxmlformats.org/markup-compatibility/2006">
          <mc:Choice Requires="x14">
            <control shapeId="102425" r:id="rId21" name="Check Box 25">
              <controlPr defaultSize="0" autoFill="0" autoLine="0" autoPict="0">
                <anchor moveWithCells="1">
                  <from>
                    <xdr:col>23</xdr:col>
                    <xdr:colOff>514350</xdr:colOff>
                    <xdr:row>59</xdr:row>
                    <xdr:rowOff>171450</xdr:rowOff>
                  </from>
                  <to>
                    <xdr:col>23</xdr:col>
                    <xdr:colOff>733425</xdr:colOff>
                    <xdr:row>60</xdr:row>
                    <xdr:rowOff>190500</xdr:rowOff>
                  </to>
                </anchor>
              </controlPr>
            </control>
          </mc:Choice>
        </mc:AlternateContent>
        <mc:AlternateContent xmlns:mc="http://schemas.openxmlformats.org/markup-compatibility/2006">
          <mc:Choice Requires="x14">
            <control shapeId="102401" r:id="rId22" name="Check Box 1">
              <controlPr defaultSize="0" autoFill="0" autoLine="0" autoPict="0">
                <anchor moveWithCells="1">
                  <from>
                    <xdr:col>14</xdr:col>
                    <xdr:colOff>523875</xdr:colOff>
                    <xdr:row>41</xdr:row>
                    <xdr:rowOff>28575</xdr:rowOff>
                  </from>
                  <to>
                    <xdr:col>14</xdr:col>
                    <xdr:colOff>723900</xdr:colOff>
                    <xdr:row>42</xdr:row>
                    <xdr:rowOff>0</xdr:rowOff>
                  </to>
                </anchor>
              </controlPr>
            </control>
          </mc:Choice>
        </mc:AlternateContent>
        <mc:AlternateContent xmlns:mc="http://schemas.openxmlformats.org/markup-compatibility/2006">
          <mc:Choice Requires="x14">
            <control shapeId="102402" r:id="rId23" name="Check Box 2">
              <controlPr defaultSize="0" autoFill="0" autoLine="0" autoPict="0">
                <anchor moveWithCells="1">
                  <from>
                    <xdr:col>14</xdr:col>
                    <xdr:colOff>523875</xdr:colOff>
                    <xdr:row>42</xdr:row>
                    <xdr:rowOff>28575</xdr:rowOff>
                  </from>
                  <to>
                    <xdr:col>14</xdr:col>
                    <xdr:colOff>733425</xdr:colOff>
                    <xdr:row>42</xdr:row>
                    <xdr:rowOff>190500</xdr:rowOff>
                  </to>
                </anchor>
              </controlPr>
            </control>
          </mc:Choice>
        </mc:AlternateContent>
        <mc:AlternateContent xmlns:mc="http://schemas.openxmlformats.org/markup-compatibility/2006">
          <mc:Choice Requires="x14">
            <control shapeId="102403" r:id="rId24" name="Check Box 3">
              <controlPr defaultSize="0" autoFill="0" autoLine="0" autoPict="0">
                <anchor moveWithCells="1">
                  <from>
                    <xdr:col>14</xdr:col>
                    <xdr:colOff>523875</xdr:colOff>
                    <xdr:row>43</xdr:row>
                    <xdr:rowOff>28575</xdr:rowOff>
                  </from>
                  <to>
                    <xdr:col>14</xdr:col>
                    <xdr:colOff>733425</xdr:colOff>
                    <xdr:row>43</xdr:row>
                    <xdr:rowOff>190500</xdr:rowOff>
                  </to>
                </anchor>
              </controlPr>
            </control>
          </mc:Choice>
        </mc:AlternateContent>
        <mc:AlternateContent xmlns:mc="http://schemas.openxmlformats.org/markup-compatibility/2006">
          <mc:Choice Requires="x14">
            <control shapeId="102404" r:id="rId25" name="Check Box 4">
              <controlPr defaultSize="0" autoFill="0" autoLine="0" autoPict="0">
                <anchor moveWithCells="1">
                  <from>
                    <xdr:col>14</xdr:col>
                    <xdr:colOff>523875</xdr:colOff>
                    <xdr:row>44</xdr:row>
                    <xdr:rowOff>19050</xdr:rowOff>
                  </from>
                  <to>
                    <xdr:col>14</xdr:col>
                    <xdr:colOff>733425</xdr:colOff>
                    <xdr:row>44</xdr:row>
                    <xdr:rowOff>190500</xdr:rowOff>
                  </to>
                </anchor>
              </controlPr>
            </control>
          </mc:Choice>
        </mc:AlternateContent>
        <mc:AlternateContent xmlns:mc="http://schemas.openxmlformats.org/markup-compatibility/2006">
          <mc:Choice Requires="x14">
            <control shapeId="102405" r:id="rId26" name="Check Box 5">
              <controlPr defaultSize="0" autoFill="0" autoLine="0" autoPict="0">
                <anchor moveWithCells="1">
                  <from>
                    <xdr:col>14</xdr:col>
                    <xdr:colOff>523875</xdr:colOff>
                    <xdr:row>45</xdr:row>
                    <xdr:rowOff>19050</xdr:rowOff>
                  </from>
                  <to>
                    <xdr:col>14</xdr:col>
                    <xdr:colOff>733425</xdr:colOff>
                    <xdr:row>45</xdr:row>
                    <xdr:rowOff>190500</xdr:rowOff>
                  </to>
                </anchor>
              </controlPr>
            </control>
          </mc:Choice>
        </mc:AlternateContent>
        <mc:AlternateContent xmlns:mc="http://schemas.openxmlformats.org/markup-compatibility/2006">
          <mc:Choice Requires="x14">
            <control shapeId="102406" r:id="rId27" name="Check Box 6">
              <controlPr defaultSize="0" autoFill="0" autoLine="0" autoPict="0">
                <anchor moveWithCells="1">
                  <from>
                    <xdr:col>14</xdr:col>
                    <xdr:colOff>523875</xdr:colOff>
                    <xdr:row>46</xdr:row>
                    <xdr:rowOff>0</xdr:rowOff>
                  </from>
                  <to>
                    <xdr:col>14</xdr:col>
                    <xdr:colOff>733425</xdr:colOff>
                    <xdr:row>46</xdr:row>
                    <xdr:rowOff>190500</xdr:rowOff>
                  </to>
                </anchor>
              </controlPr>
            </control>
          </mc:Choice>
        </mc:AlternateContent>
        <mc:AlternateContent xmlns:mc="http://schemas.openxmlformats.org/markup-compatibility/2006">
          <mc:Choice Requires="x14">
            <control shapeId="102407" r:id="rId28" name="Check Box 7">
              <controlPr defaultSize="0" autoFill="0" autoLine="0" autoPict="0">
                <anchor moveWithCells="1">
                  <from>
                    <xdr:col>14</xdr:col>
                    <xdr:colOff>523875</xdr:colOff>
                    <xdr:row>47</xdr:row>
                    <xdr:rowOff>9525</xdr:rowOff>
                  </from>
                  <to>
                    <xdr:col>14</xdr:col>
                    <xdr:colOff>733425</xdr:colOff>
                    <xdr:row>47</xdr:row>
                    <xdr:rowOff>190500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2EBB1-708E-4EA3-BC3D-9C1A2EAC5739}">
  <dimension ref="A1:AU282"/>
  <sheetViews>
    <sheetView workbookViewId="0"/>
  </sheetViews>
  <sheetFormatPr baseColWidth="10" defaultColWidth="9" defaultRowHeight="12.75" outlineLevelRow="1" x14ac:dyDescent="0.2"/>
  <cols>
    <col min="1" max="1" width="2.625" style="6" customWidth="1"/>
    <col min="2" max="2" width="2.25" style="6" customWidth="1"/>
    <col min="3" max="3" width="9.875" style="6" customWidth="1"/>
    <col min="4" max="4" width="39.5" style="6" customWidth="1"/>
    <col min="5" max="5" width="11" style="6" customWidth="1"/>
    <col min="6" max="7" width="10.375" style="6" customWidth="1"/>
    <col min="8" max="9" width="9" style="6" customWidth="1"/>
    <col min="10" max="11" width="10.75" style="6" customWidth="1"/>
    <col min="12" max="12" width="42.875" style="6" customWidth="1"/>
    <col min="13" max="13" width="10.75" style="6" customWidth="1"/>
    <col min="14" max="14" width="3.125" style="6" customWidth="1"/>
    <col min="15" max="15" width="2.25" style="6" customWidth="1"/>
    <col min="16" max="16" width="9.875" style="6" customWidth="1"/>
    <col min="17" max="17" width="39.5" style="6" customWidth="1"/>
    <col min="18" max="18" width="9" style="6"/>
    <col min="19" max="19" width="10.375" style="6" customWidth="1"/>
    <col min="20" max="20" width="10.125" style="6" customWidth="1"/>
    <col min="21" max="22" width="9" style="6"/>
    <col min="23" max="23" width="3" style="6" customWidth="1"/>
    <col min="24" max="24" width="4" style="6" customWidth="1"/>
    <col min="25" max="25" width="10.5" style="6" customWidth="1"/>
    <col min="26" max="26" width="43" style="6" bestFit="1" customWidth="1"/>
    <col min="27" max="29" width="9" style="6"/>
    <col min="30" max="30" width="12" style="6" customWidth="1"/>
    <col min="31" max="31" width="9" style="6"/>
    <col min="32" max="32" width="3" style="6" customWidth="1"/>
    <col min="33" max="33" width="9.875" style="6" bestFit="1" customWidth="1"/>
    <col min="34" max="34" width="10.375" style="6" customWidth="1"/>
    <col min="35" max="35" width="31.5" style="6" bestFit="1" customWidth="1"/>
    <col min="36" max="36" width="9" style="6"/>
    <col min="37" max="37" width="11.75" style="6" bestFit="1" customWidth="1"/>
    <col min="38" max="38" width="10" style="6" bestFit="1" customWidth="1"/>
    <col min="39" max="39" width="9" style="6"/>
    <col min="40" max="40" width="9" style="6" customWidth="1"/>
    <col min="41" max="16384" width="9" style="6"/>
  </cols>
  <sheetData>
    <row r="1" spans="1:42" s="2" customFormat="1" x14ac:dyDescent="0.2">
      <c r="A1" s="428" t="s">
        <v>467</v>
      </c>
      <c r="B1" s="418"/>
      <c r="C1" s="6"/>
    </row>
    <row r="2" spans="1:42" x14ac:dyDescent="0.2">
      <c r="B2" s="3"/>
      <c r="C2" s="89"/>
      <c r="D2" s="89"/>
      <c r="E2" s="89"/>
      <c r="F2" s="89"/>
      <c r="G2" s="89"/>
      <c r="H2" s="89"/>
      <c r="I2" s="89"/>
      <c r="J2" s="89"/>
      <c r="K2" s="89"/>
      <c r="L2" s="89"/>
      <c r="M2" s="3"/>
      <c r="O2" s="3"/>
      <c r="P2" s="3"/>
      <c r="Q2" s="14"/>
      <c r="R2" s="3"/>
      <c r="S2" s="3"/>
      <c r="T2" s="3"/>
      <c r="U2" s="3"/>
      <c r="V2" s="3"/>
      <c r="X2" s="3"/>
      <c r="Y2" s="3"/>
      <c r="Z2" s="3"/>
      <c r="AA2" s="3"/>
      <c r="AB2" s="3"/>
      <c r="AC2" s="3"/>
      <c r="AD2" s="3"/>
      <c r="AE2" s="3"/>
      <c r="AG2" s="3"/>
      <c r="AH2" s="3"/>
      <c r="AI2" s="3"/>
      <c r="AJ2" s="3"/>
      <c r="AK2" s="3"/>
      <c r="AL2" s="3"/>
      <c r="AM2" s="3"/>
      <c r="AN2" s="3"/>
      <c r="AO2" s="3"/>
      <c r="AP2" s="3"/>
    </row>
    <row r="3" spans="1:42" ht="18" x14ac:dyDescent="0.25">
      <c r="B3" s="3"/>
      <c r="C3" s="89"/>
      <c r="D3" s="90" t="s">
        <v>197</v>
      </c>
      <c r="E3" s="89"/>
      <c r="F3" s="89"/>
      <c r="G3" s="89"/>
      <c r="H3" s="89"/>
      <c r="I3" s="89"/>
      <c r="J3" s="89"/>
      <c r="K3" s="89"/>
      <c r="L3" s="89"/>
      <c r="M3" s="3"/>
      <c r="O3" s="3"/>
      <c r="P3" s="96" t="s">
        <v>198</v>
      </c>
      <c r="Q3" s="14"/>
      <c r="R3" s="3"/>
      <c r="S3" s="3"/>
      <c r="T3" s="3"/>
      <c r="U3" s="3"/>
      <c r="V3" s="3"/>
      <c r="X3" s="3"/>
      <c r="Y3" s="96" t="s">
        <v>198</v>
      </c>
      <c r="Z3" s="3"/>
      <c r="AA3" s="3"/>
      <c r="AB3" s="3"/>
      <c r="AC3" s="3"/>
      <c r="AD3" s="3"/>
      <c r="AE3" s="3"/>
      <c r="AG3" s="3"/>
      <c r="AH3" s="96" t="s">
        <v>198</v>
      </c>
      <c r="AI3" s="3"/>
      <c r="AJ3" s="3"/>
      <c r="AK3" s="3"/>
      <c r="AL3" s="3"/>
      <c r="AM3" s="3"/>
      <c r="AN3" s="3"/>
      <c r="AO3" s="3"/>
      <c r="AP3" s="3"/>
    </row>
    <row r="4" spans="1:42" x14ac:dyDescent="0.2">
      <c r="B4" s="3"/>
      <c r="C4" s="89"/>
      <c r="D4" s="3"/>
      <c r="E4" s="3"/>
      <c r="F4" s="3"/>
      <c r="G4" s="3"/>
      <c r="H4" s="3"/>
      <c r="I4" s="3"/>
      <c r="J4" s="3"/>
      <c r="K4" s="3"/>
      <c r="L4" s="3"/>
      <c r="M4" s="3"/>
      <c r="O4" s="3"/>
      <c r="P4" s="3"/>
      <c r="Q4" s="14"/>
      <c r="R4" s="3"/>
      <c r="S4" s="3"/>
      <c r="T4" s="3"/>
      <c r="U4" s="3"/>
      <c r="V4" s="3"/>
      <c r="X4" s="3"/>
      <c r="Y4" s="3"/>
      <c r="Z4" s="3"/>
      <c r="AA4" s="3"/>
      <c r="AB4" s="3"/>
      <c r="AC4" s="3"/>
      <c r="AD4" s="3"/>
      <c r="AE4" s="3"/>
      <c r="AG4" s="3"/>
      <c r="AH4" s="3"/>
      <c r="AI4" s="3"/>
      <c r="AJ4" s="3"/>
      <c r="AK4" s="3"/>
      <c r="AL4" s="3"/>
      <c r="AM4" s="3"/>
      <c r="AN4" s="3"/>
      <c r="AO4" s="3"/>
      <c r="AP4" s="3"/>
    </row>
    <row r="5" spans="1:42" ht="17.25" customHeight="1" x14ac:dyDescent="0.25">
      <c r="B5" s="3"/>
      <c r="C5" s="89"/>
      <c r="D5" s="103" t="s">
        <v>294</v>
      </c>
      <c r="E5" s="103"/>
      <c r="F5" s="103"/>
      <c r="G5" s="103"/>
      <c r="H5" s="103"/>
      <c r="I5" s="103"/>
      <c r="J5" s="103"/>
      <c r="K5" s="103"/>
      <c r="L5" s="103"/>
      <c r="M5" s="3"/>
      <c r="O5" s="3"/>
      <c r="P5" s="91" t="s">
        <v>101</v>
      </c>
      <c r="Q5" s="3"/>
      <c r="R5" s="3"/>
      <c r="S5" s="3"/>
      <c r="T5" s="3"/>
      <c r="U5" s="3"/>
      <c r="V5" s="3"/>
      <c r="X5" s="3"/>
      <c r="Y5" s="91" t="s">
        <v>105</v>
      </c>
      <c r="Z5" s="3"/>
      <c r="AA5" s="3"/>
      <c r="AB5" s="3"/>
      <c r="AC5" s="3"/>
      <c r="AD5" s="3"/>
      <c r="AE5" s="3"/>
      <c r="AG5" s="3"/>
      <c r="AH5" s="386" t="s">
        <v>79</v>
      </c>
      <c r="AI5" s="3"/>
      <c r="AJ5" s="3"/>
      <c r="AK5" s="3"/>
      <c r="AL5" s="3"/>
      <c r="AM5" s="3"/>
      <c r="AN5" s="3"/>
      <c r="AO5" s="3"/>
      <c r="AP5" s="3"/>
    </row>
    <row r="6" spans="1:42" ht="189" customHeight="1" x14ac:dyDescent="0.2">
      <c r="B6" s="3"/>
      <c r="C6" s="93"/>
      <c r="D6" s="481" t="s">
        <v>436</v>
      </c>
      <c r="E6" s="481"/>
      <c r="F6" s="481"/>
      <c r="G6" s="481"/>
      <c r="H6" s="481"/>
      <c r="I6" s="481"/>
      <c r="J6" s="481"/>
      <c r="K6" s="481"/>
      <c r="L6" s="481"/>
      <c r="M6" s="3"/>
      <c r="O6" s="3"/>
      <c r="P6" s="3"/>
      <c r="Q6" s="14"/>
      <c r="R6" s="3"/>
      <c r="S6" s="3"/>
      <c r="T6" s="3"/>
      <c r="U6" s="3"/>
      <c r="V6" s="3"/>
      <c r="X6" s="3"/>
      <c r="Y6" s="3"/>
      <c r="Z6" s="3"/>
      <c r="AA6" s="3"/>
      <c r="AB6" s="3"/>
      <c r="AC6" s="3"/>
      <c r="AD6" s="3"/>
      <c r="AE6" s="3"/>
      <c r="AG6" s="3"/>
      <c r="AH6" s="3"/>
      <c r="AI6" s="3"/>
      <c r="AJ6" s="3"/>
      <c r="AK6" s="3"/>
      <c r="AL6" s="3"/>
      <c r="AM6" s="3"/>
      <c r="AN6" s="3"/>
      <c r="AO6" s="3"/>
      <c r="AP6" s="3"/>
    </row>
    <row r="7" spans="1:42" x14ac:dyDescent="0.2">
      <c r="B7" s="3"/>
      <c r="C7" s="89"/>
      <c r="D7" s="89"/>
      <c r="E7" s="89"/>
      <c r="F7" s="89"/>
      <c r="G7" s="89"/>
      <c r="H7" s="89"/>
      <c r="I7" s="89"/>
      <c r="J7" s="89"/>
      <c r="K7" s="89"/>
      <c r="L7" s="89"/>
      <c r="M7" s="3"/>
      <c r="O7" s="3"/>
      <c r="P7" s="3"/>
      <c r="Q7" s="3"/>
      <c r="R7" s="3"/>
      <c r="S7" s="3"/>
      <c r="T7" s="3"/>
      <c r="U7" s="3"/>
      <c r="V7" s="3"/>
      <c r="X7" s="3"/>
      <c r="Y7" s="3"/>
      <c r="Z7" s="3"/>
      <c r="AA7" s="3"/>
      <c r="AB7" s="3"/>
      <c r="AC7" s="3"/>
      <c r="AD7" s="3"/>
      <c r="AE7" s="3"/>
      <c r="AG7" s="3"/>
      <c r="AH7" s="3"/>
      <c r="AI7" s="3"/>
      <c r="AJ7" s="3"/>
      <c r="AK7" s="3"/>
      <c r="AL7" s="3"/>
      <c r="AM7" s="3"/>
      <c r="AN7" s="3"/>
      <c r="AO7" s="3"/>
      <c r="AP7" s="3"/>
    </row>
    <row r="8" spans="1:42" x14ac:dyDescent="0.2">
      <c r="O8" s="3"/>
      <c r="P8" s="3"/>
      <c r="Q8" s="3"/>
      <c r="R8" s="3"/>
      <c r="S8" s="3"/>
      <c r="T8" s="3"/>
      <c r="U8" s="3"/>
      <c r="V8" s="3"/>
      <c r="X8" s="3"/>
      <c r="Y8" s="3"/>
      <c r="Z8" s="3"/>
      <c r="AA8" s="3"/>
      <c r="AB8" s="3"/>
      <c r="AC8" s="3"/>
      <c r="AD8" s="3"/>
      <c r="AE8" s="3"/>
      <c r="AG8" s="3"/>
      <c r="AH8" s="3"/>
      <c r="AI8" s="3"/>
      <c r="AJ8" s="3"/>
      <c r="AK8" s="3"/>
      <c r="AL8" s="3"/>
      <c r="AM8" s="3"/>
      <c r="AN8" s="3"/>
      <c r="AO8" s="3"/>
      <c r="AP8" s="3"/>
    </row>
    <row r="9" spans="1:42" x14ac:dyDescent="0.2">
      <c r="B9" s="3"/>
      <c r="C9" s="3"/>
      <c r="D9" s="3"/>
      <c r="E9" s="3"/>
      <c r="F9" s="3"/>
      <c r="G9" s="3"/>
      <c r="H9" s="3"/>
      <c r="I9" s="3"/>
      <c r="J9" s="3"/>
      <c r="K9" s="3"/>
      <c r="L9" s="3"/>
      <c r="M9" s="3"/>
      <c r="O9" s="3"/>
      <c r="P9" s="3"/>
      <c r="Q9" s="3"/>
      <c r="R9" s="3"/>
      <c r="S9" s="3"/>
      <c r="T9" s="3"/>
      <c r="U9" s="3"/>
      <c r="V9" s="3"/>
      <c r="X9" s="3"/>
      <c r="Y9" s="3"/>
      <c r="Z9" s="3"/>
      <c r="AA9" s="3"/>
      <c r="AB9" s="3"/>
      <c r="AC9" s="3"/>
      <c r="AD9" s="3"/>
      <c r="AE9" s="3"/>
      <c r="AG9" s="3"/>
      <c r="AH9" s="3"/>
      <c r="AI9" s="3"/>
      <c r="AJ9" s="3"/>
      <c r="AK9" s="3"/>
      <c r="AL9" s="3"/>
      <c r="AM9" s="3"/>
      <c r="AN9" s="3"/>
      <c r="AO9" s="3"/>
      <c r="AP9" s="3"/>
    </row>
    <row r="10" spans="1:42" x14ac:dyDescent="0.2">
      <c r="B10" s="3"/>
      <c r="C10" s="3"/>
      <c r="D10" s="3"/>
      <c r="E10" s="3"/>
      <c r="F10" s="3"/>
      <c r="G10" s="3"/>
      <c r="H10" s="3"/>
      <c r="I10" s="3"/>
      <c r="J10" s="3"/>
      <c r="K10" s="3"/>
      <c r="L10" s="3"/>
      <c r="M10" s="3"/>
      <c r="O10" s="3"/>
      <c r="P10" s="3"/>
      <c r="Q10" s="3"/>
      <c r="R10" s="3"/>
      <c r="S10" s="3"/>
      <c r="T10" s="3"/>
      <c r="U10" s="3"/>
      <c r="V10" s="3"/>
      <c r="X10" s="3"/>
      <c r="Y10" s="3"/>
      <c r="Z10" s="3"/>
      <c r="AA10" s="3"/>
      <c r="AB10" s="3"/>
      <c r="AC10" s="3"/>
      <c r="AD10" s="3"/>
      <c r="AE10" s="3"/>
      <c r="AG10" s="3"/>
      <c r="AH10" s="3"/>
      <c r="AI10" s="3"/>
      <c r="AJ10" s="3"/>
      <c r="AK10" s="3"/>
      <c r="AL10" s="3"/>
      <c r="AM10" s="3"/>
      <c r="AN10" s="3"/>
      <c r="AO10" s="3"/>
      <c r="AP10" s="3"/>
    </row>
    <row r="11" spans="1:42" ht="18" x14ac:dyDescent="0.25">
      <c r="B11" s="3"/>
      <c r="C11" s="3"/>
      <c r="D11" s="85" t="s">
        <v>247</v>
      </c>
      <c r="E11" s="94"/>
      <c r="F11" s="95"/>
      <c r="G11" s="7"/>
      <c r="H11" s="7"/>
      <c r="I11" s="7"/>
      <c r="J11" s="7"/>
      <c r="K11" s="7"/>
      <c r="L11" s="3"/>
      <c r="M11" s="3"/>
      <c r="O11" s="3"/>
      <c r="P11" s="3"/>
      <c r="Q11" s="3"/>
      <c r="R11" s="3"/>
      <c r="S11" s="3"/>
      <c r="T11" s="3"/>
      <c r="U11" s="3"/>
      <c r="V11" s="3"/>
      <c r="X11" s="3"/>
      <c r="Y11" s="3"/>
      <c r="Z11" s="3"/>
      <c r="AA11" s="3"/>
      <c r="AB11" s="3"/>
      <c r="AC11" s="3"/>
      <c r="AD11" s="3"/>
      <c r="AE11" s="3"/>
      <c r="AG11" s="3"/>
      <c r="AH11" s="3"/>
      <c r="AI11" s="3"/>
      <c r="AJ11" s="3"/>
      <c r="AK11" s="3"/>
      <c r="AL11" s="3"/>
      <c r="AM11" s="3"/>
      <c r="AN11" s="3"/>
      <c r="AO11" s="3"/>
      <c r="AP11" s="3"/>
    </row>
    <row r="12" spans="1:42" ht="18" x14ac:dyDescent="0.25">
      <c r="B12" s="3"/>
      <c r="C12" s="3"/>
      <c r="D12" s="85"/>
      <c r="E12" s="94"/>
      <c r="F12" s="95"/>
      <c r="G12" s="7"/>
      <c r="H12" s="7"/>
      <c r="I12" s="7"/>
      <c r="J12" s="7"/>
      <c r="K12" s="7"/>
      <c r="L12" s="3"/>
      <c r="M12" s="3"/>
      <c r="O12" s="3"/>
      <c r="P12" s="3"/>
      <c r="Q12" s="3"/>
      <c r="R12" s="3"/>
      <c r="S12" s="3"/>
      <c r="T12" s="3"/>
      <c r="U12" s="3"/>
      <c r="V12" s="3"/>
      <c r="X12" s="3"/>
      <c r="Y12" s="3"/>
      <c r="Z12" s="3"/>
      <c r="AA12" s="3"/>
      <c r="AB12" s="3"/>
      <c r="AC12" s="3"/>
      <c r="AD12" s="3"/>
      <c r="AE12" s="3"/>
      <c r="AG12" s="3"/>
      <c r="AH12" s="3"/>
      <c r="AI12" s="3"/>
      <c r="AJ12" s="3"/>
      <c r="AK12" s="3"/>
      <c r="AL12" s="3"/>
      <c r="AM12" s="3"/>
      <c r="AN12" s="3"/>
      <c r="AO12" s="3"/>
      <c r="AP12" s="3"/>
    </row>
    <row r="13" spans="1:42" ht="15.75" x14ac:dyDescent="0.25">
      <c r="B13" s="3"/>
      <c r="C13" s="3"/>
      <c r="D13" s="85"/>
      <c r="E13" s="482">
        <f>'Referenz Plattenfertiger'!D9</f>
        <v>0</v>
      </c>
      <c r="F13" s="482"/>
      <c r="G13" s="482"/>
      <c r="H13" s="7"/>
      <c r="I13" s="7"/>
      <c r="J13" s="7"/>
      <c r="K13" s="7"/>
      <c r="L13" s="3"/>
      <c r="M13" s="3"/>
      <c r="O13" s="3"/>
      <c r="P13" s="3"/>
      <c r="Q13" s="3"/>
      <c r="R13" s="3"/>
      <c r="S13" s="3"/>
      <c r="T13" s="3"/>
      <c r="U13" s="3"/>
      <c r="V13" s="3"/>
      <c r="X13" s="3"/>
      <c r="Y13" s="3"/>
      <c r="Z13" s="3"/>
      <c r="AA13" s="3"/>
      <c r="AB13" s="3"/>
      <c r="AC13" s="3"/>
      <c r="AD13" s="3"/>
      <c r="AE13" s="3"/>
      <c r="AG13" s="3"/>
      <c r="AH13" s="3"/>
      <c r="AI13" s="3"/>
      <c r="AJ13" s="3"/>
      <c r="AK13" s="3"/>
      <c r="AL13" s="3"/>
      <c r="AM13" s="3"/>
      <c r="AN13" s="3"/>
      <c r="AO13" s="3"/>
      <c r="AP13" s="3"/>
    </row>
    <row r="14" spans="1:42" ht="14.25" x14ac:dyDescent="0.2">
      <c r="B14" s="3"/>
      <c r="C14" s="3"/>
      <c r="D14" s="3"/>
      <c r="E14" s="101" t="s">
        <v>75</v>
      </c>
      <c r="F14" s="118"/>
      <c r="G14" s="101" t="s">
        <v>72</v>
      </c>
      <c r="H14" s="7"/>
      <c r="I14" s="7"/>
      <c r="J14" s="7"/>
      <c r="K14" s="7"/>
      <c r="L14" s="3"/>
      <c r="M14" s="3"/>
      <c r="O14" s="3"/>
      <c r="P14" s="3"/>
      <c r="Q14" s="3"/>
      <c r="R14" s="3"/>
      <c r="S14" s="3"/>
      <c r="T14" s="3"/>
      <c r="U14" s="3"/>
      <c r="V14" s="3"/>
      <c r="X14" s="3"/>
      <c r="Y14" s="3"/>
      <c r="Z14" s="3"/>
      <c r="AA14" s="3"/>
      <c r="AB14" s="3"/>
      <c r="AC14" s="3"/>
      <c r="AD14" s="3"/>
      <c r="AE14" s="3"/>
      <c r="AG14" s="3"/>
      <c r="AH14" s="3"/>
      <c r="AI14" s="3"/>
      <c r="AJ14" s="3"/>
      <c r="AK14" s="3"/>
      <c r="AL14" s="3"/>
      <c r="AM14" s="3"/>
      <c r="AN14" s="3"/>
      <c r="AO14" s="3"/>
      <c r="AP14" s="3"/>
    </row>
    <row r="15" spans="1:42" ht="14.25" x14ac:dyDescent="0.2">
      <c r="B15" s="3"/>
      <c r="C15" s="3"/>
      <c r="D15" s="3"/>
      <c r="E15" s="13"/>
      <c r="F15" s="3"/>
      <c r="G15" s="13"/>
      <c r="H15" s="7"/>
      <c r="I15" s="7"/>
      <c r="J15" s="7"/>
      <c r="K15" s="7"/>
      <c r="L15" s="3"/>
      <c r="M15" s="3"/>
      <c r="O15" s="3"/>
      <c r="P15" s="3"/>
      <c r="Q15" s="3"/>
      <c r="R15" s="3"/>
      <c r="S15" s="3"/>
      <c r="T15" s="3"/>
      <c r="U15" s="3"/>
      <c r="V15" s="3"/>
      <c r="X15" s="3"/>
      <c r="Y15" s="3"/>
      <c r="Z15" s="3"/>
      <c r="AA15" s="3"/>
      <c r="AB15" s="3"/>
      <c r="AC15" s="3"/>
      <c r="AD15" s="3"/>
      <c r="AE15" s="3"/>
      <c r="AG15" s="3"/>
      <c r="AH15" s="3"/>
      <c r="AI15" s="3"/>
      <c r="AJ15" s="3"/>
      <c r="AK15" s="3"/>
      <c r="AL15" s="3"/>
      <c r="AM15" s="3"/>
      <c r="AN15" s="3"/>
      <c r="AO15" s="3"/>
      <c r="AP15" s="3"/>
    </row>
    <row r="16" spans="1:42" ht="14.25" x14ac:dyDescent="0.2">
      <c r="B16" s="3"/>
      <c r="C16" s="3"/>
      <c r="D16" s="11" t="s">
        <v>248</v>
      </c>
      <c r="E16" s="3">
        <v>4</v>
      </c>
      <c r="F16" s="3"/>
      <c r="G16" s="113"/>
      <c r="H16" s="7"/>
      <c r="I16" s="7"/>
      <c r="J16" s="163" t="s">
        <v>206</v>
      </c>
      <c r="K16" s="3">
        <v>42.8</v>
      </c>
      <c r="L16" s="3" t="s">
        <v>277</v>
      </c>
      <c r="M16" s="3"/>
      <c r="O16" s="3"/>
      <c r="P16" s="3"/>
      <c r="Q16" s="3"/>
      <c r="R16" s="3"/>
      <c r="S16" s="3"/>
      <c r="T16" s="3"/>
      <c r="U16" s="3"/>
      <c r="V16" s="3"/>
      <c r="X16" s="3"/>
      <c r="Y16" s="3"/>
      <c r="Z16" s="3"/>
      <c r="AA16" s="3"/>
      <c r="AB16" s="3"/>
      <c r="AC16" s="3"/>
      <c r="AD16" s="3"/>
      <c r="AE16" s="3"/>
      <c r="AG16" s="3"/>
      <c r="AH16" s="3"/>
      <c r="AI16" s="3"/>
      <c r="AJ16" s="3"/>
      <c r="AK16" s="3"/>
      <c r="AL16" s="3"/>
      <c r="AM16" s="3"/>
      <c r="AN16" s="3"/>
      <c r="AO16" s="3"/>
      <c r="AP16" s="3"/>
    </row>
    <row r="17" spans="2:42" ht="14.25" x14ac:dyDescent="0.2">
      <c r="B17" s="3"/>
      <c r="C17" s="3"/>
      <c r="D17" s="11" t="s">
        <v>202</v>
      </c>
      <c r="E17" s="9">
        <f>IF(NOT(ISBLANK('Referenz Plattenfertiger'!I28)),'Referenz Plattenfertiger'!I28,'Referenz Plattenfertiger'!F28)/IF(NOT(ISBLANK(G16)),G16,E16)</f>
        <v>2750</v>
      </c>
      <c r="F17" s="3" t="s">
        <v>203</v>
      </c>
      <c r="G17" s="3"/>
      <c r="H17" s="3"/>
      <c r="I17" s="7"/>
      <c r="J17" s="163" t="s">
        <v>278</v>
      </c>
      <c r="K17" s="3">
        <v>0.84499999999999997</v>
      </c>
      <c r="L17" s="3" t="s">
        <v>276</v>
      </c>
      <c r="M17" s="3"/>
      <c r="O17" s="3"/>
      <c r="P17" s="3"/>
      <c r="Q17" s="3"/>
      <c r="R17" s="3"/>
      <c r="S17" s="3"/>
      <c r="T17" s="3"/>
      <c r="U17" s="3"/>
      <c r="V17" s="3"/>
      <c r="X17" s="3"/>
      <c r="Y17" s="3"/>
      <c r="Z17" s="3"/>
      <c r="AA17" s="3"/>
      <c r="AB17" s="3"/>
      <c r="AC17" s="3"/>
      <c r="AD17" s="3"/>
      <c r="AE17" s="3"/>
      <c r="AG17" s="3"/>
      <c r="AH17" s="3"/>
      <c r="AI17" s="3"/>
      <c r="AJ17" s="3"/>
      <c r="AK17" s="3"/>
      <c r="AL17" s="3"/>
      <c r="AM17" s="3"/>
      <c r="AN17" s="3"/>
      <c r="AO17" s="3"/>
      <c r="AP17" s="3"/>
    </row>
    <row r="18" spans="2:42" ht="14.25" x14ac:dyDescent="0.2">
      <c r="B18" s="3"/>
      <c r="C18" s="3"/>
      <c r="D18" s="3"/>
      <c r="E18" s="9">
        <f>E17/1000*K17*K16/0.0036</f>
        <v>27626.805555555555</v>
      </c>
      <c r="F18" s="3" t="s">
        <v>205</v>
      </c>
      <c r="G18" s="9"/>
      <c r="H18" s="9"/>
      <c r="I18" s="7"/>
      <c r="J18" s="7"/>
      <c r="K18" s="7"/>
      <c r="L18" s="7"/>
      <c r="M18" s="3"/>
      <c r="O18" s="3"/>
      <c r="P18" s="3"/>
      <c r="Q18" s="3"/>
      <c r="R18" s="3"/>
      <c r="S18" s="3"/>
      <c r="T18" s="3"/>
      <c r="U18" s="3"/>
      <c r="V18" s="3"/>
      <c r="X18" s="3"/>
      <c r="Y18" s="3"/>
      <c r="Z18" s="3"/>
      <c r="AA18" s="3"/>
      <c r="AB18" s="3"/>
      <c r="AC18" s="3"/>
      <c r="AD18" s="3"/>
      <c r="AE18" s="3"/>
      <c r="AG18" s="3"/>
      <c r="AH18" s="3"/>
      <c r="AI18" s="3"/>
      <c r="AJ18" s="3"/>
      <c r="AK18" s="3"/>
      <c r="AL18" s="3"/>
      <c r="AM18" s="3"/>
      <c r="AN18" s="3"/>
      <c r="AO18" s="3"/>
      <c r="AP18" s="3"/>
    </row>
    <row r="19" spans="2:42" ht="14.25" x14ac:dyDescent="0.2">
      <c r="B19" s="3"/>
      <c r="C19" s="3"/>
      <c r="D19" s="3"/>
      <c r="E19" s="3"/>
      <c r="F19" s="3"/>
      <c r="G19" s="3"/>
      <c r="H19" s="7"/>
      <c r="I19" s="7"/>
      <c r="J19" s="7"/>
      <c r="K19" s="7"/>
      <c r="L19" s="3"/>
      <c r="M19" s="3"/>
      <c r="O19" s="3"/>
      <c r="P19" s="3"/>
      <c r="Q19" s="3"/>
      <c r="R19" s="3"/>
      <c r="S19" s="3"/>
      <c r="T19" s="3"/>
      <c r="U19" s="3"/>
      <c r="V19" s="3"/>
      <c r="X19" s="3"/>
      <c r="Y19" s="3"/>
      <c r="Z19" s="3"/>
      <c r="AA19" s="3"/>
      <c r="AB19" s="3"/>
      <c r="AC19" s="3"/>
      <c r="AD19" s="3"/>
      <c r="AE19" s="3"/>
      <c r="AG19" s="3"/>
      <c r="AH19" s="3"/>
      <c r="AI19" s="3"/>
      <c r="AJ19" s="3"/>
      <c r="AK19" s="3"/>
      <c r="AL19" s="3"/>
      <c r="AM19" s="3"/>
      <c r="AN19" s="3"/>
      <c r="AO19" s="3"/>
      <c r="AP19" s="3"/>
    </row>
    <row r="20" spans="2:42" ht="14.25" customHeight="1" x14ac:dyDescent="0.2">
      <c r="B20" s="3"/>
      <c r="C20" s="3"/>
      <c r="D20" s="8"/>
      <c r="E20" s="482">
        <f>E13+5</f>
        <v>5</v>
      </c>
      <c r="F20" s="482"/>
      <c r="G20" s="482"/>
      <c r="H20" s="13"/>
      <c r="I20" s="482">
        <f>E13+10</f>
        <v>10</v>
      </c>
      <c r="J20" s="482"/>
      <c r="K20" s="482"/>
      <c r="L20" s="8"/>
      <c r="M20" s="3"/>
      <c r="O20" s="3"/>
      <c r="P20" s="3"/>
      <c r="Q20" s="3"/>
      <c r="R20" s="3"/>
      <c r="S20" s="3"/>
      <c r="T20" s="3"/>
      <c r="U20" s="3"/>
      <c r="V20" s="3"/>
      <c r="X20" s="3"/>
      <c r="Y20" s="3"/>
      <c r="Z20" s="3"/>
      <c r="AA20" s="3"/>
      <c r="AB20" s="3"/>
      <c r="AC20" s="3"/>
      <c r="AD20" s="3"/>
      <c r="AE20" s="3"/>
      <c r="AG20" s="3"/>
      <c r="AH20" s="3"/>
      <c r="AI20" s="3"/>
      <c r="AJ20" s="3"/>
      <c r="AK20" s="3"/>
      <c r="AL20" s="3"/>
      <c r="AM20" s="3"/>
      <c r="AN20" s="3"/>
      <c r="AO20" s="3"/>
      <c r="AP20" s="3"/>
    </row>
    <row r="21" spans="2:42" x14ac:dyDescent="0.2">
      <c r="B21" s="3"/>
      <c r="C21" s="3"/>
      <c r="D21" s="8"/>
      <c r="E21" s="101" t="s">
        <v>75</v>
      </c>
      <c r="F21" s="101"/>
      <c r="G21" s="101" t="s">
        <v>72</v>
      </c>
      <c r="H21" s="13"/>
      <c r="I21" s="101" t="s">
        <v>75</v>
      </c>
      <c r="J21" s="101"/>
      <c r="K21" s="101" t="s">
        <v>72</v>
      </c>
      <c r="L21" s="8"/>
      <c r="M21" s="3"/>
      <c r="O21" s="3"/>
      <c r="P21" s="3"/>
      <c r="Q21" s="3"/>
      <c r="R21" s="3"/>
      <c r="S21" s="3"/>
      <c r="T21" s="3"/>
      <c r="U21" s="3"/>
      <c r="V21" s="3"/>
      <c r="X21" s="3"/>
      <c r="Y21" s="3"/>
      <c r="Z21" s="3"/>
      <c r="AA21" s="3"/>
      <c r="AB21" s="3"/>
      <c r="AC21" s="3"/>
      <c r="AD21" s="3"/>
      <c r="AE21" s="3"/>
      <c r="AG21" s="3"/>
      <c r="AH21" s="3"/>
      <c r="AI21" s="3"/>
      <c r="AJ21" s="3"/>
      <c r="AK21" s="3"/>
      <c r="AL21" s="3"/>
      <c r="AM21" s="3"/>
      <c r="AN21" s="3"/>
      <c r="AO21" s="3"/>
      <c r="AP21" s="3"/>
    </row>
    <row r="22" spans="2:42" x14ac:dyDescent="0.2">
      <c r="B22" s="3"/>
      <c r="C22" s="3"/>
      <c r="D22" s="3"/>
      <c r="E22" s="3"/>
      <c r="F22" s="3"/>
      <c r="G22" s="3"/>
      <c r="H22" s="3"/>
      <c r="I22" s="3"/>
      <c r="J22" s="3"/>
      <c r="K22" s="3"/>
      <c r="L22" s="3"/>
      <c r="M22" s="3"/>
      <c r="O22" s="3"/>
      <c r="P22" s="3"/>
      <c r="Q22" s="3"/>
      <c r="R22" s="3"/>
      <c r="S22" s="3"/>
      <c r="T22" s="3"/>
      <c r="U22" s="3"/>
      <c r="V22" s="3"/>
      <c r="X22" s="3"/>
      <c r="Y22" s="3"/>
      <c r="Z22" s="3"/>
      <c r="AA22" s="3"/>
      <c r="AB22" s="3"/>
      <c r="AC22" s="3"/>
      <c r="AD22" s="3"/>
      <c r="AE22" s="3"/>
      <c r="AG22" s="3"/>
      <c r="AH22" s="3"/>
      <c r="AI22" s="3"/>
      <c r="AJ22" s="3"/>
      <c r="AK22" s="3"/>
      <c r="AL22" s="3"/>
      <c r="AM22" s="3"/>
      <c r="AN22" s="3"/>
      <c r="AO22" s="3"/>
      <c r="AP22" s="3"/>
    </row>
    <row r="23" spans="2:42" x14ac:dyDescent="0.2">
      <c r="B23" s="3"/>
      <c r="C23" s="3"/>
      <c r="D23" s="11" t="s">
        <v>249</v>
      </c>
      <c r="E23" s="3">
        <v>2</v>
      </c>
      <c r="F23" s="3"/>
      <c r="G23" s="113"/>
      <c r="H23" s="3"/>
      <c r="I23" s="3">
        <v>4</v>
      </c>
      <c r="J23" s="3"/>
      <c r="K23" s="113"/>
      <c r="L23" s="3"/>
      <c r="M23" s="3"/>
      <c r="O23" s="3"/>
      <c r="P23" s="3"/>
      <c r="Q23" s="3"/>
      <c r="R23" s="3"/>
      <c r="S23" s="3"/>
      <c r="T23" s="3"/>
      <c r="U23" s="3"/>
      <c r="V23" s="3"/>
      <c r="X23" s="3"/>
      <c r="Y23" s="3"/>
      <c r="Z23" s="3"/>
      <c r="AA23" s="3"/>
      <c r="AB23" s="3"/>
      <c r="AC23" s="3"/>
      <c r="AD23" s="3"/>
      <c r="AE23" s="3"/>
      <c r="AG23" s="3"/>
      <c r="AH23" s="3"/>
      <c r="AI23" s="3"/>
      <c r="AJ23" s="3"/>
      <c r="AK23" s="3"/>
      <c r="AL23" s="3"/>
      <c r="AM23" s="3"/>
      <c r="AN23" s="3"/>
      <c r="AO23" s="3"/>
      <c r="AP23" s="3"/>
    </row>
    <row r="24" spans="2:42" ht="25.5" x14ac:dyDescent="0.2">
      <c r="B24" s="3"/>
      <c r="C24" s="3"/>
      <c r="D24" s="11" t="s">
        <v>200</v>
      </c>
      <c r="E24" s="79">
        <v>75</v>
      </c>
      <c r="F24" s="15" t="s">
        <v>89</v>
      </c>
      <c r="G24" s="113"/>
      <c r="H24" s="15" t="s">
        <v>89</v>
      </c>
      <c r="I24" s="79">
        <v>75</v>
      </c>
      <c r="J24" s="15" t="s">
        <v>89</v>
      </c>
      <c r="K24" s="113"/>
      <c r="L24" s="15" t="s">
        <v>89</v>
      </c>
      <c r="M24" s="3"/>
      <c r="O24" s="3"/>
      <c r="P24" s="3"/>
      <c r="Q24" s="3"/>
      <c r="R24" s="3"/>
      <c r="S24" s="3"/>
      <c r="T24" s="3"/>
      <c r="U24" s="3"/>
      <c r="V24" s="3"/>
      <c r="X24" s="3"/>
      <c r="Y24" s="3"/>
      <c r="Z24" s="3"/>
      <c r="AA24" s="3"/>
      <c r="AB24" s="3"/>
      <c r="AC24" s="3"/>
      <c r="AD24" s="3"/>
      <c r="AE24" s="3"/>
      <c r="AG24" s="3"/>
      <c r="AH24" s="3"/>
      <c r="AI24" s="3"/>
      <c r="AJ24" s="3"/>
      <c r="AK24" s="3"/>
      <c r="AL24" s="3"/>
      <c r="AM24" s="3"/>
      <c r="AN24" s="3"/>
      <c r="AO24" s="3"/>
      <c r="AP24" s="3"/>
    </row>
    <row r="25" spans="2:42" x14ac:dyDescent="0.2">
      <c r="B25" s="3"/>
      <c r="C25" s="3"/>
      <c r="D25" s="11" t="s">
        <v>204</v>
      </c>
      <c r="E25" s="9">
        <f>E18*IF(NOT(ISBLANK(G24)),G24/100,E24/100)</f>
        <v>20720.104166666664</v>
      </c>
      <c r="F25" s="3" t="s">
        <v>205</v>
      </c>
      <c r="G25" s="15"/>
      <c r="H25" s="15"/>
      <c r="I25" s="9">
        <f>E18*IF(NOT(ISBLANK(K24)),K24/100,I24/100)</f>
        <v>20720.104166666664</v>
      </c>
      <c r="J25" s="3" t="s">
        <v>205</v>
      </c>
      <c r="K25" s="15"/>
      <c r="L25" s="15"/>
      <c r="M25" s="3"/>
      <c r="O25" s="3"/>
      <c r="P25" s="3"/>
      <c r="Q25" s="3"/>
      <c r="R25" s="3"/>
      <c r="S25" s="3"/>
      <c r="T25" s="3"/>
      <c r="U25" s="3"/>
      <c r="V25" s="3"/>
      <c r="X25" s="3"/>
      <c r="Y25" s="3"/>
      <c r="Z25" s="3"/>
      <c r="AA25" s="3"/>
      <c r="AB25" s="3"/>
      <c r="AC25" s="3"/>
      <c r="AD25" s="3"/>
      <c r="AE25" s="3"/>
      <c r="AG25" s="3"/>
      <c r="AH25" s="3"/>
      <c r="AI25" s="3"/>
      <c r="AJ25" s="3"/>
      <c r="AK25" s="3"/>
      <c r="AL25" s="3"/>
      <c r="AM25" s="3"/>
      <c r="AN25" s="3"/>
      <c r="AO25" s="3"/>
      <c r="AP25" s="3"/>
    </row>
    <row r="26" spans="2:42" x14ac:dyDescent="0.2">
      <c r="B26" s="3"/>
      <c r="C26" s="3"/>
      <c r="D26" s="8"/>
      <c r="E26" s="80"/>
      <c r="F26" s="15"/>
      <c r="G26" s="15"/>
      <c r="H26" s="15"/>
      <c r="I26" s="80"/>
      <c r="J26" s="15"/>
      <c r="K26" s="15"/>
      <c r="L26" s="3"/>
      <c r="M26" s="3"/>
      <c r="O26" s="3"/>
      <c r="P26" s="3"/>
      <c r="Q26" s="3"/>
      <c r="R26" s="3"/>
      <c r="S26" s="3"/>
      <c r="T26" s="3"/>
      <c r="U26" s="3"/>
      <c r="V26" s="3"/>
      <c r="X26" s="3"/>
      <c r="Y26" s="3"/>
      <c r="Z26" s="3"/>
      <c r="AA26" s="3"/>
      <c r="AB26" s="3"/>
      <c r="AC26" s="3"/>
      <c r="AD26" s="3"/>
      <c r="AE26" s="3"/>
      <c r="AG26" s="3"/>
      <c r="AH26" s="3"/>
      <c r="AI26" s="3"/>
      <c r="AJ26" s="3"/>
      <c r="AK26" s="3"/>
      <c r="AL26" s="3"/>
      <c r="AM26" s="3"/>
      <c r="AN26" s="3"/>
      <c r="AO26" s="3"/>
      <c r="AP26" s="3"/>
    </row>
    <row r="27" spans="2:42" x14ac:dyDescent="0.2">
      <c r="B27" s="3"/>
      <c r="C27" s="3"/>
      <c r="D27" s="12" t="s">
        <v>199</v>
      </c>
      <c r="E27" s="79">
        <v>150000</v>
      </c>
      <c r="F27" s="15" t="s">
        <v>95</v>
      </c>
      <c r="G27" s="272"/>
      <c r="H27" s="15" t="s">
        <v>95</v>
      </c>
      <c r="I27" s="79">
        <v>150000</v>
      </c>
      <c r="J27" s="15" t="s">
        <v>95</v>
      </c>
      <c r="K27" s="272"/>
      <c r="L27" s="3" t="s">
        <v>95</v>
      </c>
      <c r="M27" s="3"/>
      <c r="O27" s="3"/>
      <c r="P27" s="3"/>
      <c r="Q27" s="3"/>
      <c r="R27" s="3"/>
      <c r="S27" s="3"/>
      <c r="T27" s="3"/>
      <c r="U27" s="3"/>
      <c r="V27" s="3"/>
      <c r="X27" s="3"/>
      <c r="Y27" s="3"/>
      <c r="Z27" s="3"/>
      <c r="AA27" s="3"/>
      <c r="AB27" s="3"/>
      <c r="AC27" s="3"/>
      <c r="AD27" s="3"/>
      <c r="AE27" s="3"/>
      <c r="AG27" s="3"/>
      <c r="AH27" s="3"/>
      <c r="AI27" s="3"/>
      <c r="AJ27" s="3"/>
      <c r="AK27" s="3"/>
      <c r="AL27" s="3"/>
      <c r="AM27" s="3"/>
      <c r="AN27" s="3"/>
      <c r="AO27" s="3"/>
      <c r="AP27" s="3"/>
    </row>
    <row r="28" spans="2:42" ht="14.25" x14ac:dyDescent="0.2">
      <c r="B28" s="3"/>
      <c r="C28" s="3"/>
      <c r="D28" s="78" t="s">
        <v>210</v>
      </c>
      <c r="E28" s="79">
        <v>0</v>
      </c>
      <c r="F28" s="15" t="s">
        <v>96</v>
      </c>
      <c r="G28" s="272"/>
      <c r="H28" s="15" t="s">
        <v>96</v>
      </c>
      <c r="I28" s="79">
        <v>0</v>
      </c>
      <c r="J28" s="15" t="s">
        <v>96</v>
      </c>
      <c r="K28" s="272"/>
      <c r="L28" s="3" t="s">
        <v>96</v>
      </c>
      <c r="M28" s="3"/>
      <c r="O28" s="3"/>
      <c r="P28" s="3"/>
      <c r="Q28" s="3"/>
      <c r="R28" s="3"/>
      <c r="S28" s="3"/>
      <c r="T28" s="3"/>
      <c r="U28" s="3"/>
      <c r="V28" s="3"/>
      <c r="X28" s="3"/>
      <c r="Y28" s="3"/>
      <c r="Z28" s="3"/>
      <c r="AA28" s="3"/>
      <c r="AB28" s="3"/>
      <c r="AC28" s="3"/>
      <c r="AD28" s="3"/>
      <c r="AE28" s="3"/>
      <c r="AG28" s="3"/>
      <c r="AH28" s="3"/>
      <c r="AI28" s="3"/>
      <c r="AJ28" s="3"/>
      <c r="AK28" s="3"/>
      <c r="AL28" s="3"/>
      <c r="AM28" s="3"/>
      <c r="AN28" s="3"/>
      <c r="AO28" s="3"/>
      <c r="AP28" s="3"/>
    </row>
    <row r="29" spans="2:42" ht="14.25" x14ac:dyDescent="0.2">
      <c r="B29" s="3"/>
      <c r="C29" s="3"/>
      <c r="D29" s="78" t="s">
        <v>177</v>
      </c>
      <c r="E29" s="79">
        <v>0</v>
      </c>
      <c r="F29" s="15" t="s">
        <v>95</v>
      </c>
      <c r="G29" s="272"/>
      <c r="H29" s="15" t="s">
        <v>95</v>
      </c>
      <c r="I29" s="79">
        <v>0</v>
      </c>
      <c r="J29" s="15" t="s">
        <v>95</v>
      </c>
      <c r="K29" s="272"/>
      <c r="L29" s="3" t="s">
        <v>95</v>
      </c>
      <c r="M29" s="3"/>
      <c r="O29" s="3"/>
      <c r="P29" s="3"/>
      <c r="Q29" s="3"/>
      <c r="R29" s="3"/>
      <c r="S29" s="3"/>
      <c r="T29" s="3"/>
      <c r="U29" s="3"/>
      <c r="V29" s="3"/>
      <c r="X29" s="3"/>
      <c r="Y29" s="3"/>
      <c r="Z29" s="3"/>
      <c r="AA29" s="3"/>
      <c r="AB29" s="3"/>
      <c r="AC29" s="3"/>
      <c r="AD29" s="3"/>
      <c r="AE29" s="3"/>
      <c r="AG29" s="3"/>
      <c r="AH29" s="3"/>
      <c r="AI29" s="3"/>
      <c r="AJ29" s="3"/>
      <c r="AK29" s="3"/>
      <c r="AL29" s="3"/>
      <c r="AM29" s="3"/>
      <c r="AN29" s="3"/>
      <c r="AO29" s="3"/>
      <c r="AP29" s="3"/>
    </row>
    <row r="30" spans="2:42" x14ac:dyDescent="0.2">
      <c r="B30" s="3"/>
      <c r="C30" s="8"/>
      <c r="D30" s="78"/>
      <c r="E30" s="80"/>
      <c r="F30" s="15"/>
      <c r="G30" s="15"/>
      <c r="H30" s="15"/>
      <c r="I30" s="15"/>
      <c r="J30" s="15"/>
      <c r="K30" s="15"/>
      <c r="L30" s="3"/>
      <c r="M30" s="3"/>
      <c r="O30" s="3"/>
      <c r="P30" s="3"/>
      <c r="Q30" s="3"/>
      <c r="R30" s="3"/>
      <c r="S30" s="3"/>
      <c r="T30" s="3"/>
      <c r="U30" s="3"/>
      <c r="V30" s="3"/>
      <c r="X30" s="3"/>
      <c r="Y30" s="3"/>
      <c r="Z30" s="3"/>
      <c r="AA30" s="3"/>
      <c r="AB30" s="3"/>
      <c r="AC30" s="3"/>
      <c r="AD30" s="3"/>
      <c r="AE30" s="3"/>
      <c r="AG30" s="3"/>
      <c r="AH30" s="3"/>
      <c r="AI30" s="3"/>
      <c r="AJ30" s="3"/>
      <c r="AK30" s="3"/>
      <c r="AL30" s="3"/>
      <c r="AM30" s="3"/>
      <c r="AN30" s="3"/>
      <c r="AO30" s="3"/>
      <c r="AP30" s="3"/>
    </row>
    <row r="31" spans="2:42" x14ac:dyDescent="0.2">
      <c r="B31" s="3"/>
      <c r="C31" s="3"/>
      <c r="D31" s="78"/>
      <c r="E31" s="15"/>
      <c r="F31" s="15"/>
      <c r="G31" s="15"/>
      <c r="H31" s="15"/>
      <c r="I31" s="15"/>
      <c r="J31" s="15"/>
      <c r="K31" s="15"/>
      <c r="L31" s="15"/>
      <c r="M31" s="3"/>
      <c r="O31" s="3"/>
      <c r="P31" s="3"/>
      <c r="Q31" s="3"/>
      <c r="R31" s="3"/>
      <c r="S31" s="3"/>
      <c r="T31" s="3"/>
      <c r="U31" s="3"/>
      <c r="V31" s="3"/>
      <c r="X31" s="3"/>
      <c r="Y31" s="3"/>
      <c r="Z31" s="3"/>
      <c r="AA31" s="3"/>
      <c r="AB31" s="3"/>
      <c r="AC31" s="3"/>
      <c r="AD31" s="3"/>
      <c r="AE31" s="3"/>
      <c r="AG31" s="3"/>
      <c r="AH31" s="3"/>
      <c r="AI31" s="3"/>
      <c r="AJ31" s="3"/>
      <c r="AK31" s="3"/>
      <c r="AL31" s="3"/>
      <c r="AM31" s="3"/>
      <c r="AN31" s="3"/>
      <c r="AO31" s="3"/>
      <c r="AP31" s="3"/>
    </row>
    <row r="32" spans="2:42" x14ac:dyDescent="0.2">
      <c r="B32" s="3"/>
      <c r="C32" s="3"/>
      <c r="D32" s="78" t="s">
        <v>23</v>
      </c>
      <c r="E32" s="79">
        <v>10</v>
      </c>
      <c r="F32" s="15" t="s">
        <v>88</v>
      </c>
      <c r="G32" s="113"/>
      <c r="H32" s="15" t="s">
        <v>88</v>
      </c>
      <c r="I32" s="79">
        <v>10</v>
      </c>
      <c r="J32" s="15" t="s">
        <v>88</v>
      </c>
      <c r="K32" s="113"/>
      <c r="L32" s="15" t="s">
        <v>88</v>
      </c>
      <c r="M32" s="3"/>
      <c r="O32" s="3"/>
      <c r="P32" s="3"/>
      <c r="Q32" s="3"/>
      <c r="R32" s="3"/>
      <c r="S32" s="3"/>
      <c r="T32" s="3"/>
      <c r="U32" s="3"/>
      <c r="V32" s="3"/>
      <c r="X32" s="3"/>
      <c r="Y32" s="3"/>
      <c r="Z32" s="3"/>
      <c r="AA32" s="3"/>
      <c r="AB32" s="3"/>
      <c r="AC32" s="3"/>
      <c r="AD32" s="3"/>
      <c r="AE32" s="3"/>
      <c r="AG32" s="3"/>
      <c r="AH32" s="3"/>
      <c r="AI32" s="3"/>
      <c r="AJ32" s="3"/>
      <c r="AK32" s="3"/>
      <c r="AL32" s="3"/>
      <c r="AM32" s="3"/>
      <c r="AN32" s="3"/>
      <c r="AO32" s="3"/>
      <c r="AP32" s="3"/>
    </row>
    <row r="33" spans="1:42" x14ac:dyDescent="0.2">
      <c r="B33" s="3"/>
      <c r="C33" s="3"/>
      <c r="D33" s="78" t="s">
        <v>24</v>
      </c>
      <c r="E33" s="81">
        <v>8</v>
      </c>
      <c r="F33" s="15" t="s">
        <v>89</v>
      </c>
      <c r="G33" s="273"/>
      <c r="H33" s="15" t="s">
        <v>89</v>
      </c>
      <c r="I33" s="81">
        <v>8</v>
      </c>
      <c r="J33" s="15" t="s">
        <v>89</v>
      </c>
      <c r="K33" s="273"/>
      <c r="L33" s="15" t="s">
        <v>89</v>
      </c>
      <c r="M33" s="3"/>
      <c r="O33" s="3"/>
      <c r="P33" s="3"/>
      <c r="Q33" s="3"/>
      <c r="R33" s="3"/>
      <c r="S33" s="3"/>
      <c r="T33" s="3"/>
      <c r="U33" s="3"/>
      <c r="V33" s="3"/>
      <c r="X33" s="3"/>
      <c r="Y33" s="3"/>
      <c r="Z33" s="3"/>
      <c r="AA33" s="3"/>
      <c r="AB33" s="3"/>
      <c r="AC33" s="3"/>
      <c r="AD33" s="3"/>
      <c r="AE33" s="3"/>
      <c r="AG33" s="3"/>
      <c r="AH33" s="3"/>
      <c r="AI33" s="3"/>
      <c r="AJ33" s="3"/>
      <c r="AK33" s="3"/>
      <c r="AL33" s="3"/>
      <c r="AM33" s="3"/>
      <c r="AN33" s="3"/>
      <c r="AO33" s="3"/>
      <c r="AP33" s="3"/>
    </row>
    <row r="34" spans="1:42" x14ac:dyDescent="0.2">
      <c r="B34" s="3"/>
      <c r="C34" s="3"/>
      <c r="D34" s="15"/>
      <c r="E34" s="81"/>
      <c r="F34" s="15"/>
      <c r="G34" s="15"/>
      <c r="H34" s="15"/>
      <c r="I34" s="80"/>
      <c r="J34" s="15"/>
      <c r="K34" s="15"/>
      <c r="L34" s="3"/>
      <c r="M34" s="3"/>
      <c r="O34" s="3"/>
      <c r="P34" s="3"/>
      <c r="Q34" s="3"/>
      <c r="R34" s="3"/>
      <c r="S34" s="3"/>
      <c r="T34" s="3"/>
      <c r="U34" s="3"/>
      <c r="V34" s="3"/>
      <c r="X34" s="3"/>
      <c r="Y34" s="3"/>
      <c r="Z34" s="3"/>
      <c r="AA34" s="3"/>
      <c r="AB34" s="3"/>
      <c r="AC34" s="3"/>
      <c r="AD34" s="3"/>
      <c r="AE34" s="3"/>
      <c r="AG34" s="3"/>
      <c r="AH34" s="3"/>
      <c r="AI34" s="3"/>
      <c r="AJ34" s="3"/>
      <c r="AK34" s="3"/>
      <c r="AL34" s="3"/>
      <c r="AM34" s="3"/>
      <c r="AN34" s="3"/>
      <c r="AO34" s="3"/>
      <c r="AP34" s="3"/>
    </row>
    <row r="35" spans="1:42" x14ac:dyDescent="0.2">
      <c r="B35" s="3"/>
      <c r="C35" s="3"/>
      <c r="D35" s="15"/>
      <c r="E35" s="10"/>
      <c r="F35" s="3"/>
      <c r="G35" s="3"/>
      <c r="H35" s="3"/>
      <c r="I35" s="16"/>
      <c r="J35" s="3"/>
      <c r="K35" s="3"/>
      <c r="L35" s="3"/>
      <c r="M35" s="3"/>
      <c r="O35" s="3"/>
      <c r="P35" s="3"/>
      <c r="Q35" s="3"/>
      <c r="R35" s="3"/>
      <c r="S35" s="3"/>
      <c r="T35" s="3"/>
      <c r="U35" s="3"/>
      <c r="V35" s="3"/>
      <c r="X35" s="3"/>
      <c r="Y35" s="3"/>
      <c r="Z35" s="3"/>
      <c r="AA35" s="3"/>
      <c r="AB35" s="3"/>
      <c r="AC35" s="3"/>
      <c r="AD35" s="3"/>
      <c r="AE35" s="3"/>
      <c r="AG35" s="3"/>
      <c r="AH35" s="3"/>
      <c r="AI35" s="3"/>
      <c r="AJ35" s="3"/>
      <c r="AK35" s="3"/>
      <c r="AL35" s="3"/>
      <c r="AM35" s="3"/>
      <c r="AN35" s="3"/>
      <c r="AO35" s="3"/>
      <c r="AP35" s="3"/>
    </row>
    <row r="36" spans="1:42" ht="13.5" x14ac:dyDescent="0.2">
      <c r="B36" s="3"/>
      <c r="C36" s="3"/>
      <c r="D36" s="65" t="s">
        <v>154</v>
      </c>
      <c r="E36" s="10"/>
      <c r="F36" s="3"/>
      <c r="G36" s="3"/>
      <c r="H36" s="3"/>
      <c r="I36" s="16"/>
      <c r="J36" s="3"/>
      <c r="K36" s="3"/>
      <c r="L36" s="3"/>
      <c r="M36" s="3"/>
      <c r="O36" s="3"/>
      <c r="P36" s="3"/>
      <c r="Q36" s="3"/>
      <c r="R36" s="3"/>
      <c r="S36" s="3"/>
      <c r="T36" s="3"/>
      <c r="U36" s="3"/>
      <c r="V36" s="3"/>
      <c r="X36" s="3"/>
      <c r="Y36" s="3"/>
      <c r="Z36" s="3"/>
      <c r="AA36" s="3"/>
      <c r="AB36" s="3"/>
      <c r="AC36" s="3"/>
      <c r="AD36" s="3"/>
      <c r="AE36" s="3"/>
      <c r="AG36" s="3"/>
      <c r="AH36" s="3"/>
      <c r="AI36" s="3"/>
      <c r="AJ36" s="3"/>
      <c r="AK36" s="3"/>
      <c r="AL36" s="3"/>
      <c r="AM36" s="3"/>
      <c r="AN36" s="3"/>
      <c r="AO36" s="3"/>
      <c r="AP36" s="3"/>
    </row>
    <row r="37" spans="1:42" ht="18" x14ac:dyDescent="0.25">
      <c r="B37" s="3"/>
      <c r="C37" s="3"/>
      <c r="D37" s="65" t="s">
        <v>201</v>
      </c>
      <c r="E37" s="10"/>
      <c r="F37" s="3"/>
      <c r="G37" s="3"/>
      <c r="H37" s="3"/>
      <c r="I37" s="16"/>
      <c r="J37" s="3"/>
      <c r="K37" s="3"/>
      <c r="L37" s="3"/>
      <c r="M37" s="3"/>
      <c r="O37" s="3"/>
      <c r="P37" s="96"/>
      <c r="Q37" s="61"/>
      <c r="R37" s="3"/>
      <c r="S37" s="3"/>
      <c r="T37" s="3"/>
      <c r="U37" s="3"/>
      <c r="V37" s="3"/>
      <c r="X37" s="3"/>
      <c r="Y37" s="3"/>
      <c r="Z37" s="3"/>
      <c r="AA37" s="3"/>
      <c r="AB37" s="3"/>
      <c r="AC37" s="3"/>
      <c r="AD37" s="3"/>
      <c r="AE37" s="3"/>
      <c r="AG37" s="3"/>
      <c r="AH37" s="3"/>
      <c r="AI37" s="3"/>
      <c r="AJ37" s="3"/>
      <c r="AK37" s="3"/>
      <c r="AL37" s="3"/>
      <c r="AM37" s="3"/>
      <c r="AN37" s="84"/>
      <c r="AO37" s="84"/>
      <c r="AP37" s="3"/>
    </row>
    <row r="38" spans="1:42" x14ac:dyDescent="0.2">
      <c r="A38" s="2"/>
      <c r="B38" s="2"/>
      <c r="C38" s="2"/>
      <c r="D38" s="431"/>
      <c r="E38" s="432"/>
      <c r="F38" s="2"/>
      <c r="G38" s="2"/>
      <c r="H38" s="2"/>
      <c r="I38" s="433"/>
      <c r="J38" s="2"/>
      <c r="K38" s="2"/>
      <c r="L38" s="2"/>
      <c r="M38" s="2"/>
      <c r="O38" s="3"/>
      <c r="P38" s="3"/>
      <c r="Q38" s="3"/>
      <c r="R38" s="3"/>
      <c r="S38" s="3"/>
      <c r="T38" s="3"/>
      <c r="U38" s="3"/>
      <c r="V38" s="3"/>
      <c r="X38" s="3"/>
      <c r="Y38" s="3"/>
      <c r="Z38" s="3"/>
      <c r="AA38" s="3"/>
      <c r="AB38" s="3"/>
      <c r="AC38" s="3"/>
      <c r="AD38" s="3"/>
      <c r="AE38" s="3"/>
      <c r="AG38" s="3"/>
      <c r="AH38" s="3"/>
      <c r="AI38" s="3"/>
      <c r="AJ38" s="3"/>
      <c r="AK38" s="3"/>
      <c r="AL38" s="3"/>
      <c r="AM38" s="3"/>
      <c r="AN38" s="83"/>
      <c r="AO38" s="83"/>
      <c r="AP38" s="3"/>
    </row>
    <row r="39" spans="1:42" x14ac:dyDescent="0.2">
      <c r="A39" s="2"/>
      <c r="B39" s="2"/>
      <c r="C39" s="2"/>
      <c r="D39" s="2"/>
      <c r="E39" s="2"/>
      <c r="F39" s="2"/>
      <c r="G39" s="2"/>
      <c r="H39" s="2"/>
      <c r="I39" s="2"/>
      <c r="J39" s="2"/>
      <c r="K39" s="2"/>
      <c r="L39" s="2"/>
      <c r="M39" s="2"/>
      <c r="O39" s="3"/>
      <c r="P39" s="3"/>
      <c r="Q39" s="3"/>
      <c r="R39" s="3"/>
      <c r="S39" s="3"/>
      <c r="T39" s="3"/>
      <c r="U39" s="3"/>
      <c r="V39" s="3"/>
      <c r="X39" s="3"/>
      <c r="Y39" s="3"/>
      <c r="Z39" s="3"/>
      <c r="AA39" s="3"/>
      <c r="AB39" s="3"/>
      <c r="AC39" s="3"/>
      <c r="AD39" s="3"/>
      <c r="AE39" s="3"/>
      <c r="AG39" s="3"/>
      <c r="AH39" s="3"/>
      <c r="AI39" s="3"/>
      <c r="AJ39" s="3"/>
      <c r="AK39" s="3"/>
      <c r="AL39" s="3"/>
      <c r="AM39" s="3"/>
      <c r="AN39" s="83"/>
      <c r="AO39" s="83"/>
      <c r="AP39" s="3"/>
    </row>
    <row r="40" spans="1:42" ht="15" x14ac:dyDescent="0.25">
      <c r="A40" s="2"/>
      <c r="B40" s="2"/>
      <c r="C40" s="2"/>
      <c r="D40" s="2"/>
      <c r="E40" s="2"/>
      <c r="F40" s="2"/>
      <c r="G40" s="2"/>
      <c r="H40" s="2"/>
      <c r="I40" s="2"/>
      <c r="J40" s="2"/>
      <c r="K40" s="2"/>
      <c r="L40" s="2"/>
      <c r="M40" s="2"/>
      <c r="O40" s="3"/>
      <c r="P40" s="3"/>
      <c r="Q40" s="23" t="s">
        <v>102</v>
      </c>
      <c r="R40" s="24"/>
      <c r="S40" s="24"/>
      <c r="T40" s="24"/>
      <c r="U40" s="24"/>
      <c r="V40" s="3"/>
      <c r="X40" s="3"/>
      <c r="Y40" s="3"/>
      <c r="Z40" s="23" t="s">
        <v>180</v>
      </c>
      <c r="AA40" s="24"/>
      <c r="AB40" s="24"/>
      <c r="AC40" s="24"/>
      <c r="AD40" s="24"/>
      <c r="AE40" s="3"/>
      <c r="AG40" s="3"/>
      <c r="AH40" s="3"/>
      <c r="AI40" s="23" t="s">
        <v>185</v>
      </c>
      <c r="AJ40" s="24"/>
      <c r="AK40" s="24"/>
      <c r="AL40" s="24"/>
      <c r="AM40" s="3"/>
      <c r="AN40" s="83"/>
      <c r="AO40" s="83"/>
      <c r="AP40" s="3"/>
    </row>
    <row r="41" spans="1:42" ht="15" x14ac:dyDescent="0.25">
      <c r="A41" s="2"/>
      <c r="B41" s="2"/>
      <c r="C41" s="2"/>
      <c r="D41" s="2"/>
      <c r="E41" s="2"/>
      <c r="F41" s="2"/>
      <c r="G41" s="2"/>
      <c r="H41" s="2"/>
      <c r="I41" s="2"/>
      <c r="J41" s="2"/>
      <c r="K41" s="2"/>
      <c r="L41" s="2"/>
      <c r="M41" s="2"/>
      <c r="O41" s="3"/>
      <c r="P41" s="484" t="s">
        <v>131</v>
      </c>
      <c r="Q41" s="45"/>
      <c r="R41" s="45">
        <f>'Referenz Plattenfertiger'!D9</f>
        <v>0</v>
      </c>
      <c r="S41" s="46">
        <f>R41+5</f>
        <v>5</v>
      </c>
      <c r="T41" s="46">
        <f>R41+10</f>
        <v>10</v>
      </c>
      <c r="U41" s="34"/>
      <c r="V41" s="3"/>
      <c r="X41" s="3"/>
      <c r="Y41" s="3"/>
      <c r="Z41" s="34"/>
      <c r="AA41" s="45">
        <f>R41</f>
        <v>0</v>
      </c>
      <c r="AB41" s="45">
        <f>S41</f>
        <v>5</v>
      </c>
      <c r="AC41" s="45">
        <f>T41</f>
        <v>10</v>
      </c>
      <c r="AD41" s="34"/>
      <c r="AE41" s="3"/>
      <c r="AG41" s="3"/>
      <c r="AH41" s="483" t="s">
        <v>131</v>
      </c>
      <c r="AI41" s="34"/>
      <c r="AJ41" s="45">
        <f>AA41</f>
        <v>0</v>
      </c>
      <c r="AK41" s="45">
        <f>AB41</f>
        <v>5</v>
      </c>
      <c r="AL41" s="45">
        <f>AC41</f>
        <v>10</v>
      </c>
      <c r="AM41" s="46"/>
      <c r="AN41" s="46"/>
      <c r="AO41" s="83"/>
      <c r="AP41" s="62"/>
    </row>
    <row r="42" spans="1:42" x14ac:dyDescent="0.2">
      <c r="A42" s="2"/>
      <c r="B42" s="2"/>
      <c r="C42" s="2"/>
      <c r="D42" s="2"/>
      <c r="E42" s="2"/>
      <c r="F42" s="2"/>
      <c r="G42" s="2"/>
      <c r="H42" s="2"/>
      <c r="I42" s="2"/>
      <c r="J42" s="2"/>
      <c r="K42" s="2"/>
      <c r="L42" s="2"/>
      <c r="M42" s="2"/>
      <c r="O42" s="3"/>
      <c r="P42" s="484"/>
      <c r="Q42" s="24"/>
      <c r="R42" s="47" t="s">
        <v>81</v>
      </c>
      <c r="S42" s="48"/>
      <c r="T42" s="48"/>
      <c r="U42" s="24"/>
      <c r="V42" s="3"/>
      <c r="X42" s="3"/>
      <c r="Y42" s="3"/>
      <c r="Z42" s="24"/>
      <c r="AA42" s="47" t="s">
        <v>81</v>
      </c>
      <c r="AB42" s="48"/>
      <c r="AC42" s="48"/>
      <c r="AD42" s="24"/>
      <c r="AE42" s="3"/>
      <c r="AG42" s="3"/>
      <c r="AH42" s="483"/>
      <c r="AI42" s="24"/>
      <c r="AJ42" s="47" t="s">
        <v>81</v>
      </c>
      <c r="AK42" s="48"/>
      <c r="AL42" s="48"/>
      <c r="AM42" s="3"/>
      <c r="AN42" s="83"/>
      <c r="AO42" s="83"/>
      <c r="AP42" s="62"/>
    </row>
    <row r="43" spans="1:42" ht="15.75" x14ac:dyDescent="0.3">
      <c r="A43" s="2"/>
      <c r="B43" s="2"/>
      <c r="C43" s="2"/>
      <c r="D43" s="2"/>
      <c r="E43" s="2"/>
      <c r="F43" s="2"/>
      <c r="G43" s="2"/>
      <c r="H43" s="2"/>
      <c r="I43" s="2"/>
      <c r="J43" s="2"/>
      <c r="K43" s="2"/>
      <c r="L43" s="2"/>
      <c r="M43" s="2"/>
      <c r="O43" s="3"/>
      <c r="P43" s="3"/>
      <c r="Q43" s="29" t="s">
        <v>29</v>
      </c>
      <c r="R43" s="32">
        <f>'Referenz Plattenfertiger'!$W$16+'Referenz Plattenfertiger'!W21</f>
        <v>43.0426</v>
      </c>
      <c r="S43" s="32">
        <f>X116+X121</f>
        <v>43.0426</v>
      </c>
      <c r="T43" s="32">
        <f>X188+X193</f>
        <v>43.0426</v>
      </c>
      <c r="U43" s="25" t="s">
        <v>148</v>
      </c>
      <c r="V43" s="3"/>
      <c r="X43" s="3"/>
      <c r="Y43" s="3"/>
      <c r="Z43" s="29" t="s">
        <v>104</v>
      </c>
      <c r="AA43" s="26">
        <f>'Referenz Plattenfertiger'!S78</f>
        <v>94.932355060000006</v>
      </c>
      <c r="AB43" s="26">
        <f>S177</f>
        <v>80.312884479999994</v>
      </c>
      <c r="AC43" s="26">
        <f>S249</f>
        <v>65.693413899999996</v>
      </c>
      <c r="AD43" s="25" t="s">
        <v>148</v>
      </c>
      <c r="AE43" s="3"/>
      <c r="AG43" s="3"/>
      <c r="AH43" s="3"/>
      <c r="AI43" s="56" t="s">
        <v>144</v>
      </c>
      <c r="AJ43" s="57">
        <f>SUM(AJ44:AJ50)</f>
        <v>109669</v>
      </c>
      <c r="AK43" s="57">
        <f t="shared" ref="AK43:AL43" si="0">SUM(AK44:AK50)</f>
        <v>110614.71583333334</v>
      </c>
      <c r="AL43" s="57">
        <f t="shared" si="0"/>
        <v>111560.43166666666</v>
      </c>
      <c r="AM43" s="3"/>
      <c r="AN43" s="112"/>
      <c r="AO43" s="112"/>
      <c r="AP43" s="62"/>
    </row>
    <row r="44" spans="1:42" ht="15.75" x14ac:dyDescent="0.3">
      <c r="A44" s="2"/>
      <c r="B44" s="2"/>
      <c r="C44" s="2"/>
      <c r="D44" s="2"/>
      <c r="E44" s="2"/>
      <c r="F44" s="2"/>
      <c r="G44" s="2"/>
      <c r="H44" s="2"/>
      <c r="I44" s="2"/>
      <c r="J44" s="2"/>
      <c r="K44" s="2"/>
      <c r="L44" s="2"/>
      <c r="M44" s="2"/>
      <c r="O44" s="3"/>
      <c r="P44" s="3"/>
      <c r="Q44" s="8" t="s">
        <v>30</v>
      </c>
      <c r="R44" s="10">
        <f>'Referenz Plattenfertiger'!$W$17+'Referenz Plattenfertiger'!W22</f>
        <v>16.005600000000001</v>
      </c>
      <c r="S44" s="10">
        <f>X117+X122</f>
        <v>16.005600000000001</v>
      </c>
      <c r="T44" s="10">
        <f>X189+X194</f>
        <v>16.005600000000001</v>
      </c>
      <c r="U44" s="3" t="s">
        <v>148</v>
      </c>
      <c r="V44" s="3"/>
      <c r="X44" s="3"/>
      <c r="Y44" s="3"/>
      <c r="Z44" s="8" t="s">
        <v>26</v>
      </c>
      <c r="AA44" s="9">
        <f>'Referenz Plattenfertiger'!T78</f>
        <v>171.9</v>
      </c>
      <c r="AB44" s="9">
        <f>T177</f>
        <v>136.39371159230473</v>
      </c>
      <c r="AC44" s="9">
        <f>T249</f>
        <v>72.889224607318326</v>
      </c>
      <c r="AD44" s="3" t="s">
        <v>148</v>
      </c>
      <c r="AE44" s="3"/>
      <c r="AG44" s="3"/>
      <c r="AH44" s="3"/>
      <c r="AI44" s="31" t="s">
        <v>29</v>
      </c>
      <c r="AJ44" s="51">
        <f>'Referenz Plattenfertiger'!AD16</f>
        <v>14335</v>
      </c>
      <c r="AK44" s="51">
        <f>AH116+AH121</f>
        <v>14335</v>
      </c>
      <c r="AL44" s="51">
        <f>AH184+AH189</f>
        <v>14335</v>
      </c>
      <c r="AM44" s="3"/>
      <c r="AN44" s="112"/>
      <c r="AO44" s="112"/>
      <c r="AP44" s="62"/>
    </row>
    <row r="45" spans="1:42" ht="15.75" x14ac:dyDescent="0.3">
      <c r="A45" s="2"/>
      <c r="B45" s="2"/>
      <c r="C45" s="2"/>
      <c r="D45" s="2"/>
      <c r="E45" s="2"/>
      <c r="F45" s="2"/>
      <c r="G45" s="2"/>
      <c r="H45" s="2"/>
      <c r="I45" s="2"/>
      <c r="J45" s="2"/>
      <c r="K45" s="2"/>
      <c r="L45" s="2"/>
      <c r="M45" s="2"/>
      <c r="O45" s="3"/>
      <c r="P45" s="3"/>
      <c r="Q45" s="29" t="s">
        <v>31</v>
      </c>
      <c r="R45" s="32">
        <f>'Referenz Plattenfertiger'!$W$18+'Referenz Plattenfertiger'!T24</f>
        <v>171.9</v>
      </c>
      <c r="S45" s="32">
        <f>X118+X124</f>
        <v>136.39371159230473</v>
      </c>
      <c r="T45" s="32">
        <f>X190+X196</f>
        <v>72.889224607318326</v>
      </c>
      <c r="U45" s="25" t="s">
        <v>148</v>
      </c>
      <c r="V45" s="3"/>
      <c r="X45" s="3"/>
      <c r="Y45" s="3"/>
      <c r="Z45" s="29" t="s">
        <v>27</v>
      </c>
      <c r="AA45" s="26">
        <f>'Referenz Plattenfertiger'!U78</f>
        <v>5831.5296228095176</v>
      </c>
      <c r="AB45" s="26">
        <f>U177</f>
        <v>5743.4225406870301</v>
      </c>
      <c r="AC45" s="26">
        <f>U249</f>
        <v>5731.5300506055646</v>
      </c>
      <c r="AD45" s="25" t="s">
        <v>148</v>
      </c>
      <c r="AE45" s="3"/>
      <c r="AG45" s="3"/>
      <c r="AH45" s="3"/>
      <c r="AI45" s="31" t="s">
        <v>30</v>
      </c>
      <c r="AJ45" s="51">
        <f>'Referenz Plattenfertiger'!AD17</f>
        <v>2760</v>
      </c>
      <c r="AK45" s="51">
        <f>AH117+AH122</f>
        <v>2760</v>
      </c>
      <c r="AL45" s="51">
        <f>AH185+AH190</f>
        <v>2760</v>
      </c>
      <c r="AM45" s="3"/>
      <c r="AN45" s="112"/>
      <c r="AO45" s="112"/>
      <c r="AP45" s="62"/>
    </row>
    <row r="46" spans="1:42" ht="16.5" thickBot="1" x14ac:dyDescent="0.35">
      <c r="A46" s="2"/>
      <c r="B46" s="2"/>
      <c r="C46" s="2"/>
      <c r="D46" s="2"/>
      <c r="E46" s="2"/>
      <c r="F46" s="2"/>
      <c r="G46" s="2"/>
      <c r="H46" s="2"/>
      <c r="I46" s="2"/>
      <c r="J46" s="2"/>
      <c r="K46" s="2"/>
      <c r="L46" s="2"/>
      <c r="M46" s="2"/>
      <c r="O46" s="3"/>
      <c r="P46" s="3"/>
      <c r="Q46" s="8" t="s">
        <v>115</v>
      </c>
      <c r="R46" s="10">
        <f>'Referenz Plattenfertiger'!$W$19</f>
        <v>0</v>
      </c>
      <c r="S46" s="10">
        <f>X119</f>
        <v>0</v>
      </c>
      <c r="T46" s="10">
        <f>X191</f>
        <v>0</v>
      </c>
      <c r="U46" s="3" t="s">
        <v>148</v>
      </c>
      <c r="V46" s="3"/>
      <c r="X46" s="3"/>
      <c r="Y46" s="3"/>
      <c r="Z46" s="27" t="s">
        <v>67</v>
      </c>
      <c r="AA46" s="28">
        <f>SUM(AA43:AA45)</f>
        <v>6098.3619778695174</v>
      </c>
      <c r="AB46" s="28">
        <f t="shared" ref="AB46:AC46" si="1">SUM(AB43:AB45)</f>
        <v>5960.1291367593349</v>
      </c>
      <c r="AC46" s="28">
        <f t="shared" si="1"/>
        <v>5870.1126891128833</v>
      </c>
      <c r="AD46" s="27" t="s">
        <v>149</v>
      </c>
      <c r="AE46" s="3"/>
      <c r="AG46" s="3"/>
      <c r="AH46" s="3"/>
      <c r="AI46" s="31" t="s">
        <v>31</v>
      </c>
      <c r="AJ46" s="51">
        <f>'Referenz Plattenfertiger'!AD18</f>
        <v>77400</v>
      </c>
      <c r="AK46" s="51">
        <f>AH118+AH124</f>
        <v>84527.715833333335</v>
      </c>
      <c r="AL46" s="51">
        <f>AH186+AH192</f>
        <v>91655.431666666656</v>
      </c>
      <c r="AM46" s="3"/>
      <c r="AN46" s="112"/>
      <c r="AO46" s="112"/>
      <c r="AP46" s="62"/>
    </row>
    <row r="47" spans="1:42" ht="16.5" thickTop="1" x14ac:dyDescent="0.3">
      <c r="A47" s="2"/>
      <c r="B47" s="2"/>
      <c r="C47" s="2"/>
      <c r="D47" s="2"/>
      <c r="E47" s="2"/>
      <c r="F47" s="2"/>
      <c r="G47" s="2"/>
      <c r="H47" s="2"/>
      <c r="I47" s="2"/>
      <c r="J47" s="2"/>
      <c r="K47" s="2"/>
      <c r="L47" s="2"/>
      <c r="M47" s="2"/>
      <c r="O47" s="3"/>
      <c r="P47" s="3"/>
      <c r="Q47" s="29" t="s">
        <v>111</v>
      </c>
      <c r="R47" s="32">
        <f>'Referenz Plattenfertiger'!$W$25</f>
        <v>0</v>
      </c>
      <c r="S47" s="32">
        <f>X125</f>
        <v>0</v>
      </c>
      <c r="T47" s="32">
        <f>X197</f>
        <v>0</v>
      </c>
      <c r="U47" s="25" t="s">
        <v>148</v>
      </c>
      <c r="V47" s="3"/>
      <c r="X47" s="3"/>
      <c r="Y47" s="3"/>
      <c r="Z47" s="3"/>
      <c r="AA47" s="3"/>
      <c r="AB47" s="3"/>
      <c r="AC47" s="3"/>
      <c r="AD47" s="3"/>
      <c r="AE47" s="3"/>
      <c r="AG47" s="3"/>
      <c r="AH47" s="3"/>
      <c r="AI47" s="31" t="s">
        <v>111</v>
      </c>
      <c r="AJ47" s="51">
        <f>'Referenz Plattenfertiger'!AD19</f>
        <v>0</v>
      </c>
      <c r="AK47" s="51">
        <f>AH125</f>
        <v>0</v>
      </c>
      <c r="AL47" s="51">
        <f>AH193</f>
        <v>0</v>
      </c>
      <c r="AM47" s="3"/>
      <c r="AN47" s="112"/>
      <c r="AO47" s="112"/>
      <c r="AP47" s="62"/>
    </row>
    <row r="48" spans="1:42" ht="15.75" x14ac:dyDescent="0.3">
      <c r="A48" s="2"/>
      <c r="B48" s="2"/>
      <c r="C48" s="2"/>
      <c r="D48" s="2"/>
      <c r="E48" s="2"/>
      <c r="F48" s="2"/>
      <c r="G48" s="2"/>
      <c r="H48" s="2"/>
      <c r="I48" s="2"/>
      <c r="J48" s="2"/>
      <c r="K48" s="2"/>
      <c r="L48" s="2"/>
      <c r="M48" s="2"/>
      <c r="O48" s="3"/>
      <c r="P48" s="3"/>
      <c r="Q48" s="8" t="s">
        <v>135</v>
      </c>
      <c r="R48" s="10">
        <f>'Referenz Plattenfertiger'!$W$26</f>
        <v>0</v>
      </c>
      <c r="S48" s="10">
        <f>X126</f>
        <v>0</v>
      </c>
      <c r="T48" s="10">
        <f>X198</f>
        <v>0</v>
      </c>
      <c r="U48" s="3" t="s">
        <v>148</v>
      </c>
      <c r="V48" s="3"/>
      <c r="X48" s="3"/>
      <c r="Y48" s="3"/>
      <c r="Z48" s="3"/>
      <c r="AA48" s="3"/>
      <c r="AB48" s="3"/>
      <c r="AC48" s="3"/>
      <c r="AD48" s="3"/>
      <c r="AE48" s="3"/>
      <c r="AG48" s="3"/>
      <c r="AH48" s="3"/>
      <c r="AI48" s="31" t="s">
        <v>112</v>
      </c>
      <c r="AJ48" s="51">
        <f>'Referenz Plattenfertiger'!AD20</f>
        <v>0</v>
      </c>
      <c r="AK48" s="51">
        <f>AH119</f>
        <v>0</v>
      </c>
      <c r="AL48" s="51">
        <f>AH187</f>
        <v>0</v>
      </c>
      <c r="AM48" s="3"/>
      <c r="AN48" s="112"/>
      <c r="AO48" s="112"/>
      <c r="AP48" s="62"/>
    </row>
    <row r="49" spans="1:42" ht="15.75" x14ac:dyDescent="0.3">
      <c r="A49" s="2"/>
      <c r="B49" s="2"/>
      <c r="C49" s="2"/>
      <c r="D49" s="2"/>
      <c r="E49" s="2"/>
      <c r="F49" s="2"/>
      <c r="G49" s="2"/>
      <c r="H49" s="2"/>
      <c r="I49" s="2"/>
      <c r="J49" s="2"/>
      <c r="K49" s="2"/>
      <c r="L49" s="2"/>
      <c r="M49" s="2"/>
      <c r="O49" s="3"/>
      <c r="P49" s="3"/>
      <c r="Q49" s="29" t="s">
        <v>32</v>
      </c>
      <c r="R49" s="32">
        <f>'Referenz Plattenfertiger'!$W$28+'Referenz Plattenfertiger'!$W$29</f>
        <v>35.884155059999998</v>
      </c>
      <c r="S49" s="32">
        <f>X128+X129</f>
        <v>21.264684479999996</v>
      </c>
      <c r="T49" s="32">
        <f>X200+X201</f>
        <v>6.645213899999999</v>
      </c>
      <c r="U49" s="25" t="s">
        <v>148</v>
      </c>
      <c r="V49" s="3"/>
      <c r="X49" s="3"/>
      <c r="Y49" s="3"/>
      <c r="Z49" s="23" t="s">
        <v>178</v>
      </c>
      <c r="AA49" s="24"/>
      <c r="AB49" s="24"/>
      <c r="AC49" s="24"/>
      <c r="AD49" s="24"/>
      <c r="AE49" s="3"/>
      <c r="AG49" s="3"/>
      <c r="AH49" s="3"/>
      <c r="AI49" s="31" t="s">
        <v>410</v>
      </c>
      <c r="AJ49" s="51">
        <f>'Referenz Plattenfertiger'!AD21</f>
        <v>0</v>
      </c>
      <c r="AK49" s="51">
        <f>AH126</f>
        <v>0</v>
      </c>
      <c r="AL49" s="51">
        <f>AH194</f>
        <v>0</v>
      </c>
      <c r="AM49" s="3"/>
      <c r="AN49" s="112"/>
      <c r="AO49" s="112"/>
      <c r="AP49" s="62"/>
    </row>
    <row r="50" spans="1:42" ht="15.75" thickBot="1" x14ac:dyDescent="0.3">
      <c r="A50" s="2"/>
      <c r="B50" s="2"/>
      <c r="C50" s="2"/>
      <c r="D50" s="2"/>
      <c r="E50" s="2"/>
      <c r="F50" s="2"/>
      <c r="G50" s="2"/>
      <c r="H50" s="2"/>
      <c r="I50" s="2"/>
      <c r="J50" s="2"/>
      <c r="K50" s="2"/>
      <c r="L50" s="2"/>
      <c r="M50" s="2"/>
      <c r="O50" s="3"/>
      <c r="P50" s="3"/>
      <c r="Q50" s="27" t="s">
        <v>67</v>
      </c>
      <c r="R50" s="33">
        <f>SUM(R43:R49)</f>
        <v>266.83235506</v>
      </c>
      <c r="S50" s="33">
        <f>SUM(S43:S49)</f>
        <v>216.70659607230473</v>
      </c>
      <c r="T50" s="33">
        <f>SUM(T43:T49)</f>
        <v>138.58263850731831</v>
      </c>
      <c r="U50" s="27" t="s">
        <v>149</v>
      </c>
      <c r="V50" s="3"/>
      <c r="X50" s="3"/>
      <c r="Y50" s="483" t="s">
        <v>131</v>
      </c>
      <c r="Z50" s="34"/>
      <c r="AA50" s="45">
        <f>R41</f>
        <v>0</v>
      </c>
      <c r="AB50" s="45">
        <f>S41</f>
        <v>5</v>
      </c>
      <c r="AC50" s="45">
        <f>T41</f>
        <v>10</v>
      </c>
      <c r="AD50" s="34"/>
      <c r="AE50" s="3"/>
      <c r="AG50" s="3"/>
      <c r="AH50" s="3"/>
      <c r="AI50" s="50" t="s">
        <v>32</v>
      </c>
      <c r="AJ50" s="52">
        <f>'Referenz Plattenfertiger'!AD22</f>
        <v>15174.000000000002</v>
      </c>
      <c r="AK50" s="53">
        <f>AH128+AH129</f>
        <v>8992.0000000000018</v>
      </c>
      <c r="AL50" s="53">
        <f>AH196+AH197</f>
        <v>2810.0000000000005</v>
      </c>
      <c r="AM50" s="3"/>
      <c r="AN50" s="112"/>
      <c r="AO50" s="112"/>
      <c r="AP50" s="62"/>
    </row>
    <row r="51" spans="1:42" ht="13.5" thickTop="1" x14ac:dyDescent="0.2">
      <c r="A51" s="2"/>
      <c r="B51" s="2"/>
      <c r="C51" s="2"/>
      <c r="D51" s="2"/>
      <c r="E51" s="2"/>
      <c r="F51" s="2"/>
      <c r="G51" s="2"/>
      <c r="H51" s="2"/>
      <c r="I51" s="2"/>
      <c r="J51" s="2"/>
      <c r="K51" s="2"/>
      <c r="L51" s="2"/>
      <c r="M51" s="2"/>
      <c r="O51" s="3"/>
      <c r="P51" s="3"/>
      <c r="Q51" s="3"/>
      <c r="R51" s="3"/>
      <c r="S51" s="3"/>
      <c r="T51" s="3"/>
      <c r="U51" s="3"/>
      <c r="V51" s="3"/>
      <c r="X51" s="3"/>
      <c r="Y51" s="483"/>
      <c r="Z51" s="24"/>
      <c r="AA51" s="47" t="s">
        <v>81</v>
      </c>
      <c r="AB51" s="48"/>
      <c r="AC51" s="48"/>
      <c r="AD51" s="24"/>
      <c r="AE51" s="3"/>
      <c r="AG51" s="3"/>
      <c r="AH51" s="3"/>
      <c r="AI51" s="8" t="s">
        <v>28</v>
      </c>
      <c r="AJ51" s="54">
        <v>0</v>
      </c>
      <c r="AK51" s="54">
        <f>AH132</f>
        <v>54000</v>
      </c>
      <c r="AL51" s="54">
        <f>AH200</f>
        <v>108000</v>
      </c>
      <c r="AM51" s="3"/>
      <c r="AN51" s="112"/>
      <c r="AO51" s="112"/>
      <c r="AP51" s="62"/>
    </row>
    <row r="52" spans="1:42" ht="15.75" x14ac:dyDescent="0.3">
      <c r="A52" s="2"/>
      <c r="B52" s="2"/>
      <c r="C52" s="2"/>
      <c r="D52" s="2"/>
      <c r="E52" s="2"/>
      <c r="F52" s="2"/>
      <c r="G52" s="2"/>
      <c r="H52" s="2"/>
      <c r="I52" s="2"/>
      <c r="J52" s="2"/>
      <c r="K52" s="2"/>
      <c r="L52" s="2"/>
      <c r="M52" s="2"/>
      <c r="O52" s="3"/>
      <c r="P52" s="3"/>
      <c r="Q52" s="3"/>
      <c r="R52" s="3"/>
      <c r="S52" s="3"/>
      <c r="T52" s="3"/>
      <c r="U52" s="3"/>
      <c r="V52" s="3"/>
      <c r="X52" s="3"/>
      <c r="Y52" s="3"/>
      <c r="Z52" s="29" t="str">
        <f>P114</f>
        <v>Energieträger gesamt</v>
      </c>
      <c r="AA52" s="26">
        <f>SUM('Referenz Plattenfertiger'!U16:U29)</f>
        <v>41.281733459999998</v>
      </c>
      <c r="AB52" s="26">
        <f>U114</f>
        <v>33.493691337510647</v>
      </c>
      <c r="AC52" s="26">
        <f>U186</f>
        <v>21.601201256046664</v>
      </c>
      <c r="AD52" s="25" t="s">
        <v>148</v>
      </c>
      <c r="AE52" s="3"/>
      <c r="AG52" s="3"/>
      <c r="AH52" s="3"/>
      <c r="AI52" s="8" t="s">
        <v>139</v>
      </c>
      <c r="AJ52" s="54">
        <v>0</v>
      </c>
      <c r="AK52" s="54">
        <f>AH133</f>
        <v>0</v>
      </c>
      <c r="AL52" s="54">
        <f>AH201</f>
        <v>0</v>
      </c>
      <c r="AM52" s="3"/>
      <c r="AN52" s="112"/>
      <c r="AO52" s="112"/>
      <c r="AP52" s="62"/>
    </row>
    <row r="53" spans="1:42" ht="15.75" x14ac:dyDescent="0.3">
      <c r="A53" s="2"/>
      <c r="B53" s="2"/>
      <c r="C53" s="2"/>
      <c r="D53" s="2"/>
      <c r="E53" s="2"/>
      <c r="F53" s="2"/>
      <c r="G53" s="2"/>
      <c r="H53" s="2"/>
      <c r="I53" s="2"/>
      <c r="J53" s="2"/>
      <c r="K53" s="2"/>
      <c r="L53" s="2"/>
      <c r="M53" s="2"/>
      <c r="O53" s="3"/>
      <c r="P53" s="3"/>
      <c r="Q53" s="3"/>
      <c r="R53" s="3"/>
      <c r="S53" s="3"/>
      <c r="T53" s="3"/>
      <c r="U53" s="3"/>
      <c r="V53" s="3"/>
      <c r="X53" s="3"/>
      <c r="Y53" s="3"/>
      <c r="Z53" s="8" t="str">
        <f>P130</f>
        <v>Transport gesamt</v>
      </c>
      <c r="AA53" s="9">
        <f>'Referenz Plattenfertiger'!U32+'Referenz Plattenfertiger'!U33</f>
        <v>469.15642799999995</v>
      </c>
      <c r="AB53" s="9">
        <f>U130</f>
        <v>469.15642799999995</v>
      </c>
      <c r="AC53" s="9">
        <f>U202</f>
        <v>469.15642799999995</v>
      </c>
      <c r="AD53" s="3" t="s">
        <v>148</v>
      </c>
      <c r="AE53" s="3"/>
      <c r="AG53" s="3"/>
      <c r="AH53" s="3"/>
      <c r="AI53" s="58" t="s">
        <v>146</v>
      </c>
      <c r="AJ53" s="60">
        <v>0</v>
      </c>
      <c r="AK53" s="60">
        <f>AH134</f>
        <v>0</v>
      </c>
      <c r="AL53" s="60">
        <f>AH202</f>
        <v>0</v>
      </c>
      <c r="AM53" s="3"/>
      <c r="AN53" s="112"/>
      <c r="AO53" s="112"/>
      <c r="AP53" s="62"/>
    </row>
    <row r="54" spans="1:42" ht="15.75" x14ac:dyDescent="0.3">
      <c r="A54" s="2"/>
      <c r="B54" s="2"/>
      <c r="C54" s="2"/>
      <c r="D54" s="2"/>
      <c r="E54" s="2"/>
      <c r="F54" s="2"/>
      <c r="G54" s="2"/>
      <c r="H54" s="2"/>
      <c r="I54" s="2"/>
      <c r="J54" s="2"/>
      <c r="K54" s="2"/>
      <c r="L54" s="2"/>
      <c r="M54" s="2"/>
      <c r="O54" s="3"/>
      <c r="P54" s="3"/>
      <c r="Q54" s="3"/>
      <c r="R54" s="3"/>
      <c r="S54" s="3"/>
      <c r="T54" s="3"/>
      <c r="U54" s="3"/>
      <c r="V54" s="3"/>
      <c r="X54" s="3"/>
      <c r="Y54" s="3"/>
      <c r="Z54" s="29" t="str">
        <f>P134</f>
        <v>Zement</v>
      </c>
      <c r="AA54" s="26">
        <f>'Referenz Plattenfertiger'!U35</f>
        <v>4548.5439999999999</v>
      </c>
      <c r="AB54" s="26">
        <f>U134</f>
        <v>4548.5439999999999</v>
      </c>
      <c r="AC54" s="26">
        <f>U206</f>
        <v>4548.5439999999999</v>
      </c>
      <c r="AD54" s="25" t="s">
        <v>148</v>
      </c>
      <c r="AE54" s="3"/>
      <c r="AG54" s="3"/>
      <c r="AH54" s="3"/>
      <c r="AI54" s="56" t="s">
        <v>140</v>
      </c>
      <c r="AJ54" s="57">
        <f>SUM(AJ55:AJ57)</f>
        <v>152459.04944673795</v>
      </c>
      <c r="AK54" s="57">
        <f t="shared" ref="AK54:AL54" si="2">SUM(AK55:AK57)</f>
        <v>268205.81115417008</v>
      </c>
      <c r="AL54" s="57">
        <f t="shared" si="2"/>
        <v>469609.01512903062</v>
      </c>
      <c r="AM54" s="3"/>
      <c r="AN54" s="112"/>
      <c r="AO54" s="112"/>
      <c r="AP54" s="62"/>
    </row>
    <row r="55" spans="1:42" ht="15.75" x14ac:dyDescent="0.3">
      <c r="A55" s="2"/>
      <c r="B55" s="2"/>
      <c r="C55" s="2"/>
      <c r="D55" s="2"/>
      <c r="E55" s="2"/>
      <c r="F55" s="2"/>
      <c r="G55" s="2"/>
      <c r="H55" s="2"/>
      <c r="I55" s="2"/>
      <c r="J55" s="2"/>
      <c r="K55" s="2"/>
      <c r="L55" s="2"/>
      <c r="M55" s="2"/>
      <c r="O55" s="3"/>
      <c r="P55" s="3"/>
      <c r="Q55" s="3"/>
      <c r="R55" s="3"/>
      <c r="S55" s="3"/>
      <c r="T55" s="3"/>
      <c r="U55" s="3"/>
      <c r="V55" s="3"/>
      <c r="X55" s="3"/>
      <c r="Y55" s="3"/>
      <c r="Z55" s="8" t="str">
        <f>P140</f>
        <v>Gesteinskörnungen (Zuschlagsstoffe)</v>
      </c>
      <c r="AA55" s="9">
        <f>'Referenz Plattenfertiger'!U41</f>
        <v>129.59200000000001</v>
      </c>
      <c r="AB55" s="9">
        <f>U140</f>
        <v>129.59200000000001</v>
      </c>
      <c r="AC55" s="9">
        <f>U212</f>
        <v>129.59200000000001</v>
      </c>
      <c r="AD55" s="3" t="s">
        <v>148</v>
      </c>
      <c r="AE55" s="3"/>
      <c r="AG55" s="3"/>
      <c r="AH55" s="3"/>
      <c r="AI55" s="31" t="s">
        <v>141</v>
      </c>
      <c r="AJ55" s="51">
        <f>'Referenz Plattenfertiger'!AD26</f>
        <v>2373.3088765000002</v>
      </c>
      <c r="AK55" s="51">
        <f>AH137</f>
        <v>3614.0798015999999</v>
      </c>
      <c r="AL55" s="51">
        <f>AH205</f>
        <v>5255.4731119999997</v>
      </c>
      <c r="AM55" s="3"/>
      <c r="AN55" s="112"/>
      <c r="AO55" s="112"/>
      <c r="AP55" s="62"/>
    </row>
    <row r="56" spans="1:42" ht="15.75" x14ac:dyDescent="0.3">
      <c r="A56" s="2"/>
      <c r="B56" s="2"/>
      <c r="C56" s="2"/>
      <c r="D56" s="2"/>
      <c r="E56" s="2"/>
      <c r="F56" s="2"/>
      <c r="G56" s="2"/>
      <c r="H56" s="2"/>
      <c r="I56" s="2"/>
      <c r="J56" s="2"/>
      <c r="K56" s="2"/>
      <c r="L56" s="2"/>
      <c r="M56" s="2"/>
      <c r="O56" s="3"/>
      <c r="P56" s="3"/>
      <c r="Q56" s="3"/>
      <c r="R56" s="3"/>
      <c r="S56" s="3"/>
      <c r="T56" s="3"/>
      <c r="U56" s="3"/>
      <c r="V56" s="3"/>
      <c r="X56" s="3"/>
      <c r="Y56" s="3"/>
      <c r="Z56" s="29" t="str">
        <f>Q147</f>
        <v>Farben</v>
      </c>
      <c r="AA56" s="26">
        <f>'Referenz Plattenfertiger'!U48</f>
        <v>208</v>
      </c>
      <c r="AB56" s="26">
        <f>U147</f>
        <v>208</v>
      </c>
      <c r="AC56" s="26">
        <f>U219</f>
        <v>208</v>
      </c>
      <c r="AD56" s="25" t="s">
        <v>148</v>
      </c>
      <c r="AE56" s="3"/>
      <c r="AG56" s="3"/>
      <c r="AH56" s="3"/>
      <c r="AI56" s="31" t="s">
        <v>142</v>
      </c>
      <c r="AJ56" s="51">
        <f>'Referenz Plattenfertiger'!AD27</f>
        <v>4297.5</v>
      </c>
      <c r="AK56" s="51">
        <f>AH138</f>
        <v>6137.7170216537124</v>
      </c>
      <c r="AL56" s="51">
        <f>AH206</f>
        <v>5831.1379685854663</v>
      </c>
      <c r="AM56" s="3"/>
      <c r="AN56" s="112"/>
      <c r="AO56" s="112"/>
      <c r="AP56" s="62"/>
    </row>
    <row r="57" spans="1:42" ht="15.75" x14ac:dyDescent="0.3">
      <c r="A57" s="2"/>
      <c r="B57" s="2"/>
      <c r="C57" s="2"/>
      <c r="D57" s="2"/>
      <c r="E57" s="2"/>
      <c r="F57" s="2"/>
      <c r="G57" s="2"/>
      <c r="H57" s="2"/>
      <c r="I57" s="2"/>
      <c r="J57" s="2"/>
      <c r="K57" s="2"/>
      <c r="L57" s="2"/>
      <c r="M57" s="2"/>
      <c r="O57" s="3"/>
      <c r="P57" s="3"/>
      <c r="Q57" s="3"/>
      <c r="R57" s="3"/>
      <c r="S57" s="3"/>
      <c r="T57" s="3"/>
      <c r="U57" s="3"/>
      <c r="V57" s="3"/>
      <c r="X57" s="3"/>
      <c r="Y57" s="3"/>
      <c r="Z57" s="8" t="str">
        <f>P149</f>
        <v>Zusatzstoffe (Füllstoffe)</v>
      </c>
      <c r="AA57" s="9">
        <f>'Referenz Plattenfertiger'!U50</f>
        <v>81.003999999999991</v>
      </c>
      <c r="AB57" s="9">
        <f>U149</f>
        <v>81.003999999999991</v>
      </c>
      <c r="AC57" s="9">
        <f>U221</f>
        <v>81.003999999999991</v>
      </c>
      <c r="AD57" s="3" t="s">
        <v>148</v>
      </c>
      <c r="AE57" s="3"/>
      <c r="AG57" s="3"/>
      <c r="AH57" s="3"/>
      <c r="AI57" s="31" t="s">
        <v>143</v>
      </c>
      <c r="AJ57" s="51">
        <f>'Referenz Plattenfertiger'!AD28</f>
        <v>145788.24057023795</v>
      </c>
      <c r="AK57" s="51">
        <f>AH139</f>
        <v>258454.01433091634</v>
      </c>
      <c r="AL57" s="51">
        <f>AH207</f>
        <v>458522.40404844517</v>
      </c>
      <c r="AM57" s="3"/>
      <c r="AN57" s="112"/>
      <c r="AO57" s="112"/>
      <c r="AP57" s="62"/>
    </row>
    <row r="58" spans="1:42" ht="16.5" thickBot="1" x14ac:dyDescent="0.35">
      <c r="A58" s="2"/>
      <c r="B58" s="2"/>
      <c r="C58" s="2"/>
      <c r="D58" s="2"/>
      <c r="E58" s="2"/>
      <c r="F58" s="2"/>
      <c r="G58" s="2"/>
      <c r="H58" s="2"/>
      <c r="I58" s="2"/>
      <c r="J58" s="2"/>
      <c r="K58" s="2"/>
      <c r="L58" s="2"/>
      <c r="M58" s="2"/>
      <c r="O58" s="3"/>
      <c r="P58" s="3"/>
      <c r="Q58" s="3"/>
      <c r="R58" s="3"/>
      <c r="S58" s="3"/>
      <c r="T58" s="3"/>
      <c r="U58" s="3"/>
      <c r="V58" s="3"/>
      <c r="X58" s="3"/>
      <c r="Y58" s="3"/>
      <c r="Z58" s="29" t="str">
        <f>P156</f>
        <v>Zusatzmittel</v>
      </c>
      <c r="AA58" s="26">
        <f>'Referenz Plattenfertiger'!U57</f>
        <v>148.44746134951595</v>
      </c>
      <c r="AB58" s="26">
        <f>U156</f>
        <v>148.44746134951595</v>
      </c>
      <c r="AC58" s="26">
        <f>U228</f>
        <v>148.44746134951595</v>
      </c>
      <c r="AD58" s="25" t="s">
        <v>148</v>
      </c>
      <c r="AE58" s="3"/>
      <c r="AG58" s="3"/>
      <c r="AH58" s="3"/>
      <c r="AI58" s="27" t="s">
        <v>67</v>
      </c>
      <c r="AJ58" s="55">
        <f>AJ54+AJ53+AJ52+AJ51+AJ43</f>
        <v>262128.04944673795</v>
      </c>
      <c r="AK58" s="55">
        <f t="shared" ref="AK58:AL58" si="3">AK54+AK53+AK52+AK51+AK43</f>
        <v>432820.5269875034</v>
      </c>
      <c r="AL58" s="55">
        <f t="shared" si="3"/>
        <v>689169.44679569732</v>
      </c>
      <c r="AM58" s="3"/>
      <c r="AN58" s="112"/>
      <c r="AO58" s="112"/>
      <c r="AP58" s="62"/>
    </row>
    <row r="59" spans="1:42" ht="16.5" thickTop="1" x14ac:dyDescent="0.3">
      <c r="A59" s="2"/>
      <c r="B59" s="2"/>
      <c r="C59" s="2"/>
      <c r="D59" s="2"/>
      <c r="E59" s="2"/>
      <c r="F59" s="2"/>
      <c r="G59" s="2"/>
      <c r="H59" s="2"/>
      <c r="I59" s="2"/>
      <c r="J59" s="2"/>
      <c r="K59" s="2"/>
      <c r="L59" s="2"/>
      <c r="M59" s="2"/>
      <c r="O59" s="3"/>
      <c r="P59" s="3"/>
      <c r="Q59" s="3"/>
      <c r="R59" s="3"/>
      <c r="S59" s="3"/>
      <c r="T59" s="3"/>
      <c r="U59" s="3"/>
      <c r="V59" s="3"/>
      <c r="X59" s="3"/>
      <c r="Y59" s="3"/>
      <c r="Z59" s="8" t="s">
        <v>179</v>
      </c>
      <c r="AA59" s="9">
        <f>'Referenz Plattenfertiger'!U63+'Referenz Plattenfertiger'!U64</f>
        <v>0.54400000000000004</v>
      </c>
      <c r="AB59" s="9">
        <f>U162+U163</f>
        <v>0.54400000000000004</v>
      </c>
      <c r="AC59" s="9">
        <f>U234+U235</f>
        <v>0.54400000000000004</v>
      </c>
      <c r="AD59" s="3" t="s">
        <v>148</v>
      </c>
      <c r="AE59" s="3"/>
      <c r="AG59" s="3"/>
      <c r="AH59" s="3"/>
      <c r="AI59" s="3"/>
      <c r="AJ59" s="3"/>
      <c r="AK59" s="3"/>
      <c r="AL59" s="3"/>
      <c r="AM59" s="3"/>
      <c r="AN59" s="62"/>
      <c r="AO59" s="62"/>
      <c r="AP59" s="62"/>
    </row>
    <row r="60" spans="1:42" ht="16.5" thickBot="1" x14ac:dyDescent="0.35">
      <c r="A60" s="2"/>
      <c r="B60" s="2"/>
      <c r="C60" s="2"/>
      <c r="D60" s="2"/>
      <c r="E60" s="2"/>
      <c r="F60" s="2"/>
      <c r="G60" s="2"/>
      <c r="H60" s="2"/>
      <c r="I60" s="2"/>
      <c r="J60" s="2"/>
      <c r="K60" s="2"/>
      <c r="L60" s="2"/>
      <c r="M60" s="2"/>
      <c r="O60" s="3"/>
      <c r="P60" s="3"/>
      <c r="Q60" s="3"/>
      <c r="R60" s="3"/>
      <c r="S60" s="3"/>
      <c r="T60" s="3"/>
      <c r="U60" s="3"/>
      <c r="V60" s="3"/>
      <c r="X60" s="3"/>
      <c r="Y60" s="3"/>
      <c r="Z60" s="29" t="str">
        <f>P165</f>
        <v>Oberflächenschutzsysteme</v>
      </c>
      <c r="AA60" s="26">
        <f>'Referenz Plattenfertiger'!U66</f>
        <v>80.47999999999999</v>
      </c>
      <c r="AB60" s="26">
        <f>U165</f>
        <v>0.16095999999999999</v>
      </c>
      <c r="AC60" s="26">
        <f>U237</f>
        <v>0.16095999999999999</v>
      </c>
      <c r="AD60" s="25" t="s">
        <v>148</v>
      </c>
      <c r="AE60" s="3"/>
      <c r="AG60" s="3"/>
      <c r="AH60" s="3"/>
      <c r="AI60" s="104" t="s">
        <v>196</v>
      </c>
      <c r="AJ60" s="105">
        <f>AJ58-AJ57</f>
        <v>116339.8088765</v>
      </c>
      <c r="AK60" s="105">
        <f>AK58-AK57</f>
        <v>174366.51265658706</v>
      </c>
      <c r="AL60" s="105">
        <f>AL58-AL57</f>
        <v>230647.04274725216</v>
      </c>
      <c r="AM60" s="3"/>
      <c r="AN60" s="3"/>
      <c r="AO60" s="3"/>
      <c r="AP60" s="3"/>
    </row>
    <row r="61" spans="1:42" ht="16.5" thickBot="1" x14ac:dyDescent="0.35">
      <c r="A61" s="2"/>
      <c r="B61" s="2"/>
      <c r="C61" s="2"/>
      <c r="D61" s="2"/>
      <c r="E61" s="2"/>
      <c r="F61" s="2"/>
      <c r="G61" s="2"/>
      <c r="H61" s="2"/>
      <c r="I61" s="2"/>
      <c r="J61" s="2"/>
      <c r="K61" s="2"/>
      <c r="L61" s="2"/>
      <c r="M61" s="2"/>
      <c r="O61" s="3"/>
      <c r="P61" s="3"/>
      <c r="Q61" s="3"/>
      <c r="R61" s="3"/>
      <c r="S61" s="3"/>
      <c r="T61" s="3"/>
      <c r="U61" s="3"/>
      <c r="V61" s="3"/>
      <c r="X61" s="3"/>
      <c r="Y61" s="3"/>
      <c r="Z61" s="8" t="str">
        <f>P170</f>
        <v>Oberflächenbearbeitung (vor/nach Erhärtung)</v>
      </c>
      <c r="AA61" s="9">
        <f>'Referenz Plattenfertiger'!U71</f>
        <v>60</v>
      </c>
      <c r="AB61" s="9">
        <f>U170</f>
        <v>60</v>
      </c>
      <c r="AC61" s="9">
        <f>U242</f>
        <v>60</v>
      </c>
      <c r="AD61" s="3" t="s">
        <v>148</v>
      </c>
      <c r="AE61" s="3"/>
      <c r="AG61" s="3"/>
      <c r="AH61" s="3"/>
      <c r="AI61" s="106" t="s">
        <v>145</v>
      </c>
      <c r="AJ61" s="107">
        <f>AJ58-AJ54</f>
        <v>109669</v>
      </c>
      <c r="AK61" s="107">
        <f>AK58-AK54</f>
        <v>164614.71583333332</v>
      </c>
      <c r="AL61" s="107">
        <f>AL58-AL54</f>
        <v>219560.4316666667</v>
      </c>
      <c r="AM61" s="3"/>
      <c r="AN61" s="3"/>
      <c r="AO61" s="3"/>
      <c r="AP61" s="3"/>
    </row>
    <row r="62" spans="1:42" ht="15.75" x14ac:dyDescent="0.3">
      <c r="A62" s="2"/>
      <c r="B62" s="2"/>
      <c r="C62" s="2"/>
      <c r="D62" s="2"/>
      <c r="E62" s="2"/>
      <c r="F62" s="2"/>
      <c r="G62" s="2"/>
      <c r="H62" s="2"/>
      <c r="I62" s="2"/>
      <c r="J62" s="2"/>
      <c r="K62" s="2"/>
      <c r="L62" s="2"/>
      <c r="M62" s="2"/>
      <c r="O62" s="3"/>
      <c r="P62" s="3"/>
      <c r="Q62" s="3"/>
      <c r="R62" s="3"/>
      <c r="S62" s="3"/>
      <c r="T62" s="3"/>
      <c r="U62" s="3"/>
      <c r="V62" s="3"/>
      <c r="X62" s="3"/>
      <c r="Y62" s="3"/>
      <c r="Z62" s="29" t="str">
        <f>Q175</f>
        <v>Verpackungsmaterial</v>
      </c>
      <c r="AA62" s="26">
        <f>'Referenz Plattenfertiger'!U76</f>
        <v>64.48</v>
      </c>
      <c r="AB62" s="26">
        <f>U175</f>
        <v>64.48</v>
      </c>
      <c r="AC62" s="26">
        <f>U247</f>
        <v>64.48</v>
      </c>
      <c r="AD62" s="25" t="s">
        <v>148</v>
      </c>
      <c r="AE62" s="3"/>
      <c r="AG62" s="3"/>
      <c r="AH62" s="3"/>
      <c r="AI62" s="3"/>
      <c r="AJ62" s="3"/>
      <c r="AK62" s="3"/>
      <c r="AL62" s="3"/>
      <c r="AM62" s="3"/>
      <c r="AN62" s="3"/>
      <c r="AO62" s="3"/>
      <c r="AP62" s="3"/>
    </row>
    <row r="63" spans="1:42" ht="15" thickBot="1" x14ac:dyDescent="0.3">
      <c r="A63" s="2"/>
      <c r="B63" s="2"/>
      <c r="C63" s="2"/>
      <c r="D63" s="2"/>
      <c r="E63" s="2"/>
      <c r="F63" s="2"/>
      <c r="G63" s="2"/>
      <c r="H63" s="2"/>
      <c r="I63" s="2"/>
      <c r="J63" s="2"/>
      <c r="K63" s="2"/>
      <c r="L63" s="2"/>
      <c r="M63" s="2"/>
      <c r="O63" s="3"/>
      <c r="P63" s="3"/>
      <c r="Q63" s="3"/>
      <c r="R63" s="3"/>
      <c r="S63" s="3"/>
      <c r="T63" s="3"/>
      <c r="U63" s="3"/>
      <c r="V63" s="3"/>
      <c r="X63" s="3"/>
      <c r="Y63" s="3"/>
      <c r="Z63" s="27" t="s">
        <v>67</v>
      </c>
      <c r="AA63" s="28">
        <f>SUM(AA52:AA62)</f>
        <v>5831.529622809514</v>
      </c>
      <c r="AB63" s="28">
        <f t="shared" ref="AB63" si="4">SUM(AB52:AB62)</f>
        <v>5743.4225406870255</v>
      </c>
      <c r="AC63" s="28">
        <f>SUM(AC52:AC62)</f>
        <v>5731.530050605561</v>
      </c>
      <c r="AD63" s="27" t="s">
        <v>149</v>
      </c>
      <c r="AE63" s="3"/>
      <c r="AG63" s="3"/>
      <c r="AH63" s="3"/>
      <c r="AI63" s="3"/>
      <c r="AJ63" s="3"/>
      <c r="AK63" s="3"/>
      <c r="AL63" s="3"/>
      <c r="AM63" s="3"/>
      <c r="AN63" s="3"/>
      <c r="AO63" s="3"/>
      <c r="AP63" s="3"/>
    </row>
    <row r="64" spans="1:42" ht="13.5" thickTop="1" x14ac:dyDescent="0.2">
      <c r="A64" s="2"/>
      <c r="B64" s="2"/>
      <c r="C64" s="2"/>
      <c r="D64" s="2"/>
      <c r="E64" s="2"/>
      <c r="F64" s="2"/>
      <c r="G64" s="2"/>
      <c r="H64" s="2"/>
      <c r="I64" s="2"/>
      <c r="J64" s="2"/>
      <c r="K64" s="2"/>
      <c r="L64" s="2"/>
      <c r="M64" s="2"/>
      <c r="O64" s="3"/>
      <c r="P64" s="3"/>
      <c r="Q64" s="3"/>
      <c r="R64" s="3"/>
      <c r="S64" s="3"/>
      <c r="T64" s="3"/>
      <c r="U64" s="3"/>
      <c r="V64" s="3"/>
      <c r="X64" s="3"/>
      <c r="Y64" s="3"/>
      <c r="Z64" s="8"/>
      <c r="AA64" s="82"/>
      <c r="AB64" s="82"/>
      <c r="AC64" s="82"/>
      <c r="AD64" s="8"/>
      <c r="AE64" s="3"/>
      <c r="AG64" s="3"/>
      <c r="AH64" s="3"/>
      <c r="AI64" s="3"/>
      <c r="AJ64" s="3"/>
      <c r="AK64" s="3"/>
      <c r="AL64" s="3"/>
      <c r="AM64" s="3"/>
      <c r="AN64" s="3"/>
      <c r="AO64" s="3"/>
      <c r="AP64" s="3"/>
    </row>
    <row r="65" spans="1:42" x14ac:dyDescent="0.2">
      <c r="A65" s="2"/>
      <c r="B65" s="2"/>
      <c r="C65" s="2"/>
      <c r="D65" s="2"/>
      <c r="E65" s="2"/>
      <c r="F65" s="2"/>
      <c r="G65" s="2"/>
      <c r="H65" s="2"/>
      <c r="I65" s="2"/>
      <c r="J65" s="2"/>
      <c r="K65" s="2"/>
      <c r="L65" s="2"/>
      <c r="M65" s="2"/>
      <c r="O65" s="3"/>
      <c r="P65" s="3"/>
      <c r="Q65" s="3"/>
      <c r="R65" s="3"/>
      <c r="S65" s="3"/>
      <c r="T65" s="3"/>
      <c r="U65" s="3"/>
      <c r="V65" s="3"/>
      <c r="X65" s="3"/>
      <c r="Y65" s="3"/>
      <c r="Z65" s="8"/>
      <c r="AA65" s="82"/>
      <c r="AB65" s="82"/>
      <c r="AC65" s="82"/>
      <c r="AD65" s="8"/>
      <c r="AE65" s="3"/>
      <c r="AG65" s="3"/>
      <c r="AH65" s="3"/>
      <c r="AI65" s="3"/>
      <c r="AJ65" s="3"/>
      <c r="AK65" s="3"/>
      <c r="AL65" s="3"/>
      <c r="AM65" s="3"/>
      <c r="AN65" s="3"/>
      <c r="AO65" s="3"/>
      <c r="AP65" s="3"/>
    </row>
    <row r="66" spans="1:42" ht="15" x14ac:dyDescent="0.25">
      <c r="A66" s="2"/>
      <c r="B66" s="2"/>
      <c r="C66" s="2"/>
      <c r="D66" s="2"/>
      <c r="E66" s="2"/>
      <c r="F66" s="2"/>
      <c r="G66" s="2"/>
      <c r="H66" s="2"/>
      <c r="I66" s="2"/>
      <c r="J66" s="2"/>
      <c r="K66" s="2"/>
      <c r="L66" s="2"/>
      <c r="M66" s="2"/>
      <c r="O66" s="3"/>
      <c r="P66" s="3"/>
      <c r="Q66" s="3"/>
      <c r="R66" s="3"/>
      <c r="S66" s="3"/>
      <c r="T66" s="3"/>
      <c r="U66" s="3"/>
      <c r="V66" s="3"/>
      <c r="X66" s="3"/>
      <c r="Y66" s="3"/>
      <c r="Z66" s="23" t="s">
        <v>194</v>
      </c>
      <c r="AA66" s="3"/>
      <c r="AB66" s="3"/>
      <c r="AC66" s="3"/>
      <c r="AD66" s="3"/>
      <c r="AE66" s="3"/>
      <c r="AG66" s="3"/>
      <c r="AH66" s="3"/>
      <c r="AI66" s="3"/>
      <c r="AJ66" s="3"/>
      <c r="AK66" s="3"/>
      <c r="AL66" s="3"/>
      <c r="AM66" s="3"/>
      <c r="AN66" s="3"/>
      <c r="AO66" s="3"/>
      <c r="AP66" s="3"/>
    </row>
    <row r="67" spans="1:42" ht="15" x14ac:dyDescent="0.25">
      <c r="A67" s="2"/>
      <c r="B67" s="2"/>
      <c r="C67" s="2"/>
      <c r="D67" s="2"/>
      <c r="E67" s="2"/>
      <c r="F67" s="2"/>
      <c r="G67" s="2"/>
      <c r="H67" s="2"/>
      <c r="I67" s="2"/>
      <c r="J67" s="2"/>
      <c r="K67" s="2"/>
      <c r="L67" s="2"/>
      <c r="M67" s="2"/>
      <c r="O67" s="3"/>
      <c r="P67" s="3"/>
      <c r="Q67" s="3"/>
      <c r="R67" s="3"/>
      <c r="S67" s="3"/>
      <c r="T67" s="3"/>
      <c r="U67" s="3"/>
      <c r="V67" s="3"/>
      <c r="X67" s="3"/>
      <c r="Y67" s="3"/>
      <c r="Z67" s="34"/>
      <c r="AA67" s="45">
        <f>R41</f>
        <v>0</v>
      </c>
      <c r="AB67" s="45">
        <f>S41</f>
        <v>5</v>
      </c>
      <c r="AC67" s="45">
        <f>T41</f>
        <v>10</v>
      </c>
      <c r="AD67" s="34"/>
      <c r="AE67" s="3"/>
      <c r="AG67" s="3"/>
      <c r="AH67" s="3"/>
      <c r="AI67" s="3"/>
      <c r="AJ67" s="3"/>
      <c r="AK67" s="3"/>
      <c r="AL67" s="3"/>
      <c r="AM67" s="3"/>
      <c r="AN67" s="3"/>
      <c r="AO67" s="3"/>
      <c r="AP67" s="3"/>
    </row>
    <row r="68" spans="1:42" x14ac:dyDescent="0.2">
      <c r="A68" s="2"/>
      <c r="B68" s="2"/>
      <c r="C68" s="2"/>
      <c r="D68" s="2"/>
      <c r="E68" s="2"/>
      <c r="F68" s="2"/>
      <c r="G68" s="2"/>
      <c r="H68" s="2"/>
      <c r="I68" s="2"/>
      <c r="J68" s="2"/>
      <c r="K68" s="2"/>
      <c r="L68" s="2"/>
      <c r="M68" s="2"/>
      <c r="O68" s="3"/>
      <c r="P68" s="3"/>
      <c r="Q68" s="3"/>
      <c r="R68" s="3"/>
      <c r="S68" s="3"/>
      <c r="T68" s="3"/>
      <c r="U68" s="3"/>
      <c r="V68" s="3"/>
      <c r="X68" s="3"/>
      <c r="Y68" s="3"/>
      <c r="Z68" s="24"/>
      <c r="AA68" s="47" t="s">
        <v>81</v>
      </c>
      <c r="AB68" s="48"/>
      <c r="AC68" s="48"/>
      <c r="AD68" s="24"/>
      <c r="AE68" s="3"/>
      <c r="AG68" s="3"/>
      <c r="AH68" s="3"/>
      <c r="AI68" s="3"/>
      <c r="AJ68" s="3"/>
      <c r="AK68" s="3"/>
      <c r="AL68" s="3"/>
      <c r="AM68" s="3"/>
      <c r="AN68" s="3"/>
      <c r="AO68" s="3"/>
      <c r="AP68" s="3"/>
    </row>
    <row r="69" spans="1:42" ht="15.75" x14ac:dyDescent="0.3">
      <c r="A69" s="2"/>
      <c r="B69" s="2"/>
      <c r="C69" s="2"/>
      <c r="D69" s="2"/>
      <c r="E69" s="2"/>
      <c r="F69" s="2"/>
      <c r="G69" s="2"/>
      <c r="H69" s="2"/>
      <c r="I69" s="2"/>
      <c r="J69" s="2"/>
      <c r="K69" s="2"/>
      <c r="L69" s="2"/>
      <c r="M69" s="2"/>
      <c r="O69" s="3"/>
      <c r="P69" s="3"/>
      <c r="Q69" s="3"/>
      <c r="R69" s="3"/>
      <c r="S69" s="3"/>
      <c r="T69" s="3"/>
      <c r="U69" s="3"/>
      <c r="V69" s="3"/>
      <c r="X69" s="3"/>
      <c r="Y69" s="3"/>
      <c r="Z69" s="29" t="s">
        <v>104</v>
      </c>
      <c r="AA69" s="97">
        <f>AA43/IF(NOT(ISBLANK('Referenz Plattenfertiger'!$I$12)),'Referenz Plattenfertiger'!$I$12,'Referenz Plattenfertiger'!$F$12)</f>
        <v>2.3733088764999999E-3</v>
      </c>
      <c r="AB69" s="97">
        <f>AB43/IF(NOT(ISBLANK('Referenz Plattenfertiger'!$I$12)),'Referenz Plattenfertiger'!$I$12,'Referenz Plattenfertiger'!$F$12)</f>
        <v>2.0078221119999998E-3</v>
      </c>
      <c r="AC69" s="97">
        <f>AC43/IF(NOT(ISBLANK('Referenz Plattenfertiger'!$I$12)),'Referenz Plattenfertiger'!$I$12,'Referenz Plattenfertiger'!$F$12)</f>
        <v>1.6423353474999999E-3</v>
      </c>
      <c r="AD69" s="25" t="s">
        <v>193</v>
      </c>
      <c r="AE69" s="3"/>
      <c r="AG69" s="3"/>
      <c r="AH69" s="3"/>
      <c r="AI69" s="3"/>
      <c r="AJ69" s="3"/>
      <c r="AK69" s="3"/>
      <c r="AL69" s="3"/>
      <c r="AM69" s="3"/>
      <c r="AN69" s="3"/>
      <c r="AO69" s="3"/>
      <c r="AP69" s="3"/>
    </row>
    <row r="70" spans="1:42" ht="15.75" x14ac:dyDescent="0.3">
      <c r="A70" s="2"/>
      <c r="B70" s="2"/>
      <c r="C70" s="2"/>
      <c r="D70" s="2"/>
      <c r="E70" s="2"/>
      <c r="F70" s="2"/>
      <c r="G70" s="2"/>
      <c r="H70" s="2"/>
      <c r="I70" s="2"/>
      <c r="J70" s="2"/>
      <c r="K70" s="2"/>
      <c r="L70" s="2"/>
      <c r="M70" s="2"/>
      <c r="O70" s="3"/>
      <c r="P70" s="3"/>
      <c r="Q70" s="3"/>
      <c r="R70" s="3"/>
      <c r="S70" s="3"/>
      <c r="T70" s="3"/>
      <c r="U70" s="3"/>
      <c r="V70" s="3"/>
      <c r="X70" s="3"/>
      <c r="Y70" s="3"/>
      <c r="Z70" s="8" t="s">
        <v>26</v>
      </c>
      <c r="AA70" s="98">
        <f>AA44/IF(NOT(ISBLANK('Referenz Plattenfertiger'!$I$12)),'Referenz Plattenfertiger'!$I$12,'Referenz Plattenfertiger'!$F$12)</f>
        <v>4.2975000000000001E-3</v>
      </c>
      <c r="AB70" s="98">
        <f>AB44/IF(NOT(ISBLANK('Referenz Plattenfertiger'!$I$12)),'Referenz Plattenfertiger'!$I$12,'Referenz Plattenfertiger'!$F$12)</f>
        <v>3.4098427898076183E-3</v>
      </c>
      <c r="AC70" s="98">
        <f>AC44/IF(NOT(ISBLANK('Referenz Plattenfertiger'!$I$12)),'Referenz Plattenfertiger'!$I$12,'Referenz Plattenfertiger'!$F$12)</f>
        <v>1.8222306151829582E-3</v>
      </c>
      <c r="AD70" s="3" t="s">
        <v>193</v>
      </c>
      <c r="AE70" s="3"/>
      <c r="AG70" s="3"/>
      <c r="AH70" s="3"/>
      <c r="AI70" s="3"/>
      <c r="AJ70" s="3"/>
      <c r="AK70" s="3"/>
      <c r="AL70" s="3"/>
      <c r="AM70" s="3"/>
      <c r="AN70" s="3"/>
      <c r="AO70" s="3"/>
      <c r="AP70" s="3"/>
    </row>
    <row r="71" spans="1:42" ht="15.75" x14ac:dyDescent="0.3">
      <c r="A71" s="2"/>
      <c r="B71" s="2"/>
      <c r="C71" s="2"/>
      <c r="D71" s="2"/>
      <c r="E71" s="2"/>
      <c r="F71" s="2"/>
      <c r="G71" s="2"/>
      <c r="H71" s="2"/>
      <c r="I71" s="2"/>
      <c r="J71" s="2"/>
      <c r="K71" s="2"/>
      <c r="L71" s="2"/>
      <c r="M71" s="2"/>
      <c r="O71" s="3"/>
      <c r="P71" s="3"/>
      <c r="Q71" s="3"/>
      <c r="R71" s="3"/>
      <c r="S71" s="3"/>
      <c r="T71" s="3"/>
      <c r="U71" s="3"/>
      <c r="V71" s="3"/>
      <c r="X71" s="3"/>
      <c r="Y71" s="3"/>
      <c r="Z71" s="29" t="s">
        <v>27</v>
      </c>
      <c r="AA71" s="97">
        <f>AA45/IF(NOT(ISBLANK('Referenz Plattenfertiger'!$I$12)),'Referenz Plattenfertiger'!$I$12,'Referenz Plattenfertiger'!$F$12)</f>
        <v>0.14578824057023795</v>
      </c>
      <c r="AB71" s="97">
        <f>AB45/IF(NOT(ISBLANK('Referenz Plattenfertiger'!$I$12)),'Referenz Plattenfertiger'!$I$12,'Referenz Plattenfertiger'!$F$12)</f>
        <v>0.14358556351717575</v>
      </c>
      <c r="AC71" s="97">
        <f>AC45/IF(NOT(ISBLANK('Referenz Plattenfertiger'!$I$12)),'Referenz Plattenfertiger'!$I$12,'Referenz Plattenfertiger'!$F$12)</f>
        <v>0.14328825126513911</v>
      </c>
      <c r="AD71" s="25" t="s">
        <v>193</v>
      </c>
      <c r="AE71" s="3"/>
      <c r="AG71" s="3"/>
      <c r="AH71" s="3"/>
      <c r="AI71" s="3"/>
      <c r="AJ71" s="3"/>
      <c r="AK71" s="3"/>
      <c r="AL71" s="3"/>
      <c r="AM71" s="3"/>
      <c r="AN71" s="3"/>
      <c r="AO71" s="3"/>
      <c r="AP71" s="3"/>
    </row>
    <row r="72" spans="1:42" ht="15" thickBot="1" x14ac:dyDescent="0.3">
      <c r="A72" s="2"/>
      <c r="B72" s="2"/>
      <c r="C72" s="2"/>
      <c r="D72" s="2"/>
      <c r="E72" s="2"/>
      <c r="F72" s="2"/>
      <c r="G72" s="2"/>
      <c r="H72" s="2"/>
      <c r="I72" s="2"/>
      <c r="J72" s="2"/>
      <c r="K72" s="2"/>
      <c r="L72" s="2"/>
      <c r="M72" s="2"/>
      <c r="O72" s="3"/>
      <c r="P72" s="3"/>
      <c r="Q72" s="3"/>
      <c r="R72" s="3"/>
      <c r="S72" s="3"/>
      <c r="T72" s="3"/>
      <c r="U72" s="3"/>
      <c r="V72" s="3"/>
      <c r="X72" s="3"/>
      <c r="Y72" s="3"/>
      <c r="Z72" s="27" t="s">
        <v>67</v>
      </c>
      <c r="AA72" s="99">
        <f>AA46/IF(NOT(ISBLANK('Referenz Plattenfertiger'!$I$12)),'Referenz Plattenfertiger'!$I$12,'Referenz Plattenfertiger'!$F$12)</f>
        <v>0.15245904944673794</v>
      </c>
      <c r="AB72" s="99">
        <f>AB46/IF(NOT(ISBLANK('Referenz Plattenfertiger'!$I$12)),'Referenz Plattenfertiger'!$I$12,'Referenz Plattenfertiger'!$F$12)</f>
        <v>0.14900322841898336</v>
      </c>
      <c r="AC72" s="99">
        <f>AC46/IF(NOT(ISBLANK('Referenz Plattenfertiger'!$I$12)),'Referenz Plattenfertiger'!$I$12,'Referenz Plattenfertiger'!$F$12)</f>
        <v>0.14675281722782207</v>
      </c>
      <c r="AD72" s="27" t="s">
        <v>195</v>
      </c>
      <c r="AE72" s="3"/>
      <c r="AG72" s="3"/>
      <c r="AH72" s="3"/>
      <c r="AI72" s="3"/>
      <c r="AJ72" s="3"/>
      <c r="AK72" s="3"/>
      <c r="AL72" s="3"/>
      <c r="AM72" s="3"/>
      <c r="AN72" s="3"/>
      <c r="AO72" s="3"/>
      <c r="AP72" s="3"/>
    </row>
    <row r="73" spans="1:42" ht="13.5" thickTop="1" x14ac:dyDescent="0.2">
      <c r="A73" s="2"/>
      <c r="B73" s="2"/>
      <c r="C73" s="2"/>
      <c r="D73" s="2"/>
      <c r="E73" s="2"/>
      <c r="F73" s="2"/>
      <c r="G73" s="2"/>
      <c r="H73" s="2"/>
      <c r="I73" s="2"/>
      <c r="J73" s="2"/>
      <c r="K73" s="2"/>
      <c r="L73" s="2"/>
      <c r="M73" s="2"/>
      <c r="O73" s="3"/>
      <c r="P73" s="3"/>
      <c r="Q73" s="3"/>
      <c r="R73" s="3"/>
      <c r="S73" s="3"/>
      <c r="T73" s="3"/>
      <c r="U73" s="3"/>
      <c r="V73" s="3"/>
      <c r="X73" s="3"/>
      <c r="Y73" s="3"/>
      <c r="Z73" s="3"/>
      <c r="AA73" s="3"/>
      <c r="AB73" s="3"/>
      <c r="AC73" s="3"/>
      <c r="AD73" s="3"/>
      <c r="AE73" s="3"/>
      <c r="AG73" s="3"/>
      <c r="AH73" s="3"/>
      <c r="AI73" s="3"/>
      <c r="AJ73" s="3"/>
      <c r="AK73" s="3"/>
      <c r="AL73" s="3"/>
      <c r="AM73" s="3"/>
      <c r="AN73" s="3"/>
      <c r="AO73" s="3"/>
      <c r="AP73" s="3"/>
    </row>
    <row r="74" spans="1:42" x14ac:dyDescent="0.2">
      <c r="A74" s="2"/>
      <c r="B74" s="2"/>
      <c r="C74" s="2"/>
      <c r="D74" s="2"/>
      <c r="E74" s="2"/>
      <c r="F74" s="2"/>
      <c r="G74" s="2"/>
      <c r="H74" s="2"/>
      <c r="I74" s="2"/>
      <c r="J74" s="2"/>
      <c r="K74" s="2"/>
      <c r="L74" s="2"/>
      <c r="M74" s="2"/>
      <c r="O74" s="3"/>
      <c r="P74" s="3"/>
      <c r="Q74" s="3"/>
      <c r="R74" s="3"/>
      <c r="S74" s="3"/>
      <c r="T74" s="3"/>
      <c r="U74" s="3"/>
      <c r="V74" s="3"/>
      <c r="X74" s="3"/>
      <c r="Y74" s="3"/>
      <c r="Z74" s="3"/>
      <c r="AA74" s="3"/>
      <c r="AB74" s="3"/>
      <c r="AC74" s="3"/>
      <c r="AD74" s="3"/>
      <c r="AE74" s="3"/>
      <c r="AG74" s="3"/>
      <c r="AH74" s="3"/>
      <c r="AI74" s="3"/>
      <c r="AJ74" s="3"/>
      <c r="AK74" s="3"/>
      <c r="AL74" s="3"/>
      <c r="AM74" s="3"/>
      <c r="AN74" s="3"/>
      <c r="AO74" s="3"/>
      <c r="AP74" s="3"/>
    </row>
    <row r="75" spans="1:42" ht="15" customHeight="1" x14ac:dyDescent="0.2">
      <c r="A75" s="2"/>
      <c r="B75" s="2"/>
      <c r="C75" s="2"/>
      <c r="D75" s="2"/>
      <c r="E75" s="2"/>
      <c r="F75" s="2"/>
      <c r="G75" s="2"/>
      <c r="H75" s="2"/>
      <c r="I75" s="2"/>
      <c r="J75" s="2"/>
      <c r="K75" s="2"/>
      <c r="L75" s="2"/>
      <c r="M75" s="2"/>
      <c r="O75" s="3"/>
      <c r="P75" s="3"/>
      <c r="Q75" s="3"/>
      <c r="R75" s="3"/>
      <c r="S75" s="3"/>
      <c r="T75" s="3"/>
      <c r="U75" s="3"/>
      <c r="V75" s="3"/>
      <c r="X75" s="3"/>
      <c r="Y75" s="3"/>
      <c r="Z75" s="3"/>
      <c r="AA75" s="3"/>
      <c r="AB75" s="3"/>
      <c r="AC75" s="3"/>
      <c r="AD75" s="3"/>
      <c r="AE75" s="3"/>
      <c r="AG75" s="3"/>
      <c r="AH75" s="3"/>
      <c r="AI75" s="3"/>
      <c r="AJ75" s="3"/>
      <c r="AK75" s="3"/>
      <c r="AL75" s="3"/>
      <c r="AM75" s="3"/>
      <c r="AN75" s="3"/>
      <c r="AO75" s="3"/>
      <c r="AP75" s="3"/>
    </row>
    <row r="76" spans="1:42" x14ac:dyDescent="0.2">
      <c r="B76" s="6" t="str">
        <f>IF(AND($F$16&gt;0,J16&lt;F16),"Bitte den Handeingabewert 'Reduktion' für 'Bilanzjahr +10 Jahre' auch anpassen. Dieser muss dem Werte Ihrer Handeingabe  'Bilanzjahr + 5 Jahre' entsprechen, sollte nur eine Maßnahme im  'Bilanzjahr + 5 Jahre' umgesetzt werden.","")</f>
        <v/>
      </c>
    </row>
    <row r="77" spans="1:42" hidden="1" x14ac:dyDescent="0.2"/>
    <row r="78" spans="1:42" ht="15" hidden="1" customHeight="1" outlineLevel="1" x14ac:dyDescent="0.2">
      <c r="B78" s="6"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O78" s="3"/>
      <c r="P78" s="3"/>
      <c r="Q78" s="3"/>
      <c r="R78" s="3"/>
      <c r="S78" s="3"/>
      <c r="T78" s="3"/>
      <c r="U78" s="3"/>
      <c r="V78" s="3"/>
      <c r="W78" s="3"/>
      <c r="X78" s="3"/>
      <c r="Y78" s="3"/>
      <c r="Z78" s="3"/>
      <c r="AA78" s="3"/>
      <c r="AB78" s="3"/>
      <c r="AC78" s="3"/>
      <c r="AD78" s="3"/>
      <c r="AE78" s="3"/>
      <c r="AF78" s="3"/>
      <c r="AG78" s="3"/>
      <c r="AH78" s="3"/>
      <c r="AI78" s="3"/>
      <c r="AJ78" s="3"/>
      <c r="AK78" s="3"/>
      <c r="AL78" s="3"/>
      <c r="AM78" s="3"/>
      <c r="AN78" s="3"/>
    </row>
    <row r="79" spans="1:42" ht="15" hidden="1" customHeight="1" outlineLevel="1" x14ac:dyDescent="0.25">
      <c r="B79" s="102" t="str">
        <f>IF(AND(G23&gt;0,K23&lt;G23),"Bitte den Handeingabewert 'Umstellung Dieselstapler' für 'Bilanzjahr +10 Jahre' und ggf. 'Bilanzjahr +5 Jahre' auch anpassen. Diese Werte dürfen nicht größer Ihrer Handeingabe 'Anzahl Dieselstapler im Werk' sein. Ansonsten ist die Berechnung fehlerhaft.","")</f>
        <v/>
      </c>
      <c r="O79" s="3"/>
      <c r="P79" s="3"/>
      <c r="Q79" s="61" t="s">
        <v>130</v>
      </c>
      <c r="R79" s="3"/>
      <c r="S79" s="3"/>
      <c r="T79" s="3"/>
      <c r="U79" s="3"/>
      <c r="V79" s="3"/>
      <c r="W79" s="3"/>
      <c r="X79" s="3"/>
      <c r="Y79" s="3"/>
      <c r="Z79" s="61" t="s">
        <v>130</v>
      </c>
      <c r="AA79" s="3" t="s">
        <v>475</v>
      </c>
      <c r="AB79" s="3" t="s">
        <v>474</v>
      </c>
      <c r="AC79" s="3" t="s">
        <v>474</v>
      </c>
      <c r="AD79" s="3"/>
      <c r="AE79" s="3"/>
      <c r="AF79" s="3"/>
      <c r="AG79" s="3"/>
      <c r="AH79" s="61" t="s">
        <v>130</v>
      </c>
      <c r="AI79" s="24"/>
      <c r="AJ79" s="24"/>
      <c r="AK79" s="24"/>
      <c r="AL79" s="24"/>
      <c r="AM79" s="3"/>
      <c r="AN79" s="3"/>
    </row>
    <row r="80" spans="1:42" ht="15" hidden="1" outlineLevel="1" x14ac:dyDescent="0.25">
      <c r="O80" s="3"/>
      <c r="P80" s="3"/>
      <c r="Q80" s="35" t="s">
        <v>102</v>
      </c>
      <c r="R80" s="35">
        <f>'Referenz Plattenfertiger'!D9</f>
        <v>0</v>
      </c>
      <c r="S80" s="35">
        <f>R80+5</f>
        <v>5</v>
      </c>
      <c r="T80" s="35">
        <f>R80+10</f>
        <v>10</v>
      </c>
      <c r="U80" s="34"/>
      <c r="V80" s="3"/>
      <c r="W80" s="3"/>
      <c r="X80" s="3"/>
      <c r="Y80" s="3"/>
      <c r="Z80" s="35" t="s">
        <v>239</v>
      </c>
      <c r="AA80" s="35">
        <v>2020</v>
      </c>
      <c r="AB80" s="35" t="s">
        <v>475</v>
      </c>
      <c r="AC80" s="35" t="s">
        <v>474</v>
      </c>
      <c r="AD80" s="34"/>
      <c r="AE80" s="3"/>
      <c r="AF80" s="3"/>
      <c r="AG80" s="3"/>
      <c r="AH80" s="3"/>
      <c r="AI80" s="45"/>
      <c r="AJ80" s="46">
        <f>R80</f>
        <v>0</v>
      </c>
      <c r="AK80" s="46">
        <f t="shared" ref="AK80:AL80" si="5">S80</f>
        <v>5</v>
      </c>
      <c r="AL80" s="46">
        <f t="shared" si="5"/>
        <v>10</v>
      </c>
      <c r="AM80" s="3"/>
      <c r="AN80" s="3"/>
    </row>
    <row r="81" spans="15:40" hidden="1" outlineLevel="1" x14ac:dyDescent="0.2">
      <c r="O81" s="3"/>
      <c r="P81" s="3"/>
      <c r="Q81" s="24"/>
      <c r="R81" s="59" t="s">
        <v>81</v>
      </c>
      <c r="S81" s="58"/>
      <c r="T81" s="58"/>
      <c r="U81" s="24"/>
      <c r="V81" s="3"/>
      <c r="W81" s="3"/>
      <c r="X81" s="3"/>
      <c r="Y81" s="3"/>
      <c r="Z81" s="24"/>
      <c r="AA81" s="59" t="s">
        <v>81</v>
      </c>
      <c r="AB81" s="58"/>
      <c r="AC81" s="58"/>
      <c r="AD81" s="24"/>
      <c r="AE81" s="3"/>
      <c r="AF81" s="3"/>
      <c r="AG81" s="3"/>
      <c r="AH81" s="3"/>
      <c r="AI81" s="24"/>
      <c r="AJ81" s="49" t="s">
        <v>81</v>
      </c>
      <c r="AK81" s="49"/>
      <c r="AL81" s="58"/>
      <c r="AM81" s="3"/>
      <c r="AN81" s="3"/>
    </row>
    <row r="82" spans="15:40" ht="15.75" hidden="1" outlineLevel="1" x14ac:dyDescent="0.3">
      <c r="O82" s="3"/>
      <c r="P82" s="3"/>
      <c r="Q82" s="3" t="str">
        <f t="shared" ref="Q82:Q88" si="6">IF($V82,Q43,"")</f>
        <v>Erdgas</v>
      </c>
      <c r="R82" s="10">
        <f t="shared" ref="R82:T88" si="7">IF($V82,R43,NA())</f>
        <v>43.0426</v>
      </c>
      <c r="S82" s="10">
        <f t="shared" si="7"/>
        <v>43.0426</v>
      </c>
      <c r="T82" s="10">
        <f t="shared" si="7"/>
        <v>43.0426</v>
      </c>
      <c r="U82" s="3" t="s">
        <v>148</v>
      </c>
      <c r="V82" s="374" t="b">
        <v>1</v>
      </c>
      <c r="W82" s="374"/>
      <c r="X82" s="3"/>
      <c r="Y82" s="3"/>
      <c r="Z82" s="3" t="str">
        <f t="shared" ref="Z82:Z92" si="8">IF($AE82,Z52,"")</f>
        <v>Energieträger gesamt</v>
      </c>
      <c r="AA82" s="9">
        <f>IF($AE82,AA52,NA())</f>
        <v>41.281733459999998</v>
      </c>
      <c r="AB82" s="9">
        <f>IF($AE82,AB52,NA())</f>
        <v>33.493691337510647</v>
      </c>
      <c r="AC82" s="9">
        <f t="shared" ref="AC82" si="9">IF($AE82,AC52,NA())</f>
        <v>21.601201256046664</v>
      </c>
      <c r="AD82" s="3" t="s">
        <v>148</v>
      </c>
      <c r="AE82" s="374" t="b">
        <v>1</v>
      </c>
      <c r="AF82" s="374"/>
      <c r="AG82" s="3"/>
      <c r="AH82" s="3"/>
      <c r="AI82" s="56" t="s">
        <v>144</v>
      </c>
      <c r="AJ82" s="57">
        <f>SUM(AJ83:AJ89)</f>
        <v>109669</v>
      </c>
      <c r="AK82" s="57">
        <f t="shared" ref="AK82:AL82" si="10">SUM(AK83:AK89)</f>
        <v>110614.71583333334</v>
      </c>
      <c r="AL82" s="57">
        <f t="shared" si="10"/>
        <v>111560.43166666666</v>
      </c>
      <c r="AM82" s="3"/>
      <c r="AN82" s="3"/>
    </row>
    <row r="83" spans="15:40" ht="15.75" hidden="1" outlineLevel="1" x14ac:dyDescent="0.3">
      <c r="O83" s="3"/>
      <c r="P83" s="3"/>
      <c r="Q83" s="3" t="str">
        <f t="shared" si="6"/>
        <v>Heizöl</v>
      </c>
      <c r="R83" s="10">
        <f t="shared" si="7"/>
        <v>16.005600000000001</v>
      </c>
      <c r="S83" s="10">
        <f t="shared" si="7"/>
        <v>16.005600000000001</v>
      </c>
      <c r="T83" s="10">
        <f t="shared" si="7"/>
        <v>16.005600000000001</v>
      </c>
      <c r="U83" s="3" t="s">
        <v>148</v>
      </c>
      <c r="V83" s="374" t="b">
        <v>1</v>
      </c>
      <c r="W83" s="374"/>
      <c r="X83" s="3"/>
      <c r="Y83" s="3"/>
      <c r="Z83" s="3" t="str">
        <f t="shared" si="8"/>
        <v>Transport gesamt</v>
      </c>
      <c r="AA83" s="9">
        <f t="shared" ref="AA83:AC92" si="11">IF($AE83,AA53,NA())</f>
        <v>469.15642799999995</v>
      </c>
      <c r="AB83" s="9">
        <f t="shared" si="11"/>
        <v>469.15642799999995</v>
      </c>
      <c r="AC83" s="9">
        <f t="shared" si="11"/>
        <v>469.15642799999995</v>
      </c>
      <c r="AD83" s="3" t="s">
        <v>148</v>
      </c>
      <c r="AE83" s="374" t="b">
        <v>1</v>
      </c>
      <c r="AF83" s="374"/>
      <c r="AG83" s="3"/>
      <c r="AH83" s="3"/>
      <c r="AI83" s="31" t="s">
        <v>29</v>
      </c>
      <c r="AJ83" s="51">
        <f>AJ44</f>
        <v>14335</v>
      </c>
      <c r="AK83" s="51">
        <f t="shared" ref="AK83:AL83" si="12">AK44</f>
        <v>14335</v>
      </c>
      <c r="AL83" s="51">
        <f t="shared" si="12"/>
        <v>14335</v>
      </c>
      <c r="AM83" s="3"/>
      <c r="AN83" s="3"/>
    </row>
    <row r="84" spans="15:40" ht="15.75" hidden="1" outlineLevel="1" x14ac:dyDescent="0.3">
      <c r="O84" s="3"/>
      <c r="P84" s="3"/>
      <c r="Q84" s="3" t="str">
        <f t="shared" si="6"/>
        <v>Strom</v>
      </c>
      <c r="R84" s="10">
        <f t="shared" si="7"/>
        <v>171.9</v>
      </c>
      <c r="S84" s="10">
        <f t="shared" si="7"/>
        <v>136.39371159230473</v>
      </c>
      <c r="T84" s="10">
        <f t="shared" si="7"/>
        <v>72.889224607318326</v>
      </c>
      <c r="U84" s="3" t="s">
        <v>148</v>
      </c>
      <c r="V84" s="374" t="b">
        <v>1</v>
      </c>
      <c r="W84" s="374"/>
      <c r="X84" s="3"/>
      <c r="Y84" s="3"/>
      <c r="Z84" s="3" t="str">
        <f t="shared" si="8"/>
        <v>Zement</v>
      </c>
      <c r="AA84" s="9">
        <f t="shared" si="11"/>
        <v>4548.5439999999999</v>
      </c>
      <c r="AB84" s="9">
        <f t="shared" si="11"/>
        <v>4548.5439999999999</v>
      </c>
      <c r="AC84" s="9">
        <f t="shared" si="11"/>
        <v>4548.5439999999999</v>
      </c>
      <c r="AD84" s="3" t="s">
        <v>148</v>
      </c>
      <c r="AE84" s="374" t="b">
        <v>1</v>
      </c>
      <c r="AF84" s="374"/>
      <c r="AG84" s="3"/>
      <c r="AH84" s="3"/>
      <c r="AI84" s="31" t="s">
        <v>30</v>
      </c>
      <c r="AJ84" s="51">
        <f t="shared" ref="AJ84:AL89" si="13">AJ45</f>
        <v>2760</v>
      </c>
      <c r="AK84" s="51">
        <f t="shared" si="13"/>
        <v>2760</v>
      </c>
      <c r="AL84" s="51">
        <f t="shared" si="13"/>
        <v>2760</v>
      </c>
      <c r="AM84" s="3"/>
      <c r="AN84" s="3"/>
    </row>
    <row r="85" spans="15:40" ht="15.75" hidden="1" outlineLevel="1" x14ac:dyDescent="0.3">
      <c r="O85" s="3"/>
      <c r="P85" s="3"/>
      <c r="Q85" s="3" t="str">
        <f t="shared" si="6"/>
        <v>Alternativer Energieträger Härtekammer</v>
      </c>
      <c r="R85" s="10">
        <f t="shared" si="7"/>
        <v>0</v>
      </c>
      <c r="S85" s="10">
        <f t="shared" si="7"/>
        <v>0</v>
      </c>
      <c r="T85" s="10">
        <f t="shared" si="7"/>
        <v>0</v>
      </c>
      <c r="U85" s="3" t="s">
        <v>148</v>
      </c>
      <c r="V85" s="374" t="b">
        <v>1</v>
      </c>
      <c r="W85" s="374"/>
      <c r="X85" s="3"/>
      <c r="Y85" s="3"/>
      <c r="Z85" s="3" t="str">
        <f t="shared" si="8"/>
        <v>Gesteinskörnungen (Zuschlagsstoffe)</v>
      </c>
      <c r="AA85" s="9">
        <f t="shared" si="11"/>
        <v>129.59200000000001</v>
      </c>
      <c r="AB85" s="9">
        <f t="shared" si="11"/>
        <v>129.59200000000001</v>
      </c>
      <c r="AC85" s="9">
        <f t="shared" si="11"/>
        <v>129.59200000000001</v>
      </c>
      <c r="AD85" s="3" t="s">
        <v>148</v>
      </c>
      <c r="AE85" s="374" t="b">
        <v>1</v>
      </c>
      <c r="AF85" s="374"/>
      <c r="AG85" s="3"/>
      <c r="AH85" s="3"/>
      <c r="AI85" s="31" t="s">
        <v>31</v>
      </c>
      <c r="AJ85" s="51">
        <f t="shared" si="13"/>
        <v>77400</v>
      </c>
      <c r="AK85" s="51">
        <f t="shared" si="13"/>
        <v>84527.715833333335</v>
      </c>
      <c r="AL85" s="51">
        <f t="shared" si="13"/>
        <v>91655.431666666656</v>
      </c>
      <c r="AM85" s="3"/>
      <c r="AN85" s="3"/>
    </row>
    <row r="86" spans="15:40" ht="15.75" hidden="1" outlineLevel="1" x14ac:dyDescent="0.3">
      <c r="O86" s="3"/>
      <c r="P86" s="3"/>
      <c r="Q86" s="3" t="str">
        <f t="shared" si="6"/>
        <v>Flüssiggas</v>
      </c>
      <c r="R86" s="10">
        <f t="shared" si="7"/>
        <v>0</v>
      </c>
      <c r="S86" s="10">
        <f t="shared" si="7"/>
        <v>0</v>
      </c>
      <c r="T86" s="10">
        <f t="shared" si="7"/>
        <v>0</v>
      </c>
      <c r="U86" s="3" t="s">
        <v>148</v>
      </c>
      <c r="V86" s="374" t="b">
        <v>1</v>
      </c>
      <c r="W86" s="374"/>
      <c r="X86" s="3"/>
      <c r="Y86" s="3"/>
      <c r="Z86" s="3" t="str">
        <f t="shared" si="8"/>
        <v>Farben</v>
      </c>
      <c r="AA86" s="9">
        <f t="shared" si="11"/>
        <v>208</v>
      </c>
      <c r="AB86" s="9">
        <f t="shared" si="11"/>
        <v>208</v>
      </c>
      <c r="AC86" s="9">
        <f t="shared" si="11"/>
        <v>208</v>
      </c>
      <c r="AD86" s="3" t="s">
        <v>148</v>
      </c>
      <c r="AE86" s="374" t="b">
        <v>1</v>
      </c>
      <c r="AF86" s="374"/>
      <c r="AG86" s="3"/>
      <c r="AH86" s="3"/>
      <c r="AI86" s="31" t="s">
        <v>111</v>
      </c>
      <c r="AJ86" s="51">
        <f t="shared" si="13"/>
        <v>0</v>
      </c>
      <c r="AK86" s="51">
        <f t="shared" si="13"/>
        <v>0</v>
      </c>
      <c r="AL86" s="51">
        <f t="shared" si="13"/>
        <v>0</v>
      </c>
      <c r="AM86" s="3"/>
      <c r="AN86" s="3"/>
    </row>
    <row r="87" spans="15:40" ht="15.75" hidden="1" outlineLevel="1" x14ac:dyDescent="0.3">
      <c r="O87" s="3"/>
      <c r="P87" s="3"/>
      <c r="Q87" s="3" t="str">
        <f t="shared" si="6"/>
        <v>Alternativer Energieträger restliches Werk</v>
      </c>
      <c r="R87" s="10">
        <f t="shared" si="7"/>
        <v>0</v>
      </c>
      <c r="S87" s="10">
        <f t="shared" si="7"/>
        <v>0</v>
      </c>
      <c r="T87" s="10">
        <f t="shared" si="7"/>
        <v>0</v>
      </c>
      <c r="U87" s="3" t="s">
        <v>148</v>
      </c>
      <c r="V87" s="374" t="b">
        <v>1</v>
      </c>
      <c r="W87" s="374"/>
      <c r="X87" s="3"/>
      <c r="Y87" s="3"/>
      <c r="Z87" s="3" t="str">
        <f t="shared" si="8"/>
        <v>Zusatzstoffe (Füllstoffe)</v>
      </c>
      <c r="AA87" s="9">
        <f t="shared" si="11"/>
        <v>81.003999999999991</v>
      </c>
      <c r="AB87" s="9">
        <f t="shared" si="11"/>
        <v>81.003999999999991</v>
      </c>
      <c r="AC87" s="9">
        <f t="shared" si="11"/>
        <v>81.003999999999991</v>
      </c>
      <c r="AD87" s="3" t="s">
        <v>148</v>
      </c>
      <c r="AE87" s="374" t="b">
        <v>1</v>
      </c>
      <c r="AF87" s="374"/>
      <c r="AG87" s="3"/>
      <c r="AH87" s="3"/>
      <c r="AI87" s="31" t="s">
        <v>112</v>
      </c>
      <c r="AJ87" s="51">
        <f t="shared" si="13"/>
        <v>0</v>
      </c>
      <c r="AK87" s="51">
        <f t="shared" si="13"/>
        <v>0</v>
      </c>
      <c r="AL87" s="51">
        <f t="shared" si="13"/>
        <v>0</v>
      </c>
      <c r="AM87" s="3"/>
      <c r="AN87" s="3"/>
    </row>
    <row r="88" spans="15:40" ht="15.75" hidden="1" outlineLevel="1" x14ac:dyDescent="0.3">
      <c r="O88" s="3"/>
      <c r="P88" s="3"/>
      <c r="Q88" s="3" t="str">
        <f t="shared" si="6"/>
        <v>Diesel</v>
      </c>
      <c r="R88" s="10">
        <f t="shared" si="7"/>
        <v>35.884155059999998</v>
      </c>
      <c r="S88" s="10">
        <f t="shared" si="7"/>
        <v>21.264684479999996</v>
      </c>
      <c r="T88" s="10">
        <f>IF($V88,T49,NA())</f>
        <v>6.645213899999999</v>
      </c>
      <c r="U88" s="3" t="s">
        <v>148</v>
      </c>
      <c r="V88" s="374" t="b">
        <v>1</v>
      </c>
      <c r="W88" s="374"/>
      <c r="X88" s="3"/>
      <c r="Y88" s="3"/>
      <c r="Z88" s="3" t="str">
        <f t="shared" si="8"/>
        <v>Zusatzmittel</v>
      </c>
      <c r="AA88" s="9">
        <f t="shared" si="11"/>
        <v>148.44746134951595</v>
      </c>
      <c r="AB88" s="9">
        <f t="shared" si="11"/>
        <v>148.44746134951595</v>
      </c>
      <c r="AC88" s="9">
        <f t="shared" si="11"/>
        <v>148.44746134951595</v>
      </c>
      <c r="AD88" s="3" t="s">
        <v>148</v>
      </c>
      <c r="AE88" s="374" t="b">
        <v>1</v>
      </c>
      <c r="AF88" s="374"/>
      <c r="AG88" s="3"/>
      <c r="AH88" s="3"/>
      <c r="AI88" s="31" t="s">
        <v>113</v>
      </c>
      <c r="AJ88" s="51">
        <f t="shared" si="13"/>
        <v>0</v>
      </c>
      <c r="AK88" s="51">
        <f t="shared" si="13"/>
        <v>0</v>
      </c>
      <c r="AL88" s="51">
        <f t="shared" si="13"/>
        <v>0</v>
      </c>
      <c r="AM88" s="3"/>
      <c r="AN88" s="3"/>
    </row>
    <row r="89" spans="15:40" ht="16.5" hidden="1" outlineLevel="1" thickBot="1" x14ac:dyDescent="0.35">
      <c r="O89" s="3"/>
      <c r="P89" s="3"/>
      <c r="Q89" s="27" t="s">
        <v>67</v>
      </c>
      <c r="R89" s="33">
        <f>SUMIF($V$82:$V$88,TRUE,R82:R88)</f>
        <v>266.83235506</v>
      </c>
      <c r="S89" s="33">
        <f>SUMIF($V$82:$V$88,TRUE,S82:S88)</f>
        <v>216.70659607230473</v>
      </c>
      <c r="T89" s="33">
        <f>SUMIF($V$82:$V$88,TRUE,T82:T88)</f>
        <v>138.58263850731831</v>
      </c>
      <c r="U89" s="27" t="s">
        <v>149</v>
      </c>
      <c r="V89" s="3"/>
      <c r="W89" s="3"/>
      <c r="X89" s="3"/>
      <c r="Y89" s="3"/>
      <c r="Z89" s="3" t="str">
        <f t="shared" si="8"/>
        <v/>
      </c>
      <c r="AA89" s="9" t="e">
        <f t="shared" si="11"/>
        <v>#N/A</v>
      </c>
      <c r="AB89" s="9" t="e">
        <f t="shared" si="11"/>
        <v>#N/A</v>
      </c>
      <c r="AC89" s="9" t="e">
        <f t="shared" si="11"/>
        <v>#N/A</v>
      </c>
      <c r="AD89" s="3" t="s">
        <v>148</v>
      </c>
      <c r="AE89" s="374" t="b">
        <v>0</v>
      </c>
      <c r="AF89" s="3"/>
      <c r="AG89" s="3"/>
      <c r="AH89" s="3"/>
      <c r="AI89" s="50" t="s">
        <v>32</v>
      </c>
      <c r="AJ89" s="52">
        <f t="shared" si="13"/>
        <v>15174.000000000002</v>
      </c>
      <c r="AK89" s="53">
        <f t="shared" si="13"/>
        <v>8992.0000000000018</v>
      </c>
      <c r="AL89" s="53">
        <f t="shared" si="13"/>
        <v>2810.0000000000005</v>
      </c>
      <c r="AM89" s="3"/>
      <c r="AN89" s="3"/>
    </row>
    <row r="90" spans="15:40" ht="16.5" hidden="1" outlineLevel="1" thickTop="1" x14ac:dyDescent="0.3">
      <c r="O90" s="3"/>
      <c r="P90" s="3"/>
      <c r="Q90" s="3"/>
      <c r="R90" s="3"/>
      <c r="S90" s="3"/>
      <c r="T90" s="3"/>
      <c r="U90" s="3"/>
      <c r="V90" s="3"/>
      <c r="W90" s="3"/>
      <c r="X90" s="3"/>
      <c r="Y90" s="3"/>
      <c r="Z90" s="3" t="str">
        <f t="shared" si="8"/>
        <v/>
      </c>
      <c r="AA90" s="9" t="e">
        <f t="shared" si="11"/>
        <v>#N/A</v>
      </c>
      <c r="AB90" s="9" t="e">
        <f t="shared" si="11"/>
        <v>#N/A</v>
      </c>
      <c r="AC90" s="9" t="e">
        <f t="shared" si="11"/>
        <v>#N/A</v>
      </c>
      <c r="AD90" s="3" t="s">
        <v>148</v>
      </c>
      <c r="AE90" s="374" t="b">
        <v>0</v>
      </c>
      <c r="AF90" s="3"/>
      <c r="AG90" s="3"/>
      <c r="AH90" s="3"/>
      <c r="AI90" s="8" t="str">
        <f>IF(AM90,"CAPEX","")</f>
        <v>CAPEX</v>
      </c>
      <c r="AJ90" s="54">
        <f>IF($AM90,AJ51,NA())</f>
        <v>0</v>
      </c>
      <c r="AK90" s="54">
        <f t="shared" ref="AK90:AL92" si="14">IF($AM90,AK51,NA())</f>
        <v>54000</v>
      </c>
      <c r="AL90" s="54">
        <f t="shared" si="14"/>
        <v>108000</v>
      </c>
      <c r="AM90" s="374" t="b">
        <v>1</v>
      </c>
      <c r="AN90" s="3"/>
    </row>
    <row r="91" spans="15:40" ht="15.75" hidden="1" outlineLevel="1" x14ac:dyDescent="0.3">
      <c r="O91" s="3"/>
      <c r="P91" s="3"/>
      <c r="Q91" s="3"/>
      <c r="R91" s="3"/>
      <c r="S91" s="3"/>
      <c r="T91" s="3"/>
      <c r="U91" s="3"/>
      <c r="V91" s="3"/>
      <c r="W91" s="3"/>
      <c r="X91" s="3"/>
      <c r="Y91" s="3"/>
      <c r="Z91" s="3" t="str">
        <f t="shared" si="8"/>
        <v/>
      </c>
      <c r="AA91" s="9" t="e">
        <f t="shared" si="11"/>
        <v>#N/A</v>
      </c>
      <c r="AB91" s="9" t="e">
        <f t="shared" si="11"/>
        <v>#N/A</v>
      </c>
      <c r="AC91" s="9" t="e">
        <f t="shared" si="11"/>
        <v>#N/A</v>
      </c>
      <c r="AD91" s="3" t="s">
        <v>148</v>
      </c>
      <c r="AE91" s="374" t="b">
        <v>0</v>
      </c>
      <c r="AF91" s="3"/>
      <c r="AG91" s="3"/>
      <c r="AH91" s="3"/>
      <c r="AI91" s="8" t="str">
        <f>IF(AM91,"Zusätzliche jährliche Kosten","")</f>
        <v>Zusätzliche jährliche Kosten</v>
      </c>
      <c r="AJ91" s="54">
        <f>IF($AM91,AJ52,NA())</f>
        <v>0</v>
      </c>
      <c r="AK91" s="54">
        <f t="shared" si="14"/>
        <v>0</v>
      </c>
      <c r="AL91" s="54">
        <f t="shared" si="14"/>
        <v>0</v>
      </c>
      <c r="AM91" s="374" t="b">
        <v>1</v>
      </c>
      <c r="AN91" s="3"/>
    </row>
    <row r="92" spans="15:40" ht="15.75" hidden="1" outlineLevel="1" x14ac:dyDescent="0.3">
      <c r="O92" s="3"/>
      <c r="P92" s="3"/>
      <c r="Q92" s="3"/>
      <c r="R92" s="3"/>
      <c r="S92" s="3"/>
      <c r="T92" s="3"/>
      <c r="U92" s="3"/>
      <c r="V92" s="3"/>
      <c r="W92" s="3"/>
      <c r="X92" s="3"/>
      <c r="Y92" s="3"/>
      <c r="Z92" s="3" t="str">
        <f t="shared" si="8"/>
        <v>Verpackungsmaterial</v>
      </c>
      <c r="AA92" s="9">
        <f t="shared" si="11"/>
        <v>64.48</v>
      </c>
      <c r="AB92" s="9">
        <f t="shared" si="11"/>
        <v>64.48</v>
      </c>
      <c r="AC92" s="9">
        <f t="shared" si="11"/>
        <v>64.48</v>
      </c>
      <c r="AD92" s="3" t="s">
        <v>148</v>
      </c>
      <c r="AE92" s="374" t="b">
        <v>1</v>
      </c>
      <c r="AF92" s="3"/>
      <c r="AG92" s="3"/>
      <c r="AH92" s="3"/>
      <c r="AI92" s="58" t="str">
        <f>IF(AM92,"Einmalige Kosten","")</f>
        <v>Einmalige Kosten</v>
      </c>
      <c r="AJ92" s="54">
        <f>IF($AM92,AJ53,NA())</f>
        <v>0</v>
      </c>
      <c r="AK92" s="54">
        <f t="shared" si="14"/>
        <v>0</v>
      </c>
      <c r="AL92" s="54">
        <f t="shared" si="14"/>
        <v>0</v>
      </c>
      <c r="AM92" s="374" t="b">
        <v>1</v>
      </c>
      <c r="AN92" s="3"/>
    </row>
    <row r="93" spans="15:40" ht="15" hidden="1" outlineLevel="1" thickBot="1" x14ac:dyDescent="0.3">
      <c r="O93" s="3"/>
      <c r="P93" s="3"/>
      <c r="Q93" s="3"/>
      <c r="R93" s="3"/>
      <c r="S93" s="3"/>
      <c r="T93" s="3"/>
      <c r="U93" s="3"/>
      <c r="V93" s="3"/>
      <c r="W93" s="3"/>
      <c r="X93" s="3"/>
      <c r="Y93" s="3"/>
      <c r="Z93" s="27" t="s">
        <v>67</v>
      </c>
      <c r="AA93" s="28">
        <f>SUMIF($AE$82:$AE$92,TRUE,AA82:AA92)</f>
        <v>5690.5056228095145</v>
      </c>
      <c r="AB93" s="28">
        <f>SUMIF($AE$82:$AE$92,TRUE,AB82:AB92)</f>
        <v>5682.7175806870255</v>
      </c>
      <c r="AC93" s="28">
        <f>SUMIF($AE$82:$AE$92,TRUE,AC82:AC92)</f>
        <v>5670.8250906055609</v>
      </c>
      <c r="AD93" s="27" t="s">
        <v>149</v>
      </c>
      <c r="AE93" s="3"/>
      <c r="AF93" s="3"/>
      <c r="AG93" s="3"/>
      <c r="AH93" s="3"/>
      <c r="AI93" s="56" t="str">
        <f>IF(AM93,"CO2-Kosten","")</f>
        <v>CO2-Kosten</v>
      </c>
      <c r="AJ93" s="57">
        <f>IF($AM$93,SUMIF($AM$94:$AM$96,TRUE,AJ94:AJ96),NA())</f>
        <v>152459.04944673795</v>
      </c>
      <c r="AK93" s="57">
        <f>IF($AM$93,SUMIF($AM$94:$AM$96,TRUE,AK94:AK96),NA())</f>
        <v>268205.81115417008</v>
      </c>
      <c r="AL93" s="57">
        <f>IF($AM$93,SUMIF($AM$94:$AM$96,TRUE,AL94:AL96),NA())</f>
        <v>469609.01512903062</v>
      </c>
      <c r="AM93" s="374" t="b">
        <v>1</v>
      </c>
      <c r="AN93" s="3"/>
    </row>
    <row r="94" spans="15:40" ht="16.5" hidden="1" outlineLevel="1" thickTop="1" x14ac:dyDescent="0.3">
      <c r="O94" s="3"/>
      <c r="P94" s="3"/>
      <c r="Q94" s="3"/>
      <c r="R94" s="3"/>
      <c r="S94" s="3"/>
      <c r="T94" s="3"/>
      <c r="U94" s="3"/>
      <c r="V94" s="3"/>
      <c r="W94" s="3"/>
      <c r="X94" s="3"/>
      <c r="Y94" s="3"/>
      <c r="Z94" s="3"/>
      <c r="AA94" s="3"/>
      <c r="AB94" s="3"/>
      <c r="AC94" s="3"/>
      <c r="AD94" s="3"/>
      <c r="AE94" s="3"/>
      <c r="AF94" s="3"/>
      <c r="AG94" s="3"/>
      <c r="AH94" s="3"/>
      <c r="AI94" s="31" t="s">
        <v>141</v>
      </c>
      <c r="AJ94" s="51">
        <f>IF($AM94,AJ55,NA())</f>
        <v>2373.3088765000002</v>
      </c>
      <c r="AK94" s="51">
        <f t="shared" ref="AK94:AL94" si="15">IF($AM94,AK55,NA())</f>
        <v>3614.0798015999999</v>
      </c>
      <c r="AL94" s="51">
        <f t="shared" si="15"/>
        <v>5255.4731119999997</v>
      </c>
      <c r="AM94" s="374" t="b">
        <v>1</v>
      </c>
      <c r="AN94" s="3"/>
    </row>
    <row r="95" spans="15:40" ht="15.75" hidden="1" outlineLevel="1" x14ac:dyDescent="0.3">
      <c r="O95" s="3"/>
      <c r="P95" s="3"/>
      <c r="Q95" s="3"/>
      <c r="R95" s="3"/>
      <c r="S95" s="3"/>
      <c r="T95" s="3"/>
      <c r="U95" s="3"/>
      <c r="V95" s="3"/>
      <c r="W95" s="3"/>
      <c r="X95" s="3"/>
      <c r="Y95" s="3"/>
      <c r="Z95" s="3"/>
      <c r="AA95" s="3"/>
      <c r="AB95" s="3"/>
      <c r="AC95" s="3"/>
      <c r="AD95" s="3"/>
      <c r="AE95" s="3"/>
      <c r="AF95" s="3"/>
      <c r="AG95" s="3"/>
      <c r="AH95" s="3"/>
      <c r="AI95" s="31" t="s">
        <v>142</v>
      </c>
      <c r="AJ95" s="51">
        <f t="shared" ref="AJ95:AL96" si="16">IF($AM95,AJ56,NA())</f>
        <v>4297.5</v>
      </c>
      <c r="AK95" s="51">
        <f t="shared" si="16"/>
        <v>6137.7170216537124</v>
      </c>
      <c r="AL95" s="51">
        <f t="shared" si="16"/>
        <v>5831.1379685854663</v>
      </c>
      <c r="AM95" s="374" t="b">
        <v>1</v>
      </c>
      <c r="AN95" s="3"/>
    </row>
    <row r="96" spans="15:40" ht="15.75" hidden="1" outlineLevel="1" x14ac:dyDescent="0.3">
      <c r="O96" s="3"/>
      <c r="P96" s="3"/>
      <c r="Q96" s="3"/>
      <c r="R96" s="3"/>
      <c r="S96" s="3"/>
      <c r="T96" s="3"/>
      <c r="U96" s="3"/>
      <c r="V96" s="3"/>
      <c r="W96" s="3"/>
      <c r="X96" s="3"/>
      <c r="Y96" s="3"/>
      <c r="Z96" s="3"/>
      <c r="AA96" s="3"/>
      <c r="AB96" s="3"/>
      <c r="AC96" s="3"/>
      <c r="AD96" s="3"/>
      <c r="AE96" s="3"/>
      <c r="AF96" s="3"/>
      <c r="AG96" s="3"/>
      <c r="AH96" s="3"/>
      <c r="AI96" s="31" t="s">
        <v>143</v>
      </c>
      <c r="AJ96" s="51">
        <f t="shared" si="16"/>
        <v>145788.24057023795</v>
      </c>
      <c r="AK96" s="51">
        <f t="shared" si="16"/>
        <v>258454.01433091634</v>
      </c>
      <c r="AL96" s="51">
        <f t="shared" si="16"/>
        <v>458522.40404844517</v>
      </c>
      <c r="AM96" s="374" t="b">
        <v>1</v>
      </c>
      <c r="AN96" s="3"/>
    </row>
    <row r="97" spans="15:40" ht="13.5" hidden="1" outlineLevel="1" thickBot="1" x14ac:dyDescent="0.25">
      <c r="O97" s="3"/>
      <c r="P97" s="3"/>
      <c r="Q97" s="102"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W97" s="3"/>
      <c r="X97" s="3"/>
      <c r="Y97" s="3"/>
      <c r="Z97" s="3"/>
      <c r="AA97" s="3"/>
      <c r="AB97" s="3"/>
      <c r="AC97" s="3"/>
      <c r="AD97" s="3"/>
      <c r="AE97" s="3"/>
      <c r="AF97" s="3"/>
      <c r="AG97" s="3"/>
      <c r="AH97" s="3"/>
      <c r="AI97" s="27" t="s">
        <v>67</v>
      </c>
      <c r="AJ97" s="55">
        <f>IF($AM$93,AJ93,0)+IF($AM$92,AJ92,0)+IF($AM$91,AJ91,0)+IF($AM$90,AJ90,0)+AJ82</f>
        <v>262128.04944673795</v>
      </c>
      <c r="AK97" s="55">
        <f t="shared" ref="AK97:AL97" si="17">IF($AM$93,AK93,0)+IF($AM$92,AK92,0)+IF($AM$91,AK91,0)+IF($AM$90,AK90,0)+AK82</f>
        <v>432820.5269875034</v>
      </c>
      <c r="AL97" s="55">
        <f t="shared" si="17"/>
        <v>689169.44679569732</v>
      </c>
      <c r="AM97" s="3"/>
      <c r="AN97" s="3"/>
    </row>
    <row r="98" spans="15:40" ht="13.5" hidden="1" outlineLevel="1" thickTop="1" x14ac:dyDescent="0.2">
      <c r="O98" s="3"/>
      <c r="P98" s="3"/>
      <c r="Q98" s="3"/>
      <c r="R98" s="3"/>
      <c r="S98" s="3"/>
      <c r="T98" s="3"/>
      <c r="U98" s="3"/>
      <c r="V98" s="3"/>
      <c r="W98" s="3"/>
      <c r="X98" s="3"/>
      <c r="Y98" s="3"/>
      <c r="Z98" s="3"/>
      <c r="AA98" s="3"/>
      <c r="AB98" s="3"/>
      <c r="AC98" s="3"/>
      <c r="AD98" s="3"/>
      <c r="AE98" s="3"/>
      <c r="AF98" s="3"/>
      <c r="AG98" s="3"/>
      <c r="AH98" s="3"/>
      <c r="AI98" s="3"/>
      <c r="AJ98" s="3"/>
      <c r="AK98" s="3"/>
      <c r="AL98" s="3"/>
      <c r="AM98" s="3"/>
      <c r="AN98" s="3"/>
    </row>
    <row r="99" spans="15:40" hidden="1" outlineLevel="1" x14ac:dyDescent="0.2">
      <c r="O99" s="3"/>
      <c r="P99" s="3"/>
      <c r="Q99" s="3"/>
      <c r="R99" s="3"/>
      <c r="S99" s="3"/>
      <c r="T99" s="3"/>
      <c r="U99" s="3"/>
      <c r="V99" s="3"/>
      <c r="W99" s="3"/>
      <c r="X99" s="3"/>
      <c r="Y99" s="3"/>
      <c r="Z99" s="3"/>
      <c r="AA99" s="3"/>
      <c r="AB99" s="3"/>
      <c r="AC99" s="3"/>
      <c r="AD99" s="3"/>
      <c r="AE99" s="3"/>
      <c r="AF99" s="3"/>
      <c r="AG99" s="3"/>
      <c r="AH99" s="3"/>
      <c r="AI99" s="3"/>
      <c r="AJ99" s="3"/>
      <c r="AK99" s="3"/>
      <c r="AL99" s="3"/>
      <c r="AM99" s="3"/>
      <c r="AN99" s="3"/>
    </row>
    <row r="100" spans="15:40" hidden="1" outlineLevel="1" x14ac:dyDescent="0.2">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row>
    <row r="101" spans="15:40" hidden="1" outlineLevel="1" x14ac:dyDescent="0.2">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row>
    <row r="102" spans="15:40" hidden="1" outlineLevel="1" x14ac:dyDescent="0.2">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row>
    <row r="103" spans="15:40" hidden="1" outlineLevel="1" x14ac:dyDescent="0.2">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row>
    <row r="104" spans="15:40" hidden="1" outlineLevel="1" x14ac:dyDescent="0.2">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row>
    <row r="105" spans="15:40" hidden="1" outlineLevel="1" x14ac:dyDescent="0.2">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row>
    <row r="106" spans="15:40" hidden="1" outlineLevel="1" x14ac:dyDescent="0.2"/>
    <row r="107" spans="15:40" hidden="1" outlineLevel="1" x14ac:dyDescent="0.2"/>
    <row r="108" spans="15:40" ht="15.75" hidden="1" outlineLevel="1" x14ac:dyDescent="0.25">
      <c r="O108" s="22"/>
      <c r="P108" s="22" t="s">
        <v>103</v>
      </c>
      <c r="Q108" s="17"/>
      <c r="R108" s="17"/>
      <c r="S108" s="17"/>
      <c r="T108" s="17"/>
      <c r="U108" s="17"/>
      <c r="V108" s="17"/>
      <c r="W108" s="17"/>
      <c r="X108" s="17"/>
      <c r="Y108" s="17"/>
      <c r="Z108" s="17"/>
      <c r="AB108" s="22" t="s">
        <v>106</v>
      </c>
      <c r="AC108" s="17"/>
      <c r="AD108" s="17"/>
      <c r="AE108" s="17"/>
      <c r="AF108" s="17"/>
      <c r="AG108" s="17"/>
      <c r="AH108" s="17"/>
      <c r="AI108" s="17"/>
    </row>
    <row r="109" spans="15:40" ht="15" hidden="1" outlineLevel="1" x14ac:dyDescent="0.25">
      <c r="O109" s="64"/>
      <c r="P109" s="64">
        <f>E20</f>
        <v>5</v>
      </c>
      <c r="Q109" s="17"/>
      <c r="R109" s="17"/>
      <c r="S109" s="17"/>
      <c r="T109" s="17"/>
      <c r="U109" s="17"/>
      <c r="V109" s="17"/>
      <c r="W109" s="17"/>
      <c r="X109" s="17"/>
      <c r="Y109" s="17"/>
      <c r="Z109" s="17"/>
      <c r="AB109" s="64" t="s">
        <v>475</v>
      </c>
      <c r="AC109" s="17"/>
      <c r="AD109" s="17"/>
      <c r="AE109" s="17"/>
      <c r="AF109" s="17"/>
      <c r="AG109" s="17"/>
      <c r="AH109" s="17"/>
      <c r="AI109" s="17"/>
    </row>
    <row r="110" spans="15:40" hidden="1" outlineLevel="1" x14ac:dyDescent="0.2">
      <c r="O110" s="274"/>
      <c r="P110" s="17"/>
      <c r="Q110" s="17" t="s">
        <v>435</v>
      </c>
      <c r="R110" s="41">
        <f>IF(NOT(ISBLANK(G23)),G23,E23)</f>
        <v>2</v>
      </c>
      <c r="S110" s="17"/>
      <c r="T110" s="17"/>
      <c r="U110" s="17"/>
      <c r="V110" s="17"/>
      <c r="W110" s="17"/>
      <c r="X110" s="17"/>
      <c r="Y110" s="17"/>
      <c r="Z110" s="17"/>
      <c r="AB110" s="21"/>
      <c r="AC110" s="17"/>
      <c r="AD110" s="17"/>
      <c r="AE110" s="17"/>
      <c r="AF110" s="17"/>
      <c r="AG110" s="17"/>
      <c r="AH110" s="17"/>
      <c r="AI110" s="17"/>
    </row>
    <row r="111" spans="15:40" hidden="1" outlineLevel="1" x14ac:dyDescent="0.2">
      <c r="O111" s="17"/>
      <c r="P111" s="17"/>
      <c r="Q111" s="17"/>
      <c r="R111" s="17"/>
      <c r="S111" s="20"/>
      <c r="T111" s="20"/>
      <c r="U111" s="20"/>
      <c r="V111" s="17"/>
      <c r="W111" s="17"/>
      <c r="X111" s="17"/>
      <c r="Y111" s="17"/>
      <c r="Z111" s="17"/>
      <c r="AB111" s="17"/>
      <c r="AC111" s="17"/>
      <c r="AD111" s="17"/>
      <c r="AE111" s="17"/>
      <c r="AF111" s="17"/>
      <c r="AG111" s="17"/>
      <c r="AH111" s="17"/>
      <c r="AI111" s="17"/>
    </row>
    <row r="112" spans="15:40" hidden="1" outlineLevel="1" x14ac:dyDescent="0.2">
      <c r="O112" s="17"/>
      <c r="P112" s="17"/>
      <c r="Q112" s="17"/>
      <c r="R112" s="17"/>
      <c r="S112" s="20"/>
      <c r="T112" s="20"/>
      <c r="U112" s="20"/>
      <c r="V112" s="17"/>
      <c r="W112" s="17"/>
      <c r="X112" s="17"/>
      <c r="Y112" s="17"/>
      <c r="Z112" s="17"/>
      <c r="AB112" s="17"/>
      <c r="AC112" s="17"/>
      <c r="AD112" s="17"/>
      <c r="AE112" s="17"/>
      <c r="AF112" s="17"/>
      <c r="AG112" s="17"/>
      <c r="AH112" s="17"/>
      <c r="AI112" s="17"/>
    </row>
    <row r="113" spans="15:35" ht="63.75" hidden="1" outlineLevel="1" x14ac:dyDescent="0.2">
      <c r="O113" s="17"/>
      <c r="P113" s="17"/>
      <c r="Q113" s="17"/>
      <c r="R113" s="17"/>
      <c r="S113" s="36" t="s">
        <v>25</v>
      </c>
      <c r="T113" s="36" t="s">
        <v>77</v>
      </c>
      <c r="U113" s="36" t="s">
        <v>27</v>
      </c>
      <c r="V113" s="17"/>
      <c r="W113" s="17"/>
      <c r="X113" s="39" t="s">
        <v>100</v>
      </c>
      <c r="Y113" s="40" t="s">
        <v>37</v>
      </c>
      <c r="Z113" s="17"/>
      <c r="AB113" s="17"/>
      <c r="AC113" s="17"/>
      <c r="AD113" s="17"/>
      <c r="AE113" s="18"/>
      <c r="AF113" s="18"/>
      <c r="AG113" s="18"/>
      <c r="AH113" s="18"/>
      <c r="AI113" s="18"/>
    </row>
    <row r="114" spans="15:35" ht="14.25" hidden="1" outlineLevel="1" x14ac:dyDescent="0.25">
      <c r="O114" s="76"/>
      <c r="P114" s="76" t="s">
        <v>176</v>
      </c>
      <c r="Q114" s="76"/>
      <c r="R114" s="76"/>
      <c r="S114" s="77">
        <f>SUM(S116:S129)</f>
        <v>80.312884479999994</v>
      </c>
      <c r="T114" s="77">
        <f t="shared" ref="T114:U114" si="18">SUM(T116:T129)</f>
        <v>136.39371159230473</v>
      </c>
      <c r="U114" s="77">
        <f t="shared" si="18"/>
        <v>33.493691337510647</v>
      </c>
      <c r="V114" s="76"/>
      <c r="W114" s="76"/>
      <c r="X114" s="77">
        <f>S114+T114</f>
        <v>216.70659607230471</v>
      </c>
      <c r="Y114" s="77">
        <f>SUM(S114:U114)</f>
        <v>250.20028740981536</v>
      </c>
      <c r="Z114" s="76" t="s">
        <v>183</v>
      </c>
      <c r="AB114" s="17"/>
      <c r="AC114" s="17"/>
      <c r="AD114" s="17"/>
      <c r="AE114" s="18"/>
      <c r="AF114" s="18"/>
      <c r="AG114" s="18"/>
      <c r="AH114" s="18"/>
      <c r="AI114" s="18"/>
    </row>
    <row r="115" spans="15:35" hidden="1" outlineLevel="1" x14ac:dyDescent="0.2">
      <c r="O115" s="275"/>
      <c r="P115" s="17" t="s">
        <v>132</v>
      </c>
      <c r="Q115" s="17"/>
      <c r="R115" s="17"/>
      <c r="S115" s="17"/>
      <c r="T115" s="17"/>
      <c r="U115" s="17"/>
      <c r="V115" s="17"/>
      <c r="W115" s="17"/>
      <c r="X115" s="17"/>
      <c r="Y115" s="17"/>
      <c r="Z115" s="17"/>
      <c r="AB115" s="17" t="s">
        <v>132</v>
      </c>
      <c r="AC115" s="17"/>
      <c r="AD115" s="17"/>
      <c r="AE115" s="18"/>
      <c r="AF115" s="18"/>
      <c r="AG115" s="18"/>
      <c r="AH115" s="18"/>
      <c r="AI115" s="18"/>
    </row>
    <row r="116" spans="15:35" ht="15.75" hidden="1" outlineLevel="1" x14ac:dyDescent="0.3">
      <c r="O116" s="275"/>
      <c r="P116" s="17"/>
      <c r="Q116" s="17" t="s">
        <v>114</v>
      </c>
      <c r="R116" s="17"/>
      <c r="S116" s="37">
        <f>IF(NOT(ISBLANK('Referenz Plattenfertiger'!$I16)),'Referenz Plattenfertiger'!$I16,'Referenz Plattenfertiger'!$F16)*IF(NOT(ISBLANK('Eingabe EF'!$AA9)),'Eingabe EF'!$AA9,'Eingabe EF'!$Y9)</f>
        <v>34.434080000000002</v>
      </c>
      <c r="T116" s="37">
        <f>IF(NOT(ISBLANK('Referenz Plattenfertiger'!$I16)),'Referenz Plattenfertiger'!$I16,'Referenz Plattenfertiger'!$F16)*IF(NOT(ISBLANK('Eingabe EF'!$AE9)),'Eingabe EF'!$AE9,'Eingabe EF'!$AC9)</f>
        <v>0</v>
      </c>
      <c r="U116" s="37">
        <f>IF(NOT(ISBLANK('Referenz Plattenfertiger'!$I16)),'Referenz Plattenfertiger'!$I16,'Referenz Plattenfertiger'!$F16)*IF(NOT(ISBLANK('Eingabe EF'!$AI9)),'Eingabe EF'!$AI9,'Eingabe EF'!$AG9)</f>
        <v>5.8938000000000006</v>
      </c>
      <c r="V116" s="17"/>
      <c r="W116" s="17"/>
      <c r="X116" s="37">
        <f>S116+T116</f>
        <v>34.434080000000002</v>
      </c>
      <c r="Y116" s="37">
        <f>SUM(S116:U116)</f>
        <v>40.32788</v>
      </c>
      <c r="Z116" s="17" t="s">
        <v>184</v>
      </c>
      <c r="AB116" s="17"/>
      <c r="AC116" s="17" t="s">
        <v>114</v>
      </c>
      <c r="AD116" s="17"/>
      <c r="AE116" s="19"/>
      <c r="AF116" s="20"/>
      <c r="AG116" s="20"/>
      <c r="AH116" s="41">
        <f>IF(NOT(ISBLANK('Referenz Plattenfertiger'!$I16)),'Referenz Plattenfertiger'!$I16,'Referenz Plattenfertiger'!$F16)/1000*IF(NOT(ISBLANK('Eingabe Preise'!$K10)),'Eingabe Preise'!$K10,'Eingabe Preise'!$I10)</f>
        <v>11468</v>
      </c>
      <c r="AI116" s="20" t="s">
        <v>96</v>
      </c>
    </row>
    <row r="117" spans="15:35" ht="15.75" hidden="1" outlineLevel="1" x14ac:dyDescent="0.3">
      <c r="O117" s="275"/>
      <c r="P117" s="17"/>
      <c r="Q117" s="17" t="s">
        <v>151</v>
      </c>
      <c r="R117" s="17"/>
      <c r="S117" s="37">
        <f>IF(NOT(ISBLANK('Referenz Plattenfertiger'!$I17)),'Referenz Plattenfertiger'!$I17,'Referenz Plattenfertiger'!$F17)*IF(NOT(ISBLANK('Eingabe EF'!$AA10)),'Eingabe EF'!$AA10,'Eingabe EF'!$Y10)</f>
        <v>6.4022399999999999</v>
      </c>
      <c r="T117" s="37">
        <f>IF(NOT(ISBLANK('Referenz Plattenfertiger'!$I17)),'Referenz Plattenfertiger'!$I17,'Referenz Plattenfertiger'!$F17)*IF(NOT(ISBLANK('Eingabe EF'!$AE10)),'Eingabe EF'!$AE10,'Eingabe EF'!$AC10)</f>
        <v>0</v>
      </c>
      <c r="U117" s="37">
        <f>IF(NOT(ISBLANK('Referenz Plattenfertiger'!$I17)),'Referenz Plattenfertiger'!$I17,'Referenz Plattenfertiger'!$F17)*IF(NOT(ISBLANK('Eingabe EF'!$AI10)),'Eingabe EF'!$AI10,'Eingabe EF'!$AG10)</f>
        <v>0.949824</v>
      </c>
      <c r="V117" s="17"/>
      <c r="W117" s="17"/>
      <c r="X117" s="37">
        <f>S117+T117</f>
        <v>6.4022399999999999</v>
      </c>
      <c r="Y117" s="37">
        <f>SUM(S117:U117)</f>
        <v>7.3520640000000004</v>
      </c>
      <c r="Z117" s="17" t="s">
        <v>184</v>
      </c>
      <c r="AB117" s="17"/>
      <c r="AC117" s="17" t="s">
        <v>151</v>
      </c>
      <c r="AD117" s="17"/>
      <c r="AE117" s="20"/>
      <c r="AF117" s="20"/>
      <c r="AG117" s="20"/>
      <c r="AH117" s="41">
        <f>IF(NOT(ISBLANK('Referenz Plattenfertiger'!$I17)),'Referenz Plattenfertiger'!$I17,'Referenz Plattenfertiger'!$F17)/1000*IF(NOT(ISBLANK('Eingabe Preise'!$K11)),'Eingabe Preise'!$K11,'Eingabe Preise'!$I11)</f>
        <v>1104</v>
      </c>
      <c r="AI117" s="20" t="s">
        <v>96</v>
      </c>
    </row>
    <row r="118" spans="15:35" ht="15.75" hidden="1" outlineLevel="1" x14ac:dyDescent="0.3">
      <c r="O118" s="275"/>
      <c r="P118" s="17"/>
      <c r="Q118" s="17" t="s">
        <v>152</v>
      </c>
      <c r="R118" s="17"/>
      <c r="S118" s="37">
        <f>IF(NOT(ISBLANK('Referenz Plattenfertiger'!$I18)),'Referenz Plattenfertiger'!$I18,'Referenz Plattenfertiger'!$F18)*IF(NOT(ISBLANK('Eingabe EF'!$AA11)),'Eingabe EF'!$AA11,'Eingabe EF'!$Y11)</f>
        <v>0</v>
      </c>
      <c r="T118" s="37">
        <f>IF(NOT(ISBLANK('Referenz Plattenfertiger'!$I18)),'Referenz Plattenfertiger'!$I18,'Referenz Plattenfertiger'!$F18)*IF(NOT(ISBLANK('Eingabe EF'!$AE11)),'Eingabe EF'!$AE11,'Eingabe EF'!$AC11)</f>
        <v>12.48924470887134</v>
      </c>
      <c r="U118" s="37">
        <f>IF(NOT(ISBLANK('Referenz Plattenfertiger'!$I18)),'Referenz Plattenfertiger'!$I18,'Referenz Plattenfertiger'!$F18)*IF(NOT(ISBLANK('Eingabe EF'!$AI11)),'Eingabe EF'!$AI11,'Eingabe EF'!$AG11)</f>
        <v>1.8308840410910865</v>
      </c>
      <c r="V118" s="17"/>
      <c r="W118" s="17"/>
      <c r="X118" s="37">
        <f>S118+T118</f>
        <v>12.48924470887134</v>
      </c>
      <c r="Y118" s="37">
        <f>SUM(S118:U118)</f>
        <v>14.320128749962427</v>
      </c>
      <c r="Z118" s="17" t="s">
        <v>184</v>
      </c>
      <c r="AB118" s="17"/>
      <c r="AC118" s="17" t="s">
        <v>152</v>
      </c>
      <c r="AD118" s="17"/>
      <c r="AE118" s="20"/>
      <c r="AF118" s="20"/>
      <c r="AG118" s="20"/>
      <c r="AH118" s="41">
        <f>IF(NOT(ISBLANK('Referenz Plattenfertiger'!$I18)),'Referenz Plattenfertiger'!$I18,'Referenz Plattenfertiger'!$F18)/1000*IF(NOT(ISBLANK('Eingabe Preise'!$K12)),'Eingabe Preise'!$K12,'Eingabe Preise'!$I12)</f>
        <v>7740</v>
      </c>
      <c r="AI118" s="20" t="s">
        <v>96</v>
      </c>
    </row>
    <row r="119" spans="15:35" ht="15.75" hidden="1" outlineLevel="1" x14ac:dyDescent="0.3">
      <c r="O119" s="275"/>
      <c r="P119" s="17"/>
      <c r="Q119" s="17" t="s">
        <v>115</v>
      </c>
      <c r="R119" s="17"/>
      <c r="S119" s="43">
        <f>IF(NOT(ISBLANK('Referenz Plattenfertiger'!$I19)),'Referenz Plattenfertiger'!$I19,'Referenz Plattenfertiger'!$F19)*IF(NOT(ISBLANK('Eingabe EF'!$AA12)),'Eingabe EF'!$AA12,0)</f>
        <v>0</v>
      </c>
      <c r="T119" s="43">
        <f>IF(NOT(ISBLANK('Referenz Plattenfertiger'!$I19)),'Referenz Plattenfertiger'!$I19,'Referenz Plattenfertiger'!$F19)*IF(NOT(ISBLANK('Eingabe EF'!$AE12)),'Eingabe EF'!$AE12,0)</f>
        <v>0</v>
      </c>
      <c r="U119" s="43">
        <f>IF(NOT(ISBLANK('Referenz Plattenfertiger'!$I19)),'Referenz Plattenfertiger'!$I19,'Referenz Plattenfertiger'!$F19)*IF(NOT(ISBLANK('Eingabe EF'!$AI12)),'Eingabe EF'!$AI12,0)</f>
        <v>0</v>
      </c>
      <c r="V119" s="17"/>
      <c r="W119" s="17"/>
      <c r="X119" s="37">
        <f>S119+T119</f>
        <v>0</v>
      </c>
      <c r="Y119" s="37">
        <f>SUM(S119:U119)</f>
        <v>0</v>
      </c>
      <c r="Z119" s="17" t="s">
        <v>184</v>
      </c>
      <c r="AB119" s="17"/>
      <c r="AC119" s="17" t="s">
        <v>115</v>
      </c>
      <c r="AD119" s="17"/>
      <c r="AE119" s="20"/>
      <c r="AF119" s="20"/>
      <c r="AG119" s="20"/>
      <c r="AH119" s="41">
        <f>IF(NOT(ISBLANK('Referenz Plattenfertiger'!$I19)),'Referenz Plattenfertiger'!$I19,'Referenz Plattenfertiger'!$F19)/1000*IF(NOT(ISBLANK('Eingabe Preise'!$K16)),'Eingabe Preise'!$K16,0)</f>
        <v>0</v>
      </c>
      <c r="AI119" s="20" t="s">
        <v>96</v>
      </c>
    </row>
    <row r="120" spans="15:35" hidden="1" outlineLevel="1" x14ac:dyDescent="0.2">
      <c r="O120" s="275"/>
      <c r="P120" s="17" t="s">
        <v>133</v>
      </c>
      <c r="Q120" s="17"/>
      <c r="R120" s="17"/>
      <c r="S120" s="20"/>
      <c r="T120" s="20"/>
      <c r="U120" s="20"/>
      <c r="V120" s="17"/>
      <c r="W120" s="17"/>
      <c r="X120" s="17"/>
      <c r="Y120" s="17"/>
      <c r="Z120" s="17"/>
      <c r="AB120" s="17" t="s">
        <v>133</v>
      </c>
      <c r="AC120" s="17"/>
      <c r="AD120" s="17"/>
      <c r="AE120" s="20"/>
      <c r="AF120" s="20"/>
      <c r="AG120" s="20"/>
      <c r="AH120" s="20"/>
      <c r="AI120" s="20"/>
    </row>
    <row r="121" spans="15:35" ht="15.75" hidden="1" outlineLevel="1" x14ac:dyDescent="0.3">
      <c r="O121" s="275"/>
      <c r="P121" s="17"/>
      <c r="Q121" s="17" t="s">
        <v>29</v>
      </c>
      <c r="R121" s="17"/>
      <c r="S121" s="37">
        <f>IF(NOT(ISBLANK('Referenz Plattenfertiger'!$I21)),'Referenz Plattenfertiger'!$I21,'Referenz Plattenfertiger'!$F21)*IF(NOT(ISBLANK('Eingabe EF'!$AA9)),'Eingabe EF'!$AA9,'Eingabe EF'!$Y9)</f>
        <v>8.6085200000000004</v>
      </c>
      <c r="T121" s="37">
        <f>IF(NOT(ISBLANK('Referenz Plattenfertiger'!$I21)),'Referenz Plattenfertiger'!$I21,'Referenz Plattenfertiger'!$F21)*IF(NOT(ISBLANK('Eingabe EF'!$AE9)),'Eingabe EF'!$AE9,'Eingabe EF'!$AC9)</f>
        <v>0</v>
      </c>
      <c r="U121" s="37">
        <f>IF(NOT(ISBLANK('Referenz Plattenfertiger'!$I21)),'Referenz Plattenfertiger'!$I21,'Referenz Plattenfertiger'!$F21)*IF(NOT(ISBLANK('Eingabe EF'!$AG9)),'Eingabe EF'!$AG9,'Eingabe EF'!$AIC9)</f>
        <v>1.4734500000000001</v>
      </c>
      <c r="V121" s="17"/>
      <c r="W121" s="17"/>
      <c r="X121" s="37">
        <f t="shared" ref="X121:X122" si="19">S121+T121</f>
        <v>8.6085200000000004</v>
      </c>
      <c r="Y121" s="37">
        <f t="shared" ref="Y121:Y132" si="20">SUM(S121:U121)</f>
        <v>10.08197</v>
      </c>
      <c r="Z121" s="17" t="s">
        <v>184</v>
      </c>
      <c r="AA121" s="42"/>
      <c r="AB121" s="17"/>
      <c r="AC121" s="17" t="s">
        <v>29</v>
      </c>
      <c r="AD121" s="17"/>
      <c r="AE121" s="20"/>
      <c r="AF121" s="20"/>
      <c r="AG121" s="20"/>
      <c r="AH121" s="41">
        <f>IF(NOT(ISBLANK('Referenz Plattenfertiger'!$I21)),'Referenz Plattenfertiger'!$I21,'Referenz Plattenfertiger'!$F21)/1000*IF(NOT(ISBLANK('Eingabe Preise'!$K10)),'Eingabe Preise'!$K10,'Eingabe Preise'!$I10)</f>
        <v>2867</v>
      </c>
      <c r="AI121" s="20" t="s">
        <v>96</v>
      </c>
    </row>
    <row r="122" spans="15:35" ht="15.75" hidden="1" outlineLevel="1" x14ac:dyDescent="0.3">
      <c r="O122" s="275"/>
      <c r="P122" s="17"/>
      <c r="Q122" s="17" t="s">
        <v>30</v>
      </c>
      <c r="R122" s="17"/>
      <c r="S122" s="37">
        <f>IF(NOT(ISBLANK('Referenz Plattenfertiger'!$I22)),'Referenz Plattenfertiger'!$I22,'Referenz Plattenfertiger'!$F22)*IF(NOT(ISBLANK('Eingabe EF'!$AA10)),'Eingabe EF'!$AA10,'Eingabe EF'!$Y10)</f>
        <v>9.6033600000000003</v>
      </c>
      <c r="T122" s="37">
        <f>IF(NOT(ISBLANK('Referenz Plattenfertiger'!$I22)),'Referenz Plattenfertiger'!$I22,'Referenz Plattenfertiger'!$F22)*IF(NOT(ISBLANK('Eingabe EF'!$AE10)),'Eingabe EF'!$AE10,'Eingabe EF'!$AC10)</f>
        <v>0</v>
      </c>
      <c r="U122" s="37">
        <f>IF(NOT(ISBLANK('Referenz Plattenfertiger'!$I22)),'Referenz Plattenfertiger'!$I22,'Referenz Plattenfertiger'!$F22)*IF(NOT(ISBLANK('Eingabe EF'!$AG10)),'Eingabe EF'!$AG10,'Eingabe EF'!$AIC10)</f>
        <v>1.424736</v>
      </c>
      <c r="V122" s="17"/>
      <c r="W122" s="17"/>
      <c r="X122" s="37">
        <f t="shared" si="19"/>
        <v>9.6033600000000003</v>
      </c>
      <c r="Y122" s="37">
        <f t="shared" si="20"/>
        <v>11.028096</v>
      </c>
      <c r="Z122" s="17" t="s">
        <v>184</v>
      </c>
      <c r="AA122" s="42"/>
      <c r="AB122" s="17"/>
      <c r="AC122" s="17" t="s">
        <v>30</v>
      </c>
      <c r="AD122" s="17"/>
      <c r="AE122" s="20"/>
      <c r="AF122" s="20"/>
      <c r="AG122" s="20"/>
      <c r="AH122" s="41">
        <f>IF(NOT(ISBLANK('Referenz Plattenfertiger'!$I22)),'Referenz Plattenfertiger'!$I22,'Referenz Plattenfertiger'!$F22)/1000*IF(NOT(ISBLANK('Eingabe Preise'!$K11)),'Eingabe Preise'!$K11,'Eingabe Preise'!$I11)</f>
        <v>1656</v>
      </c>
      <c r="AI122" s="20" t="s">
        <v>96</v>
      </c>
    </row>
    <row r="123" spans="15:35" hidden="1" outlineLevel="1" x14ac:dyDescent="0.2">
      <c r="O123" s="275"/>
      <c r="P123" s="17" t="s">
        <v>134</v>
      </c>
      <c r="Q123" s="17"/>
      <c r="R123" s="17"/>
      <c r="S123" s="20"/>
      <c r="T123" s="20"/>
      <c r="U123" s="20"/>
      <c r="V123" s="17"/>
      <c r="W123" s="17"/>
      <c r="X123" s="17"/>
      <c r="Y123" s="17"/>
      <c r="Z123" s="17"/>
      <c r="AB123" s="17" t="s">
        <v>134</v>
      </c>
      <c r="AC123" s="17"/>
      <c r="AD123" s="17"/>
      <c r="AE123" s="20"/>
      <c r="AF123" s="20"/>
      <c r="AG123" s="20"/>
      <c r="AH123" s="20"/>
      <c r="AI123" s="20"/>
    </row>
    <row r="124" spans="15:35" ht="15.75" hidden="1" outlineLevel="1" x14ac:dyDescent="0.3">
      <c r="O124" s="274"/>
      <c r="P124" s="17"/>
      <c r="Q124" s="17" t="s">
        <v>136</v>
      </c>
      <c r="R124" s="17"/>
      <c r="S124" s="37">
        <f>(IF(NOT(ISBLANK('Referenz Plattenfertiger'!$I24)),'Referenz Plattenfertiger'!$I24,'Referenz Plattenfertiger'!$F24)+R110*E25)*IF(NOT(ISBLANK('Eingabe EF'!$AA11)),'Eingabe EF'!$AA11,'Eingabe EF'!$Y11)</f>
        <v>0</v>
      </c>
      <c r="T124" s="37">
        <f>(IF(NOT(ISBLANK('Referenz Plattenfertiger'!$I24)),'Referenz Plattenfertiger'!$I24,'Referenz Plattenfertiger'!$F24)+R110*E25)*IF(NOT(ISBLANK('Eingabe EF'!$AE11)),'Eingabe EF'!$AE11,'Eingabe EF'!$AC11)</f>
        <v>123.90446688343337</v>
      </c>
      <c r="U124" s="37">
        <f>(IF(NOT(ISBLANK('Referenz Plattenfertiger'!$I24)),'Referenz Plattenfertiger'!$I24,'Referenz Plattenfertiger'!$F24)+R110*E25)*IF(NOT(ISBLANK('Eingabe EF'!$AI11)),'Eingabe EF'!$AI11,'Eingabe EF'!$AG11)</f>
        <v>18.164005616419555</v>
      </c>
      <c r="V124" s="17"/>
      <c r="W124" s="17"/>
      <c r="X124" s="37">
        <f t="shared" ref="X124:X132" si="21">S124+T124</f>
        <v>123.90446688343337</v>
      </c>
      <c r="Y124" s="37">
        <f t="shared" si="20"/>
        <v>142.06847249985293</v>
      </c>
      <c r="Z124" s="17" t="s">
        <v>184</v>
      </c>
      <c r="AA124" s="42"/>
      <c r="AB124" s="274"/>
      <c r="AC124" s="17" t="s">
        <v>153</v>
      </c>
      <c r="AD124" s="17"/>
      <c r="AE124" s="20"/>
      <c r="AF124" s="20"/>
      <c r="AG124" s="20"/>
      <c r="AH124" s="41">
        <f>(IF(NOT(ISBLANK('Referenz Plattenfertiger'!$I24)),'Referenz Plattenfertiger'!$I24,'Referenz Plattenfertiger'!$F24)+R110*E25)/1000*IF(NOT(ISBLANK('Eingabe Preise'!$K12)),'Eingabe Preise'!$K12,'Eingabe Preise'!$I12)</f>
        <v>76787.715833333335</v>
      </c>
      <c r="AI124" s="20" t="s">
        <v>96</v>
      </c>
    </row>
    <row r="125" spans="15:35" ht="15.75" hidden="1" outlineLevel="1" x14ac:dyDescent="0.3">
      <c r="O125" s="275"/>
      <c r="P125" s="17"/>
      <c r="Q125" s="17" t="s">
        <v>111</v>
      </c>
      <c r="R125" s="17"/>
      <c r="S125" s="37">
        <f>IF(NOT(ISBLANK('Referenz Plattenfertiger'!$I25)),'Referenz Plattenfertiger'!$I25,'Referenz Plattenfertiger'!$F25)*IF(NOT(ISBLANK('Eingabe EF'!$AA13)),'Eingabe EF'!$AA13,'Eingabe EF'!$Y13)</f>
        <v>0</v>
      </c>
      <c r="T125" s="37">
        <f>IF(NOT(ISBLANK('Referenz Plattenfertiger'!$I25)),'Referenz Plattenfertiger'!$I25,'Referenz Plattenfertiger'!$F25)*IF(NOT(ISBLANK('Eingabe EF'!$AE13)),'Eingabe EF'!$AE13,'Eingabe EF'!$AC13)</f>
        <v>0</v>
      </c>
      <c r="U125" s="37">
        <f>IF(NOT(ISBLANK('Referenz Plattenfertiger'!$I25)),'Referenz Plattenfertiger'!$I25,'Referenz Plattenfertiger'!$F25)*IF(NOT(ISBLANK('Eingabe EF'!$AI13)),'Eingabe EF'!$AI13,'Eingabe EF'!$AG13)</f>
        <v>0</v>
      </c>
      <c r="V125" s="17"/>
      <c r="W125" s="17"/>
      <c r="X125" s="37">
        <f t="shared" si="21"/>
        <v>0</v>
      </c>
      <c r="Y125" s="37">
        <f t="shared" si="20"/>
        <v>0</v>
      </c>
      <c r="Z125" s="17" t="s">
        <v>184</v>
      </c>
      <c r="AA125" s="42"/>
      <c r="AB125" s="17"/>
      <c r="AC125" s="17" t="s">
        <v>111</v>
      </c>
      <c r="AD125" s="17"/>
      <c r="AE125" s="20"/>
      <c r="AF125" s="20"/>
      <c r="AG125" s="20"/>
      <c r="AH125" s="41">
        <f>IF(NOT(ISBLANK('Referenz Plattenfertiger'!$I25)),'Referenz Plattenfertiger'!$I25,'Referenz Plattenfertiger'!$F25)/1000*IF(NOT(ISBLANK('Eingabe Preise'!$K13)),'Eingabe Preise'!$K13,'Eingabe Preise'!$I13)</f>
        <v>0</v>
      </c>
      <c r="AI125" s="20" t="s">
        <v>96</v>
      </c>
    </row>
    <row r="126" spans="15:35" ht="15.75" hidden="1" outlineLevel="1" x14ac:dyDescent="0.3">
      <c r="O126" s="275"/>
      <c r="P126" s="17"/>
      <c r="Q126" s="17" t="s">
        <v>135</v>
      </c>
      <c r="R126" s="17"/>
      <c r="S126" s="37">
        <f>IF(NOT(ISBLANK('Referenz Plattenfertiger'!$I26)),'Referenz Plattenfertiger'!$I26,'Referenz Plattenfertiger'!$F26)*IF(NOT(ISBLANK('Eingabe EF'!$AA14)),'Eingabe EF'!$AA14,0)</f>
        <v>0</v>
      </c>
      <c r="T126" s="37">
        <f>IF(NOT(ISBLANK('Referenz Plattenfertiger'!$I26)),'Referenz Plattenfertiger'!$I26,'Referenz Plattenfertiger'!$F26)*IF(NOT(ISBLANK('Eingabe EF'!$AE14)),'Eingabe EF'!$AE14,0)</f>
        <v>0</v>
      </c>
      <c r="U126" s="37">
        <f>IF(NOT(ISBLANK('Referenz Plattenfertiger'!$I26)),'Referenz Plattenfertiger'!$I26,'Referenz Plattenfertiger'!$F26)*IF(NOT(ISBLANK('Eingabe EF'!$AI14)),'Eingabe EF'!$AI14,0)</f>
        <v>0</v>
      </c>
      <c r="V126" s="17"/>
      <c r="W126" s="17"/>
      <c r="X126" s="37">
        <f t="shared" si="21"/>
        <v>0</v>
      </c>
      <c r="Y126" s="37">
        <f t="shared" si="20"/>
        <v>0</v>
      </c>
      <c r="Z126" s="17" t="s">
        <v>184</v>
      </c>
      <c r="AA126" s="42"/>
      <c r="AB126" s="17"/>
      <c r="AC126" s="17" t="s">
        <v>135</v>
      </c>
      <c r="AD126" s="17"/>
      <c r="AE126" s="30"/>
      <c r="AF126" s="17"/>
      <c r="AG126" s="17"/>
      <c r="AH126" s="41">
        <f>IF(NOT(ISBLANK('Referenz Plattenfertiger'!$I26)),'Referenz Plattenfertiger'!$I26,'Referenz Plattenfertiger'!$F26)/1000*IF(NOT(ISBLANK('Eingabe Preise'!$K17)),'Eingabe Preise'!$K17,0)</f>
        <v>0</v>
      </c>
      <c r="AI126" s="20" t="s">
        <v>96</v>
      </c>
    </row>
    <row r="127" spans="15:35" hidden="1" outlineLevel="1" x14ac:dyDescent="0.2">
      <c r="O127" s="275"/>
      <c r="P127" s="17"/>
      <c r="Q127" s="17"/>
      <c r="R127" s="17"/>
      <c r="S127" s="20"/>
      <c r="T127" s="20"/>
      <c r="U127" s="20"/>
      <c r="V127" s="17"/>
      <c r="W127" s="17"/>
      <c r="X127" s="17"/>
      <c r="Y127" s="17"/>
      <c r="Z127" s="17"/>
      <c r="AB127" s="17"/>
      <c r="AC127" s="17"/>
      <c r="AD127" s="17"/>
      <c r="AE127" s="30"/>
      <c r="AF127" s="17"/>
      <c r="AG127" s="17"/>
      <c r="AH127" s="17"/>
      <c r="AI127" s="17"/>
    </row>
    <row r="128" spans="15:35" ht="15.75" hidden="1" outlineLevel="1" x14ac:dyDescent="0.3">
      <c r="O128" s="274"/>
      <c r="P128" s="17" t="s">
        <v>408</v>
      </c>
      <c r="Q128" s="17" t="s">
        <v>32</v>
      </c>
      <c r="R128" s="17"/>
      <c r="S128" s="450">
        <f>(IF(NOT(ISBLANK('Referenz Plattenfertiger'!$I28)),'Referenz Plattenfertiger'!$I28,'Referenz Plattenfertiger'!$F28)-R110*E17)*IF(NOT(ISBLANK('Eingabe EF'!$AA15)),'Eingabe EF'!$AA15,'Eingabe EF'!$Y15)</f>
        <v>14.619470579999998</v>
      </c>
      <c r="T128" s="450">
        <f>(IF(NOT(ISBLANK('Referenz Plattenfertiger'!$I28)),'Referenz Plattenfertiger'!$I28,'Referenz Plattenfertiger'!$F28)-R110*E17)*IF(NOT(ISBLANK('Eingabe EF'!$AE15)),'Eingabe EF'!$AE15,'Eingabe EF'!$AC15)</f>
        <v>0</v>
      </c>
      <c r="U128" s="450">
        <f>(IF(NOT(ISBLANK('Referenz Plattenfertiger'!$I28)),'Referenz Plattenfertiger'!$I28,'Referenz Plattenfertiger'!$F28)-R110*E17)*IF(NOT(ISBLANK('Eingabe EF'!$AI15)),'Eingabe EF'!$AI15,'Eingabe EF'!$AG15)</f>
        <v>2.5829317800000005</v>
      </c>
      <c r="V128" s="17"/>
      <c r="W128" s="17"/>
      <c r="X128" s="37">
        <f t="shared" si="21"/>
        <v>14.619470579999998</v>
      </c>
      <c r="Y128" s="37">
        <f t="shared" si="20"/>
        <v>17.202402359999997</v>
      </c>
      <c r="Z128" s="17" t="s">
        <v>184</v>
      </c>
      <c r="AA128" s="42"/>
      <c r="AB128" s="274"/>
      <c r="AC128" s="17" t="s">
        <v>32</v>
      </c>
      <c r="AD128" s="17" t="s">
        <v>408</v>
      </c>
      <c r="AE128" s="30"/>
      <c r="AF128" s="17"/>
      <c r="AG128" s="17"/>
      <c r="AH128" s="41">
        <f>(IF(NOT(ISBLANK('Referenz Plattenfertiger'!$I28)),'Referenz Plattenfertiger'!$I28,'Referenz Plattenfertiger'!$F28)-R110*E17)*IF(NOT(ISBLANK('Eingabe Preise'!$K14)),'Eingabe Preise'!$K14,'Eingabe Preise'!$I14)</f>
        <v>6182.0000000000009</v>
      </c>
      <c r="AI128" s="20" t="s">
        <v>96</v>
      </c>
    </row>
    <row r="129" spans="15:47" ht="15.75" hidden="1" outlineLevel="1" x14ac:dyDescent="0.3">
      <c r="O129" s="275"/>
      <c r="P129" s="17" t="s">
        <v>70</v>
      </c>
      <c r="Q129" s="17" t="s">
        <v>32</v>
      </c>
      <c r="R129" s="17"/>
      <c r="S129" s="37">
        <f>IF(NOT(ISBLANK('Referenz Plattenfertiger'!$I29)),'Referenz Plattenfertiger'!$I29,'Referenz Plattenfertiger'!$F29)*IF(NOT(ISBLANK('Eingabe EF'!$AA15)),'Eingabe EF'!$AA15,'Eingabe EF'!$Y15)</f>
        <v>6.645213899999999</v>
      </c>
      <c r="T129" s="37">
        <f>IF(NOT(ISBLANK('Referenz Plattenfertiger'!$I29)),'Referenz Plattenfertiger'!$I29,'Referenz Plattenfertiger'!$F29)*IF(NOT(ISBLANK('Eingabe EF'!$AE15)),'Eingabe EF'!$AE15,'Eingabe EF'!$AC15)</f>
        <v>0</v>
      </c>
      <c r="U129" s="37">
        <f>IF(NOT(ISBLANK('Referenz Plattenfertiger'!$I29)),'Referenz Plattenfertiger'!$I29,'Referenz Plattenfertiger'!$F29)*IF(NOT(ISBLANK('Eingabe EF'!$AI15)),'Eingabe EF'!$AI15,'Eingabe EF'!$AG15)</f>
        <v>1.1740599000000003</v>
      </c>
      <c r="V129" s="17"/>
      <c r="W129" s="17"/>
      <c r="X129" s="37">
        <f t="shared" si="21"/>
        <v>6.645213899999999</v>
      </c>
      <c r="Y129" s="37">
        <f t="shared" si="20"/>
        <v>7.8192737999999995</v>
      </c>
      <c r="Z129" s="17" t="s">
        <v>184</v>
      </c>
      <c r="AA129" s="42"/>
      <c r="AB129" s="21"/>
      <c r="AC129" s="17" t="s">
        <v>32</v>
      </c>
      <c r="AD129" s="17" t="s">
        <v>70</v>
      </c>
      <c r="AE129" s="30"/>
      <c r="AF129" s="17"/>
      <c r="AG129" s="17"/>
      <c r="AH129" s="41">
        <f>IF(NOT(ISBLANK('Referenz Plattenfertiger'!$I29)),'Referenz Plattenfertiger'!$I29,'Referenz Plattenfertiger'!$F29)*IF(NOT(ISBLANK('Eingabe Preise'!$K14)),'Eingabe Preise'!$K14,'Eingabe Preise'!$I14)</f>
        <v>2810.0000000000005</v>
      </c>
      <c r="AI129" s="20" t="s">
        <v>96</v>
      </c>
    </row>
    <row r="130" spans="15:47" ht="14.25" hidden="1" outlineLevel="1" x14ac:dyDescent="0.25">
      <c r="O130" s="69"/>
      <c r="P130" s="69" t="s">
        <v>175</v>
      </c>
      <c r="Q130" s="69"/>
      <c r="R130" s="69"/>
      <c r="S130" s="71"/>
      <c r="T130" s="71"/>
      <c r="U130" s="71">
        <f t="shared" ref="U130" si="22">U131+U132</f>
        <v>469.15642799999995</v>
      </c>
      <c r="V130" s="69"/>
      <c r="W130" s="69"/>
      <c r="X130" s="71">
        <f t="shared" si="21"/>
        <v>0</v>
      </c>
      <c r="Y130" s="71">
        <f t="shared" si="20"/>
        <v>469.15642799999995</v>
      </c>
      <c r="Z130" s="76" t="s">
        <v>183</v>
      </c>
      <c r="AA130" s="72"/>
      <c r="AB130" s="21"/>
      <c r="AC130" s="21"/>
      <c r="AD130" s="21"/>
      <c r="AE130" s="73"/>
      <c r="AF130" s="21"/>
      <c r="AG130" s="21"/>
      <c r="AH130" s="21"/>
      <c r="AI130" s="21"/>
      <c r="AK130" s="72"/>
      <c r="AL130" s="72"/>
      <c r="AM130" s="72"/>
      <c r="AN130" s="72"/>
      <c r="AO130" s="72"/>
      <c r="AP130" s="72"/>
      <c r="AQ130" s="72"/>
      <c r="AR130" s="72"/>
      <c r="AS130" s="72"/>
      <c r="AT130" s="72"/>
      <c r="AU130" s="72"/>
    </row>
    <row r="131" spans="15:47" ht="15.75" hidden="1" outlineLevel="1" x14ac:dyDescent="0.3">
      <c r="O131" s="17"/>
      <c r="P131" s="17"/>
      <c r="Q131" s="17" t="s">
        <v>43</v>
      </c>
      <c r="R131" s="17"/>
      <c r="S131" s="37"/>
      <c r="T131" s="37"/>
      <c r="U131" s="37">
        <f>IF(NOT(ISBLANK('Referenz Plattenfertiger'!$I32)),'Referenz Plattenfertiger'!$I32,'Referenz Plattenfertiger'!$F32)*IF(NOT(ISBLANK('Eingabe EF'!$AI17)),'Eingabe EF'!$AI17,'Eingabe EF'!$AG17)</f>
        <v>109.4698332</v>
      </c>
      <c r="V131" s="17"/>
      <c r="W131" s="17"/>
      <c r="X131" s="37">
        <f t="shared" si="21"/>
        <v>0</v>
      </c>
      <c r="Y131" s="37">
        <f t="shared" si="20"/>
        <v>109.4698332</v>
      </c>
      <c r="Z131" s="17" t="s">
        <v>184</v>
      </c>
      <c r="AA131" s="42"/>
      <c r="AB131" s="17"/>
      <c r="AC131" s="17"/>
      <c r="AD131" s="17"/>
      <c r="AE131" s="30"/>
      <c r="AF131" s="17"/>
      <c r="AG131" s="17"/>
      <c r="AH131" s="17"/>
      <c r="AI131" s="17"/>
    </row>
    <row r="132" spans="15:47" ht="15.75" hidden="1" outlineLevel="1" x14ac:dyDescent="0.3">
      <c r="O132" s="17"/>
      <c r="P132" s="17"/>
      <c r="Q132" s="17" t="s">
        <v>44</v>
      </c>
      <c r="R132" s="17"/>
      <c r="S132" s="37"/>
      <c r="T132" s="37"/>
      <c r="U132" s="37">
        <f>IF(NOT(ISBLANK('Referenz Plattenfertiger'!$I33)),'Referenz Plattenfertiger'!$I33,'Referenz Plattenfertiger'!$F33)*IF(NOT(ISBLANK('Eingabe EF'!$AI18)),'Eingabe EF'!$AI18,'Eingabe EF'!$AG18)</f>
        <v>359.68659479999997</v>
      </c>
      <c r="V132" s="17"/>
      <c r="W132" s="17"/>
      <c r="X132" s="37">
        <f t="shared" si="21"/>
        <v>0</v>
      </c>
      <c r="Y132" s="37">
        <f t="shared" si="20"/>
        <v>359.68659479999997</v>
      </c>
      <c r="Z132" s="17" t="s">
        <v>184</v>
      </c>
      <c r="AA132" s="42"/>
      <c r="AB132" s="274"/>
      <c r="AC132" s="17" t="s">
        <v>28</v>
      </c>
      <c r="AD132" s="17"/>
      <c r="AE132" s="30"/>
      <c r="AF132" s="17"/>
      <c r="AG132" s="17"/>
      <c r="AH132" s="41">
        <f>(IF(NOT(ISBLANK($G$27)),$G$27,$E$27)/IF(NOT(ISBLANK($G$32)),$G$32,$E$32)+IF(NOT(ISBLANK($G$27)),$G$27,$E$27)*(IF(NOT(ISBLANK($G$33)),$G$33,$E$33)/100))*R110</f>
        <v>54000</v>
      </c>
      <c r="AI132" s="20" t="s">
        <v>96</v>
      </c>
    </row>
    <row r="133" spans="15:47" hidden="1" outlineLevel="1" x14ac:dyDescent="0.2">
      <c r="O133" s="17"/>
      <c r="P133" s="17"/>
      <c r="Q133" s="17"/>
      <c r="R133" s="17"/>
      <c r="S133" s="20"/>
      <c r="T133" s="20"/>
      <c r="U133" s="20"/>
      <c r="V133" s="17"/>
      <c r="W133" s="17"/>
      <c r="X133" s="20"/>
      <c r="Y133" s="20"/>
      <c r="Z133" s="17"/>
      <c r="AB133" s="17"/>
      <c r="AC133" s="44" t="s">
        <v>139</v>
      </c>
      <c r="AD133" s="17"/>
      <c r="AE133" s="30"/>
      <c r="AF133" s="17"/>
      <c r="AG133" s="17"/>
      <c r="AH133" s="41">
        <f>IF(NOT(ISBLANK($G$28)),$G$28,$E$28)</f>
        <v>0</v>
      </c>
      <c r="AI133" s="20" t="s">
        <v>96</v>
      </c>
    </row>
    <row r="134" spans="15:47" ht="14.25" hidden="1" outlineLevel="1" x14ac:dyDescent="0.25">
      <c r="O134" s="69"/>
      <c r="P134" s="69" t="s">
        <v>66</v>
      </c>
      <c r="Q134" s="70"/>
      <c r="R134" s="70"/>
      <c r="S134" s="71"/>
      <c r="T134" s="71"/>
      <c r="U134" s="71">
        <f>SUM(U135:U138)</f>
        <v>4548.5439999999999</v>
      </c>
      <c r="V134" s="70"/>
      <c r="W134" s="70"/>
      <c r="X134" s="71">
        <f t="shared" ref="X134:X138" si="23">S134+T134</f>
        <v>0</v>
      </c>
      <c r="Y134" s="71">
        <f t="shared" ref="Y134:Y137" si="24">SUM(S134:U134)</f>
        <v>4548.5439999999999</v>
      </c>
      <c r="Z134" s="76" t="s">
        <v>183</v>
      </c>
      <c r="AB134" s="17"/>
      <c r="AC134" s="44" t="s">
        <v>146</v>
      </c>
      <c r="AD134" s="17"/>
      <c r="AE134" s="30"/>
      <c r="AF134" s="17"/>
      <c r="AG134" s="17"/>
      <c r="AH134" s="41">
        <f>IF(NOT(ISBLANK($G$29)),$G$29,$E$29)/IF(NOT(ISBLANK($G$32)),$G$32,$E$32)+IF(NOT(ISBLANK($G$29)),$G$29,$E$29)*(IF(NOT(ISBLANK($G$33)),$G$33,$E$33)/100)</f>
        <v>0</v>
      </c>
      <c r="AI134" s="20" t="s">
        <v>96</v>
      </c>
    </row>
    <row r="135" spans="15:47" ht="15.75" hidden="1" outlineLevel="1" x14ac:dyDescent="0.3">
      <c r="O135" s="17"/>
      <c r="P135" s="17"/>
      <c r="Q135" s="17" t="s">
        <v>45</v>
      </c>
      <c r="R135" s="17"/>
      <c r="S135" s="37"/>
      <c r="T135" s="37"/>
      <c r="U135" s="37">
        <f>'M1 Härtekammern'!T134</f>
        <v>1210.3</v>
      </c>
      <c r="V135" s="17"/>
      <c r="W135" s="17"/>
      <c r="X135" s="37">
        <f t="shared" si="23"/>
        <v>0</v>
      </c>
      <c r="Y135" s="37">
        <f t="shared" si="24"/>
        <v>1210.3</v>
      </c>
      <c r="Z135" s="17" t="s">
        <v>184</v>
      </c>
      <c r="AA135" s="42"/>
      <c r="AB135" s="17"/>
      <c r="AC135" s="17"/>
      <c r="AD135" s="17"/>
      <c r="AE135" s="17"/>
      <c r="AF135" s="17"/>
      <c r="AG135" s="17"/>
      <c r="AH135" s="17"/>
      <c r="AI135" s="17"/>
    </row>
    <row r="136" spans="15:47" ht="15.75" hidden="1" outlineLevel="1" x14ac:dyDescent="0.3">
      <c r="O136" s="17"/>
      <c r="P136" s="17"/>
      <c r="Q136" s="17" t="s">
        <v>47</v>
      </c>
      <c r="R136" s="17"/>
      <c r="S136" s="37"/>
      <c r="T136" s="37"/>
      <c r="U136" s="37">
        <f>'M1 Härtekammern'!T135</f>
        <v>2415.5039999999999</v>
      </c>
      <c r="V136" s="17"/>
      <c r="W136" s="17"/>
      <c r="X136" s="37">
        <f t="shared" si="23"/>
        <v>0</v>
      </c>
      <c r="Y136" s="37">
        <f t="shared" si="24"/>
        <v>2415.5039999999999</v>
      </c>
      <c r="Z136" s="17" t="s">
        <v>184</v>
      </c>
      <c r="AA136" s="42"/>
      <c r="AB136" s="17"/>
      <c r="AC136" s="17"/>
      <c r="AD136" s="17"/>
      <c r="AE136" s="17"/>
      <c r="AF136" s="17"/>
      <c r="AG136" s="17"/>
      <c r="AH136" s="17"/>
      <c r="AI136" s="17"/>
    </row>
    <row r="137" spans="15:47" ht="15.75" hidden="1" outlineLevel="1" x14ac:dyDescent="0.3">
      <c r="O137" s="17"/>
      <c r="P137" s="17"/>
      <c r="Q137" s="17" t="s">
        <v>48</v>
      </c>
      <c r="R137" s="17"/>
      <c r="S137" s="37"/>
      <c r="T137" s="37"/>
      <c r="U137" s="37">
        <f>'M1 Härtekammern'!T136</f>
        <v>922.7399999999999</v>
      </c>
      <c r="V137" s="17"/>
      <c r="W137" s="17"/>
      <c r="X137" s="37">
        <f t="shared" si="23"/>
        <v>0</v>
      </c>
      <c r="Y137" s="37">
        <f t="shared" si="24"/>
        <v>922.7399999999999</v>
      </c>
      <c r="Z137" s="17" t="s">
        <v>184</v>
      </c>
      <c r="AA137" s="42"/>
      <c r="AB137" s="17"/>
      <c r="AC137" s="17" t="s">
        <v>186</v>
      </c>
      <c r="AD137" s="17"/>
      <c r="AE137" s="30"/>
      <c r="AF137" s="17"/>
      <c r="AG137" s="17"/>
      <c r="AH137" s="41">
        <f>S177*IF(NOT(ISBLANK('Eingabe Preise'!$K21)),'Eingabe Preise'!$K21,'Eingabe Preise'!$I21)</f>
        <v>3614.0798015999999</v>
      </c>
      <c r="AI137" s="20" t="s">
        <v>96</v>
      </c>
    </row>
    <row r="138" spans="15:47" ht="15.75" hidden="1" outlineLevel="1" x14ac:dyDescent="0.3">
      <c r="O138" s="17"/>
      <c r="P138" s="17"/>
      <c r="Q138" s="17" t="s">
        <v>147</v>
      </c>
      <c r="R138" s="17"/>
      <c r="S138" s="37"/>
      <c r="T138" s="37"/>
      <c r="U138" s="37">
        <f>'M1 Härtekammern'!T137</f>
        <v>0</v>
      </c>
      <c r="V138" s="17"/>
      <c r="W138" s="17"/>
      <c r="X138" s="37">
        <f t="shared" si="23"/>
        <v>0</v>
      </c>
      <c r="Y138" s="37">
        <f t="shared" ref="Y138" si="25">SUM(S138:U138)</f>
        <v>0</v>
      </c>
      <c r="Z138" s="17" t="s">
        <v>184</v>
      </c>
      <c r="AA138" s="42"/>
      <c r="AB138" s="17"/>
      <c r="AC138" s="17" t="s">
        <v>187</v>
      </c>
      <c r="AD138" s="17"/>
      <c r="AE138" s="30"/>
      <c r="AF138" s="17"/>
      <c r="AG138" s="17"/>
      <c r="AH138" s="41">
        <f>T177*IF(NOT(ISBLANK('Eingabe Preise'!$K22)),'Eingabe Preise'!$K22,'Eingabe Preise'!$I22)</f>
        <v>6137.7170216537124</v>
      </c>
      <c r="AI138" s="20" t="s">
        <v>96</v>
      </c>
    </row>
    <row r="139" spans="15:47" ht="15.75" hidden="1" outlineLevel="1" x14ac:dyDescent="0.3">
      <c r="O139" s="17"/>
      <c r="P139" s="17"/>
      <c r="Q139" s="17"/>
      <c r="R139" s="17"/>
      <c r="S139" s="20"/>
      <c r="T139" s="20"/>
      <c r="U139" s="20"/>
      <c r="V139" s="17"/>
      <c r="W139" s="17"/>
      <c r="X139" s="17"/>
      <c r="Y139" s="20"/>
      <c r="Z139" s="20"/>
      <c r="AA139" s="42"/>
      <c r="AB139" s="17"/>
      <c r="AC139" s="17" t="s">
        <v>188</v>
      </c>
      <c r="AD139" s="17"/>
      <c r="AE139" s="30"/>
      <c r="AF139" s="17"/>
      <c r="AG139" s="17"/>
      <c r="AH139" s="41">
        <f>U177*IF(NOT(ISBLANK('Eingabe Preise'!$K23)),'Eingabe Preise'!$K23,'Eingabe Preise'!$I23)</f>
        <v>258454.01433091634</v>
      </c>
      <c r="AI139" s="20" t="s">
        <v>96</v>
      </c>
    </row>
    <row r="140" spans="15:47" ht="14.25" hidden="1" outlineLevel="1" x14ac:dyDescent="0.25">
      <c r="O140" s="69"/>
      <c r="P140" s="69" t="s">
        <v>163</v>
      </c>
      <c r="Q140" s="70"/>
      <c r="R140" s="70"/>
      <c r="S140" s="71"/>
      <c r="T140" s="71"/>
      <c r="U140" s="71">
        <f>SUM(U141:U145)</f>
        <v>129.59200000000001</v>
      </c>
      <c r="V140" s="70"/>
      <c r="W140" s="70"/>
      <c r="X140" s="71">
        <f t="shared" ref="X140" si="26">S140+T140</f>
        <v>0</v>
      </c>
      <c r="Y140" s="71">
        <f t="shared" ref="Y140" si="27">SUM(S140:U140)</f>
        <v>129.59200000000001</v>
      </c>
      <c r="Z140" s="76" t="s">
        <v>183</v>
      </c>
      <c r="AA140" s="42"/>
      <c r="AB140" s="17"/>
      <c r="AC140" s="17"/>
      <c r="AD140" s="17"/>
      <c r="AE140" s="30"/>
      <c r="AF140" s="17"/>
      <c r="AG140" s="17"/>
      <c r="AH140" s="66"/>
      <c r="AI140" s="17"/>
    </row>
    <row r="141" spans="15:47" ht="15.75" hidden="1" outlineLevel="1" x14ac:dyDescent="0.3">
      <c r="O141" s="17"/>
      <c r="P141" s="17"/>
      <c r="Q141" s="17" t="s">
        <v>164</v>
      </c>
      <c r="R141" s="17"/>
      <c r="S141" s="37"/>
      <c r="T141" s="37"/>
      <c r="U141" s="37">
        <f>'M1 Härtekammern'!T140</f>
        <v>129.59200000000001</v>
      </c>
      <c r="V141" s="17"/>
      <c r="W141" s="17"/>
      <c r="X141" s="37">
        <f>S141+T141</f>
        <v>0</v>
      </c>
      <c r="Y141" s="37">
        <f>SUM(S141:U141)</f>
        <v>129.59200000000001</v>
      </c>
      <c r="Z141" s="17" t="s">
        <v>184</v>
      </c>
      <c r="AA141" s="42"/>
      <c r="AB141" s="17"/>
      <c r="AC141" s="17"/>
      <c r="AD141" s="17"/>
      <c r="AE141" s="17"/>
      <c r="AF141" s="17"/>
      <c r="AG141" s="17"/>
      <c r="AH141" s="17"/>
      <c r="AI141" s="17"/>
    </row>
    <row r="142" spans="15:47" ht="15.75" hidden="1" outlineLevel="1" x14ac:dyDescent="0.3">
      <c r="O142" s="17"/>
      <c r="P142" s="17"/>
      <c r="Q142" s="17" t="s">
        <v>165</v>
      </c>
      <c r="R142" s="17"/>
      <c r="S142" s="37"/>
      <c r="T142" s="37"/>
      <c r="U142" s="37">
        <f>'M1 Härtekammern'!T141</f>
        <v>0</v>
      </c>
      <c r="V142" s="17"/>
      <c r="W142" s="17"/>
      <c r="X142" s="37">
        <f t="shared" ref="X142:X143" si="28">S142+T142</f>
        <v>0</v>
      </c>
      <c r="Y142" s="37">
        <f t="shared" ref="Y142:Y143" si="29">SUM(S142:U142)</f>
        <v>0</v>
      </c>
      <c r="Z142" s="17" t="s">
        <v>184</v>
      </c>
      <c r="AA142" s="42"/>
      <c r="AB142" s="17"/>
      <c r="AC142" s="17"/>
      <c r="AD142" s="17"/>
      <c r="AE142" s="30"/>
      <c r="AF142" s="17"/>
      <c r="AG142" s="17"/>
      <c r="AH142" s="66"/>
      <c r="AI142" s="17"/>
    </row>
    <row r="143" spans="15:47" ht="15.75" hidden="1" outlineLevel="1" x14ac:dyDescent="0.3">
      <c r="O143" s="17"/>
      <c r="P143" s="17"/>
      <c r="Q143" s="17" t="s">
        <v>166</v>
      </c>
      <c r="R143" s="17"/>
      <c r="S143" s="37"/>
      <c r="T143" s="37"/>
      <c r="U143" s="37">
        <f>'M1 Härtekammern'!T142</f>
        <v>0</v>
      </c>
      <c r="V143" s="17"/>
      <c r="W143" s="17"/>
      <c r="X143" s="37">
        <f t="shared" si="28"/>
        <v>0</v>
      </c>
      <c r="Y143" s="37">
        <f t="shared" si="29"/>
        <v>0</v>
      </c>
      <c r="Z143" s="17" t="s">
        <v>184</v>
      </c>
      <c r="AA143" s="42"/>
      <c r="AB143" s="42"/>
      <c r="AC143" s="42"/>
      <c r="AD143" s="42"/>
      <c r="AE143" s="42"/>
      <c r="AF143" s="42"/>
      <c r="AG143" s="42"/>
      <c r="AH143" s="42"/>
    </row>
    <row r="144" spans="15:47" ht="15.75" hidden="1" outlineLevel="1" x14ac:dyDescent="0.3">
      <c r="O144" s="17"/>
      <c r="P144" s="17"/>
      <c r="Q144" s="17" t="str">
        <f>'M1 Härtekammern'!P143</f>
        <v>Weiterer Zuschlagstoff 1</v>
      </c>
      <c r="R144" s="17"/>
      <c r="S144" s="37"/>
      <c r="T144" s="37"/>
      <c r="U144" s="37">
        <f>'M1 Härtekammern'!T143</f>
        <v>0</v>
      </c>
      <c r="V144" s="17"/>
      <c r="W144" s="17"/>
      <c r="X144" s="37">
        <f t="shared" ref="X144:X145" si="30">S144+T144</f>
        <v>0</v>
      </c>
      <c r="Y144" s="37">
        <f t="shared" ref="Y144:Y145" si="31">SUM(S144:U144)</f>
        <v>0</v>
      </c>
      <c r="Z144" s="17" t="s">
        <v>184</v>
      </c>
      <c r="AA144" s="42"/>
      <c r="AB144" s="42"/>
      <c r="AC144" s="42"/>
      <c r="AD144" s="42"/>
      <c r="AE144" s="42"/>
      <c r="AF144" s="42"/>
      <c r="AG144" s="42"/>
      <c r="AH144" s="42"/>
    </row>
    <row r="145" spans="15:34" ht="15.75" hidden="1" outlineLevel="1" x14ac:dyDescent="0.3">
      <c r="O145" s="17"/>
      <c r="P145" s="17"/>
      <c r="Q145" s="17" t="str">
        <f>'M1 Härtekammern'!P144</f>
        <v>Weiterer Zuschlagstoff 2</v>
      </c>
      <c r="R145" s="17"/>
      <c r="S145" s="37"/>
      <c r="T145" s="37"/>
      <c r="U145" s="37">
        <f>'M1 Härtekammern'!T144</f>
        <v>0</v>
      </c>
      <c r="V145" s="17"/>
      <c r="W145" s="17"/>
      <c r="X145" s="37">
        <f t="shared" si="30"/>
        <v>0</v>
      </c>
      <c r="Y145" s="37">
        <f t="shared" si="31"/>
        <v>0</v>
      </c>
      <c r="Z145" s="17" t="s">
        <v>184</v>
      </c>
      <c r="AA145" s="42"/>
      <c r="AB145" s="42"/>
      <c r="AC145" s="42"/>
      <c r="AD145" s="42"/>
      <c r="AE145" s="42"/>
      <c r="AF145" s="42"/>
      <c r="AG145" s="42"/>
      <c r="AH145" s="42"/>
    </row>
    <row r="146" spans="15:34" hidden="1" outlineLevel="1" x14ac:dyDescent="0.2">
      <c r="O146" s="17"/>
      <c r="P146" s="17"/>
      <c r="Q146" s="17"/>
      <c r="R146" s="17"/>
      <c r="S146" s="20"/>
      <c r="T146" s="20"/>
      <c r="U146" s="20"/>
      <c r="V146" s="17"/>
      <c r="W146" s="17"/>
      <c r="X146" s="17"/>
      <c r="Y146" s="20"/>
      <c r="Z146" s="20"/>
      <c r="AA146" s="42"/>
      <c r="AB146" s="42"/>
      <c r="AC146" s="42"/>
      <c r="AD146" s="42"/>
      <c r="AE146" s="42"/>
      <c r="AF146" s="42"/>
      <c r="AG146" s="42"/>
      <c r="AH146" s="42"/>
    </row>
    <row r="147" spans="15:34" ht="14.25" hidden="1" outlineLevel="1" x14ac:dyDescent="0.25">
      <c r="O147" s="17"/>
      <c r="P147" s="17"/>
      <c r="Q147" s="21" t="s">
        <v>55</v>
      </c>
      <c r="R147" s="21"/>
      <c r="S147" s="74"/>
      <c r="T147" s="74"/>
      <c r="U147" s="37">
        <f>'M1 Härtekammern'!T146</f>
        <v>208</v>
      </c>
      <c r="V147" s="21"/>
      <c r="W147" s="21"/>
      <c r="X147" s="74">
        <f>S147+T147</f>
        <v>0</v>
      </c>
      <c r="Y147" s="74">
        <f t="shared" ref="Y147" si="32">SUM(S147:U147)</f>
        <v>208</v>
      </c>
      <c r="Z147" s="21" t="s">
        <v>183</v>
      </c>
      <c r="AA147" s="42"/>
      <c r="AB147" s="42"/>
      <c r="AC147" s="42"/>
      <c r="AD147" s="42"/>
      <c r="AE147" s="42"/>
      <c r="AF147" s="42"/>
      <c r="AG147" s="42"/>
      <c r="AH147" s="42"/>
    </row>
    <row r="148" spans="15:34" hidden="1" outlineLevel="1" x14ac:dyDescent="0.2">
      <c r="O148" s="17"/>
      <c r="P148" s="17"/>
      <c r="Q148" s="17"/>
      <c r="R148" s="17"/>
      <c r="S148" s="20"/>
      <c r="T148" s="20"/>
      <c r="U148" s="20"/>
      <c r="V148" s="17"/>
      <c r="W148" s="17"/>
      <c r="X148" s="17"/>
      <c r="Y148" s="20"/>
      <c r="Z148" s="20"/>
      <c r="AA148" s="42"/>
      <c r="AB148" s="42"/>
      <c r="AC148" s="42"/>
      <c r="AD148" s="42"/>
      <c r="AE148" s="42"/>
      <c r="AF148" s="42"/>
      <c r="AG148" s="42"/>
      <c r="AH148" s="42"/>
    </row>
    <row r="149" spans="15:34" ht="14.25" hidden="1" outlineLevel="1" x14ac:dyDescent="0.25">
      <c r="O149" s="69"/>
      <c r="P149" s="69" t="s">
        <v>167</v>
      </c>
      <c r="Q149" s="70"/>
      <c r="R149" s="70"/>
      <c r="S149" s="71"/>
      <c r="T149" s="71"/>
      <c r="U149" s="71">
        <f>SUM(U150:U154)</f>
        <v>81.003999999999991</v>
      </c>
      <c r="V149" s="70"/>
      <c r="W149" s="70"/>
      <c r="X149" s="71">
        <f t="shared" ref="X149" si="33">S149+T149</f>
        <v>0</v>
      </c>
      <c r="Y149" s="71">
        <f t="shared" ref="Y149" si="34">SUM(S149:U149)</f>
        <v>81.003999999999991</v>
      </c>
      <c r="Z149" s="76" t="s">
        <v>183</v>
      </c>
      <c r="AA149" s="42"/>
      <c r="AB149" s="42"/>
      <c r="AC149" s="42"/>
      <c r="AD149" s="42"/>
      <c r="AE149" s="42"/>
      <c r="AF149" s="42"/>
      <c r="AG149" s="42"/>
      <c r="AH149" s="42"/>
    </row>
    <row r="150" spans="15:34" ht="15.75" hidden="1" outlineLevel="1" x14ac:dyDescent="0.3">
      <c r="O150" s="17"/>
      <c r="P150" s="17"/>
      <c r="Q150" s="17" t="s">
        <v>57</v>
      </c>
      <c r="R150" s="17"/>
      <c r="S150" s="37"/>
      <c r="T150" s="37"/>
      <c r="U150" s="37">
        <f>'M1 Härtekammern'!T149</f>
        <v>0</v>
      </c>
      <c r="V150" s="17"/>
      <c r="W150" s="17"/>
      <c r="X150" s="37">
        <f>S150+T150</f>
        <v>0</v>
      </c>
      <c r="Y150" s="37">
        <f>SUM(S150:U150)</f>
        <v>0</v>
      </c>
      <c r="Z150" s="17" t="s">
        <v>184</v>
      </c>
      <c r="AA150" s="42"/>
      <c r="AB150" s="42"/>
      <c r="AC150" s="42"/>
      <c r="AD150" s="42"/>
      <c r="AE150" s="42"/>
      <c r="AF150" s="42"/>
      <c r="AG150" s="42"/>
      <c r="AH150" s="42"/>
    </row>
    <row r="151" spans="15:34" ht="15.75" hidden="1" outlineLevel="1" x14ac:dyDescent="0.3">
      <c r="O151" s="17"/>
      <c r="P151" s="17"/>
      <c r="Q151" s="17" t="s">
        <v>58</v>
      </c>
      <c r="R151" s="17"/>
      <c r="S151" s="37"/>
      <c r="T151" s="37"/>
      <c r="U151" s="37">
        <f>'M1 Härtekammern'!T150</f>
        <v>8.6840000000000011</v>
      </c>
      <c r="V151" s="17"/>
      <c r="W151" s="17"/>
      <c r="X151" s="37">
        <f>S151+T151</f>
        <v>0</v>
      </c>
      <c r="Y151" s="37">
        <f>SUM(S151:U151)</f>
        <v>8.6840000000000011</v>
      </c>
      <c r="Z151" s="17" t="s">
        <v>184</v>
      </c>
      <c r="AA151" s="42"/>
      <c r="AB151" s="42"/>
      <c r="AC151" s="42"/>
      <c r="AD151" s="42"/>
      <c r="AE151" s="42"/>
      <c r="AF151" s="42"/>
      <c r="AG151" s="42"/>
      <c r="AH151" s="42"/>
    </row>
    <row r="152" spans="15:34" ht="15.75" hidden="1" outlineLevel="1" x14ac:dyDescent="0.3">
      <c r="O152" s="17"/>
      <c r="P152" s="17"/>
      <c r="Q152" s="17" t="s">
        <v>59</v>
      </c>
      <c r="R152" s="17"/>
      <c r="S152" s="37"/>
      <c r="T152" s="37"/>
      <c r="U152" s="37">
        <f>'M1 Härtekammern'!T151</f>
        <v>72.319999999999993</v>
      </c>
      <c r="V152" s="17"/>
      <c r="W152" s="17"/>
      <c r="X152" s="37">
        <f>S152+T152</f>
        <v>0</v>
      </c>
      <c r="Y152" s="37">
        <f>SUM(S152:U152)</f>
        <v>72.319999999999993</v>
      </c>
      <c r="Z152" s="17" t="s">
        <v>184</v>
      </c>
      <c r="AA152" s="42"/>
      <c r="AB152" s="42"/>
      <c r="AC152" s="42"/>
      <c r="AD152" s="42"/>
      <c r="AE152" s="42"/>
      <c r="AF152" s="42"/>
      <c r="AG152" s="42"/>
      <c r="AH152" s="42"/>
    </row>
    <row r="153" spans="15:34" ht="15.75" hidden="1" outlineLevel="1" x14ac:dyDescent="0.3">
      <c r="O153" s="17"/>
      <c r="P153" s="17"/>
      <c r="Q153" s="17" t="str">
        <f>'M1 Härtekammern'!P152</f>
        <v>Weiterer Zusatzstoff 1</v>
      </c>
      <c r="R153" s="17"/>
      <c r="S153" s="37"/>
      <c r="T153" s="37"/>
      <c r="U153" s="37">
        <f>'M1 Härtekammern'!T152</f>
        <v>0</v>
      </c>
      <c r="V153" s="17"/>
      <c r="W153" s="17"/>
      <c r="X153" s="37">
        <f t="shared" ref="X153:X154" si="35">S153+T153</f>
        <v>0</v>
      </c>
      <c r="Y153" s="37">
        <f t="shared" ref="Y153:Y154" si="36">SUM(S153:U153)</f>
        <v>0</v>
      </c>
      <c r="Z153" s="17" t="s">
        <v>184</v>
      </c>
      <c r="AA153" s="42"/>
      <c r="AB153" s="42"/>
      <c r="AC153" s="42"/>
      <c r="AD153" s="42"/>
      <c r="AE153" s="42"/>
      <c r="AF153" s="42"/>
      <c r="AG153" s="42"/>
      <c r="AH153" s="42"/>
    </row>
    <row r="154" spans="15:34" ht="15.75" hidden="1" outlineLevel="1" x14ac:dyDescent="0.3">
      <c r="O154" s="17"/>
      <c r="P154" s="17"/>
      <c r="Q154" s="17" t="str">
        <f>'M1 Härtekammern'!P153</f>
        <v>Weiterer Zusatzstoff 2</v>
      </c>
      <c r="R154" s="17"/>
      <c r="S154" s="37"/>
      <c r="T154" s="37"/>
      <c r="U154" s="37">
        <f>'M1 Härtekammern'!T153</f>
        <v>0</v>
      </c>
      <c r="V154" s="17"/>
      <c r="W154" s="17"/>
      <c r="X154" s="37">
        <f t="shared" si="35"/>
        <v>0</v>
      </c>
      <c r="Y154" s="37">
        <f t="shared" si="36"/>
        <v>0</v>
      </c>
      <c r="Z154" s="17" t="s">
        <v>184</v>
      </c>
      <c r="AA154" s="42"/>
      <c r="AB154" s="42"/>
      <c r="AC154" s="42"/>
      <c r="AD154" s="42"/>
      <c r="AE154" s="42"/>
      <c r="AF154" s="42"/>
      <c r="AG154" s="42"/>
      <c r="AH154" s="42"/>
    </row>
    <row r="155" spans="15:34" hidden="1" outlineLevel="1" x14ac:dyDescent="0.2">
      <c r="O155" s="17"/>
      <c r="P155" s="17"/>
      <c r="Q155" s="17"/>
      <c r="R155" s="17"/>
      <c r="S155" s="20"/>
      <c r="T155" s="20"/>
      <c r="U155" s="20"/>
      <c r="V155" s="17"/>
      <c r="W155" s="17"/>
      <c r="X155" s="17"/>
      <c r="Y155" s="20"/>
      <c r="Z155" s="20"/>
      <c r="AA155" s="42"/>
      <c r="AB155" s="42"/>
      <c r="AC155" s="42"/>
      <c r="AD155" s="42"/>
      <c r="AE155" s="42"/>
      <c r="AF155" s="42"/>
      <c r="AG155" s="42"/>
      <c r="AH155" s="42"/>
    </row>
    <row r="156" spans="15:34" ht="14.25" hidden="1" outlineLevel="1" x14ac:dyDescent="0.25">
      <c r="O156" s="69"/>
      <c r="P156" s="69" t="s">
        <v>49</v>
      </c>
      <c r="Q156" s="70"/>
      <c r="R156" s="70"/>
      <c r="S156" s="71"/>
      <c r="T156" s="71"/>
      <c r="U156" s="71">
        <f>SUM(U157:U160)</f>
        <v>148.44746134951595</v>
      </c>
      <c r="V156" s="70"/>
      <c r="W156" s="70"/>
      <c r="X156" s="71">
        <f t="shared" ref="X156:X160" si="37">S156+T156</f>
        <v>0</v>
      </c>
      <c r="Y156" s="71">
        <f t="shared" ref="Y156" si="38">SUM(S156:U156)</f>
        <v>148.44746134951595</v>
      </c>
      <c r="Z156" s="76" t="s">
        <v>183</v>
      </c>
      <c r="AA156" s="42"/>
      <c r="AB156" s="42"/>
      <c r="AC156" s="42"/>
      <c r="AD156" s="42"/>
      <c r="AE156" s="42"/>
      <c r="AF156" s="42"/>
      <c r="AG156" s="42"/>
      <c r="AH156" s="42"/>
    </row>
    <row r="157" spans="15:34" ht="15.75" hidden="1" outlineLevel="1" x14ac:dyDescent="0.3">
      <c r="O157" s="17"/>
      <c r="P157" s="17"/>
      <c r="Q157" s="17" t="s">
        <v>50</v>
      </c>
      <c r="R157" s="17"/>
      <c r="S157" s="37"/>
      <c r="T157" s="37"/>
      <c r="U157" s="37">
        <f>'M1 Härtekammern'!T156</f>
        <v>47.997919375812742</v>
      </c>
      <c r="V157" s="17"/>
      <c r="W157" s="17"/>
      <c r="X157" s="37">
        <f t="shared" si="37"/>
        <v>0</v>
      </c>
      <c r="Y157" s="37">
        <f t="shared" ref="Y157:Y160" si="39">SUM(S157:U157)</f>
        <v>47.997919375812742</v>
      </c>
      <c r="Z157" s="17" t="s">
        <v>184</v>
      </c>
      <c r="AA157" s="42"/>
      <c r="AB157" s="42"/>
      <c r="AC157" s="42"/>
      <c r="AD157" s="42"/>
      <c r="AE157" s="42"/>
      <c r="AF157" s="42"/>
      <c r="AG157" s="42"/>
      <c r="AH157" s="42"/>
    </row>
    <row r="158" spans="15:34" ht="15.75" hidden="1" outlineLevel="1" x14ac:dyDescent="0.3">
      <c r="O158" s="17"/>
      <c r="P158" s="17"/>
      <c r="Q158" s="17" t="s">
        <v>52</v>
      </c>
      <c r="R158" s="17"/>
      <c r="S158" s="37"/>
      <c r="T158" s="37"/>
      <c r="U158" s="37">
        <f>'M1 Härtekammern'!T157</f>
        <v>5.7797543707556596</v>
      </c>
      <c r="V158" s="17"/>
      <c r="W158" s="17"/>
      <c r="X158" s="37">
        <f t="shared" si="37"/>
        <v>0</v>
      </c>
      <c r="Y158" s="37">
        <f t="shared" si="39"/>
        <v>5.7797543707556596</v>
      </c>
      <c r="Z158" s="17" t="s">
        <v>184</v>
      </c>
      <c r="AA158" s="42"/>
      <c r="AB158" s="42"/>
      <c r="AC158" s="42"/>
      <c r="AD158" s="42"/>
      <c r="AE158" s="42"/>
      <c r="AF158" s="42"/>
      <c r="AG158" s="42"/>
      <c r="AH158" s="42"/>
    </row>
    <row r="159" spans="15:34" ht="15.75" hidden="1" outlineLevel="1" x14ac:dyDescent="0.3">
      <c r="O159" s="17"/>
      <c r="P159" s="17"/>
      <c r="Q159" s="17" t="s">
        <v>53</v>
      </c>
      <c r="R159" s="17"/>
      <c r="S159" s="37"/>
      <c r="T159" s="37"/>
      <c r="U159" s="37">
        <f>'M1 Härtekammern'!T158</f>
        <v>1.4217598612917211E-2</v>
      </c>
      <c r="V159" s="17"/>
      <c r="W159" s="17"/>
      <c r="X159" s="37">
        <f t="shared" si="37"/>
        <v>0</v>
      </c>
      <c r="Y159" s="37">
        <f t="shared" si="39"/>
        <v>1.4217598612917211E-2</v>
      </c>
      <c r="Z159" s="17" t="s">
        <v>184</v>
      </c>
      <c r="AA159" s="42"/>
      <c r="AB159" s="42"/>
      <c r="AC159" s="42"/>
      <c r="AD159" s="42"/>
      <c r="AE159" s="42"/>
      <c r="AF159" s="42"/>
      <c r="AG159" s="42"/>
      <c r="AH159" s="42"/>
    </row>
    <row r="160" spans="15:34" ht="15.75" hidden="1" outlineLevel="1" x14ac:dyDescent="0.3">
      <c r="O160" s="17"/>
      <c r="P160" s="17"/>
      <c r="Q160" s="17" t="s">
        <v>54</v>
      </c>
      <c r="R160" s="17"/>
      <c r="S160" s="37"/>
      <c r="T160" s="37"/>
      <c r="U160" s="37">
        <f>'M1 Härtekammern'!T159</f>
        <v>94.655570004334635</v>
      </c>
      <c r="V160" s="17"/>
      <c r="W160" s="17"/>
      <c r="X160" s="37">
        <f t="shared" si="37"/>
        <v>0</v>
      </c>
      <c r="Y160" s="37">
        <f t="shared" si="39"/>
        <v>94.655570004334635</v>
      </c>
      <c r="Z160" s="17" t="s">
        <v>184</v>
      </c>
      <c r="AA160" s="42"/>
      <c r="AB160" s="42"/>
      <c r="AC160" s="42"/>
      <c r="AD160" s="42"/>
      <c r="AE160" s="42"/>
      <c r="AF160" s="42"/>
      <c r="AG160" s="42"/>
      <c r="AH160" s="42"/>
    </row>
    <row r="161" spans="15:47" hidden="1" outlineLevel="1" x14ac:dyDescent="0.2">
      <c r="O161" s="17"/>
      <c r="P161" s="17"/>
      <c r="Q161" s="17"/>
      <c r="R161" s="17"/>
      <c r="S161" s="20"/>
      <c r="T161" s="20"/>
      <c r="U161" s="20"/>
      <c r="V161" s="17"/>
      <c r="W161" s="17"/>
      <c r="X161" s="20"/>
      <c r="Y161" s="20"/>
      <c r="Z161" s="17"/>
      <c r="AA161" s="42"/>
      <c r="AB161" s="42"/>
      <c r="AC161" s="42"/>
      <c r="AD161" s="42"/>
      <c r="AE161" s="42"/>
      <c r="AF161" s="42"/>
      <c r="AG161" s="42"/>
      <c r="AH161" s="42"/>
    </row>
    <row r="162" spans="15:47" ht="14.25" hidden="1" outlineLevel="1" x14ac:dyDescent="0.25">
      <c r="O162" s="17"/>
      <c r="P162" s="17"/>
      <c r="Q162" s="21" t="s">
        <v>99</v>
      </c>
      <c r="R162" s="21"/>
      <c r="S162" s="74"/>
      <c r="T162" s="74"/>
      <c r="U162" s="37">
        <f>'M1 Härtekammern'!T161</f>
        <v>0</v>
      </c>
      <c r="V162" s="21"/>
      <c r="W162" s="21"/>
      <c r="X162" s="74">
        <f>S162+T162</f>
        <v>0</v>
      </c>
      <c r="Y162" s="74">
        <f>SUM(S162:U162)</f>
        <v>0</v>
      </c>
      <c r="Z162" s="21" t="s">
        <v>183</v>
      </c>
      <c r="AA162" s="42"/>
      <c r="AB162" s="42"/>
      <c r="AC162" s="42"/>
      <c r="AD162" s="42"/>
      <c r="AE162" s="42"/>
      <c r="AF162" s="42"/>
      <c r="AG162" s="42"/>
      <c r="AH162" s="42"/>
    </row>
    <row r="163" spans="15:47" ht="14.25" hidden="1" outlineLevel="1" x14ac:dyDescent="0.25">
      <c r="O163" s="17"/>
      <c r="P163" s="17"/>
      <c r="Q163" s="21" t="s">
        <v>62</v>
      </c>
      <c r="R163" s="21"/>
      <c r="S163" s="74"/>
      <c r="T163" s="74"/>
      <c r="U163" s="37">
        <f>'M1 Härtekammern'!T162</f>
        <v>0.54400000000000004</v>
      </c>
      <c r="V163" s="21"/>
      <c r="W163" s="21"/>
      <c r="X163" s="74">
        <f>S163+T163</f>
        <v>0</v>
      </c>
      <c r="Y163" s="74">
        <f>SUM(S163:U163)</f>
        <v>0.54400000000000004</v>
      </c>
      <c r="Z163" s="21" t="s">
        <v>183</v>
      </c>
      <c r="AA163" s="42"/>
      <c r="AB163" s="42"/>
      <c r="AC163" s="42"/>
      <c r="AD163" s="42"/>
      <c r="AE163" s="42"/>
      <c r="AF163" s="42"/>
      <c r="AG163" s="42"/>
      <c r="AH163" s="42"/>
    </row>
    <row r="164" spans="15:47" hidden="1" outlineLevel="1" x14ac:dyDescent="0.2">
      <c r="O164" s="17"/>
      <c r="P164" s="17"/>
      <c r="Q164" s="17"/>
      <c r="R164" s="17"/>
      <c r="S164" s="20"/>
      <c r="T164" s="20"/>
      <c r="U164" s="20"/>
      <c r="V164" s="17"/>
      <c r="W164" s="17"/>
      <c r="X164" s="20"/>
      <c r="Y164" s="20"/>
      <c r="Z164" s="17"/>
      <c r="AA164" s="42"/>
      <c r="AB164" s="42"/>
      <c r="AC164" s="42"/>
      <c r="AD164" s="42"/>
      <c r="AE164" s="42"/>
      <c r="AF164" s="42"/>
      <c r="AG164" s="42"/>
      <c r="AH164" s="42"/>
    </row>
    <row r="165" spans="15:47" ht="14.25" hidden="1" outlineLevel="1" x14ac:dyDescent="0.25">
      <c r="O165" s="69"/>
      <c r="P165" s="69" t="s">
        <v>168</v>
      </c>
      <c r="Q165" s="70"/>
      <c r="R165" s="70"/>
      <c r="S165" s="71"/>
      <c r="T165" s="71"/>
      <c r="U165" s="71">
        <f>SUM(U166:U168)</f>
        <v>0.16095999999999999</v>
      </c>
      <c r="V165" s="70"/>
      <c r="W165" s="70"/>
      <c r="X165" s="71">
        <f t="shared" ref="X165:X168" si="40">S165+T165</f>
        <v>0</v>
      </c>
      <c r="Y165" s="71">
        <f t="shared" ref="Y165" si="41">SUM(S165:U165)</f>
        <v>0.16095999999999999</v>
      </c>
      <c r="Z165" s="76" t="s">
        <v>183</v>
      </c>
      <c r="AA165" s="42"/>
      <c r="AB165" s="42"/>
      <c r="AC165" s="42"/>
      <c r="AD165" s="42"/>
      <c r="AE165" s="42"/>
      <c r="AF165" s="42"/>
      <c r="AG165" s="42"/>
      <c r="AH165" s="42"/>
    </row>
    <row r="166" spans="15:47" ht="15.75" hidden="1" outlineLevel="1" x14ac:dyDescent="0.3">
      <c r="O166" s="17"/>
      <c r="P166" s="17"/>
      <c r="Q166" s="17" t="s">
        <v>169</v>
      </c>
      <c r="R166" s="17"/>
      <c r="S166" s="37"/>
      <c r="T166" s="37"/>
      <c r="U166" s="37">
        <f>'M1 Härtekammern'!T165</f>
        <v>0</v>
      </c>
      <c r="V166" s="17"/>
      <c r="W166" s="17"/>
      <c r="X166" s="37">
        <f t="shared" si="40"/>
        <v>0</v>
      </c>
      <c r="Y166" s="37">
        <f t="shared" ref="Y166:Y168" si="42">SUM(S166:U166)</f>
        <v>0</v>
      </c>
      <c r="Z166" s="17" t="s">
        <v>184</v>
      </c>
      <c r="AA166" s="42"/>
      <c r="AB166" s="42"/>
      <c r="AC166" s="42"/>
      <c r="AD166" s="42"/>
      <c r="AE166" s="42"/>
      <c r="AF166" s="42"/>
      <c r="AG166" s="42"/>
      <c r="AH166" s="42"/>
    </row>
    <row r="167" spans="15:47" ht="15.75" hidden="1" outlineLevel="1" x14ac:dyDescent="0.3">
      <c r="O167" s="17"/>
      <c r="P167" s="17"/>
      <c r="Q167" s="17" t="s">
        <v>60</v>
      </c>
      <c r="R167" s="17"/>
      <c r="S167" s="37"/>
      <c r="T167" s="37"/>
      <c r="U167" s="37">
        <f>'M1 Härtekammern'!T166</f>
        <v>0.16095999999999999</v>
      </c>
      <c r="V167" s="17"/>
      <c r="W167" s="17"/>
      <c r="X167" s="37">
        <f t="shared" si="40"/>
        <v>0</v>
      </c>
      <c r="Y167" s="37">
        <f t="shared" si="42"/>
        <v>0.16095999999999999</v>
      </c>
      <c r="Z167" s="17" t="s">
        <v>184</v>
      </c>
      <c r="AA167" s="42"/>
      <c r="AB167" s="42"/>
      <c r="AC167" s="42"/>
      <c r="AD167" s="42"/>
      <c r="AE167" s="42"/>
      <c r="AF167" s="42"/>
      <c r="AG167" s="42"/>
      <c r="AH167" s="42"/>
    </row>
    <row r="168" spans="15:47" s="72" customFormat="1" ht="15.75" hidden="1" outlineLevel="1" x14ac:dyDescent="0.3">
      <c r="O168" s="17"/>
      <c r="P168" s="17"/>
      <c r="Q168" s="17" t="s">
        <v>170</v>
      </c>
      <c r="R168" s="17"/>
      <c r="S168" s="37"/>
      <c r="T168" s="37"/>
      <c r="U168" s="37">
        <f>'M1 Härtekammern'!T167</f>
        <v>0</v>
      </c>
      <c r="V168" s="17"/>
      <c r="W168" s="17"/>
      <c r="X168" s="37">
        <f t="shared" si="40"/>
        <v>0</v>
      </c>
      <c r="Y168" s="37">
        <f t="shared" si="42"/>
        <v>0</v>
      </c>
      <c r="Z168" s="17" t="s">
        <v>184</v>
      </c>
      <c r="AA168" s="42"/>
      <c r="AB168" s="42"/>
      <c r="AC168" s="42"/>
      <c r="AD168" s="42"/>
      <c r="AE168" s="42"/>
      <c r="AF168" s="42"/>
      <c r="AG168" s="42"/>
      <c r="AH168" s="42"/>
      <c r="AI168" s="6"/>
      <c r="AJ168" s="6"/>
      <c r="AK168" s="6"/>
      <c r="AL168" s="6"/>
      <c r="AM168" s="6"/>
      <c r="AN168" s="6"/>
      <c r="AO168" s="6"/>
      <c r="AP168" s="6"/>
      <c r="AQ168" s="6"/>
      <c r="AR168" s="6"/>
      <c r="AS168" s="6"/>
      <c r="AT168" s="6"/>
      <c r="AU168" s="6"/>
    </row>
    <row r="169" spans="15:47" hidden="1" outlineLevel="1" x14ac:dyDescent="0.2">
      <c r="O169" s="17"/>
      <c r="P169" s="17"/>
      <c r="Q169" s="17"/>
      <c r="R169" s="17"/>
      <c r="S169" s="20"/>
      <c r="T169" s="20"/>
      <c r="U169" s="20"/>
      <c r="V169" s="17"/>
      <c r="W169" s="17"/>
      <c r="X169" s="17"/>
      <c r="Y169" s="17"/>
      <c r="Z169" s="20"/>
      <c r="AA169" s="42"/>
      <c r="AB169" s="42"/>
      <c r="AC169" s="42"/>
      <c r="AD169" s="42"/>
      <c r="AE169" s="42"/>
      <c r="AF169" s="42"/>
      <c r="AG169" s="42"/>
      <c r="AH169" s="42"/>
    </row>
    <row r="170" spans="15:47" ht="14.25" hidden="1" outlineLevel="1" x14ac:dyDescent="0.25">
      <c r="O170" s="69"/>
      <c r="P170" s="69" t="s">
        <v>171</v>
      </c>
      <c r="Q170" s="70"/>
      <c r="R170" s="70"/>
      <c r="S170" s="71"/>
      <c r="T170" s="71"/>
      <c r="U170" s="71">
        <f>SUM(U171:U173)</f>
        <v>60</v>
      </c>
      <c r="V170" s="70"/>
      <c r="W170" s="70"/>
      <c r="X170" s="71">
        <f>S170+T170</f>
        <v>0</v>
      </c>
      <c r="Y170" s="71">
        <f t="shared" ref="Y170" si="43">SUM(S170:U170)</f>
        <v>60</v>
      </c>
      <c r="Z170" s="76" t="s">
        <v>183</v>
      </c>
      <c r="AA170" s="42"/>
      <c r="AB170" s="42"/>
      <c r="AC170" s="42"/>
      <c r="AD170" s="42"/>
      <c r="AE170" s="42"/>
      <c r="AF170" s="42"/>
      <c r="AG170" s="42"/>
      <c r="AH170" s="42"/>
    </row>
    <row r="171" spans="15:47" ht="15.75" hidden="1" outlineLevel="1" x14ac:dyDescent="0.3">
      <c r="O171" s="17"/>
      <c r="P171" s="17"/>
      <c r="Q171" s="17" t="s">
        <v>64</v>
      </c>
      <c r="R171" s="17"/>
      <c r="S171" s="37"/>
      <c r="T171" s="37"/>
      <c r="U171" s="37">
        <f>'M1 Härtekammern'!T170</f>
        <v>60</v>
      </c>
      <c r="V171" s="17"/>
      <c r="W171" s="17"/>
      <c r="X171" s="37">
        <f>S171+T171</f>
        <v>0</v>
      </c>
      <c r="Y171" s="37">
        <f>SUM(S171:U171)</f>
        <v>60</v>
      </c>
      <c r="Z171" s="17" t="s">
        <v>184</v>
      </c>
      <c r="AA171" s="42"/>
      <c r="AB171" s="42"/>
      <c r="AC171" s="42"/>
      <c r="AD171" s="42"/>
      <c r="AE171" s="42"/>
      <c r="AF171" s="42"/>
      <c r="AG171" s="42"/>
      <c r="AH171" s="42"/>
    </row>
    <row r="172" spans="15:47" ht="15.75" hidden="1" outlineLevel="1" x14ac:dyDescent="0.3">
      <c r="O172" s="17"/>
      <c r="P172" s="17"/>
      <c r="Q172" s="17" t="s">
        <v>173</v>
      </c>
      <c r="R172" s="17"/>
      <c r="S172" s="37"/>
      <c r="T172" s="37"/>
      <c r="U172" s="37">
        <f>'M1 Härtekammern'!T171</f>
        <v>0</v>
      </c>
      <c r="V172" s="17"/>
      <c r="W172" s="17"/>
      <c r="X172" s="37">
        <f t="shared" ref="X172:X173" si="44">S172+T172</f>
        <v>0</v>
      </c>
      <c r="Y172" s="37">
        <f t="shared" ref="Y172:Y173" si="45">SUM(S172:U172)</f>
        <v>0</v>
      </c>
      <c r="Z172" s="17" t="s">
        <v>184</v>
      </c>
      <c r="AA172" s="42"/>
      <c r="AB172" s="42"/>
      <c r="AC172" s="42"/>
      <c r="AD172" s="42"/>
      <c r="AE172" s="42"/>
      <c r="AF172" s="42"/>
      <c r="AG172" s="42"/>
      <c r="AH172" s="42"/>
    </row>
    <row r="173" spans="15:47" ht="15.75" hidden="1" outlineLevel="1" x14ac:dyDescent="0.3">
      <c r="O173" s="17"/>
      <c r="P173" s="17"/>
      <c r="Q173" s="17" t="s">
        <v>172</v>
      </c>
      <c r="R173" s="17"/>
      <c r="S173" s="37"/>
      <c r="T173" s="37"/>
      <c r="U173" s="37">
        <f>'M1 Härtekammern'!T172</f>
        <v>0</v>
      </c>
      <c r="V173" s="17"/>
      <c r="W173" s="17"/>
      <c r="X173" s="37">
        <f t="shared" si="44"/>
        <v>0</v>
      </c>
      <c r="Y173" s="37">
        <f t="shared" si="45"/>
        <v>0</v>
      </c>
      <c r="Z173" s="17" t="s">
        <v>184</v>
      </c>
      <c r="AA173" s="42"/>
      <c r="AB173" s="42"/>
      <c r="AC173" s="42"/>
      <c r="AD173" s="42"/>
      <c r="AE173" s="42"/>
      <c r="AF173" s="42"/>
      <c r="AG173" s="42"/>
      <c r="AH173" s="42"/>
    </row>
    <row r="174" spans="15:47" hidden="1" outlineLevel="1" x14ac:dyDescent="0.2">
      <c r="O174" s="17"/>
      <c r="P174" s="17"/>
      <c r="Q174" s="17"/>
      <c r="R174" s="17"/>
      <c r="S174" s="20"/>
      <c r="T174" s="20"/>
      <c r="U174" s="20"/>
      <c r="V174" s="17"/>
      <c r="W174" s="17"/>
      <c r="X174" s="17"/>
      <c r="Y174" s="17"/>
      <c r="Z174" s="20"/>
      <c r="AA174" s="42"/>
      <c r="AB174" s="42"/>
      <c r="AC174" s="42"/>
      <c r="AD174" s="42"/>
      <c r="AE174" s="42"/>
      <c r="AF174" s="42"/>
      <c r="AG174" s="42"/>
      <c r="AH174" s="42"/>
    </row>
    <row r="175" spans="15:47" ht="14.25" hidden="1" outlineLevel="1" x14ac:dyDescent="0.25">
      <c r="O175" s="17"/>
      <c r="P175" s="17"/>
      <c r="Q175" s="21" t="s">
        <v>61</v>
      </c>
      <c r="R175" s="21"/>
      <c r="S175" s="74"/>
      <c r="T175" s="74"/>
      <c r="U175" s="37">
        <f>'M1 Härtekammern'!T174</f>
        <v>64.48</v>
      </c>
      <c r="V175" s="21"/>
      <c r="W175" s="21"/>
      <c r="X175" s="74">
        <f t="shared" ref="X175" si="46">S175+T175</f>
        <v>0</v>
      </c>
      <c r="Y175" s="74">
        <f t="shared" ref="Y175" si="47">SUM(S175:U175)</f>
        <v>64.48</v>
      </c>
      <c r="Z175" s="21" t="s">
        <v>183</v>
      </c>
    </row>
    <row r="176" spans="15:47" hidden="1" outlineLevel="1" x14ac:dyDescent="0.2">
      <c r="O176" s="17"/>
      <c r="P176" s="17"/>
      <c r="Q176" s="17"/>
      <c r="R176" s="17"/>
      <c r="S176" s="20"/>
      <c r="T176" s="20"/>
      <c r="U176" s="20"/>
      <c r="V176" s="17"/>
      <c r="W176" s="17"/>
      <c r="X176" s="17"/>
      <c r="Y176" s="17"/>
      <c r="Z176" s="20"/>
    </row>
    <row r="177" spans="15:35" ht="16.5" hidden="1" outlineLevel="1" thickBot="1" x14ac:dyDescent="0.3">
      <c r="O177" s="17"/>
      <c r="P177" s="17"/>
      <c r="Q177" s="67" t="s">
        <v>67</v>
      </c>
      <c r="R177" s="67"/>
      <c r="S177" s="68">
        <f>SUM(S116:S175)-S130-S134-S140-S149-S156-S165-S170</f>
        <v>80.312884479999994</v>
      </c>
      <c r="T177" s="68">
        <f>SUM(T116:T175)-T130-T134-T140-T149-T156-T165-T170</f>
        <v>136.39371159230473</v>
      </c>
      <c r="U177" s="68">
        <f>SUM(U116:U175)-U130-U134-U140-U149-U156-U165-U170</f>
        <v>5743.4225406870301</v>
      </c>
      <c r="V177" s="21"/>
      <c r="W177" s="21"/>
      <c r="X177" s="68">
        <f>SUM(X116:X175)-X130-X134-X140-X149-X156-X165-X170</f>
        <v>216.70659607230471</v>
      </c>
      <c r="Y177" s="68">
        <f>SUM(Y116:Y175)-Y130-Y134-Y140-Y149-Y156-Y165-Y170</f>
        <v>5960.1291367593331</v>
      </c>
      <c r="Z177" s="68" t="s">
        <v>183</v>
      </c>
      <c r="AB177" s="22" t="s">
        <v>488</v>
      </c>
      <c r="AC177" s="17"/>
      <c r="AD177" s="17"/>
      <c r="AE177" s="17"/>
      <c r="AF177" s="17"/>
      <c r="AG177" s="17"/>
      <c r="AH177" s="17"/>
      <c r="AI177" s="17"/>
    </row>
    <row r="178" spans="15:35" ht="15.75" hidden="1" outlineLevel="1" thickTop="1" x14ac:dyDescent="0.25">
      <c r="O178" s="17"/>
      <c r="P178" s="17"/>
      <c r="Q178" s="17"/>
      <c r="R178" s="17"/>
      <c r="S178" s="20"/>
      <c r="T178" s="20"/>
      <c r="U178" s="20"/>
      <c r="V178" s="17"/>
      <c r="W178" s="17"/>
      <c r="X178" s="17"/>
      <c r="Y178" s="17"/>
      <c r="Z178" s="20"/>
      <c r="AB178" s="64">
        <f>P182</f>
        <v>10</v>
      </c>
      <c r="AC178" s="17"/>
      <c r="AD178" s="17"/>
      <c r="AE178" s="17"/>
      <c r="AF178" s="17"/>
      <c r="AG178" s="17"/>
      <c r="AH178" s="17"/>
      <c r="AI178" s="17"/>
    </row>
    <row r="179" spans="15:35" hidden="1" outlineLevel="1" x14ac:dyDescent="0.2">
      <c r="AB179" s="17"/>
      <c r="AC179" s="17"/>
      <c r="AD179" s="17"/>
      <c r="AE179" s="17"/>
      <c r="AF179" s="17"/>
      <c r="AG179" s="17"/>
      <c r="AH179" s="17"/>
      <c r="AI179" s="17"/>
    </row>
    <row r="180" spans="15:35" hidden="1" outlineLevel="1" x14ac:dyDescent="0.2">
      <c r="AB180" s="17" t="s">
        <v>474</v>
      </c>
      <c r="AC180" s="17"/>
      <c r="AD180" s="17"/>
      <c r="AE180" s="17"/>
      <c r="AF180" s="17"/>
      <c r="AG180" s="17"/>
      <c r="AH180" s="17"/>
      <c r="AI180" s="17"/>
    </row>
    <row r="181" spans="15:35" ht="15.75" hidden="1" outlineLevel="1" x14ac:dyDescent="0.25">
      <c r="O181" s="22"/>
      <c r="P181" s="22" t="s">
        <v>103</v>
      </c>
      <c r="Q181" s="17"/>
      <c r="R181" s="17"/>
      <c r="S181" s="17"/>
      <c r="T181" s="17"/>
      <c r="U181" s="17"/>
      <c r="V181" s="17"/>
      <c r="W181" s="17"/>
      <c r="X181" s="17"/>
      <c r="Y181" s="17"/>
      <c r="Z181" s="17"/>
      <c r="AB181" s="17"/>
      <c r="AC181" s="17"/>
      <c r="AD181" s="17"/>
      <c r="AE181" s="18"/>
      <c r="AF181" s="17"/>
      <c r="AG181" s="17"/>
      <c r="AH181" s="18"/>
      <c r="AI181" s="18"/>
    </row>
    <row r="182" spans="15:35" ht="15" hidden="1" outlineLevel="1" x14ac:dyDescent="0.25">
      <c r="O182" s="64"/>
      <c r="P182" s="64">
        <f>T80</f>
        <v>10</v>
      </c>
      <c r="Q182" s="25"/>
      <c r="R182" s="25"/>
      <c r="S182" s="25"/>
      <c r="T182" s="25"/>
      <c r="U182" s="25"/>
      <c r="V182" s="25"/>
      <c r="W182" s="25"/>
      <c r="X182" s="25"/>
      <c r="Y182" s="25"/>
      <c r="Z182" s="25"/>
      <c r="AB182" s="17"/>
      <c r="AC182" s="17"/>
      <c r="AD182" s="17"/>
      <c r="AE182" s="18"/>
      <c r="AF182" s="17"/>
      <c r="AG182" s="17"/>
      <c r="AH182" s="18"/>
      <c r="AI182" s="18"/>
    </row>
    <row r="183" spans="15:35" hidden="1" outlineLevel="1" x14ac:dyDescent="0.2">
      <c r="O183" s="274"/>
      <c r="P183" s="17"/>
      <c r="Q183" s="17" t="s">
        <v>435</v>
      </c>
      <c r="R183" s="41">
        <f>IF(NOT(ISBLANK(K23)),K23,I23)-IF(NOT(ISBLANK(G23)),G23,E23)</f>
        <v>2</v>
      </c>
      <c r="S183" s="17"/>
      <c r="T183" s="17"/>
      <c r="U183" s="17"/>
      <c r="V183" s="17"/>
      <c r="W183" s="17"/>
      <c r="X183" s="17"/>
      <c r="Y183" s="17"/>
      <c r="Z183" s="17"/>
      <c r="AB183" s="17" t="s">
        <v>132</v>
      </c>
      <c r="AC183" s="17"/>
      <c r="AD183" s="17"/>
      <c r="AE183" s="18"/>
      <c r="AF183" s="17"/>
      <c r="AG183" s="17"/>
      <c r="AH183" s="18"/>
      <c r="AI183" s="18"/>
    </row>
    <row r="184" spans="15:35" hidden="1" outlineLevel="1" x14ac:dyDescent="0.2">
      <c r="O184" s="17"/>
      <c r="P184" s="17"/>
      <c r="Q184" s="17"/>
      <c r="R184" s="17"/>
      <c r="S184" s="17"/>
      <c r="T184" s="17"/>
      <c r="U184" s="17"/>
      <c r="V184" s="17"/>
      <c r="W184" s="17"/>
      <c r="X184" s="17"/>
      <c r="Y184" s="17"/>
      <c r="Z184" s="17"/>
      <c r="AB184" s="17"/>
      <c r="AC184" s="17" t="s">
        <v>114</v>
      </c>
      <c r="AD184" s="17"/>
      <c r="AE184" s="19"/>
      <c r="AF184" s="17"/>
      <c r="AG184" s="17"/>
      <c r="AH184" s="41">
        <f>IF(NOT(ISBLANK('Referenz Plattenfertiger'!$I16)),'Referenz Plattenfertiger'!$I16,'Referenz Plattenfertiger'!$F16)/1000*IF(NOT(ISBLANK('Eingabe Preise'!$O10)),'Eingabe Preise'!$O10,'Eingabe Preise'!$M10)</f>
        <v>11468</v>
      </c>
      <c r="AI184" s="20" t="s">
        <v>96</v>
      </c>
    </row>
    <row r="185" spans="15:35" ht="63.75" hidden="1" outlineLevel="1" x14ac:dyDescent="0.2">
      <c r="O185" s="17"/>
      <c r="P185" s="17"/>
      <c r="Q185" s="17"/>
      <c r="R185" s="17"/>
      <c r="S185" s="36" t="s">
        <v>25</v>
      </c>
      <c r="T185" s="36" t="s">
        <v>77</v>
      </c>
      <c r="U185" s="36" t="s">
        <v>27</v>
      </c>
      <c r="V185" s="17"/>
      <c r="W185" s="17"/>
      <c r="X185" s="39" t="s">
        <v>100</v>
      </c>
      <c r="Y185" s="40" t="s">
        <v>37</v>
      </c>
      <c r="Z185" s="17"/>
      <c r="AB185" s="17"/>
      <c r="AC185" s="17" t="s">
        <v>151</v>
      </c>
      <c r="AD185" s="17"/>
      <c r="AE185" s="20"/>
      <c r="AF185" s="17"/>
      <c r="AG185" s="17"/>
      <c r="AH185" s="41">
        <f>IF(NOT(ISBLANK('Referenz Plattenfertiger'!$I17)),'Referenz Plattenfertiger'!$I17,'Referenz Plattenfertiger'!$F17)/1000*IF(NOT(ISBLANK('Eingabe Preise'!$O11)),'Eingabe Preise'!$O11,'Eingabe Preise'!$M11)</f>
        <v>1104</v>
      </c>
      <c r="AI185" s="20" t="s">
        <v>96</v>
      </c>
    </row>
    <row r="186" spans="15:35" ht="14.25" hidden="1" outlineLevel="1" x14ac:dyDescent="0.25">
      <c r="O186" s="76"/>
      <c r="P186" s="76" t="s">
        <v>176</v>
      </c>
      <c r="Q186" s="76"/>
      <c r="R186" s="76"/>
      <c r="S186" s="77">
        <f>SUM(S188:S201)</f>
        <v>65.693413899999996</v>
      </c>
      <c r="T186" s="77">
        <f>SUM(T188:T201)</f>
        <v>72.889224607318326</v>
      </c>
      <c r="U186" s="77">
        <f>SUM(U188:U201)</f>
        <v>21.601201256046664</v>
      </c>
      <c r="V186" s="76"/>
      <c r="W186" s="76"/>
      <c r="X186" s="77">
        <f>S186+T186</f>
        <v>138.58263850731834</v>
      </c>
      <c r="Y186" s="77">
        <f>SUM(S186:U186)</f>
        <v>160.183839763365</v>
      </c>
      <c r="Z186" s="76" t="s">
        <v>183</v>
      </c>
      <c r="AB186" s="17"/>
      <c r="AC186" s="17" t="s">
        <v>138</v>
      </c>
      <c r="AD186" s="17"/>
      <c r="AE186" s="20"/>
      <c r="AF186" s="17"/>
      <c r="AG186" s="17"/>
      <c r="AH186" s="41">
        <f>IF(NOT(ISBLANK('Referenz Plattenfertiger'!$I18)),'Referenz Plattenfertiger'!$I18,'Referenz Plattenfertiger'!$F18)/1000*IF(NOT(ISBLANK('Eingabe Preise'!$O12)),'Eingabe Preise'!$O12,'Eingabe Preise'!$M12)</f>
        <v>7740</v>
      </c>
      <c r="AI186" s="20" t="s">
        <v>96</v>
      </c>
    </row>
    <row r="187" spans="15:35" hidden="1" outlineLevel="1" x14ac:dyDescent="0.2">
      <c r="O187" s="17"/>
      <c r="P187" s="17" t="s">
        <v>132</v>
      </c>
      <c r="Q187" s="17"/>
      <c r="R187" s="17"/>
      <c r="S187" s="17"/>
      <c r="T187" s="17"/>
      <c r="U187" s="17"/>
      <c r="V187" s="17"/>
      <c r="W187" s="17"/>
      <c r="X187" s="17"/>
      <c r="Y187" s="17"/>
      <c r="Z187" s="17"/>
      <c r="AB187" s="17"/>
      <c r="AC187" s="17" t="s">
        <v>115</v>
      </c>
      <c r="AD187" s="17"/>
      <c r="AE187" s="20"/>
      <c r="AF187" s="17"/>
      <c r="AG187" s="17"/>
      <c r="AH187" s="41">
        <f>IF(NOT(ISBLANK('Referenz Plattenfertiger'!$I19)),'Referenz Plattenfertiger'!$I19,'Referenz Plattenfertiger'!$F19)/1000*IF(NOT(ISBLANK('Eingabe Preise'!$O16)),'Eingabe Preise'!$O16,0)</f>
        <v>0</v>
      </c>
      <c r="AI187" s="20" t="s">
        <v>96</v>
      </c>
    </row>
    <row r="188" spans="15:35" ht="15.75" hidden="1" outlineLevel="1" x14ac:dyDescent="0.3">
      <c r="O188" s="17"/>
      <c r="P188" s="17"/>
      <c r="Q188" s="17" t="s">
        <v>114</v>
      </c>
      <c r="R188" s="17"/>
      <c r="S188" s="37">
        <f>IF(NOT(ISBLANK('Referenz Plattenfertiger'!$I16)),'Referenz Plattenfertiger'!$I16,'Referenz Plattenfertiger'!$F16)*IF(NOT(ISBLANK('Eingabe EF'!$AS9)),'Eingabe EF'!$AS9,'Eingabe EF'!$AQ9)</f>
        <v>34.434080000000002</v>
      </c>
      <c r="T188" s="37">
        <f>IF(NOT(ISBLANK('Referenz Plattenfertiger'!$I16)),'Referenz Plattenfertiger'!$I16,'Referenz Plattenfertiger'!$F16)*IF(NOT(ISBLANK('Eingabe EF'!$AW9)),'Eingabe EF'!$AW9,'Eingabe EF'!$AU9)</f>
        <v>0</v>
      </c>
      <c r="U188" s="37">
        <f>IF(NOT(ISBLANK('Referenz Plattenfertiger'!$I16)),'Referenz Plattenfertiger'!$I16,'Referenz Plattenfertiger'!$F16)*IF(NOT(ISBLANK('Eingabe EF'!$BA9)),'Eingabe EF'!$BA9,'Eingabe EF'!$AY9)</f>
        <v>5.8938000000000006</v>
      </c>
      <c r="V188" s="17"/>
      <c r="W188" s="17"/>
      <c r="X188" s="37">
        <f>S188+T188</f>
        <v>34.434080000000002</v>
      </c>
      <c r="Y188" s="37">
        <f>SUM(S188:U188)</f>
        <v>40.32788</v>
      </c>
      <c r="Z188" s="17" t="s">
        <v>184</v>
      </c>
      <c r="AB188" s="17" t="s">
        <v>133</v>
      </c>
      <c r="AC188" s="17"/>
      <c r="AD188" s="17"/>
      <c r="AE188" s="20"/>
      <c r="AF188" s="17"/>
      <c r="AG188" s="17"/>
      <c r="AH188" s="20"/>
      <c r="AI188" s="20"/>
    </row>
    <row r="189" spans="15:35" ht="15.75" hidden="1" outlineLevel="1" x14ac:dyDescent="0.3">
      <c r="O189" s="17"/>
      <c r="P189" s="17"/>
      <c r="Q189" s="17" t="s">
        <v>151</v>
      </c>
      <c r="R189" s="17"/>
      <c r="S189" s="37">
        <f>IF(NOT(ISBLANK('Referenz Plattenfertiger'!$I17)),'Referenz Plattenfertiger'!$I17,'Referenz Plattenfertiger'!$F17)*IF(NOT(ISBLANK('Eingabe EF'!$AS10)),'Eingabe EF'!$AS10,'Eingabe EF'!$AQ10)</f>
        <v>6.4022399999999999</v>
      </c>
      <c r="T189" s="37">
        <f>IF(NOT(ISBLANK('Referenz Plattenfertiger'!$I17)),'Referenz Plattenfertiger'!$I17,'Referenz Plattenfertiger'!$F17)*IF(NOT(ISBLANK('Eingabe EF'!$AW10)),'Eingabe EF'!$AW10,'Eingabe EF'!$AU10)</f>
        <v>0</v>
      </c>
      <c r="U189" s="37">
        <f>IF(NOT(ISBLANK('Referenz Plattenfertiger'!$I17)),'Referenz Plattenfertiger'!$I17,'Referenz Plattenfertiger'!$F17)*IF(NOT(ISBLANK('Eingabe EF'!$BA10)),'Eingabe EF'!$BA10,'Eingabe EF'!$AY10)</f>
        <v>0.949824</v>
      </c>
      <c r="V189" s="17"/>
      <c r="W189" s="17"/>
      <c r="X189" s="37">
        <f>S189+T189</f>
        <v>6.4022399999999999</v>
      </c>
      <c r="Y189" s="37">
        <f>SUM(S189:U189)</f>
        <v>7.3520640000000004</v>
      </c>
      <c r="Z189" s="17" t="s">
        <v>184</v>
      </c>
      <c r="AB189" s="17"/>
      <c r="AC189" s="17" t="s">
        <v>29</v>
      </c>
      <c r="AD189" s="17"/>
      <c r="AE189" s="20"/>
      <c r="AF189" s="17"/>
      <c r="AG189" s="17"/>
      <c r="AH189" s="41">
        <f>IF(NOT(ISBLANK('Referenz Plattenfertiger'!$I21)),'Referenz Plattenfertiger'!$I21,'Referenz Plattenfertiger'!$F21)/1000*IF(NOT(ISBLANK('Eingabe Preise'!$O10)),'Eingabe Preise'!$O10,'Eingabe Preise'!$M10)</f>
        <v>2867</v>
      </c>
      <c r="AI189" s="20" t="s">
        <v>96</v>
      </c>
    </row>
    <row r="190" spans="15:35" ht="15.75" hidden="1" outlineLevel="1" x14ac:dyDescent="0.3">
      <c r="O190" s="17"/>
      <c r="P190" s="17"/>
      <c r="Q190" s="17" t="s">
        <v>138</v>
      </c>
      <c r="R190" s="17"/>
      <c r="S190" s="37">
        <f>IF(NOT(ISBLANK('Referenz Plattenfertiger'!$I18)),'Referenz Plattenfertiger'!$I18,'Referenz Plattenfertiger'!$F18)*IF(NOT(ISBLANK('Eingabe EF'!$AS11)),'Eingabe EF'!$AS11,'Eingabe EF'!$AQ11)</f>
        <v>0</v>
      </c>
      <c r="T190" s="37">
        <f>IF(NOT(ISBLANK('Referenz Plattenfertiger'!$I18)),'Referenz Plattenfertiger'!$I18,'Referenz Plattenfertiger'!$F18)*IF(NOT(ISBLANK('Eingabe EF'!$AW11)),'Eingabe EF'!$AW11,'Eingabe EF'!$AU11)</f>
        <v>6.1552554846110556</v>
      </c>
      <c r="U190" s="37">
        <f>IF(NOT(ISBLANK('Referenz Plattenfertiger'!$I18)),'Referenz Plattenfertiger'!$I18,'Referenz Plattenfertiger'!$F18)*IF(NOT(ISBLANK('Eingabe EF'!$BA11)),'Eingabe EF'!$BA11,'Eingabe EF'!$AY11)</f>
        <v>0.90234111816287721</v>
      </c>
      <c r="V190" s="17"/>
      <c r="W190" s="17"/>
      <c r="X190" s="37">
        <f>S190+T190</f>
        <v>6.1552554846110556</v>
      </c>
      <c r="Y190" s="37">
        <f>SUM(S190:U190)</f>
        <v>7.0575966027739332</v>
      </c>
      <c r="Z190" s="17" t="s">
        <v>184</v>
      </c>
      <c r="AB190" s="17"/>
      <c r="AC190" s="17" t="s">
        <v>30</v>
      </c>
      <c r="AD190" s="17"/>
      <c r="AE190" s="20"/>
      <c r="AF190" s="17"/>
      <c r="AG190" s="17"/>
      <c r="AH190" s="41">
        <f>IF(NOT(ISBLANK('Referenz Plattenfertiger'!$I22)),'Referenz Plattenfertiger'!$I22,'Referenz Plattenfertiger'!$F22)/1000*IF(NOT(ISBLANK('Eingabe Preise'!$O11)),'Eingabe Preise'!$O11,'Eingabe Preise'!$M11)</f>
        <v>1656</v>
      </c>
      <c r="AI190" s="20" t="s">
        <v>96</v>
      </c>
    </row>
    <row r="191" spans="15:35" ht="15.75" hidden="1" outlineLevel="1" x14ac:dyDescent="0.3">
      <c r="O191" s="17"/>
      <c r="P191" s="17"/>
      <c r="Q191" s="17" t="s">
        <v>115</v>
      </c>
      <c r="R191" s="17"/>
      <c r="S191" s="43">
        <f>IF(NOT(ISBLANK('Referenz Plattenfertiger'!$I19)),'Referenz Plattenfertiger'!$I19,'Referenz Plattenfertiger'!$F19)*IF(NOT(ISBLANK('Eingabe EF'!$AS12)),'Eingabe EF'!$AS12,0)</f>
        <v>0</v>
      </c>
      <c r="T191" s="43">
        <f>IF(NOT(ISBLANK('Referenz Plattenfertiger'!$I19)),'Referenz Plattenfertiger'!$I19,'Referenz Plattenfertiger'!$F19)*IF(NOT(ISBLANK('Eingabe EF'!$AW12)),'Eingabe EF'!$AW12,0)</f>
        <v>0</v>
      </c>
      <c r="U191" s="43">
        <f>IF(NOT(ISBLANK('Referenz Plattenfertiger'!$I19)),'Referenz Plattenfertiger'!$I19,'Referenz Plattenfertiger'!$F19)*IF(NOT(ISBLANK('Eingabe EF'!$BA12)),'Eingabe EF'!$BA12,0)</f>
        <v>0</v>
      </c>
      <c r="V191" s="17"/>
      <c r="W191" s="17"/>
      <c r="X191" s="37">
        <f>S191+T191</f>
        <v>0</v>
      </c>
      <c r="Y191" s="37">
        <f>SUM(S191:U191)</f>
        <v>0</v>
      </c>
      <c r="Z191" s="17" t="s">
        <v>184</v>
      </c>
      <c r="AB191" s="17" t="s">
        <v>134</v>
      </c>
      <c r="AC191" s="17"/>
      <c r="AD191" s="17"/>
      <c r="AE191" s="20"/>
      <c r="AF191" s="17"/>
      <c r="AG191" s="17"/>
      <c r="AH191" s="20"/>
      <c r="AI191" s="20"/>
    </row>
    <row r="192" spans="15:35" hidden="1" outlineLevel="1" x14ac:dyDescent="0.2">
      <c r="O192" s="17"/>
      <c r="P192" s="17" t="s">
        <v>133</v>
      </c>
      <c r="Q192" s="17"/>
      <c r="R192" s="17"/>
      <c r="S192" s="17"/>
      <c r="T192" s="17"/>
      <c r="U192" s="17"/>
      <c r="V192" s="17"/>
      <c r="W192" s="17"/>
      <c r="X192" s="17"/>
      <c r="Y192" s="17"/>
      <c r="Z192" s="17"/>
      <c r="AB192" s="274"/>
      <c r="AC192" s="17" t="s">
        <v>136</v>
      </c>
      <c r="AD192" s="17"/>
      <c r="AE192" s="20"/>
      <c r="AF192" s="17"/>
      <c r="AG192" s="17"/>
      <c r="AH192" s="41">
        <f>(IF(NOT(ISBLANK('Referenz Plattenfertiger'!$I24)),'Referenz Plattenfertiger'!$I24,'Referenz Plattenfertiger'!$F24)+R110*E25+R183*I25)/1000*IF(NOT(ISBLANK('Eingabe Preise'!$O12)),'Eingabe Preise'!$O12,'Eingabe Preise'!$M12)</f>
        <v>83915.431666666656</v>
      </c>
      <c r="AI192" s="20" t="s">
        <v>96</v>
      </c>
    </row>
    <row r="193" spans="15:35" ht="15.75" hidden="1" outlineLevel="1" x14ac:dyDescent="0.3">
      <c r="O193" s="17"/>
      <c r="P193" s="17"/>
      <c r="Q193" s="17" t="s">
        <v>29</v>
      </c>
      <c r="R193" s="17"/>
      <c r="S193" s="43">
        <f>IF(NOT(ISBLANK('Referenz Plattenfertiger'!$I21)),'Referenz Plattenfertiger'!$I21,'Referenz Plattenfertiger'!$F21)*IF(NOT(ISBLANK('Eingabe EF'!$AS9)),'Eingabe EF'!$AS9,'Eingabe EF'!$AQ9)</f>
        <v>8.6085200000000004</v>
      </c>
      <c r="T193" s="43">
        <f>IF(NOT(ISBLANK('Referenz Plattenfertiger'!$I21)),'Referenz Plattenfertiger'!$I21,'Referenz Plattenfertiger'!$F21)*IF(NOT(ISBLANK('Eingabe EF'!$AW9)),'Eingabe EF'!$AW9,'Eingabe EF'!$AU9)</f>
        <v>0</v>
      </c>
      <c r="U193" s="43">
        <f>IF(NOT(ISBLANK('Referenz Plattenfertiger'!$I21)),'Referenz Plattenfertiger'!$I21,'Referenz Plattenfertiger'!$F21)*IF(NOT(ISBLANK('Eingabe EF'!$BA9)),'Eingabe EF'!$BA9,'Eingabe EF'!$AY9)</f>
        <v>1.4734500000000001</v>
      </c>
      <c r="V193" s="17"/>
      <c r="W193" s="17"/>
      <c r="X193" s="37">
        <f t="shared" ref="X193:X194" si="48">S193+T193</f>
        <v>8.6085200000000004</v>
      </c>
      <c r="Y193" s="37">
        <f t="shared" ref="Y193:Y194" si="49">SUM(S193:U193)</f>
        <v>10.08197</v>
      </c>
      <c r="Z193" s="17" t="s">
        <v>184</v>
      </c>
      <c r="AB193" s="17"/>
      <c r="AC193" s="17" t="s">
        <v>111</v>
      </c>
      <c r="AD193" s="17"/>
      <c r="AE193" s="20"/>
      <c r="AF193" s="17"/>
      <c r="AG193" s="17"/>
      <c r="AH193" s="41">
        <f>IF(NOT(ISBLANK('Referenz Plattenfertiger'!$I25)),'Referenz Plattenfertiger'!$I25,'Referenz Plattenfertiger'!$F25)/1000*IF(NOT(ISBLANK('Eingabe Preise'!$O13)),'Eingabe Preise'!$O13,'Eingabe Preise'!$M13)</f>
        <v>0</v>
      </c>
      <c r="AI193" s="20" t="s">
        <v>96</v>
      </c>
    </row>
    <row r="194" spans="15:35" ht="15.75" hidden="1" outlineLevel="1" x14ac:dyDescent="0.3">
      <c r="O194" s="17"/>
      <c r="P194" s="17"/>
      <c r="Q194" s="17" t="s">
        <v>30</v>
      </c>
      <c r="R194" s="17"/>
      <c r="S194" s="43">
        <f>IF(NOT(ISBLANK('Referenz Plattenfertiger'!$I22)),'Referenz Plattenfertiger'!$I22,'Referenz Plattenfertiger'!$F22)*IF(NOT(ISBLANK('Eingabe EF'!$AS10)),'Eingabe EF'!$AS10,'Eingabe EF'!$AQ10)</f>
        <v>9.6033600000000003</v>
      </c>
      <c r="T194" s="43">
        <f>IF(NOT(ISBLANK('Referenz Plattenfertiger'!$I22)),'Referenz Plattenfertiger'!$I22,'Referenz Plattenfertiger'!$F22)*IF(NOT(ISBLANK('Eingabe EF'!$AW10)),'Eingabe EF'!$AW10,'Eingabe EF'!$AU10)</f>
        <v>0</v>
      </c>
      <c r="U194" s="43">
        <f>IF(NOT(ISBLANK('Referenz Plattenfertiger'!$I22)),'Referenz Plattenfertiger'!$I22,'Referenz Plattenfertiger'!$F22)*IF(NOT(ISBLANK('Eingabe EF'!$BA10)),'Eingabe EF'!$BA10,'Eingabe EF'!$AY10)</f>
        <v>1.424736</v>
      </c>
      <c r="V194" s="17"/>
      <c r="W194" s="17"/>
      <c r="X194" s="37">
        <f t="shared" si="48"/>
        <v>9.6033600000000003</v>
      </c>
      <c r="Y194" s="37">
        <f t="shared" si="49"/>
        <v>11.028096</v>
      </c>
      <c r="Z194" s="17" t="s">
        <v>184</v>
      </c>
      <c r="AB194" s="17"/>
      <c r="AC194" s="17" t="s">
        <v>135</v>
      </c>
      <c r="AD194" s="17"/>
      <c r="AE194" s="30"/>
      <c r="AF194" s="17"/>
      <c r="AG194" s="17"/>
      <c r="AH194" s="41">
        <f>IF(NOT(ISBLANK('Referenz Plattenfertiger'!$I26)),'Referenz Plattenfertiger'!$I26,'Referenz Plattenfertiger'!$F26)/1000*IF(NOT(ISBLANK('Eingabe Preise'!$O17)),'Eingabe Preise'!$O17,0)</f>
        <v>0</v>
      </c>
      <c r="AI194" s="20" t="s">
        <v>96</v>
      </c>
    </row>
    <row r="195" spans="15:35" hidden="1" outlineLevel="1" x14ac:dyDescent="0.2">
      <c r="O195" s="17"/>
      <c r="P195" s="17" t="s">
        <v>134</v>
      </c>
      <c r="Q195" s="17"/>
      <c r="R195" s="17"/>
      <c r="S195" s="17"/>
      <c r="T195" s="17"/>
      <c r="U195" s="17"/>
      <c r="V195" s="17"/>
      <c r="W195" s="17"/>
      <c r="X195" s="17"/>
      <c r="Y195" s="17"/>
      <c r="Z195" s="17"/>
      <c r="AB195" s="17"/>
      <c r="AC195" s="17"/>
      <c r="AD195" s="17"/>
      <c r="AE195" s="30"/>
      <c r="AF195" s="17"/>
      <c r="AG195" s="17"/>
      <c r="AH195" s="17"/>
      <c r="AI195" s="17"/>
    </row>
    <row r="196" spans="15:35" ht="15.75" hidden="1" outlineLevel="1" x14ac:dyDescent="0.3">
      <c r="O196" s="274"/>
      <c r="P196" s="17"/>
      <c r="Q196" s="17" t="s">
        <v>136</v>
      </c>
      <c r="R196" s="17"/>
      <c r="S196" s="43">
        <f>(IF(NOT(ISBLANK('Referenz Plattenfertiger'!$I24)),'Referenz Plattenfertiger'!$I24,'Referenz Plattenfertiger'!$F24)+R110*E25+R183*I25)*IF(NOT(ISBLANK('Eingabe EF'!$AS11)),'Eingabe EF'!$AS11,'Eingabe EF'!$AQ11)</f>
        <v>0</v>
      </c>
      <c r="T196" s="43">
        <f>(IF(NOT(ISBLANK('Referenz Plattenfertiger'!$I24)),'Referenz Plattenfertiger'!$I24,'Referenz Plattenfertiger'!$F24)+R110*E25+R183*I25)*IF(NOT(ISBLANK('Eingabe EF'!$AW11)),'Eingabe EF'!$AW11,'Eingabe EF'!$AU11)</f>
        <v>66.733969122707265</v>
      </c>
      <c r="U196" s="43">
        <f>(IF(NOT(ISBLANK('Referenz Plattenfertiger'!$I24)),'Referenz Plattenfertiger'!$I24,'Referenz Plattenfertiger'!$F24)+R110*E25+R183*I25)*IF(NOT(ISBLANK('Eingabe EF'!$BA11)),'Eingabe EF'!$BA11,'Eingabe EF'!$AY11)</f>
        <v>9.7829902378837872</v>
      </c>
      <c r="V196" s="17"/>
      <c r="W196" s="17"/>
      <c r="X196" s="37">
        <f t="shared" ref="X196:X204" si="50">S196+T196</f>
        <v>66.733969122707265</v>
      </c>
      <c r="Y196" s="37">
        <f t="shared" ref="Y196:Y204" si="51">SUM(S196:U196)</f>
        <v>76.516959360591045</v>
      </c>
      <c r="Z196" s="17" t="s">
        <v>184</v>
      </c>
      <c r="AB196" s="274"/>
      <c r="AC196" s="17" t="s">
        <v>32</v>
      </c>
      <c r="AD196" s="17" t="s">
        <v>408</v>
      </c>
      <c r="AE196" s="30"/>
      <c r="AF196" s="17"/>
      <c r="AG196" s="17"/>
      <c r="AH196" s="41">
        <f>(IF(NOT(ISBLANK('Referenz Plattenfertiger'!$I28)),'Referenz Plattenfertiger'!$I28,'Referenz Plattenfertiger'!$F28)-(R183+R110)*E17)*IF(NOT(ISBLANK('Eingabe Preise'!$O14)),'Eingabe Preise'!$O14,'Eingabe Preise'!$M14)</f>
        <v>0</v>
      </c>
      <c r="AI196" s="20" t="s">
        <v>96</v>
      </c>
    </row>
    <row r="197" spans="15:35" ht="15.75" hidden="1" outlineLevel="1" x14ac:dyDescent="0.3">
      <c r="O197" s="17"/>
      <c r="P197" s="17"/>
      <c r="Q197" s="17" t="s">
        <v>111</v>
      </c>
      <c r="R197" s="17"/>
      <c r="S197" s="43">
        <f>IF(NOT(ISBLANK('Referenz Plattenfertiger'!$I25)),'Referenz Plattenfertiger'!$I25,'Referenz Plattenfertiger'!$F25)*IF(NOT(ISBLANK('Eingabe EF'!$AS13)),'Eingabe EF'!$AS13,'Eingabe EF'!$AQ13)</f>
        <v>0</v>
      </c>
      <c r="T197" s="43">
        <f>IF(NOT(ISBLANK('Referenz Plattenfertiger'!$I25)),'Referenz Plattenfertiger'!$I25,'Referenz Plattenfertiger'!$F25)*IF(NOT(ISBLANK('Eingabe EF'!$AW13)),'Eingabe EF'!$AW13,'Eingabe EF'!$AU13)</f>
        <v>0</v>
      </c>
      <c r="U197" s="43">
        <f>IF(NOT(ISBLANK('Referenz Plattenfertiger'!$I25)),'Referenz Plattenfertiger'!$I25,'Referenz Plattenfertiger'!$F25)*IF(NOT(ISBLANK('Eingabe EF'!$BA13)),'Eingabe EF'!$BA13,'Eingabe EF'!$AY13)</f>
        <v>0</v>
      </c>
      <c r="V197" s="17"/>
      <c r="W197" s="17"/>
      <c r="X197" s="37">
        <f t="shared" si="50"/>
        <v>0</v>
      </c>
      <c r="Y197" s="37">
        <f t="shared" si="51"/>
        <v>0</v>
      </c>
      <c r="Z197" s="17" t="s">
        <v>184</v>
      </c>
      <c r="AB197" s="17"/>
      <c r="AC197" s="17" t="s">
        <v>32</v>
      </c>
      <c r="AD197" s="17" t="s">
        <v>70</v>
      </c>
      <c r="AE197" s="30"/>
      <c r="AF197" s="17"/>
      <c r="AG197" s="17"/>
      <c r="AH197" s="41">
        <f>IF(NOT(ISBLANK('Referenz Plattenfertiger'!$I29)),'Referenz Plattenfertiger'!$I29,'Referenz Plattenfertiger'!$F29)*IF(NOT(ISBLANK('Eingabe Preise'!$O14)),'Eingabe Preise'!$O14,'Eingabe Preise'!$M14)</f>
        <v>2810.0000000000005</v>
      </c>
      <c r="AI197" s="20" t="s">
        <v>96</v>
      </c>
    </row>
    <row r="198" spans="15:35" ht="15.75" hidden="1" outlineLevel="1" x14ac:dyDescent="0.3">
      <c r="O198" s="17"/>
      <c r="P198" s="17"/>
      <c r="Q198" s="17" t="s">
        <v>135</v>
      </c>
      <c r="R198" s="17"/>
      <c r="S198" s="43">
        <f>IF(NOT(ISBLANK('Referenz Plattenfertiger'!$I26)),'Referenz Plattenfertiger'!$I26,'Referenz Plattenfertiger'!$F26)*IF(NOT(ISBLANK('Eingabe EF'!$AS14)),'Eingabe EF'!$AS14,0)</f>
        <v>0</v>
      </c>
      <c r="T198" s="43">
        <f>IF(NOT(ISBLANK('Referenz Plattenfertiger'!$I26)),'Referenz Plattenfertiger'!$I26,'Referenz Plattenfertiger'!$F26)*IF(NOT(ISBLANK('Eingabe EF'!$AW14)),'Eingabe EF'!$AW14,0)</f>
        <v>0</v>
      </c>
      <c r="U198" s="43">
        <f>IF(NOT(ISBLANK('Referenz Plattenfertiger'!$I26)),'Referenz Plattenfertiger'!$I26,'Referenz Plattenfertiger'!$F26)*IF(NOT(ISBLANK('Eingabe EF'!$BA14)),'Eingabe EF'!$BA14,0)</f>
        <v>0</v>
      </c>
      <c r="V198" s="17"/>
      <c r="W198" s="17"/>
      <c r="X198" s="37">
        <f t="shared" si="50"/>
        <v>0</v>
      </c>
      <c r="Y198" s="37">
        <f t="shared" si="51"/>
        <v>0</v>
      </c>
      <c r="Z198" s="17" t="s">
        <v>184</v>
      </c>
      <c r="AB198" s="17"/>
      <c r="AC198" s="17"/>
      <c r="AD198" s="17"/>
      <c r="AE198" s="30"/>
      <c r="AF198" s="17"/>
      <c r="AG198" s="17"/>
      <c r="AH198" s="17"/>
      <c r="AI198" s="17"/>
    </row>
    <row r="199" spans="15:35" hidden="1" outlineLevel="1" x14ac:dyDescent="0.2">
      <c r="O199" s="17"/>
      <c r="P199" s="17"/>
      <c r="Q199" s="17"/>
      <c r="R199" s="17"/>
      <c r="S199" s="17"/>
      <c r="T199" s="17"/>
      <c r="U199" s="17"/>
      <c r="V199" s="17"/>
      <c r="W199" s="17"/>
      <c r="X199" s="17"/>
      <c r="Y199" s="17"/>
      <c r="Z199" s="17"/>
      <c r="AB199" s="17"/>
      <c r="AC199" s="17"/>
      <c r="AD199" s="17"/>
      <c r="AE199" s="30"/>
      <c r="AF199" s="17"/>
      <c r="AG199" s="17"/>
      <c r="AH199" s="17"/>
      <c r="AI199" s="17"/>
    </row>
    <row r="200" spans="15:35" ht="15.75" hidden="1" outlineLevel="1" x14ac:dyDescent="0.3">
      <c r="O200" s="274"/>
      <c r="P200" s="17" t="s">
        <v>408</v>
      </c>
      <c r="Q200" s="17" t="s">
        <v>32</v>
      </c>
      <c r="R200" s="17"/>
      <c r="S200" s="450">
        <f>(IF(NOT(ISBLANK('Referenz Plattenfertiger'!$I28)),'Referenz Plattenfertiger'!$I28,'Referenz Plattenfertiger'!$F28)-(R183+R110)*E17)*IF(NOT(ISBLANK('Eingabe EF'!$AS15)),'Eingabe EF'!$AS15,'Eingabe EF'!$AQ15)</f>
        <v>0</v>
      </c>
      <c r="T200" s="450">
        <f>(IF(NOT(ISBLANK('Referenz Plattenfertiger'!$I28)),'Referenz Plattenfertiger'!$I28,'Referenz Plattenfertiger'!$F28)-(R183+R110)*E17)*IF(NOT(ISBLANK('Eingabe EF'!$AW15)),'Eingabe EF'!$AW15,'Eingabe EF'!$AU15)</f>
        <v>0</v>
      </c>
      <c r="U200" s="450">
        <f>(IF(NOT(ISBLANK('Referenz Plattenfertiger'!$I28)),'Referenz Plattenfertiger'!$I28,'Referenz Plattenfertiger'!$F28)-(R183+R110)*E17)*IF(NOT(ISBLANK('Eingabe EF'!$BA15)),'Eingabe EF'!$BA15,'Eingabe EF'!$AY15)</f>
        <v>0</v>
      </c>
      <c r="V200" s="17"/>
      <c r="W200" s="17"/>
      <c r="X200" s="37">
        <f t="shared" ref="X200:X202" si="52">S200+T200</f>
        <v>0</v>
      </c>
      <c r="Y200" s="37">
        <f t="shared" ref="Y200:Y202" si="53">SUM(S200:U200)</f>
        <v>0</v>
      </c>
      <c r="Z200" s="17" t="s">
        <v>184</v>
      </c>
      <c r="AB200" s="17"/>
      <c r="AC200" s="17" t="s">
        <v>28</v>
      </c>
      <c r="AD200" s="17"/>
      <c r="AE200" s="30"/>
      <c r="AF200" s="17"/>
      <c r="AG200" s="17"/>
      <c r="AH200" s="41">
        <f>AH213+AH214</f>
        <v>108000</v>
      </c>
      <c r="AI200" s="20" t="s">
        <v>96</v>
      </c>
    </row>
    <row r="201" spans="15:35" ht="15.75" hidden="1" outlineLevel="1" x14ac:dyDescent="0.3">
      <c r="O201" s="17"/>
      <c r="P201" s="17" t="s">
        <v>70</v>
      </c>
      <c r="Q201" s="17" t="s">
        <v>32</v>
      </c>
      <c r="R201" s="17"/>
      <c r="S201" s="43">
        <f>IF(NOT(ISBLANK('Referenz Plattenfertiger'!$I29)),'Referenz Plattenfertiger'!$I29,'Referenz Plattenfertiger'!$F29)*IF(NOT(ISBLANK('Eingabe EF'!$AS15)),'Eingabe EF'!$AS15,'Eingabe EF'!$AQ15)</f>
        <v>6.645213899999999</v>
      </c>
      <c r="T201" s="43">
        <f>IF(NOT(ISBLANK('Referenz Plattenfertiger'!$I29)),'Referenz Plattenfertiger'!$I29,'Referenz Plattenfertiger'!$F29)*IF(NOT(ISBLANK('Eingabe EF'!$AW15)),'Eingabe EF'!$AW15,'Eingabe EF'!$AU15)</f>
        <v>0</v>
      </c>
      <c r="U201" s="43">
        <f>IF(NOT(ISBLANK('Referenz Plattenfertiger'!$I29)),'Referenz Plattenfertiger'!$I29,'Referenz Plattenfertiger'!$F29)*IF(NOT(ISBLANK('Eingabe EF'!$BA15)),'Eingabe EF'!$BA15,'Eingabe EF'!$AY15)</f>
        <v>1.1740599000000003</v>
      </c>
      <c r="V201" s="17"/>
      <c r="W201" s="17"/>
      <c r="X201" s="37">
        <f t="shared" si="52"/>
        <v>6.645213899999999</v>
      </c>
      <c r="Y201" s="37">
        <f t="shared" si="53"/>
        <v>7.8192737999999995</v>
      </c>
      <c r="Z201" s="17" t="s">
        <v>184</v>
      </c>
      <c r="AB201" s="17"/>
      <c r="AC201" s="44" t="s">
        <v>139</v>
      </c>
      <c r="AD201" s="17"/>
      <c r="AE201" s="30"/>
      <c r="AF201" s="17"/>
      <c r="AG201" s="17"/>
      <c r="AH201" s="41">
        <f>IF(NOT(ISBLANK($K$28)),$K$28,$I$28)</f>
        <v>0</v>
      </c>
      <c r="AI201" s="20" t="s">
        <v>96</v>
      </c>
    </row>
    <row r="202" spans="15:35" ht="14.25" hidden="1" outlineLevel="1" x14ac:dyDescent="0.25">
      <c r="O202" s="69"/>
      <c r="P202" s="69" t="s">
        <v>175</v>
      </c>
      <c r="Q202" s="69"/>
      <c r="R202" s="69"/>
      <c r="S202" s="71"/>
      <c r="T202" s="71"/>
      <c r="U202" s="71">
        <f t="shared" ref="U202" si="54">U203+U204</f>
        <v>469.15642799999995</v>
      </c>
      <c r="V202" s="69"/>
      <c r="W202" s="69"/>
      <c r="X202" s="71">
        <f t="shared" si="52"/>
        <v>0</v>
      </c>
      <c r="Y202" s="71">
        <f t="shared" si="53"/>
        <v>469.15642799999995</v>
      </c>
      <c r="Z202" s="76" t="s">
        <v>183</v>
      </c>
      <c r="AB202" s="17"/>
      <c r="AC202" s="44" t="s">
        <v>146</v>
      </c>
      <c r="AD202" s="17"/>
      <c r="AE202" s="30"/>
      <c r="AF202" s="17"/>
      <c r="AG202" s="17"/>
      <c r="AH202" s="41">
        <f>AH216+AH217</f>
        <v>0</v>
      </c>
      <c r="AI202" s="20" t="s">
        <v>96</v>
      </c>
    </row>
    <row r="203" spans="15:35" ht="15.75" hidden="1" outlineLevel="1" x14ac:dyDescent="0.3">
      <c r="O203" s="17"/>
      <c r="P203" s="17"/>
      <c r="Q203" s="17" t="s">
        <v>43</v>
      </c>
      <c r="R203" s="17"/>
      <c r="S203" s="43"/>
      <c r="T203" s="43"/>
      <c r="U203" s="43">
        <f>IF(NOT(ISBLANK('Referenz Plattenfertiger'!$I32)),'Referenz Plattenfertiger'!$I32,'Referenz Plattenfertiger'!$F32)*IF(NOT(ISBLANK('Eingabe EF'!$BA17)),'Eingabe EF'!$BA17,'Eingabe EF'!$AY17)</f>
        <v>109.4698332</v>
      </c>
      <c r="V203" s="17"/>
      <c r="W203" s="17"/>
      <c r="X203" s="37">
        <f t="shared" si="50"/>
        <v>0</v>
      </c>
      <c r="Y203" s="37">
        <f t="shared" si="51"/>
        <v>109.4698332</v>
      </c>
      <c r="Z203" s="17" t="s">
        <v>184</v>
      </c>
      <c r="AB203" s="17"/>
      <c r="AC203" s="17"/>
      <c r="AD203" s="17"/>
      <c r="AE203" s="17"/>
      <c r="AF203" s="17"/>
      <c r="AG203" s="17"/>
      <c r="AH203" s="17"/>
      <c r="AI203" s="17"/>
    </row>
    <row r="204" spans="15:35" ht="15.75" hidden="1" outlineLevel="1" x14ac:dyDescent="0.3">
      <c r="O204" s="17"/>
      <c r="P204" s="17"/>
      <c r="Q204" s="17" t="s">
        <v>44</v>
      </c>
      <c r="R204" s="17"/>
      <c r="S204" s="43"/>
      <c r="T204" s="43"/>
      <c r="U204" s="43">
        <f>IF(NOT(ISBLANK('Referenz Plattenfertiger'!$I33)),'Referenz Plattenfertiger'!$I33,'Referenz Plattenfertiger'!$F33)*IF(NOT(ISBLANK('Eingabe EF'!$BA18)),'Eingabe EF'!$BA18,'Eingabe EF'!$AY18)</f>
        <v>359.68659479999997</v>
      </c>
      <c r="V204" s="17"/>
      <c r="W204" s="17"/>
      <c r="X204" s="37">
        <f t="shared" si="50"/>
        <v>0</v>
      </c>
      <c r="Y204" s="37">
        <f t="shared" si="51"/>
        <v>359.68659479999997</v>
      </c>
      <c r="Z204" s="17" t="s">
        <v>184</v>
      </c>
      <c r="AB204" s="17"/>
      <c r="AC204" s="17"/>
      <c r="AD204" s="17"/>
      <c r="AE204" s="17"/>
      <c r="AF204" s="17"/>
      <c r="AG204" s="17"/>
      <c r="AH204" s="17"/>
      <c r="AI204" s="17"/>
    </row>
    <row r="205" spans="15:35" ht="15.75" hidden="1" outlineLevel="1" x14ac:dyDescent="0.3">
      <c r="O205" s="17"/>
      <c r="P205" s="17"/>
      <c r="Q205" s="17"/>
      <c r="R205" s="17"/>
      <c r="S205" s="20"/>
      <c r="T205" s="20"/>
      <c r="U205" s="20"/>
      <c r="V205" s="17"/>
      <c r="W205" s="17"/>
      <c r="X205" s="20"/>
      <c r="Y205" s="20"/>
      <c r="Z205" s="17"/>
      <c r="AB205" s="17"/>
      <c r="AC205" s="17" t="s">
        <v>186</v>
      </c>
      <c r="AD205" s="17"/>
      <c r="AE205" s="30"/>
      <c r="AF205" s="17"/>
      <c r="AG205" s="17"/>
      <c r="AH205" s="41">
        <f>S249*IF(NOT(ISBLANK('Eingabe Preise'!$O21)),'Eingabe Preise'!$O21,'Eingabe Preise'!$M21)</f>
        <v>5255.4731119999997</v>
      </c>
      <c r="AI205" s="20" t="s">
        <v>96</v>
      </c>
    </row>
    <row r="206" spans="15:35" ht="15.75" hidden="1" outlineLevel="1" x14ac:dyDescent="0.3">
      <c r="O206" s="69"/>
      <c r="P206" s="69" t="s">
        <v>66</v>
      </c>
      <c r="Q206" s="70"/>
      <c r="R206" s="70"/>
      <c r="S206" s="71"/>
      <c r="T206" s="71"/>
      <c r="U206" s="71">
        <f>SUM(U207:U210)</f>
        <v>4548.5439999999999</v>
      </c>
      <c r="V206" s="70"/>
      <c r="W206" s="70"/>
      <c r="X206" s="71">
        <f t="shared" ref="X206:X210" si="55">S206+T206</f>
        <v>0</v>
      </c>
      <c r="Y206" s="71">
        <f t="shared" ref="Y206" si="56">SUM(S206:U206)</f>
        <v>4548.5439999999999</v>
      </c>
      <c r="Z206" s="76" t="s">
        <v>183</v>
      </c>
      <c r="AB206" s="17"/>
      <c r="AC206" s="17" t="s">
        <v>187</v>
      </c>
      <c r="AD206" s="17"/>
      <c r="AE206" s="30"/>
      <c r="AF206" s="17"/>
      <c r="AG206" s="17"/>
      <c r="AH206" s="41">
        <f>T249*IF(NOT(ISBLANK('Eingabe Preise'!$O22)),'Eingabe Preise'!$O22,'Eingabe Preise'!$M22)</f>
        <v>5831.1379685854663</v>
      </c>
      <c r="AI206" s="20" t="s">
        <v>96</v>
      </c>
    </row>
    <row r="207" spans="15:35" ht="15.75" hidden="1" outlineLevel="1" x14ac:dyDescent="0.3">
      <c r="O207" s="17"/>
      <c r="P207" s="17"/>
      <c r="Q207" s="17" t="s">
        <v>45</v>
      </c>
      <c r="R207" s="17"/>
      <c r="S207" s="37"/>
      <c r="T207" s="37"/>
      <c r="U207" s="37">
        <f>'M1 Härtekammern'!T206</f>
        <v>1210.3</v>
      </c>
      <c r="V207" s="17"/>
      <c r="W207" s="17"/>
      <c r="X207" s="37">
        <f t="shared" si="55"/>
        <v>0</v>
      </c>
      <c r="Y207" s="37">
        <f t="shared" ref="Y207:Y210" si="57">SUM(S207:U207)</f>
        <v>1210.3</v>
      </c>
      <c r="Z207" s="17" t="s">
        <v>184</v>
      </c>
      <c r="AB207" s="17"/>
      <c r="AC207" s="17" t="s">
        <v>188</v>
      </c>
      <c r="AD207" s="17"/>
      <c r="AE207" s="30"/>
      <c r="AF207" s="17"/>
      <c r="AG207" s="17"/>
      <c r="AH207" s="41">
        <f>U249*IF(NOT(ISBLANK('Eingabe Preise'!$O23)),'Eingabe Preise'!$O23,'Eingabe Preise'!$M23)</f>
        <v>458522.40404844517</v>
      </c>
      <c r="AI207" s="20" t="s">
        <v>96</v>
      </c>
    </row>
    <row r="208" spans="15:35" ht="15.75" hidden="1" outlineLevel="1" x14ac:dyDescent="0.3">
      <c r="O208" s="17"/>
      <c r="P208" s="17"/>
      <c r="Q208" s="17" t="s">
        <v>47</v>
      </c>
      <c r="R208" s="17"/>
      <c r="S208" s="37"/>
      <c r="T208" s="37"/>
      <c r="U208" s="37">
        <f>'M1 Härtekammern'!T207</f>
        <v>2415.5039999999999</v>
      </c>
      <c r="V208" s="17"/>
      <c r="W208" s="17"/>
      <c r="X208" s="37">
        <f t="shared" si="55"/>
        <v>0</v>
      </c>
      <c r="Y208" s="37">
        <f t="shared" si="57"/>
        <v>2415.5039999999999</v>
      </c>
      <c r="Z208" s="17" t="s">
        <v>184</v>
      </c>
      <c r="AB208" s="17"/>
      <c r="AC208" s="17"/>
      <c r="AD208" s="17"/>
      <c r="AE208" s="17"/>
      <c r="AF208" s="17"/>
      <c r="AG208" s="17"/>
      <c r="AH208" s="17"/>
      <c r="AI208" s="17"/>
    </row>
    <row r="209" spans="15:35" ht="15.75" hidden="1" outlineLevel="1" x14ac:dyDescent="0.3">
      <c r="O209" s="17"/>
      <c r="P209" s="17"/>
      <c r="Q209" s="17" t="s">
        <v>48</v>
      </c>
      <c r="R209" s="17"/>
      <c r="S209" s="37"/>
      <c r="T209" s="37"/>
      <c r="U209" s="37">
        <f>'M1 Härtekammern'!T208</f>
        <v>922.7399999999999</v>
      </c>
      <c r="V209" s="17"/>
      <c r="W209" s="17"/>
      <c r="X209" s="37">
        <f t="shared" si="55"/>
        <v>0</v>
      </c>
      <c r="Y209" s="37">
        <f t="shared" si="57"/>
        <v>922.7399999999999</v>
      </c>
      <c r="Z209" s="17" t="s">
        <v>184</v>
      </c>
      <c r="AB209" s="17"/>
      <c r="AC209" s="17"/>
      <c r="AD209" s="17"/>
      <c r="AE209" s="17"/>
      <c r="AF209" s="17"/>
      <c r="AG209" s="17"/>
      <c r="AH209" s="17"/>
      <c r="AI209" s="17"/>
    </row>
    <row r="210" spans="15:35" ht="15.75" hidden="1" outlineLevel="1" x14ac:dyDescent="0.3">
      <c r="O210" s="17"/>
      <c r="P210" s="17"/>
      <c r="Q210" s="17" t="s">
        <v>147</v>
      </c>
      <c r="R210" s="17"/>
      <c r="S210" s="37"/>
      <c r="T210" s="37"/>
      <c r="U210" s="37">
        <f>'M1 Härtekammern'!T209</f>
        <v>0</v>
      </c>
      <c r="V210" s="17"/>
      <c r="W210" s="17"/>
      <c r="X210" s="37">
        <f t="shared" si="55"/>
        <v>0</v>
      </c>
      <c r="Y210" s="37">
        <f t="shared" si="57"/>
        <v>0</v>
      </c>
      <c r="Z210" s="17" t="s">
        <v>184</v>
      </c>
      <c r="AB210" s="17"/>
      <c r="AC210" s="17"/>
      <c r="AD210" s="17"/>
      <c r="AE210" s="17"/>
      <c r="AF210" s="17"/>
      <c r="AG210" s="17"/>
      <c r="AH210" s="17"/>
      <c r="AI210" s="17"/>
    </row>
    <row r="211" spans="15:35" hidden="1" outlineLevel="1" x14ac:dyDescent="0.2">
      <c r="O211" s="17"/>
      <c r="P211" s="17"/>
      <c r="Q211" s="17"/>
      <c r="R211" s="17"/>
      <c r="S211" s="17"/>
      <c r="T211" s="17"/>
      <c r="U211" s="17"/>
      <c r="V211" s="17"/>
      <c r="W211" s="17"/>
      <c r="X211" s="20"/>
      <c r="Y211" s="20"/>
      <c r="Z211" s="17"/>
      <c r="AB211" s="17"/>
      <c r="AC211" s="17"/>
      <c r="AD211" s="17"/>
      <c r="AE211" s="18"/>
      <c r="AF211" s="17"/>
      <c r="AG211" s="17"/>
      <c r="AH211" s="18"/>
      <c r="AI211" s="18"/>
    </row>
    <row r="212" spans="15:35" ht="14.25" hidden="1" outlineLevel="1" x14ac:dyDescent="0.25">
      <c r="O212" s="69"/>
      <c r="P212" s="69" t="s">
        <v>163</v>
      </c>
      <c r="Q212" s="70"/>
      <c r="R212" s="70"/>
      <c r="S212" s="71"/>
      <c r="T212" s="71"/>
      <c r="U212" s="71">
        <f>SUM(U213:U217)</f>
        <v>129.59200000000001</v>
      </c>
      <c r="V212" s="70"/>
      <c r="W212" s="70"/>
      <c r="X212" s="71">
        <f t="shared" ref="X212" si="58">S212+T212</f>
        <v>0</v>
      </c>
      <c r="Y212" s="71">
        <f t="shared" ref="Y212" si="59">SUM(S212:U212)</f>
        <v>129.59200000000001</v>
      </c>
      <c r="Z212" s="76" t="s">
        <v>183</v>
      </c>
      <c r="AB212" s="21" t="s">
        <v>209</v>
      </c>
      <c r="AC212" s="17"/>
      <c r="AD212" s="17"/>
      <c r="AE212" s="17"/>
      <c r="AF212" s="17"/>
      <c r="AG212" s="17"/>
      <c r="AH212" s="17"/>
      <c r="AI212" s="17"/>
    </row>
    <row r="213" spans="15:35" ht="15.75" hidden="1" outlineLevel="1" collapsed="1" x14ac:dyDescent="0.3">
      <c r="O213" s="17"/>
      <c r="P213" s="17"/>
      <c r="Q213" s="17" t="s">
        <v>164</v>
      </c>
      <c r="R213" s="17"/>
      <c r="S213" s="37"/>
      <c r="T213" s="37"/>
      <c r="U213" s="37">
        <f>'M1 Härtekammern'!T212</f>
        <v>129.59200000000001</v>
      </c>
      <c r="V213" s="17"/>
      <c r="W213" s="17"/>
      <c r="X213" s="37">
        <f>S213+T213</f>
        <v>0</v>
      </c>
      <c r="Y213" s="37">
        <f>SUM(S213:U213)</f>
        <v>129.59200000000001</v>
      </c>
      <c r="Z213" s="17" t="s">
        <v>184</v>
      </c>
      <c r="AB213" s="17"/>
      <c r="AC213" s="17" t="s">
        <v>470</v>
      </c>
      <c r="AD213" s="17"/>
      <c r="AE213" s="18">
        <f>E20</f>
        <v>5</v>
      </c>
      <c r="AF213" s="17"/>
      <c r="AG213" s="17"/>
      <c r="AH213" s="41">
        <f>IF(IF(NOT(ISBLANK($G$32)),$G$32,$E$32)&gt;5,AH132,0)</f>
        <v>54000</v>
      </c>
      <c r="AI213" s="20" t="s">
        <v>96</v>
      </c>
    </row>
    <row r="214" spans="15:35" ht="15.75" hidden="1" outlineLevel="1" x14ac:dyDescent="0.3">
      <c r="O214" s="17"/>
      <c r="P214" s="17"/>
      <c r="Q214" s="17" t="s">
        <v>165</v>
      </c>
      <c r="R214" s="17"/>
      <c r="S214" s="37"/>
      <c r="T214" s="37"/>
      <c r="U214" s="37">
        <f>'M1 Härtekammern'!T213</f>
        <v>0</v>
      </c>
      <c r="V214" s="17"/>
      <c r="W214" s="17"/>
      <c r="X214" s="37">
        <f>S214+T214</f>
        <v>0</v>
      </c>
      <c r="Y214" s="37">
        <f t="shared" ref="Y214:Y215" si="60">SUM(S214:U214)</f>
        <v>0</v>
      </c>
      <c r="Z214" s="17" t="s">
        <v>184</v>
      </c>
      <c r="AB214" s="17"/>
      <c r="AC214" s="17" t="s">
        <v>471</v>
      </c>
      <c r="AD214" s="17"/>
      <c r="AE214" s="17">
        <f>I20</f>
        <v>10</v>
      </c>
      <c r="AF214" s="17"/>
      <c r="AG214" s="17"/>
      <c r="AH214" s="41">
        <f>(IF(NOT(ISBLANK($K$27)),$K$27,$I$27)/IF(NOT(ISBLANK($K$32)),$K$32,$I$32)+IF(NOT(ISBLANK($K$27)),$K$27,$I$27)*(IF(NOT(ISBLANK($K$33)),$K$33,$I$33)/100))*R183</f>
        <v>54000</v>
      </c>
      <c r="AI214" s="20" t="s">
        <v>96</v>
      </c>
    </row>
    <row r="215" spans="15:35" ht="15.75" hidden="1" outlineLevel="1" x14ac:dyDescent="0.3">
      <c r="O215" s="17"/>
      <c r="P215" s="17"/>
      <c r="Q215" s="17" t="s">
        <v>166</v>
      </c>
      <c r="R215" s="17"/>
      <c r="S215" s="37"/>
      <c r="T215" s="37"/>
      <c r="U215" s="37">
        <f>'M1 Härtekammern'!T214</f>
        <v>0</v>
      </c>
      <c r="V215" s="17"/>
      <c r="W215" s="17"/>
      <c r="X215" s="37">
        <f t="shared" ref="X215" si="61">S215+T215</f>
        <v>0</v>
      </c>
      <c r="Y215" s="37">
        <f t="shared" si="60"/>
        <v>0</v>
      </c>
      <c r="Z215" s="17" t="s">
        <v>184</v>
      </c>
      <c r="AB215" s="17"/>
      <c r="AC215" s="17"/>
      <c r="AD215" s="17"/>
      <c r="AE215" s="18"/>
      <c r="AF215" s="17"/>
      <c r="AG215" s="17"/>
      <c r="AH215" s="18"/>
      <c r="AI215" s="18"/>
    </row>
    <row r="216" spans="15:35" ht="15.75" hidden="1" outlineLevel="1" x14ac:dyDescent="0.3">
      <c r="O216" s="17"/>
      <c r="P216" s="17"/>
      <c r="Q216" s="17" t="str">
        <f>'M1 Härtekammern'!P215</f>
        <v>Weiterer Zuschlagstoff 1</v>
      </c>
      <c r="R216" s="17"/>
      <c r="S216" s="37"/>
      <c r="T216" s="37"/>
      <c r="U216" s="37">
        <f>'M1 Härtekammern'!T215</f>
        <v>0</v>
      </c>
      <c r="V216" s="17"/>
      <c r="W216" s="17"/>
      <c r="X216" s="37">
        <f t="shared" ref="X216:X217" si="62">S216+T216</f>
        <v>0</v>
      </c>
      <c r="Y216" s="37">
        <f t="shared" ref="Y216:Y217" si="63">SUM(S216:U216)</f>
        <v>0</v>
      </c>
      <c r="Z216" s="17" t="s">
        <v>184</v>
      </c>
      <c r="AB216" s="17"/>
      <c r="AC216" s="17" t="s">
        <v>472</v>
      </c>
      <c r="AD216" s="17"/>
      <c r="AE216" s="17">
        <f>AE213</f>
        <v>5</v>
      </c>
      <c r="AF216" s="17"/>
      <c r="AG216" s="17"/>
      <c r="AH216" s="41">
        <f>IF(IF(NOT(ISBLANK($G$32)),$G$32,$E$32)&gt;5,AH134,0)</f>
        <v>0</v>
      </c>
      <c r="AI216" s="20" t="s">
        <v>96</v>
      </c>
    </row>
    <row r="217" spans="15:35" ht="15.75" hidden="1" outlineLevel="1" x14ac:dyDescent="0.3">
      <c r="O217" s="17"/>
      <c r="P217" s="17"/>
      <c r="Q217" s="17" t="str">
        <f>'M1 Härtekammern'!P216</f>
        <v>Weiterer Zuschlagstoff 2</v>
      </c>
      <c r="R217" s="17"/>
      <c r="S217" s="37"/>
      <c r="T217" s="37"/>
      <c r="U217" s="37">
        <f>'M1 Härtekammern'!T216</f>
        <v>0</v>
      </c>
      <c r="V217" s="17"/>
      <c r="W217" s="17"/>
      <c r="X217" s="37">
        <f t="shared" si="62"/>
        <v>0</v>
      </c>
      <c r="Y217" s="37">
        <f t="shared" si="63"/>
        <v>0</v>
      </c>
      <c r="Z217" s="17" t="s">
        <v>184</v>
      </c>
      <c r="AB217" s="17"/>
      <c r="AC217" s="17" t="s">
        <v>473</v>
      </c>
      <c r="AD217" s="17"/>
      <c r="AE217" s="17">
        <f>AE214</f>
        <v>10</v>
      </c>
      <c r="AF217" s="17"/>
      <c r="AG217" s="17"/>
      <c r="AH217" s="41">
        <f>IF(NOT(ISBLANK($K$29)),$K$29,$I$29)/IF(NOT(ISBLANK($K$32)),$K$32,$I$32)+IF(NOT(ISBLANK($K$29)),$K$29,$I$29)*(IF(NOT(ISBLANK($K$33)),$K$33,$I$33)/100)</f>
        <v>0</v>
      </c>
      <c r="AI217" s="20" t="s">
        <v>96</v>
      </c>
    </row>
    <row r="218" spans="15:35" hidden="1" outlineLevel="1" x14ac:dyDescent="0.2">
      <c r="O218" s="17"/>
      <c r="P218" s="17"/>
      <c r="Q218" s="17"/>
      <c r="R218" s="17"/>
      <c r="S218" s="17"/>
      <c r="T218" s="17"/>
      <c r="U218" s="17"/>
      <c r="V218" s="17"/>
      <c r="W218" s="17"/>
      <c r="X218" s="20"/>
      <c r="Y218" s="20"/>
      <c r="Z218" s="17"/>
      <c r="AB218" s="17"/>
      <c r="AC218" s="17"/>
      <c r="AD218" s="17"/>
      <c r="AE218" s="18"/>
      <c r="AF218" s="17"/>
      <c r="AG218" s="17"/>
      <c r="AH218" s="18"/>
      <c r="AI218" s="18"/>
    </row>
    <row r="219" spans="15:35" ht="14.25" hidden="1" outlineLevel="1" x14ac:dyDescent="0.25">
      <c r="O219" s="17"/>
      <c r="P219" s="17"/>
      <c r="Q219" s="21" t="s">
        <v>55</v>
      </c>
      <c r="R219" s="21"/>
      <c r="S219" s="74"/>
      <c r="T219" s="74"/>
      <c r="U219" s="37">
        <f>'M1 Härtekammern'!T218</f>
        <v>208</v>
      </c>
      <c r="V219" s="21"/>
      <c r="W219" s="21"/>
      <c r="X219" s="74">
        <f>S219+T219</f>
        <v>0</v>
      </c>
      <c r="Y219" s="74">
        <f t="shared" ref="Y219" si="64">SUM(S219:U219)</f>
        <v>208</v>
      </c>
      <c r="Z219" s="21" t="s">
        <v>183</v>
      </c>
      <c r="AB219" s="17"/>
      <c r="AC219" s="17"/>
      <c r="AD219" s="17"/>
      <c r="AE219" s="17"/>
      <c r="AF219" s="17"/>
      <c r="AG219" s="17"/>
      <c r="AH219" s="17"/>
      <c r="AI219" s="17"/>
    </row>
    <row r="220" spans="15:35" hidden="1" outlineLevel="1" x14ac:dyDescent="0.2">
      <c r="O220" s="17"/>
      <c r="P220" s="17"/>
      <c r="Q220" s="17"/>
      <c r="R220" s="17"/>
      <c r="S220" s="17"/>
      <c r="T220" s="17"/>
      <c r="U220" s="17"/>
      <c r="V220" s="17"/>
      <c r="W220" s="17"/>
      <c r="X220" s="20"/>
      <c r="Y220" s="20"/>
      <c r="Z220" s="17"/>
      <c r="AB220" s="17"/>
      <c r="AC220" s="17"/>
      <c r="AD220" s="17"/>
      <c r="AE220" s="18"/>
      <c r="AF220" s="17"/>
      <c r="AG220" s="17"/>
      <c r="AH220" s="18"/>
      <c r="AI220" s="18"/>
    </row>
    <row r="221" spans="15:35" ht="14.25" hidden="1" outlineLevel="1" x14ac:dyDescent="0.25">
      <c r="O221" s="69"/>
      <c r="P221" s="69" t="s">
        <v>167</v>
      </c>
      <c r="Q221" s="70"/>
      <c r="R221" s="70"/>
      <c r="S221" s="71"/>
      <c r="T221" s="71"/>
      <c r="U221" s="71">
        <f>SUM(U222:U226)</f>
        <v>81.003999999999991</v>
      </c>
      <c r="V221" s="70"/>
      <c r="W221" s="70"/>
      <c r="X221" s="71">
        <f t="shared" ref="X221" si="65">S221+T221</f>
        <v>0</v>
      </c>
      <c r="Y221" s="71">
        <f t="shared" ref="Y221" si="66">SUM(S221:U221)</f>
        <v>81.003999999999991</v>
      </c>
      <c r="Z221" s="76" t="s">
        <v>183</v>
      </c>
    </row>
    <row r="222" spans="15:35" ht="15.75" hidden="1" outlineLevel="1" x14ac:dyDescent="0.3">
      <c r="O222" s="17"/>
      <c r="P222" s="17"/>
      <c r="Q222" s="17" t="s">
        <v>57</v>
      </c>
      <c r="R222" s="17"/>
      <c r="S222" s="37"/>
      <c r="T222" s="37"/>
      <c r="U222" s="37">
        <f>'M1 Härtekammern'!T221</f>
        <v>0</v>
      </c>
      <c r="V222" s="17"/>
      <c r="W222" s="17"/>
      <c r="X222" s="37">
        <f>S222+T222</f>
        <v>0</v>
      </c>
      <c r="Y222" s="37">
        <f>SUM(S222:U222)</f>
        <v>0</v>
      </c>
      <c r="Z222" s="17" t="s">
        <v>184</v>
      </c>
    </row>
    <row r="223" spans="15:35" ht="15.75" hidden="1" outlineLevel="1" x14ac:dyDescent="0.3">
      <c r="O223" s="17"/>
      <c r="P223" s="17"/>
      <c r="Q223" s="17" t="s">
        <v>58</v>
      </c>
      <c r="R223" s="17"/>
      <c r="S223" s="37"/>
      <c r="T223" s="37"/>
      <c r="U223" s="37">
        <f>'M1 Härtekammern'!T222</f>
        <v>8.6840000000000011</v>
      </c>
      <c r="V223" s="17"/>
      <c r="W223" s="17"/>
      <c r="X223" s="37">
        <f>S223+T223</f>
        <v>0</v>
      </c>
      <c r="Y223" s="37">
        <f>SUM(S223:U223)</f>
        <v>8.6840000000000011</v>
      </c>
      <c r="Z223" s="17" t="s">
        <v>184</v>
      </c>
    </row>
    <row r="224" spans="15:35" ht="15.75" hidden="1" outlineLevel="1" x14ac:dyDescent="0.3">
      <c r="O224" s="17"/>
      <c r="P224" s="17"/>
      <c r="Q224" s="17" t="s">
        <v>59</v>
      </c>
      <c r="R224" s="17"/>
      <c r="S224" s="37"/>
      <c r="T224" s="37"/>
      <c r="U224" s="37">
        <f>'M1 Härtekammern'!T223</f>
        <v>72.319999999999993</v>
      </c>
      <c r="V224" s="17"/>
      <c r="W224" s="17"/>
      <c r="X224" s="37">
        <f>S224+T224</f>
        <v>0</v>
      </c>
      <c r="Y224" s="37">
        <f>SUM(S224:U224)</f>
        <v>72.319999999999993</v>
      </c>
      <c r="Z224" s="17" t="s">
        <v>184</v>
      </c>
    </row>
    <row r="225" spans="15:26" ht="15.75" hidden="1" outlineLevel="1" x14ac:dyDescent="0.3">
      <c r="O225" s="17"/>
      <c r="P225" s="17"/>
      <c r="Q225" s="17" t="str">
        <f>'M1 Härtekammern'!P224</f>
        <v>Weiterer Zusatzstoff 1</v>
      </c>
      <c r="R225" s="17"/>
      <c r="S225" s="37"/>
      <c r="T225" s="37"/>
      <c r="U225" s="37">
        <f>'M1 Härtekammern'!T224</f>
        <v>0</v>
      </c>
      <c r="V225" s="17"/>
      <c r="W225" s="17"/>
      <c r="X225" s="37">
        <f t="shared" ref="X225:X226" si="67">S225+T225</f>
        <v>0</v>
      </c>
      <c r="Y225" s="37">
        <f t="shared" ref="Y225:Y226" si="68">SUM(S225:U225)</f>
        <v>0</v>
      </c>
      <c r="Z225" s="17" t="s">
        <v>184</v>
      </c>
    </row>
    <row r="226" spans="15:26" ht="15.75" hidden="1" outlineLevel="1" x14ac:dyDescent="0.3">
      <c r="O226" s="17"/>
      <c r="P226" s="17"/>
      <c r="Q226" s="17" t="str">
        <f>'M1 Härtekammern'!P225</f>
        <v>Weiterer Zusatzstoff 2</v>
      </c>
      <c r="R226" s="17"/>
      <c r="S226" s="37"/>
      <c r="T226" s="37"/>
      <c r="U226" s="37">
        <f>'M1 Härtekammern'!T225</f>
        <v>0</v>
      </c>
      <c r="V226" s="17"/>
      <c r="W226" s="17"/>
      <c r="X226" s="37">
        <f t="shared" si="67"/>
        <v>0</v>
      </c>
      <c r="Y226" s="37">
        <f t="shared" si="68"/>
        <v>0</v>
      </c>
      <c r="Z226" s="17" t="s">
        <v>184</v>
      </c>
    </row>
    <row r="227" spans="15:26" hidden="1" outlineLevel="1" x14ac:dyDescent="0.2">
      <c r="O227" s="17"/>
      <c r="P227" s="17"/>
      <c r="Q227" s="17"/>
      <c r="R227" s="17"/>
      <c r="S227" s="17"/>
      <c r="T227" s="17"/>
      <c r="U227" s="17"/>
      <c r="V227" s="17"/>
      <c r="W227" s="17"/>
      <c r="X227" s="17"/>
      <c r="Y227" s="20"/>
      <c r="Z227" s="20"/>
    </row>
    <row r="228" spans="15:26" ht="14.25" hidden="1" outlineLevel="1" x14ac:dyDescent="0.25">
      <c r="O228" s="69"/>
      <c r="P228" s="69" t="s">
        <v>49</v>
      </c>
      <c r="Q228" s="70"/>
      <c r="R228" s="70"/>
      <c r="S228" s="71"/>
      <c r="T228" s="71"/>
      <c r="U228" s="71">
        <f t="shared" ref="U228" si="69">SUM(U229:U232)</f>
        <v>148.44746134951595</v>
      </c>
      <c r="V228" s="70"/>
      <c r="W228" s="70"/>
      <c r="X228" s="71">
        <f t="shared" ref="X228:X232" si="70">S228+T228</f>
        <v>0</v>
      </c>
      <c r="Y228" s="71">
        <f t="shared" ref="Y228" si="71">SUM(S228:U228)</f>
        <v>148.44746134951595</v>
      </c>
      <c r="Z228" s="76" t="s">
        <v>183</v>
      </c>
    </row>
    <row r="229" spans="15:26" ht="15.75" hidden="1" outlineLevel="1" x14ac:dyDescent="0.3">
      <c r="O229" s="17"/>
      <c r="P229" s="17"/>
      <c r="Q229" s="17" t="s">
        <v>50</v>
      </c>
      <c r="R229" s="17"/>
      <c r="S229" s="37"/>
      <c r="T229" s="37"/>
      <c r="U229" s="37">
        <f>'M1 Härtekammern'!T228</f>
        <v>47.997919375812742</v>
      </c>
      <c r="V229" s="17"/>
      <c r="W229" s="17"/>
      <c r="X229" s="37">
        <f t="shared" si="70"/>
        <v>0</v>
      </c>
      <c r="Y229" s="37">
        <f t="shared" ref="Y229:Y232" si="72">SUM(S229:U229)</f>
        <v>47.997919375812742</v>
      </c>
      <c r="Z229" s="17" t="s">
        <v>184</v>
      </c>
    </row>
    <row r="230" spans="15:26" ht="15.75" hidden="1" outlineLevel="1" x14ac:dyDescent="0.3">
      <c r="O230" s="17"/>
      <c r="P230" s="17"/>
      <c r="Q230" s="17" t="s">
        <v>52</v>
      </c>
      <c r="R230" s="17"/>
      <c r="S230" s="37"/>
      <c r="T230" s="37"/>
      <c r="U230" s="37">
        <f>'M1 Härtekammern'!T229</f>
        <v>5.7797543707556596</v>
      </c>
      <c r="V230" s="17"/>
      <c r="W230" s="17"/>
      <c r="X230" s="37">
        <f t="shared" si="70"/>
        <v>0</v>
      </c>
      <c r="Y230" s="37">
        <f t="shared" si="72"/>
        <v>5.7797543707556596</v>
      </c>
      <c r="Z230" s="17" t="s">
        <v>184</v>
      </c>
    </row>
    <row r="231" spans="15:26" ht="15.75" hidden="1" outlineLevel="1" x14ac:dyDescent="0.3">
      <c r="O231" s="17"/>
      <c r="P231" s="17"/>
      <c r="Q231" s="17" t="s">
        <v>53</v>
      </c>
      <c r="R231" s="17"/>
      <c r="S231" s="37"/>
      <c r="T231" s="37"/>
      <c r="U231" s="37">
        <f>'M1 Härtekammern'!T230</f>
        <v>1.4217598612917211E-2</v>
      </c>
      <c r="V231" s="17"/>
      <c r="W231" s="17"/>
      <c r="X231" s="37">
        <f t="shared" si="70"/>
        <v>0</v>
      </c>
      <c r="Y231" s="37">
        <f t="shared" si="72"/>
        <v>1.4217598612917211E-2</v>
      </c>
      <c r="Z231" s="17" t="s">
        <v>184</v>
      </c>
    </row>
    <row r="232" spans="15:26" ht="15.75" hidden="1" outlineLevel="1" x14ac:dyDescent="0.3">
      <c r="O232" s="17"/>
      <c r="P232" s="17"/>
      <c r="Q232" s="17" t="s">
        <v>54</v>
      </c>
      <c r="R232" s="17"/>
      <c r="S232" s="37"/>
      <c r="T232" s="37"/>
      <c r="U232" s="37">
        <f>'M1 Härtekammern'!T231</f>
        <v>94.655570004334635</v>
      </c>
      <c r="V232" s="17"/>
      <c r="W232" s="17"/>
      <c r="X232" s="37">
        <f t="shared" si="70"/>
        <v>0</v>
      </c>
      <c r="Y232" s="37">
        <f t="shared" si="72"/>
        <v>94.655570004334635</v>
      </c>
      <c r="Z232" s="17" t="s">
        <v>184</v>
      </c>
    </row>
    <row r="233" spans="15:26" hidden="1" outlineLevel="1" x14ac:dyDescent="0.2">
      <c r="O233" s="17"/>
      <c r="P233" s="17"/>
      <c r="Q233" s="17"/>
      <c r="R233" s="17"/>
      <c r="S233" s="17"/>
      <c r="T233" s="17"/>
      <c r="U233" s="17"/>
      <c r="V233" s="17"/>
      <c r="W233" s="17"/>
      <c r="X233" s="17"/>
      <c r="Y233" s="17"/>
      <c r="Z233" s="20"/>
    </row>
    <row r="234" spans="15:26" ht="14.25" hidden="1" outlineLevel="1" x14ac:dyDescent="0.25">
      <c r="O234" s="17"/>
      <c r="P234" s="17"/>
      <c r="Q234" s="21" t="s">
        <v>99</v>
      </c>
      <c r="R234" s="21"/>
      <c r="S234" s="74"/>
      <c r="T234" s="74"/>
      <c r="U234" s="37">
        <f>'M1 Härtekammern'!T233</f>
        <v>0</v>
      </c>
      <c r="V234" s="21"/>
      <c r="W234" s="21"/>
      <c r="X234" s="74">
        <f>S234+T234</f>
        <v>0</v>
      </c>
      <c r="Y234" s="74">
        <f>SUM(S234:U234)</f>
        <v>0</v>
      </c>
      <c r="Z234" s="21" t="s">
        <v>183</v>
      </c>
    </row>
    <row r="235" spans="15:26" ht="14.25" hidden="1" outlineLevel="1" x14ac:dyDescent="0.25">
      <c r="O235" s="17"/>
      <c r="P235" s="17"/>
      <c r="Q235" s="21" t="s">
        <v>62</v>
      </c>
      <c r="R235" s="21"/>
      <c r="S235" s="75"/>
      <c r="T235" s="75"/>
      <c r="U235" s="37">
        <f>'M1 Härtekammern'!T234</f>
        <v>0.54400000000000004</v>
      </c>
      <c r="V235" s="21"/>
      <c r="W235" s="21"/>
      <c r="X235" s="74">
        <f>S235+T235</f>
        <v>0</v>
      </c>
      <c r="Y235" s="74">
        <f>SUM(S235:U235)</f>
        <v>0.54400000000000004</v>
      </c>
      <c r="Z235" s="21" t="s">
        <v>183</v>
      </c>
    </row>
    <row r="236" spans="15:26" hidden="1" outlineLevel="1" x14ac:dyDescent="0.2">
      <c r="O236" s="17"/>
      <c r="P236" s="17"/>
      <c r="Q236" s="17"/>
      <c r="R236" s="17"/>
      <c r="S236" s="17"/>
      <c r="T236" s="17"/>
      <c r="U236" s="17"/>
      <c r="V236" s="17"/>
      <c r="W236" s="17"/>
      <c r="X236" s="17"/>
      <c r="Y236" s="17"/>
      <c r="Z236" s="20"/>
    </row>
    <row r="237" spans="15:26" ht="14.25" hidden="1" outlineLevel="1" x14ac:dyDescent="0.25">
      <c r="O237" s="69"/>
      <c r="P237" s="69" t="s">
        <v>168</v>
      </c>
      <c r="Q237" s="70"/>
      <c r="R237" s="70"/>
      <c r="S237" s="71"/>
      <c r="T237" s="71"/>
      <c r="U237" s="71">
        <f t="shared" ref="U237" si="73">SUM(U238:U240)</f>
        <v>0.16095999999999999</v>
      </c>
      <c r="V237" s="70"/>
      <c r="W237" s="70"/>
      <c r="X237" s="71">
        <f t="shared" ref="X237" si="74">S237+T237</f>
        <v>0</v>
      </c>
      <c r="Y237" s="71">
        <f t="shared" ref="Y237" si="75">SUM(S237:U237)</f>
        <v>0.16095999999999999</v>
      </c>
      <c r="Z237" s="76" t="s">
        <v>183</v>
      </c>
    </row>
    <row r="238" spans="15:26" ht="15.75" hidden="1" outlineLevel="1" x14ac:dyDescent="0.3">
      <c r="O238" s="17"/>
      <c r="P238" s="17"/>
      <c r="Q238" s="17" t="s">
        <v>169</v>
      </c>
      <c r="R238" s="17"/>
      <c r="S238" s="37"/>
      <c r="T238" s="37"/>
      <c r="U238" s="37">
        <f>'M1 Härtekammern'!T237</f>
        <v>0</v>
      </c>
      <c r="V238" s="17"/>
      <c r="W238" s="17"/>
      <c r="X238" s="37">
        <f>S238+T238</f>
        <v>0</v>
      </c>
      <c r="Y238" s="37">
        <f>SUM(S238:U238)</f>
        <v>0</v>
      </c>
      <c r="Z238" s="17" t="s">
        <v>184</v>
      </c>
    </row>
    <row r="239" spans="15:26" ht="15.75" hidden="1" outlineLevel="1" x14ac:dyDescent="0.3">
      <c r="O239" s="17"/>
      <c r="P239" s="17"/>
      <c r="Q239" s="17" t="s">
        <v>60</v>
      </c>
      <c r="R239" s="17"/>
      <c r="S239" s="37"/>
      <c r="T239" s="37"/>
      <c r="U239" s="37">
        <f>'M1 Härtekammern'!T238</f>
        <v>0.16095999999999999</v>
      </c>
      <c r="V239" s="17"/>
      <c r="W239" s="17"/>
      <c r="X239" s="37">
        <f t="shared" ref="X239" si="76">S239+T239</f>
        <v>0</v>
      </c>
      <c r="Y239" s="37">
        <f t="shared" ref="Y239" si="77">SUM(S239:U239)</f>
        <v>0.16095999999999999</v>
      </c>
      <c r="Z239" s="17" t="s">
        <v>184</v>
      </c>
    </row>
    <row r="240" spans="15:26" ht="15.75" hidden="1" outlineLevel="1" x14ac:dyDescent="0.3">
      <c r="O240" s="17"/>
      <c r="P240" s="17"/>
      <c r="Q240" s="17" t="s">
        <v>170</v>
      </c>
      <c r="R240" s="17"/>
      <c r="S240" s="37"/>
      <c r="T240" s="37"/>
      <c r="U240" s="37">
        <f>'M1 Härtekammern'!T239</f>
        <v>0</v>
      </c>
      <c r="V240" s="17"/>
      <c r="W240" s="17"/>
      <c r="X240" s="37">
        <f>S240+T240</f>
        <v>0</v>
      </c>
      <c r="Y240" s="37">
        <f>SUM(S240:U240)</f>
        <v>0</v>
      </c>
      <c r="Z240" s="17" t="s">
        <v>184</v>
      </c>
    </row>
    <row r="241" spans="15:26" hidden="1" outlineLevel="1" x14ac:dyDescent="0.2">
      <c r="O241" s="17"/>
      <c r="P241" s="17"/>
      <c r="Q241" s="17"/>
      <c r="R241" s="17"/>
      <c r="S241" s="17"/>
      <c r="T241" s="17"/>
      <c r="U241" s="17"/>
      <c r="V241" s="17"/>
      <c r="W241" s="17"/>
      <c r="X241" s="17"/>
      <c r="Y241" s="17"/>
      <c r="Z241" s="20"/>
    </row>
    <row r="242" spans="15:26" ht="14.25" hidden="1" outlineLevel="1" x14ac:dyDescent="0.25">
      <c r="O242" s="69"/>
      <c r="P242" s="69" t="s">
        <v>171</v>
      </c>
      <c r="Q242" s="70"/>
      <c r="R242" s="70"/>
      <c r="S242" s="71"/>
      <c r="T242" s="71"/>
      <c r="U242" s="71">
        <f t="shared" ref="U242" si="78">SUM(U243:U245)</f>
        <v>60</v>
      </c>
      <c r="V242" s="70"/>
      <c r="W242" s="70"/>
      <c r="X242" s="71">
        <f t="shared" ref="X242" si="79">S242+T242</f>
        <v>0</v>
      </c>
      <c r="Y242" s="71">
        <f t="shared" ref="Y242" si="80">SUM(S242:U242)</f>
        <v>60</v>
      </c>
      <c r="Z242" s="76" t="s">
        <v>183</v>
      </c>
    </row>
    <row r="243" spans="15:26" ht="15.75" hidden="1" outlineLevel="1" x14ac:dyDescent="0.3">
      <c r="O243" s="17"/>
      <c r="P243" s="17"/>
      <c r="Q243" s="17" t="s">
        <v>64</v>
      </c>
      <c r="R243" s="17"/>
      <c r="S243" s="43"/>
      <c r="T243" s="43"/>
      <c r="U243" s="37">
        <f>'M1 Härtekammern'!T242</f>
        <v>60</v>
      </c>
      <c r="V243" s="17"/>
      <c r="W243" s="17"/>
      <c r="X243" s="37">
        <f>S243+T243</f>
        <v>0</v>
      </c>
      <c r="Y243" s="37">
        <f>SUM(S243:U243)</f>
        <v>60</v>
      </c>
      <c r="Z243" s="17" t="s">
        <v>184</v>
      </c>
    </row>
    <row r="244" spans="15:26" ht="15.75" hidden="1" outlineLevel="1" x14ac:dyDescent="0.3">
      <c r="O244" s="17"/>
      <c r="P244" s="17"/>
      <c r="Q244" s="17" t="s">
        <v>173</v>
      </c>
      <c r="R244" s="17"/>
      <c r="S244" s="43"/>
      <c r="T244" s="43"/>
      <c r="U244" s="37">
        <f>'M1 Härtekammern'!T243</f>
        <v>0</v>
      </c>
      <c r="V244" s="17"/>
      <c r="W244" s="17"/>
      <c r="X244" s="37">
        <f t="shared" ref="X244:X245" si="81">S244+T244</f>
        <v>0</v>
      </c>
      <c r="Y244" s="37">
        <f t="shared" ref="Y244:Y245" si="82">SUM(S244:U244)</f>
        <v>0</v>
      </c>
      <c r="Z244" s="17" t="s">
        <v>184</v>
      </c>
    </row>
    <row r="245" spans="15:26" ht="15.75" hidden="1" outlineLevel="1" x14ac:dyDescent="0.3">
      <c r="O245" s="17"/>
      <c r="P245" s="17"/>
      <c r="Q245" s="17" t="s">
        <v>172</v>
      </c>
      <c r="R245" s="17"/>
      <c r="S245" s="43"/>
      <c r="T245" s="43"/>
      <c r="U245" s="37">
        <f>'M1 Härtekammern'!T244</f>
        <v>0</v>
      </c>
      <c r="V245" s="17"/>
      <c r="W245" s="17"/>
      <c r="X245" s="37">
        <f t="shared" si="81"/>
        <v>0</v>
      </c>
      <c r="Y245" s="37">
        <f t="shared" si="82"/>
        <v>0</v>
      </c>
      <c r="Z245" s="17" t="s">
        <v>184</v>
      </c>
    </row>
    <row r="246" spans="15:26" hidden="1" outlineLevel="1" x14ac:dyDescent="0.2">
      <c r="O246" s="17"/>
      <c r="P246" s="17"/>
      <c r="Q246" s="17"/>
      <c r="R246" s="17"/>
      <c r="S246" s="17"/>
      <c r="T246" s="17"/>
      <c r="U246" s="17"/>
      <c r="V246" s="17"/>
      <c r="W246" s="17"/>
      <c r="X246" s="17"/>
      <c r="Y246" s="17"/>
      <c r="Z246" s="20"/>
    </row>
    <row r="247" spans="15:26" ht="14.25" hidden="1" outlineLevel="1" x14ac:dyDescent="0.25">
      <c r="O247" s="17"/>
      <c r="P247" s="17"/>
      <c r="Q247" s="21" t="s">
        <v>61</v>
      </c>
      <c r="R247" s="21"/>
      <c r="S247" s="75"/>
      <c r="T247" s="75"/>
      <c r="U247" s="37">
        <f>'M1 Härtekammern'!T246</f>
        <v>64.48</v>
      </c>
      <c r="V247" s="21"/>
      <c r="W247" s="21"/>
      <c r="X247" s="74">
        <f t="shared" ref="X247" si="83">S247+T247</f>
        <v>0</v>
      </c>
      <c r="Y247" s="74">
        <f t="shared" ref="Y247" si="84">SUM(S247:U247)</f>
        <v>64.48</v>
      </c>
      <c r="Z247" s="21" t="s">
        <v>183</v>
      </c>
    </row>
    <row r="248" spans="15:26" hidden="1" outlineLevel="1" x14ac:dyDescent="0.2">
      <c r="O248" s="17"/>
      <c r="P248" s="17"/>
      <c r="Q248" s="17"/>
      <c r="R248" s="17"/>
      <c r="S248" s="20"/>
      <c r="T248" s="20"/>
      <c r="U248" s="20"/>
      <c r="V248" s="17"/>
      <c r="W248" s="17"/>
      <c r="X248" s="17"/>
      <c r="Y248" s="20"/>
      <c r="Z248" s="20"/>
    </row>
    <row r="249" spans="15:26" ht="15" hidden="1" outlineLevel="1" thickBot="1" x14ac:dyDescent="0.3">
      <c r="O249" s="17"/>
      <c r="P249" s="17"/>
      <c r="Q249" s="67" t="s">
        <v>67</v>
      </c>
      <c r="R249" s="67"/>
      <c r="S249" s="68">
        <f>SUM(S188:S247)-S202-S206-S212-S221-S228-S237-S242</f>
        <v>65.693413899999996</v>
      </c>
      <c r="T249" s="68">
        <f>SUM(T188:T247)-T202-T206-T212-T221-T228-T237-T242</f>
        <v>72.889224607318326</v>
      </c>
      <c r="U249" s="68">
        <f>SUM(U188:U247)-U202-U206-U212-U221-U228-U237-U242</f>
        <v>5731.5300506055646</v>
      </c>
      <c r="V249" s="21"/>
      <c r="W249" s="21"/>
      <c r="X249" s="68">
        <f>SUM(X188:X247)-X202-X206-X212-X221-X228-X237-X242</f>
        <v>138.58263850731831</v>
      </c>
      <c r="Y249" s="68">
        <f>SUM(Y188:Y247)-Y202-Y206-Y212-Y221-Y228-Y237-Y242</f>
        <v>5870.1126891128824</v>
      </c>
      <c r="Z249" s="68" t="s">
        <v>183</v>
      </c>
    </row>
    <row r="250" spans="15:26" ht="13.5" hidden="1" outlineLevel="1" thickTop="1" x14ac:dyDescent="0.2">
      <c r="O250" s="17"/>
      <c r="P250" s="17"/>
      <c r="Q250" s="17"/>
      <c r="R250" s="17"/>
      <c r="S250" s="20"/>
      <c r="T250" s="20"/>
      <c r="U250" s="20"/>
      <c r="V250" s="17"/>
      <c r="W250" s="17"/>
      <c r="X250" s="17"/>
      <c r="Y250" s="20"/>
      <c r="Z250" s="20"/>
    </row>
    <row r="251" spans="15:26" hidden="1" outlineLevel="1" x14ac:dyDescent="0.2"/>
    <row r="252" spans="15:26" hidden="1" outlineLevel="1" x14ac:dyDescent="0.2"/>
    <row r="253" spans="15:26" hidden="1" outlineLevel="1" x14ac:dyDescent="0.2"/>
    <row r="254" spans="15:26" hidden="1" outlineLevel="1" x14ac:dyDescent="0.2"/>
    <row r="255" spans="15:26" hidden="1" outlineLevel="1" x14ac:dyDescent="0.2"/>
    <row r="256" spans="15:26"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collapsed="1" x14ac:dyDescent="0.2"/>
    <row r="282" collapsed="1" x14ac:dyDescent="0.2"/>
  </sheetData>
  <sheetProtection algorithmName="SHA-512" hashValue="1HVpgLbAIDpvXfi/Drkit7chhrkjrVdfsOvct8zUbzG0c73cL6FVykOIj0UdLnd85+ht15tItkgzTVfgWIJYJA==" saltValue="hOmz7CDJE7AdLH3ZnUmdeg==" spinCount="100000" sheet="1" selectLockedCells="1"/>
  <mergeCells count="7">
    <mergeCell ref="AH41:AH42"/>
    <mergeCell ref="Y50:Y51"/>
    <mergeCell ref="D6:L6"/>
    <mergeCell ref="E13:G13"/>
    <mergeCell ref="E20:G20"/>
    <mergeCell ref="I20:K20"/>
    <mergeCell ref="P41:P42"/>
  </mergeCells>
  <hyperlinks>
    <hyperlink ref="A1" location="Cockpit!A1" display="zurück zu Cockpit" xr:uid="{2E2340A3-8420-4A1C-B2E9-CA56BF8D45BA}"/>
  </hyperlinks>
  <printOptions horizontalCentered="1"/>
  <pageMargins left="0.39370078740157483" right="0.39370078740157483" top="0.39370078740157483" bottom="0.59055118110236227" header="0.19685039370078741" footer="0.19685039370078741"/>
  <pageSetup paperSize="9" scale="49" fitToWidth="4" orientation="portrait" verticalDpi="601" r:id="rId1"/>
  <colBreaks count="3" manualBreakCount="3">
    <brk id="13" max="74" man="1"/>
    <brk id="22" max="74" man="1"/>
    <brk id="31"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03425" r:id="rId4" name="Check Box 1">
              <controlPr defaultSize="0" autoFill="0" autoLine="0" autoPict="0">
                <anchor moveWithCells="1">
                  <from>
                    <xdr:col>15</xdr:col>
                    <xdr:colOff>523875</xdr:colOff>
                    <xdr:row>42</xdr:row>
                    <xdr:rowOff>28575</xdr:rowOff>
                  </from>
                  <to>
                    <xdr:col>15</xdr:col>
                    <xdr:colOff>695325</xdr:colOff>
                    <xdr:row>43</xdr:row>
                    <xdr:rowOff>0</xdr:rowOff>
                  </to>
                </anchor>
              </controlPr>
            </control>
          </mc:Choice>
        </mc:AlternateContent>
        <mc:AlternateContent xmlns:mc="http://schemas.openxmlformats.org/markup-compatibility/2006">
          <mc:Choice Requires="x14">
            <control shapeId="103426" r:id="rId5" name="Check Box 2">
              <controlPr defaultSize="0" autoFill="0" autoLine="0" autoPict="0">
                <anchor moveWithCells="1">
                  <from>
                    <xdr:col>15</xdr:col>
                    <xdr:colOff>523875</xdr:colOff>
                    <xdr:row>43</xdr:row>
                    <xdr:rowOff>28575</xdr:rowOff>
                  </from>
                  <to>
                    <xdr:col>15</xdr:col>
                    <xdr:colOff>695325</xdr:colOff>
                    <xdr:row>43</xdr:row>
                    <xdr:rowOff>190500</xdr:rowOff>
                  </to>
                </anchor>
              </controlPr>
            </control>
          </mc:Choice>
        </mc:AlternateContent>
        <mc:AlternateContent xmlns:mc="http://schemas.openxmlformats.org/markup-compatibility/2006">
          <mc:Choice Requires="x14">
            <control shapeId="103427" r:id="rId6" name="Check Box 3">
              <controlPr defaultSize="0" autoFill="0" autoLine="0" autoPict="0">
                <anchor moveWithCells="1">
                  <from>
                    <xdr:col>15</xdr:col>
                    <xdr:colOff>523875</xdr:colOff>
                    <xdr:row>44</xdr:row>
                    <xdr:rowOff>28575</xdr:rowOff>
                  </from>
                  <to>
                    <xdr:col>15</xdr:col>
                    <xdr:colOff>695325</xdr:colOff>
                    <xdr:row>44</xdr:row>
                    <xdr:rowOff>171450</xdr:rowOff>
                  </to>
                </anchor>
              </controlPr>
            </control>
          </mc:Choice>
        </mc:AlternateContent>
        <mc:AlternateContent xmlns:mc="http://schemas.openxmlformats.org/markup-compatibility/2006">
          <mc:Choice Requires="x14">
            <control shapeId="103428" r:id="rId7" name="Check Box 4">
              <controlPr defaultSize="0" autoFill="0" autoLine="0" autoPict="0">
                <anchor moveWithCells="1">
                  <from>
                    <xdr:col>15</xdr:col>
                    <xdr:colOff>523875</xdr:colOff>
                    <xdr:row>45</xdr:row>
                    <xdr:rowOff>19050</xdr:rowOff>
                  </from>
                  <to>
                    <xdr:col>15</xdr:col>
                    <xdr:colOff>695325</xdr:colOff>
                    <xdr:row>45</xdr:row>
                    <xdr:rowOff>190500</xdr:rowOff>
                  </to>
                </anchor>
              </controlPr>
            </control>
          </mc:Choice>
        </mc:AlternateContent>
        <mc:AlternateContent xmlns:mc="http://schemas.openxmlformats.org/markup-compatibility/2006">
          <mc:Choice Requires="x14">
            <control shapeId="103429" r:id="rId8" name="Check Box 5">
              <controlPr defaultSize="0" autoFill="0" autoLine="0" autoPict="0">
                <anchor moveWithCells="1">
                  <from>
                    <xdr:col>15</xdr:col>
                    <xdr:colOff>523875</xdr:colOff>
                    <xdr:row>46</xdr:row>
                    <xdr:rowOff>19050</xdr:rowOff>
                  </from>
                  <to>
                    <xdr:col>15</xdr:col>
                    <xdr:colOff>695325</xdr:colOff>
                    <xdr:row>46</xdr:row>
                    <xdr:rowOff>171450</xdr:rowOff>
                  </to>
                </anchor>
              </controlPr>
            </control>
          </mc:Choice>
        </mc:AlternateContent>
        <mc:AlternateContent xmlns:mc="http://schemas.openxmlformats.org/markup-compatibility/2006">
          <mc:Choice Requires="x14">
            <control shapeId="103430" r:id="rId9" name="Check Box 6">
              <controlPr defaultSize="0" autoFill="0" autoLine="0" autoPict="0">
                <anchor moveWithCells="1">
                  <from>
                    <xdr:col>15</xdr:col>
                    <xdr:colOff>523875</xdr:colOff>
                    <xdr:row>47</xdr:row>
                    <xdr:rowOff>0</xdr:rowOff>
                  </from>
                  <to>
                    <xdr:col>15</xdr:col>
                    <xdr:colOff>695325</xdr:colOff>
                    <xdr:row>47</xdr:row>
                    <xdr:rowOff>171450</xdr:rowOff>
                  </to>
                </anchor>
              </controlPr>
            </control>
          </mc:Choice>
        </mc:AlternateContent>
        <mc:AlternateContent xmlns:mc="http://schemas.openxmlformats.org/markup-compatibility/2006">
          <mc:Choice Requires="x14">
            <control shapeId="103431" r:id="rId10" name="Check Box 7">
              <controlPr defaultSize="0" autoFill="0" autoLine="0" autoPict="0">
                <anchor moveWithCells="1">
                  <from>
                    <xdr:col>15</xdr:col>
                    <xdr:colOff>523875</xdr:colOff>
                    <xdr:row>48</xdr:row>
                    <xdr:rowOff>9525</xdr:rowOff>
                  </from>
                  <to>
                    <xdr:col>15</xdr:col>
                    <xdr:colOff>695325</xdr:colOff>
                    <xdr:row>48</xdr:row>
                    <xdr:rowOff>190500</xdr:rowOff>
                  </to>
                </anchor>
              </controlPr>
            </control>
          </mc:Choice>
        </mc:AlternateContent>
        <mc:AlternateContent xmlns:mc="http://schemas.openxmlformats.org/markup-compatibility/2006">
          <mc:Choice Requires="x14">
            <control shapeId="103432" r:id="rId11" name="Check Box 8">
              <controlPr defaultSize="0" autoFill="0" autoLine="0" autoPict="0">
                <anchor moveWithCells="1">
                  <from>
                    <xdr:col>33</xdr:col>
                    <xdr:colOff>457200</xdr:colOff>
                    <xdr:row>53</xdr:row>
                    <xdr:rowOff>0</xdr:rowOff>
                  </from>
                  <to>
                    <xdr:col>33</xdr:col>
                    <xdr:colOff>666750</xdr:colOff>
                    <xdr:row>53</xdr:row>
                    <xdr:rowOff>171450</xdr:rowOff>
                  </to>
                </anchor>
              </controlPr>
            </control>
          </mc:Choice>
        </mc:AlternateContent>
        <mc:AlternateContent xmlns:mc="http://schemas.openxmlformats.org/markup-compatibility/2006">
          <mc:Choice Requires="x14">
            <control shapeId="103433" r:id="rId12" name="Check Box 9">
              <controlPr defaultSize="0" autoFill="0" autoLine="0" autoPict="0">
                <anchor moveWithCells="1">
                  <from>
                    <xdr:col>33</xdr:col>
                    <xdr:colOff>571500</xdr:colOff>
                    <xdr:row>54</xdr:row>
                    <xdr:rowOff>19050</xdr:rowOff>
                  </from>
                  <to>
                    <xdr:col>34</xdr:col>
                    <xdr:colOff>0</xdr:colOff>
                    <xdr:row>55</xdr:row>
                    <xdr:rowOff>0</xdr:rowOff>
                  </to>
                </anchor>
              </controlPr>
            </control>
          </mc:Choice>
        </mc:AlternateContent>
        <mc:AlternateContent xmlns:mc="http://schemas.openxmlformats.org/markup-compatibility/2006">
          <mc:Choice Requires="x14">
            <control shapeId="103434" r:id="rId13" name="Check Box 10">
              <controlPr defaultSize="0" autoFill="0" autoLine="0" autoPict="0">
                <anchor moveWithCells="1">
                  <from>
                    <xdr:col>33</xdr:col>
                    <xdr:colOff>571500</xdr:colOff>
                    <xdr:row>55</xdr:row>
                    <xdr:rowOff>19050</xdr:rowOff>
                  </from>
                  <to>
                    <xdr:col>34</xdr:col>
                    <xdr:colOff>0</xdr:colOff>
                    <xdr:row>56</xdr:row>
                    <xdr:rowOff>0</xdr:rowOff>
                  </to>
                </anchor>
              </controlPr>
            </control>
          </mc:Choice>
        </mc:AlternateContent>
        <mc:AlternateContent xmlns:mc="http://schemas.openxmlformats.org/markup-compatibility/2006">
          <mc:Choice Requires="x14">
            <control shapeId="103435" r:id="rId14" name="Check Box 11">
              <controlPr defaultSize="0" autoFill="0" autoLine="0" autoPict="0">
                <anchor moveWithCells="1">
                  <from>
                    <xdr:col>33</xdr:col>
                    <xdr:colOff>571500</xdr:colOff>
                    <xdr:row>56</xdr:row>
                    <xdr:rowOff>9525</xdr:rowOff>
                  </from>
                  <to>
                    <xdr:col>34</xdr:col>
                    <xdr:colOff>0</xdr:colOff>
                    <xdr:row>56</xdr:row>
                    <xdr:rowOff>190500</xdr:rowOff>
                  </to>
                </anchor>
              </controlPr>
            </control>
          </mc:Choice>
        </mc:AlternateContent>
        <mc:AlternateContent xmlns:mc="http://schemas.openxmlformats.org/markup-compatibility/2006">
          <mc:Choice Requires="x14">
            <control shapeId="103436" r:id="rId15" name="Check Box 12">
              <controlPr defaultSize="0" autoFill="0" autoLine="0" autoPict="0">
                <anchor moveWithCells="1">
                  <from>
                    <xdr:col>33</xdr:col>
                    <xdr:colOff>457200</xdr:colOff>
                    <xdr:row>51</xdr:row>
                    <xdr:rowOff>9525</xdr:rowOff>
                  </from>
                  <to>
                    <xdr:col>33</xdr:col>
                    <xdr:colOff>666750</xdr:colOff>
                    <xdr:row>52</xdr:row>
                    <xdr:rowOff>19050</xdr:rowOff>
                  </to>
                </anchor>
              </controlPr>
            </control>
          </mc:Choice>
        </mc:AlternateContent>
        <mc:AlternateContent xmlns:mc="http://schemas.openxmlformats.org/markup-compatibility/2006">
          <mc:Choice Requires="x14">
            <control shapeId="103437" r:id="rId16" name="Check Box 13">
              <controlPr defaultSize="0" autoFill="0" autoLine="0" autoPict="0">
                <anchor moveWithCells="1">
                  <from>
                    <xdr:col>33</xdr:col>
                    <xdr:colOff>457200</xdr:colOff>
                    <xdr:row>50</xdr:row>
                    <xdr:rowOff>0</xdr:rowOff>
                  </from>
                  <to>
                    <xdr:col>33</xdr:col>
                    <xdr:colOff>666750</xdr:colOff>
                    <xdr:row>51</xdr:row>
                    <xdr:rowOff>19050</xdr:rowOff>
                  </to>
                </anchor>
              </controlPr>
            </control>
          </mc:Choice>
        </mc:AlternateContent>
        <mc:AlternateContent xmlns:mc="http://schemas.openxmlformats.org/markup-compatibility/2006">
          <mc:Choice Requires="x14">
            <control shapeId="103438" r:id="rId17" name="Check Box 14">
              <controlPr defaultSize="0" autoFill="0" autoLine="0" autoPict="0">
                <anchor moveWithCells="1">
                  <from>
                    <xdr:col>33</xdr:col>
                    <xdr:colOff>457200</xdr:colOff>
                    <xdr:row>52</xdr:row>
                    <xdr:rowOff>9525</xdr:rowOff>
                  </from>
                  <to>
                    <xdr:col>33</xdr:col>
                    <xdr:colOff>666750</xdr:colOff>
                    <xdr:row>53</xdr:row>
                    <xdr:rowOff>0</xdr:rowOff>
                  </to>
                </anchor>
              </controlPr>
            </control>
          </mc:Choice>
        </mc:AlternateContent>
        <mc:AlternateContent xmlns:mc="http://schemas.openxmlformats.org/markup-compatibility/2006">
          <mc:Choice Requires="x14">
            <control shapeId="103439" r:id="rId18" name="Check Box 15">
              <controlPr defaultSize="0" autoFill="0" autoLine="0" autoPict="0">
                <anchor moveWithCells="1">
                  <from>
                    <xdr:col>24</xdr:col>
                    <xdr:colOff>514350</xdr:colOff>
                    <xdr:row>50</xdr:row>
                    <xdr:rowOff>152400</xdr:rowOff>
                  </from>
                  <to>
                    <xdr:col>24</xdr:col>
                    <xdr:colOff>733425</xdr:colOff>
                    <xdr:row>52</xdr:row>
                    <xdr:rowOff>0</xdr:rowOff>
                  </to>
                </anchor>
              </controlPr>
            </control>
          </mc:Choice>
        </mc:AlternateContent>
        <mc:AlternateContent xmlns:mc="http://schemas.openxmlformats.org/markup-compatibility/2006">
          <mc:Choice Requires="x14">
            <control shapeId="103440" r:id="rId19" name="Check Box 16">
              <controlPr defaultSize="0" autoFill="0" autoLine="0" autoPict="0">
                <anchor moveWithCells="1">
                  <from>
                    <xdr:col>24</xdr:col>
                    <xdr:colOff>514350</xdr:colOff>
                    <xdr:row>51</xdr:row>
                    <xdr:rowOff>171450</xdr:rowOff>
                  </from>
                  <to>
                    <xdr:col>24</xdr:col>
                    <xdr:colOff>733425</xdr:colOff>
                    <xdr:row>52</xdr:row>
                    <xdr:rowOff>190500</xdr:rowOff>
                  </to>
                </anchor>
              </controlPr>
            </control>
          </mc:Choice>
        </mc:AlternateContent>
        <mc:AlternateContent xmlns:mc="http://schemas.openxmlformats.org/markup-compatibility/2006">
          <mc:Choice Requires="x14">
            <control shapeId="103441" r:id="rId20" name="Check Box 17">
              <controlPr defaultSize="0" autoFill="0" autoLine="0" autoPict="0">
                <anchor moveWithCells="1">
                  <from>
                    <xdr:col>24</xdr:col>
                    <xdr:colOff>514350</xdr:colOff>
                    <xdr:row>52</xdr:row>
                    <xdr:rowOff>180975</xdr:rowOff>
                  </from>
                  <to>
                    <xdr:col>24</xdr:col>
                    <xdr:colOff>733425</xdr:colOff>
                    <xdr:row>53</xdr:row>
                    <xdr:rowOff>190500</xdr:rowOff>
                  </to>
                </anchor>
              </controlPr>
            </control>
          </mc:Choice>
        </mc:AlternateContent>
        <mc:AlternateContent xmlns:mc="http://schemas.openxmlformats.org/markup-compatibility/2006">
          <mc:Choice Requires="x14">
            <control shapeId="103442" r:id="rId21" name="Check Box 18">
              <controlPr defaultSize="0" autoFill="0" autoLine="0" autoPict="0">
                <anchor moveWithCells="1">
                  <from>
                    <xdr:col>24</xdr:col>
                    <xdr:colOff>514350</xdr:colOff>
                    <xdr:row>53</xdr:row>
                    <xdr:rowOff>180975</xdr:rowOff>
                  </from>
                  <to>
                    <xdr:col>24</xdr:col>
                    <xdr:colOff>733425</xdr:colOff>
                    <xdr:row>55</xdr:row>
                    <xdr:rowOff>0</xdr:rowOff>
                  </to>
                </anchor>
              </controlPr>
            </control>
          </mc:Choice>
        </mc:AlternateContent>
        <mc:AlternateContent xmlns:mc="http://schemas.openxmlformats.org/markup-compatibility/2006">
          <mc:Choice Requires="x14">
            <control shapeId="103443" r:id="rId22" name="Check Box 19">
              <controlPr defaultSize="0" autoFill="0" autoLine="0" autoPict="0">
                <anchor moveWithCells="1">
                  <from>
                    <xdr:col>24</xdr:col>
                    <xdr:colOff>514350</xdr:colOff>
                    <xdr:row>54</xdr:row>
                    <xdr:rowOff>180975</xdr:rowOff>
                  </from>
                  <to>
                    <xdr:col>24</xdr:col>
                    <xdr:colOff>733425</xdr:colOff>
                    <xdr:row>56</xdr:row>
                    <xdr:rowOff>0</xdr:rowOff>
                  </to>
                </anchor>
              </controlPr>
            </control>
          </mc:Choice>
        </mc:AlternateContent>
        <mc:AlternateContent xmlns:mc="http://schemas.openxmlformats.org/markup-compatibility/2006">
          <mc:Choice Requires="x14">
            <control shapeId="103444" r:id="rId23" name="Check Box 20">
              <controlPr defaultSize="0" autoFill="0" autoLine="0" autoPict="0">
                <anchor moveWithCells="1">
                  <from>
                    <xdr:col>24</xdr:col>
                    <xdr:colOff>514350</xdr:colOff>
                    <xdr:row>55</xdr:row>
                    <xdr:rowOff>180975</xdr:rowOff>
                  </from>
                  <to>
                    <xdr:col>24</xdr:col>
                    <xdr:colOff>733425</xdr:colOff>
                    <xdr:row>57</xdr:row>
                    <xdr:rowOff>0</xdr:rowOff>
                  </to>
                </anchor>
              </controlPr>
            </control>
          </mc:Choice>
        </mc:AlternateContent>
        <mc:AlternateContent xmlns:mc="http://schemas.openxmlformats.org/markup-compatibility/2006">
          <mc:Choice Requires="x14">
            <control shapeId="103445" r:id="rId24" name="Check Box 21">
              <controlPr defaultSize="0" autoFill="0" autoLine="0" autoPict="0">
                <anchor moveWithCells="1">
                  <from>
                    <xdr:col>24</xdr:col>
                    <xdr:colOff>514350</xdr:colOff>
                    <xdr:row>56</xdr:row>
                    <xdr:rowOff>180975</xdr:rowOff>
                  </from>
                  <to>
                    <xdr:col>24</xdr:col>
                    <xdr:colOff>733425</xdr:colOff>
                    <xdr:row>58</xdr:row>
                    <xdr:rowOff>0</xdr:rowOff>
                  </to>
                </anchor>
              </controlPr>
            </control>
          </mc:Choice>
        </mc:AlternateContent>
        <mc:AlternateContent xmlns:mc="http://schemas.openxmlformats.org/markup-compatibility/2006">
          <mc:Choice Requires="x14">
            <control shapeId="103446" r:id="rId25" name="Check Box 22">
              <controlPr defaultSize="0" autoFill="0" autoLine="0" autoPict="0">
                <anchor moveWithCells="1">
                  <from>
                    <xdr:col>24</xdr:col>
                    <xdr:colOff>514350</xdr:colOff>
                    <xdr:row>57</xdr:row>
                    <xdr:rowOff>190500</xdr:rowOff>
                  </from>
                  <to>
                    <xdr:col>24</xdr:col>
                    <xdr:colOff>733425</xdr:colOff>
                    <xdr:row>58</xdr:row>
                    <xdr:rowOff>190500</xdr:rowOff>
                  </to>
                </anchor>
              </controlPr>
            </control>
          </mc:Choice>
        </mc:AlternateContent>
        <mc:AlternateContent xmlns:mc="http://schemas.openxmlformats.org/markup-compatibility/2006">
          <mc:Choice Requires="x14">
            <control shapeId="103447" r:id="rId26" name="Check Box 23">
              <controlPr defaultSize="0" autoFill="0" autoLine="0" autoPict="0">
                <anchor moveWithCells="1">
                  <from>
                    <xdr:col>24</xdr:col>
                    <xdr:colOff>514350</xdr:colOff>
                    <xdr:row>58</xdr:row>
                    <xdr:rowOff>180975</xdr:rowOff>
                  </from>
                  <to>
                    <xdr:col>24</xdr:col>
                    <xdr:colOff>733425</xdr:colOff>
                    <xdr:row>59</xdr:row>
                    <xdr:rowOff>190500</xdr:rowOff>
                  </to>
                </anchor>
              </controlPr>
            </control>
          </mc:Choice>
        </mc:AlternateContent>
        <mc:AlternateContent xmlns:mc="http://schemas.openxmlformats.org/markup-compatibility/2006">
          <mc:Choice Requires="x14">
            <control shapeId="103448" r:id="rId27" name="Check Box 24">
              <controlPr defaultSize="0" autoFill="0" autoLine="0" autoPict="0">
                <anchor moveWithCells="1">
                  <from>
                    <xdr:col>24</xdr:col>
                    <xdr:colOff>514350</xdr:colOff>
                    <xdr:row>59</xdr:row>
                    <xdr:rowOff>171450</xdr:rowOff>
                  </from>
                  <to>
                    <xdr:col>24</xdr:col>
                    <xdr:colOff>733425</xdr:colOff>
                    <xdr:row>60</xdr:row>
                    <xdr:rowOff>171450</xdr:rowOff>
                  </to>
                </anchor>
              </controlPr>
            </control>
          </mc:Choice>
        </mc:AlternateContent>
        <mc:AlternateContent xmlns:mc="http://schemas.openxmlformats.org/markup-compatibility/2006">
          <mc:Choice Requires="x14">
            <control shapeId="103449" r:id="rId28" name="Check Box 25">
              <controlPr defaultSize="0" autoFill="0" autoLine="0" autoPict="0">
                <anchor moveWithCells="1">
                  <from>
                    <xdr:col>24</xdr:col>
                    <xdr:colOff>514350</xdr:colOff>
                    <xdr:row>60</xdr:row>
                    <xdr:rowOff>171450</xdr:rowOff>
                  </from>
                  <to>
                    <xdr:col>24</xdr:col>
                    <xdr:colOff>733425</xdr:colOff>
                    <xdr:row>61</xdr:row>
                    <xdr:rowOff>171450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7E2C6-ACB1-4876-9663-095C5B625E60}">
  <dimension ref="A1:AP285"/>
  <sheetViews>
    <sheetView workbookViewId="0"/>
  </sheetViews>
  <sheetFormatPr baseColWidth="10" defaultColWidth="9" defaultRowHeight="12.75" outlineLevelRow="1" x14ac:dyDescent="0.2"/>
  <cols>
    <col min="1" max="1" width="3.375" style="6" customWidth="1"/>
    <col min="2" max="2" width="2.25" style="6" customWidth="1"/>
    <col min="3" max="3" width="9.875" style="6" customWidth="1"/>
    <col min="4" max="4" width="39.5" style="6" customWidth="1"/>
    <col min="5" max="5" width="11" style="6" customWidth="1"/>
    <col min="6" max="7" width="10.375" style="6" customWidth="1"/>
    <col min="8" max="9" width="9" style="6"/>
    <col min="10" max="11" width="10.75" style="6" customWidth="1"/>
    <col min="12" max="12" width="42.625" style="6" customWidth="1"/>
    <col min="13" max="13" width="3.375" style="6" customWidth="1"/>
    <col min="14" max="14" width="2.125" style="2" customWidth="1"/>
    <col min="15" max="15" width="2.25" style="6" customWidth="1"/>
    <col min="16" max="16" width="9.875" style="6" customWidth="1"/>
    <col min="17" max="17" width="39.5" style="6" customWidth="1"/>
    <col min="18" max="18" width="9" style="6"/>
    <col min="19" max="19" width="10.375" style="6" customWidth="1"/>
    <col min="20" max="20" width="10.125" style="6" customWidth="1"/>
    <col min="21" max="22" width="9" style="6"/>
    <col min="23" max="23" width="1.75" style="2" customWidth="1"/>
    <col min="24" max="24" width="4.25" style="6" customWidth="1"/>
    <col min="25" max="25" width="10.5" style="6" customWidth="1"/>
    <col min="26" max="26" width="43" style="6" bestFit="1" customWidth="1"/>
    <col min="27" max="29" width="9" style="6"/>
    <col min="30" max="30" width="12" style="6" customWidth="1"/>
    <col min="31" max="31" width="9" style="6"/>
    <col min="32" max="32" width="1.75" style="2" customWidth="1"/>
    <col min="33" max="33" width="3.625" style="6" customWidth="1"/>
    <col min="34" max="34" width="10.375" style="6" customWidth="1"/>
    <col min="35" max="35" width="31.5" style="6" bestFit="1" customWidth="1"/>
    <col min="36" max="36" width="9" style="6"/>
    <col min="37" max="37" width="11.75" style="6" bestFit="1" customWidth="1"/>
    <col min="38" max="38" width="10" style="6" bestFit="1" customWidth="1"/>
    <col min="39" max="39" width="9" style="6"/>
    <col min="40" max="40" width="9" style="6" customWidth="1"/>
    <col min="41" max="16384" width="9" style="6"/>
  </cols>
  <sheetData>
    <row r="1" spans="1:42" s="2" customFormat="1" x14ac:dyDescent="0.2">
      <c r="A1" s="428" t="s">
        <v>467</v>
      </c>
      <c r="B1" s="418"/>
      <c r="Q1" s="434"/>
    </row>
    <row r="2" spans="1:42" ht="18" x14ac:dyDescent="0.25">
      <c r="B2" s="3"/>
      <c r="C2" s="89"/>
      <c r="D2" s="89"/>
      <c r="E2" s="89"/>
      <c r="F2" s="89"/>
      <c r="G2" s="89"/>
      <c r="H2" s="89"/>
      <c r="I2" s="89"/>
      <c r="J2" s="89"/>
      <c r="K2" s="89"/>
      <c r="L2" s="89"/>
      <c r="M2" s="3"/>
      <c r="O2" s="3"/>
      <c r="P2" s="96" t="s">
        <v>212</v>
      </c>
      <c r="Q2" s="14"/>
      <c r="R2" s="3"/>
      <c r="S2" s="3"/>
      <c r="T2" s="3"/>
      <c r="U2" s="3"/>
      <c r="V2" s="3"/>
      <c r="X2" s="3"/>
      <c r="Y2" s="3"/>
      <c r="Z2" s="3"/>
      <c r="AA2" s="3"/>
      <c r="AB2" s="3"/>
      <c r="AC2" s="3"/>
      <c r="AD2" s="3"/>
      <c r="AE2" s="3"/>
      <c r="AG2" s="3"/>
      <c r="AH2" s="3"/>
      <c r="AI2" s="3"/>
      <c r="AJ2" s="3"/>
      <c r="AK2" s="3"/>
      <c r="AL2" s="3"/>
      <c r="AM2" s="3"/>
      <c r="AN2" s="3"/>
      <c r="AO2" s="3"/>
      <c r="AP2" s="3"/>
    </row>
    <row r="3" spans="1:42" ht="18" x14ac:dyDescent="0.25">
      <c r="B3" s="3"/>
      <c r="C3" s="89"/>
      <c r="D3" s="90" t="s">
        <v>211</v>
      </c>
      <c r="E3" s="89"/>
      <c r="F3" s="89"/>
      <c r="G3" s="89"/>
      <c r="H3" s="89"/>
      <c r="I3" s="89"/>
      <c r="J3" s="89"/>
      <c r="K3" s="89"/>
      <c r="L3" s="89"/>
      <c r="M3" s="3"/>
      <c r="O3" s="3"/>
      <c r="P3" s="3"/>
      <c r="Q3" s="14"/>
      <c r="R3" s="3"/>
      <c r="S3" s="3"/>
      <c r="T3" s="3"/>
      <c r="U3" s="3"/>
      <c r="V3" s="3"/>
      <c r="X3" s="3"/>
      <c r="Y3" s="3"/>
      <c r="Z3" s="3"/>
      <c r="AA3" s="3"/>
      <c r="AB3" s="3"/>
      <c r="AC3" s="3"/>
      <c r="AD3" s="3"/>
      <c r="AE3" s="3"/>
      <c r="AG3" s="3"/>
      <c r="AH3" s="3"/>
      <c r="AI3" s="3"/>
      <c r="AJ3" s="3"/>
      <c r="AK3" s="3"/>
      <c r="AL3" s="3"/>
      <c r="AM3" s="3"/>
      <c r="AN3" s="3"/>
      <c r="AO3" s="3"/>
      <c r="AP3" s="3"/>
    </row>
    <row r="4" spans="1:42" ht="15" x14ac:dyDescent="0.25">
      <c r="B4" s="3"/>
      <c r="C4" s="89"/>
      <c r="D4" s="3"/>
      <c r="E4" s="3"/>
      <c r="F4" s="3"/>
      <c r="G4" s="3"/>
      <c r="H4" s="3"/>
      <c r="I4" s="3"/>
      <c r="J4" s="3"/>
      <c r="K4" s="3"/>
      <c r="L4" s="3"/>
      <c r="M4" s="3"/>
      <c r="O4" s="3"/>
      <c r="P4" s="91" t="s">
        <v>101</v>
      </c>
      <c r="Q4" s="3"/>
      <c r="R4" s="3"/>
      <c r="S4" s="3"/>
      <c r="T4" s="3"/>
      <c r="U4" s="3"/>
      <c r="V4" s="3"/>
      <c r="X4" s="3"/>
      <c r="Y4" s="91" t="s">
        <v>105</v>
      </c>
      <c r="Z4" s="3"/>
      <c r="AA4" s="3"/>
      <c r="AB4" s="3"/>
      <c r="AC4" s="3"/>
      <c r="AD4" s="3"/>
      <c r="AE4" s="3"/>
      <c r="AG4" s="3"/>
      <c r="AH4" s="92" t="s">
        <v>79</v>
      </c>
      <c r="AI4" s="3"/>
      <c r="AJ4" s="3"/>
      <c r="AK4" s="3"/>
      <c r="AL4" s="3"/>
      <c r="AM4" s="3"/>
      <c r="AN4" s="3"/>
      <c r="AO4" s="3"/>
      <c r="AP4" s="3"/>
    </row>
    <row r="5" spans="1:42" ht="21.75" customHeight="1" x14ac:dyDescent="0.2">
      <c r="B5" s="3"/>
      <c r="C5" s="89"/>
      <c r="D5" s="103" t="s">
        <v>294</v>
      </c>
      <c r="E5" s="103"/>
      <c r="F5" s="103"/>
      <c r="G5" s="103"/>
      <c r="H5" s="103"/>
      <c r="I5" s="103"/>
      <c r="J5" s="103"/>
      <c r="K5" s="103"/>
      <c r="L5" s="103"/>
      <c r="M5" s="3"/>
      <c r="O5" s="3"/>
      <c r="P5" s="3"/>
      <c r="Q5" s="14"/>
      <c r="R5" s="3"/>
      <c r="S5" s="3"/>
      <c r="T5" s="3"/>
      <c r="U5" s="3"/>
      <c r="V5" s="3"/>
      <c r="X5" s="3"/>
      <c r="Y5" s="3"/>
      <c r="Z5" s="3"/>
      <c r="AA5" s="3"/>
      <c r="AB5" s="3"/>
      <c r="AC5" s="3"/>
      <c r="AD5" s="3"/>
      <c r="AE5" s="3"/>
      <c r="AG5" s="3"/>
      <c r="AH5" s="3"/>
      <c r="AI5" s="3"/>
      <c r="AJ5" s="3"/>
      <c r="AK5" s="3"/>
      <c r="AL5" s="3"/>
      <c r="AM5" s="3"/>
      <c r="AN5" s="3"/>
      <c r="AO5" s="3"/>
      <c r="AP5" s="3"/>
    </row>
    <row r="6" spans="1:42" ht="190.5" customHeight="1" x14ac:dyDescent="0.2">
      <c r="B6" s="3"/>
      <c r="C6" s="93"/>
      <c r="D6" s="481" t="s">
        <v>437</v>
      </c>
      <c r="E6" s="481"/>
      <c r="F6" s="481"/>
      <c r="G6" s="481"/>
      <c r="H6" s="481"/>
      <c r="I6" s="481"/>
      <c r="J6" s="481"/>
      <c r="K6" s="481"/>
      <c r="L6" s="481"/>
      <c r="M6" s="3"/>
      <c r="O6" s="3"/>
      <c r="P6" s="3"/>
      <c r="Q6" s="3"/>
      <c r="R6" s="3"/>
      <c r="S6" s="3"/>
      <c r="T6" s="3"/>
      <c r="U6" s="3"/>
      <c r="V6" s="3"/>
      <c r="X6" s="3"/>
      <c r="Y6" s="3"/>
      <c r="Z6" s="3"/>
      <c r="AA6" s="3"/>
      <c r="AB6" s="3"/>
      <c r="AC6" s="3"/>
      <c r="AD6" s="3"/>
      <c r="AE6" s="3"/>
      <c r="AG6" s="3"/>
      <c r="AH6" s="3"/>
      <c r="AI6" s="3"/>
      <c r="AJ6" s="3"/>
      <c r="AK6" s="3"/>
      <c r="AL6" s="3"/>
      <c r="AM6" s="3"/>
      <c r="AN6" s="3"/>
      <c r="AO6" s="3"/>
      <c r="AP6" s="3"/>
    </row>
    <row r="7" spans="1:42" x14ac:dyDescent="0.2">
      <c r="B7" s="3"/>
      <c r="C7" s="89"/>
      <c r="D7" s="89"/>
      <c r="E7" s="89"/>
      <c r="F7" s="89"/>
      <c r="G7" s="89"/>
      <c r="H7" s="89"/>
      <c r="I7" s="89"/>
      <c r="J7" s="89"/>
      <c r="K7" s="89"/>
      <c r="L7" s="89"/>
      <c r="M7" s="3"/>
      <c r="O7" s="3"/>
      <c r="P7" s="3"/>
      <c r="Q7" s="3"/>
      <c r="R7" s="3"/>
      <c r="S7" s="3"/>
      <c r="T7" s="3"/>
      <c r="U7" s="3"/>
      <c r="V7" s="3"/>
      <c r="X7" s="3"/>
      <c r="Y7" s="3"/>
      <c r="Z7" s="3"/>
      <c r="AA7" s="3"/>
      <c r="AB7" s="3"/>
      <c r="AC7" s="3"/>
      <c r="AD7" s="3"/>
      <c r="AE7" s="3"/>
      <c r="AG7" s="3"/>
      <c r="AH7" s="3"/>
      <c r="AI7" s="3"/>
      <c r="AJ7" s="3"/>
      <c r="AK7" s="3"/>
      <c r="AL7" s="3"/>
      <c r="AM7" s="3"/>
      <c r="AN7" s="3"/>
      <c r="AO7" s="3"/>
      <c r="AP7" s="3"/>
    </row>
    <row r="8" spans="1:42" x14ac:dyDescent="0.2">
      <c r="O8" s="3"/>
      <c r="P8" s="3"/>
      <c r="Q8" s="3"/>
      <c r="R8" s="3"/>
      <c r="S8" s="3"/>
      <c r="T8" s="3"/>
      <c r="U8" s="3"/>
      <c r="V8" s="3"/>
      <c r="X8" s="3"/>
      <c r="Y8" s="3"/>
      <c r="Z8" s="3"/>
      <c r="AA8" s="3"/>
      <c r="AB8" s="3"/>
      <c r="AC8" s="3"/>
      <c r="AD8" s="3"/>
      <c r="AE8" s="3"/>
      <c r="AG8" s="3"/>
      <c r="AH8" s="3"/>
      <c r="AI8" s="3"/>
      <c r="AJ8" s="3"/>
      <c r="AK8" s="3"/>
      <c r="AL8" s="3"/>
      <c r="AM8" s="3"/>
      <c r="AN8" s="3"/>
      <c r="AO8" s="3"/>
      <c r="AP8" s="3"/>
    </row>
    <row r="9" spans="1:42" x14ac:dyDescent="0.2">
      <c r="B9" s="3"/>
      <c r="C9" s="3"/>
      <c r="D9" s="3"/>
      <c r="E9" s="3"/>
      <c r="F9" s="3"/>
      <c r="G9" s="3"/>
      <c r="H9" s="3"/>
      <c r="I9" s="3"/>
      <c r="J9" s="3"/>
      <c r="K9" s="3"/>
      <c r="L9" s="3"/>
      <c r="M9" s="3"/>
      <c r="O9" s="3"/>
      <c r="P9" s="3"/>
      <c r="Q9" s="3"/>
      <c r="R9" s="3"/>
      <c r="S9" s="3"/>
      <c r="T9" s="3"/>
      <c r="U9" s="3"/>
      <c r="V9" s="3"/>
      <c r="X9" s="3"/>
      <c r="Y9" s="3"/>
      <c r="Z9" s="3"/>
      <c r="AA9" s="3"/>
      <c r="AB9" s="3"/>
      <c r="AC9" s="3"/>
      <c r="AD9" s="3"/>
      <c r="AE9" s="3"/>
      <c r="AG9" s="3"/>
      <c r="AH9" s="3"/>
      <c r="AI9" s="3"/>
      <c r="AJ9" s="3"/>
      <c r="AK9" s="3"/>
      <c r="AL9" s="3"/>
      <c r="AM9" s="3"/>
      <c r="AN9" s="3"/>
      <c r="AO9" s="3"/>
      <c r="AP9" s="3"/>
    </row>
    <row r="10" spans="1:42" x14ac:dyDescent="0.2">
      <c r="B10" s="3"/>
      <c r="C10" s="3"/>
      <c r="D10" s="3"/>
      <c r="E10" s="3"/>
      <c r="F10" s="3"/>
      <c r="G10" s="3"/>
      <c r="H10" s="3"/>
      <c r="I10" s="3"/>
      <c r="J10" s="3"/>
      <c r="K10" s="3"/>
      <c r="L10" s="3"/>
      <c r="M10" s="3"/>
      <c r="O10" s="3"/>
      <c r="P10" s="3"/>
      <c r="Q10" s="3"/>
      <c r="R10" s="3"/>
      <c r="S10" s="3"/>
      <c r="T10" s="3"/>
      <c r="U10" s="3"/>
      <c r="V10" s="3"/>
      <c r="X10" s="3"/>
      <c r="Y10" s="3"/>
      <c r="Z10" s="3"/>
      <c r="AA10" s="3"/>
      <c r="AB10" s="3"/>
      <c r="AC10" s="3"/>
      <c r="AD10" s="3"/>
      <c r="AE10" s="3"/>
      <c r="AG10" s="3"/>
      <c r="AH10" s="3"/>
      <c r="AI10" s="3"/>
      <c r="AJ10" s="3"/>
      <c r="AK10" s="3"/>
      <c r="AL10" s="3"/>
      <c r="AM10" s="3"/>
      <c r="AN10" s="3"/>
      <c r="AO10" s="3"/>
      <c r="AP10" s="3"/>
    </row>
    <row r="11" spans="1:42" ht="18" x14ac:dyDescent="0.25">
      <c r="B11" s="3"/>
      <c r="C11" s="3"/>
      <c r="D11" s="85" t="s">
        <v>241</v>
      </c>
      <c r="E11" s="94"/>
      <c r="F11" s="95"/>
      <c r="G11" s="7"/>
      <c r="H11" s="7"/>
      <c r="I11" s="7"/>
      <c r="J11" s="7"/>
      <c r="K11" s="7"/>
      <c r="L11" s="3"/>
      <c r="M11" s="3"/>
      <c r="O11" s="3"/>
      <c r="P11" s="3"/>
      <c r="Q11" s="3"/>
      <c r="R11" s="3"/>
      <c r="S11" s="3"/>
      <c r="T11" s="3"/>
      <c r="U11" s="3"/>
      <c r="V11" s="3"/>
      <c r="X11" s="3"/>
      <c r="Y11" s="3"/>
      <c r="Z11" s="3"/>
      <c r="AA11" s="3"/>
      <c r="AB11" s="3"/>
      <c r="AC11" s="3"/>
      <c r="AD11" s="3"/>
      <c r="AE11" s="3"/>
      <c r="AG11" s="3"/>
      <c r="AH11" s="3"/>
      <c r="AI11" s="3"/>
      <c r="AJ11" s="3"/>
      <c r="AK11" s="3"/>
      <c r="AL11" s="3"/>
      <c r="AM11" s="3"/>
      <c r="AN11" s="3"/>
      <c r="AO11" s="3"/>
      <c r="AP11" s="3"/>
    </row>
    <row r="12" spans="1:42" ht="18" x14ac:dyDescent="0.25">
      <c r="B12" s="3"/>
      <c r="C12" s="3"/>
      <c r="D12" s="85"/>
      <c r="E12" s="94"/>
      <c r="F12" s="95"/>
      <c r="G12" s="7"/>
      <c r="H12" s="7"/>
      <c r="I12" s="7"/>
      <c r="J12" s="7"/>
      <c r="K12" s="7"/>
      <c r="L12" s="3"/>
      <c r="M12" s="3"/>
      <c r="O12" s="3"/>
      <c r="P12" s="3"/>
      <c r="Q12" s="3"/>
      <c r="R12" s="3"/>
      <c r="S12" s="3"/>
      <c r="T12" s="3"/>
      <c r="U12" s="3"/>
      <c r="V12" s="3"/>
      <c r="X12" s="3"/>
      <c r="Y12" s="3"/>
      <c r="Z12" s="3"/>
      <c r="AA12" s="3"/>
      <c r="AB12" s="3"/>
      <c r="AC12" s="3"/>
      <c r="AD12" s="3"/>
      <c r="AE12" s="3"/>
      <c r="AG12" s="3"/>
      <c r="AH12" s="3"/>
      <c r="AI12" s="3"/>
      <c r="AJ12" s="3"/>
      <c r="AK12" s="3"/>
      <c r="AL12" s="3"/>
      <c r="AM12" s="3"/>
      <c r="AN12" s="3"/>
      <c r="AO12" s="3"/>
      <c r="AP12" s="3"/>
    </row>
    <row r="13" spans="1:42" ht="15.75" x14ac:dyDescent="0.25">
      <c r="B13" s="3"/>
      <c r="C13" s="3"/>
      <c r="D13" s="85"/>
      <c r="E13" s="482">
        <f>'Referenz Plattenfertiger'!D9</f>
        <v>0</v>
      </c>
      <c r="F13" s="482"/>
      <c r="G13" s="482"/>
      <c r="H13" s="7"/>
      <c r="I13" s="7"/>
      <c r="J13" s="7"/>
      <c r="K13" s="7"/>
      <c r="L13" s="3"/>
      <c r="M13" s="3"/>
      <c r="O13" s="3"/>
      <c r="P13" s="3"/>
      <c r="Q13" s="3"/>
      <c r="R13" s="3"/>
      <c r="S13" s="3"/>
      <c r="T13" s="3"/>
      <c r="U13" s="3"/>
      <c r="V13" s="3"/>
      <c r="X13" s="3"/>
      <c r="Y13" s="3"/>
      <c r="Z13" s="3"/>
      <c r="AA13" s="3"/>
      <c r="AB13" s="3"/>
      <c r="AC13" s="3"/>
      <c r="AD13" s="3"/>
      <c r="AE13" s="3"/>
      <c r="AG13" s="3"/>
      <c r="AH13" s="3"/>
      <c r="AI13" s="3"/>
      <c r="AJ13" s="3"/>
      <c r="AK13" s="3"/>
      <c r="AL13" s="3"/>
      <c r="AM13" s="3"/>
      <c r="AN13" s="3"/>
      <c r="AO13" s="3"/>
      <c r="AP13" s="3"/>
    </row>
    <row r="14" spans="1:42" ht="14.25" x14ac:dyDescent="0.2">
      <c r="B14" s="3"/>
      <c r="C14" s="3"/>
      <c r="D14" s="3"/>
      <c r="E14" s="101" t="s">
        <v>75</v>
      </c>
      <c r="F14" s="118"/>
      <c r="G14" s="101" t="s">
        <v>72</v>
      </c>
      <c r="H14" s="7"/>
      <c r="I14" s="7"/>
      <c r="J14" s="7"/>
      <c r="K14" s="7"/>
      <c r="L14" s="3"/>
      <c r="M14" s="3"/>
      <c r="O14" s="3"/>
      <c r="P14" s="3"/>
      <c r="Q14" s="3"/>
      <c r="R14" s="3"/>
      <c r="S14" s="3"/>
      <c r="T14" s="3"/>
      <c r="U14" s="3"/>
      <c r="V14" s="3"/>
      <c r="X14" s="3"/>
      <c r="Y14" s="3"/>
      <c r="Z14" s="3"/>
      <c r="AA14" s="3"/>
      <c r="AB14" s="3"/>
      <c r="AC14" s="3"/>
      <c r="AD14" s="3"/>
      <c r="AE14" s="3"/>
      <c r="AG14" s="3"/>
      <c r="AH14" s="3"/>
      <c r="AI14" s="3"/>
      <c r="AJ14" s="3"/>
      <c r="AK14" s="3"/>
      <c r="AL14" s="3"/>
      <c r="AM14" s="3"/>
      <c r="AN14" s="3"/>
      <c r="AO14" s="3"/>
      <c r="AP14" s="3"/>
    </row>
    <row r="15" spans="1:42" ht="14.25" x14ac:dyDescent="0.2">
      <c r="B15" s="3"/>
      <c r="C15" s="3"/>
      <c r="D15" s="3"/>
      <c r="E15" s="13"/>
      <c r="F15" s="3"/>
      <c r="G15" s="13"/>
      <c r="H15" s="7"/>
      <c r="I15" s="7"/>
      <c r="J15" s="7"/>
      <c r="K15" s="7"/>
      <c r="L15" s="3"/>
      <c r="M15" s="3"/>
      <c r="O15" s="3"/>
      <c r="P15" s="3"/>
      <c r="Q15" s="3"/>
      <c r="R15" s="3"/>
      <c r="S15" s="3"/>
      <c r="T15" s="3"/>
      <c r="U15" s="3"/>
      <c r="V15" s="3"/>
      <c r="X15" s="3"/>
      <c r="Y15" s="3"/>
      <c r="Z15" s="3"/>
      <c r="AA15" s="3"/>
      <c r="AB15" s="3"/>
      <c r="AC15" s="3"/>
      <c r="AD15" s="3"/>
      <c r="AE15" s="3"/>
      <c r="AG15" s="3"/>
      <c r="AH15" s="3"/>
      <c r="AI15" s="3"/>
      <c r="AJ15" s="3"/>
      <c r="AK15" s="3"/>
      <c r="AL15" s="3"/>
      <c r="AM15" s="3"/>
      <c r="AN15" s="3"/>
      <c r="AO15" s="3"/>
      <c r="AP15" s="3"/>
    </row>
    <row r="16" spans="1:42" ht="14.25" x14ac:dyDescent="0.2">
      <c r="B16" s="3"/>
      <c r="C16" s="3"/>
      <c r="D16" s="11" t="s">
        <v>248</v>
      </c>
      <c r="E16" s="3">
        <v>4</v>
      </c>
      <c r="F16" s="3"/>
      <c r="G16" s="113"/>
      <c r="H16" s="7"/>
      <c r="I16" s="7"/>
      <c r="J16" s="7"/>
      <c r="K16" s="7"/>
      <c r="L16" s="7"/>
      <c r="M16" s="3"/>
      <c r="O16" s="3"/>
      <c r="P16" s="3"/>
      <c r="Q16" s="3"/>
      <c r="R16" s="3"/>
      <c r="S16" s="3"/>
      <c r="T16" s="3"/>
      <c r="U16" s="3"/>
      <c r="V16" s="3"/>
      <c r="X16" s="3"/>
      <c r="Y16" s="3"/>
      <c r="Z16" s="3"/>
      <c r="AA16" s="3"/>
      <c r="AB16" s="3"/>
      <c r="AC16" s="3"/>
      <c r="AD16" s="3"/>
      <c r="AE16" s="3"/>
      <c r="AG16" s="3"/>
      <c r="AH16" s="3"/>
      <c r="AI16" s="3"/>
      <c r="AJ16" s="3"/>
      <c r="AK16" s="3"/>
      <c r="AL16" s="3"/>
      <c r="AM16" s="3"/>
      <c r="AN16" s="3"/>
      <c r="AO16" s="3"/>
      <c r="AP16" s="3"/>
    </row>
    <row r="17" spans="2:42" ht="14.25" x14ac:dyDescent="0.2">
      <c r="B17" s="3"/>
      <c r="C17" s="3"/>
      <c r="D17" s="11" t="s">
        <v>202</v>
      </c>
      <c r="E17" s="9">
        <f>IF(NOT(ISBLANK('Referenz Plattenfertiger'!I28)),'Referenz Plattenfertiger'!I28,'Referenz Plattenfertiger'!F28)/IF(NOT(ISBLANK(G16)),G16,E16)</f>
        <v>2750</v>
      </c>
      <c r="F17" s="3" t="s">
        <v>203</v>
      </c>
      <c r="G17" s="3"/>
      <c r="H17" s="3"/>
      <c r="I17" s="7"/>
      <c r="J17" s="7"/>
      <c r="K17" s="7"/>
      <c r="L17" s="3"/>
      <c r="M17" s="3"/>
      <c r="O17" s="3"/>
      <c r="P17" s="3"/>
      <c r="Q17" s="3"/>
      <c r="R17" s="3"/>
      <c r="S17" s="3"/>
      <c r="T17" s="3"/>
      <c r="U17" s="3"/>
      <c r="V17" s="3"/>
      <c r="X17" s="3"/>
      <c r="Y17" s="3"/>
      <c r="Z17" s="3"/>
      <c r="AA17" s="3"/>
      <c r="AB17" s="3"/>
      <c r="AC17" s="3"/>
      <c r="AD17" s="3"/>
      <c r="AE17" s="3"/>
      <c r="AG17" s="3"/>
      <c r="AH17" s="3"/>
      <c r="AI17" s="3"/>
      <c r="AJ17" s="3"/>
      <c r="AK17" s="3"/>
      <c r="AL17" s="3"/>
      <c r="AM17" s="3"/>
      <c r="AN17" s="3"/>
      <c r="AO17" s="3"/>
      <c r="AP17" s="3"/>
    </row>
    <row r="18" spans="2:42" ht="14.25" x14ac:dyDescent="0.2">
      <c r="B18" s="3"/>
      <c r="C18" s="3"/>
      <c r="D18" s="3"/>
      <c r="E18" s="3"/>
      <c r="F18" s="3"/>
      <c r="G18" s="3"/>
      <c r="H18" s="3"/>
      <c r="I18" s="7"/>
      <c r="J18" s="7"/>
      <c r="K18" s="7"/>
      <c r="L18" s="3"/>
      <c r="M18" s="3"/>
      <c r="O18" s="3"/>
      <c r="P18" s="3"/>
      <c r="Q18" s="3"/>
      <c r="R18" s="3"/>
      <c r="S18" s="3"/>
      <c r="T18" s="3"/>
      <c r="U18" s="3"/>
      <c r="V18" s="3"/>
      <c r="X18" s="3"/>
      <c r="Y18" s="3"/>
      <c r="Z18" s="3"/>
      <c r="AA18" s="3"/>
      <c r="AB18" s="3"/>
      <c r="AC18" s="3"/>
      <c r="AD18" s="3"/>
      <c r="AE18" s="3"/>
      <c r="AG18" s="3"/>
      <c r="AH18" s="3"/>
      <c r="AI18" s="3"/>
      <c r="AJ18" s="3"/>
      <c r="AK18" s="3"/>
      <c r="AL18" s="3"/>
      <c r="AM18" s="3"/>
      <c r="AN18" s="3"/>
      <c r="AO18" s="3"/>
      <c r="AP18" s="3"/>
    </row>
    <row r="19" spans="2:42" ht="14.25" x14ac:dyDescent="0.2">
      <c r="B19" s="3"/>
      <c r="C19" s="3"/>
      <c r="D19" s="3"/>
      <c r="E19" s="3"/>
      <c r="F19" s="3"/>
      <c r="G19" s="3"/>
      <c r="H19" s="7"/>
      <c r="I19" s="7"/>
      <c r="J19" s="7"/>
      <c r="K19" s="7"/>
      <c r="L19" s="3"/>
      <c r="M19" s="3"/>
      <c r="O19" s="3"/>
      <c r="P19" s="3"/>
      <c r="Q19" s="3"/>
      <c r="R19" s="3"/>
      <c r="S19" s="3"/>
      <c r="T19" s="3"/>
      <c r="U19" s="3"/>
      <c r="V19" s="3"/>
      <c r="X19" s="3"/>
      <c r="Y19" s="3"/>
      <c r="Z19" s="3"/>
      <c r="AA19" s="3"/>
      <c r="AB19" s="3"/>
      <c r="AC19" s="3"/>
      <c r="AD19" s="3"/>
      <c r="AE19" s="3"/>
      <c r="AG19" s="3"/>
      <c r="AH19" s="3"/>
      <c r="AI19" s="3"/>
      <c r="AJ19" s="3"/>
      <c r="AK19" s="3"/>
      <c r="AL19" s="3"/>
      <c r="AM19" s="3"/>
      <c r="AN19" s="3"/>
      <c r="AO19" s="3"/>
      <c r="AP19" s="3"/>
    </row>
    <row r="20" spans="2:42" ht="14.25" customHeight="1" x14ac:dyDescent="0.2">
      <c r="B20" s="3"/>
      <c r="C20" s="3"/>
      <c r="D20" s="8"/>
      <c r="E20" s="482">
        <f>E13+5</f>
        <v>5</v>
      </c>
      <c r="F20" s="482"/>
      <c r="G20" s="482"/>
      <c r="H20" s="13"/>
      <c r="I20" s="482">
        <f>E13+10</f>
        <v>10</v>
      </c>
      <c r="J20" s="482"/>
      <c r="K20" s="482"/>
      <c r="L20" s="8"/>
      <c r="M20" s="3"/>
      <c r="O20" s="3"/>
      <c r="P20" s="3"/>
      <c r="Q20" s="3"/>
      <c r="R20" s="3"/>
      <c r="S20" s="3"/>
      <c r="T20" s="3"/>
      <c r="U20" s="3"/>
      <c r="V20" s="3"/>
      <c r="X20" s="3"/>
      <c r="Y20" s="3"/>
      <c r="Z20" s="3"/>
      <c r="AA20" s="3"/>
      <c r="AB20" s="3"/>
      <c r="AC20" s="3"/>
      <c r="AD20" s="3"/>
      <c r="AE20" s="3"/>
      <c r="AG20" s="3"/>
      <c r="AH20" s="3"/>
      <c r="AI20" s="3"/>
      <c r="AJ20" s="3"/>
      <c r="AK20" s="3"/>
      <c r="AL20" s="3"/>
      <c r="AM20" s="3"/>
      <c r="AN20" s="3"/>
      <c r="AO20" s="3"/>
      <c r="AP20" s="3"/>
    </row>
    <row r="21" spans="2:42" x14ac:dyDescent="0.2">
      <c r="B21" s="3"/>
      <c r="C21" s="3"/>
      <c r="D21" s="8"/>
      <c r="E21" s="101" t="s">
        <v>75</v>
      </c>
      <c r="F21" s="101"/>
      <c r="G21" s="101" t="s">
        <v>72</v>
      </c>
      <c r="H21" s="13"/>
      <c r="I21" s="101" t="s">
        <v>75</v>
      </c>
      <c r="J21" s="101"/>
      <c r="K21" s="101" t="s">
        <v>72</v>
      </c>
      <c r="L21" s="8"/>
      <c r="M21" s="3"/>
      <c r="O21" s="3"/>
      <c r="P21" s="3"/>
      <c r="Q21" s="3"/>
      <c r="R21" s="3"/>
      <c r="S21" s="3"/>
      <c r="T21" s="3"/>
      <c r="U21" s="3"/>
      <c r="V21" s="3"/>
      <c r="X21" s="3"/>
      <c r="Y21" s="3"/>
      <c r="Z21" s="3"/>
      <c r="AA21" s="3"/>
      <c r="AB21" s="3"/>
      <c r="AC21" s="3"/>
      <c r="AD21" s="3"/>
      <c r="AE21" s="3"/>
      <c r="AG21" s="3"/>
      <c r="AH21" s="3"/>
      <c r="AI21" s="3"/>
      <c r="AJ21" s="3"/>
      <c r="AK21" s="3"/>
      <c r="AL21" s="3"/>
      <c r="AM21" s="3"/>
      <c r="AN21" s="3"/>
      <c r="AO21" s="3"/>
      <c r="AP21" s="3"/>
    </row>
    <row r="22" spans="2:42" x14ac:dyDescent="0.2">
      <c r="B22" s="3"/>
      <c r="C22" s="3"/>
      <c r="D22" s="3"/>
      <c r="E22" s="3"/>
      <c r="F22" s="3"/>
      <c r="G22" s="3"/>
      <c r="H22" s="3"/>
      <c r="I22" s="3"/>
      <c r="J22" s="3"/>
      <c r="K22" s="3"/>
      <c r="L22" s="3"/>
      <c r="M22" s="3"/>
      <c r="O22" s="3"/>
      <c r="P22" s="3"/>
      <c r="Q22" s="3"/>
      <c r="R22" s="3"/>
      <c r="S22" s="3"/>
      <c r="T22" s="3"/>
      <c r="U22" s="3"/>
      <c r="V22" s="3"/>
      <c r="X22" s="3"/>
      <c r="Y22" s="3"/>
      <c r="Z22" s="3"/>
      <c r="AA22" s="3"/>
      <c r="AB22" s="3"/>
      <c r="AC22" s="3"/>
      <c r="AD22" s="3"/>
      <c r="AE22" s="3"/>
      <c r="AG22" s="3"/>
      <c r="AH22" s="3"/>
      <c r="AI22" s="3"/>
      <c r="AJ22" s="3"/>
      <c r="AK22" s="3"/>
      <c r="AL22" s="3"/>
      <c r="AM22" s="3"/>
      <c r="AN22" s="3"/>
      <c r="AO22" s="3"/>
      <c r="AP22" s="3"/>
    </row>
    <row r="23" spans="2:42" x14ac:dyDescent="0.2">
      <c r="B23" s="3"/>
      <c r="C23" s="3"/>
      <c r="D23" s="11" t="s">
        <v>249</v>
      </c>
      <c r="E23" s="3">
        <v>2</v>
      </c>
      <c r="F23" s="3"/>
      <c r="G23" s="113"/>
      <c r="H23" s="3"/>
      <c r="I23" s="3">
        <v>4</v>
      </c>
      <c r="J23" s="3"/>
      <c r="K23" s="113"/>
      <c r="L23" s="3"/>
      <c r="M23" s="3"/>
      <c r="O23" s="3"/>
      <c r="P23" s="3"/>
      <c r="Q23" s="3"/>
      <c r="R23" s="3"/>
      <c r="S23" s="3"/>
      <c r="T23" s="3"/>
      <c r="U23" s="3"/>
      <c r="V23" s="3"/>
      <c r="X23" s="3"/>
      <c r="Y23" s="3"/>
      <c r="Z23" s="3"/>
      <c r="AA23" s="3"/>
      <c r="AB23" s="3"/>
      <c r="AC23" s="3"/>
      <c r="AD23" s="3"/>
      <c r="AE23" s="3"/>
      <c r="AG23" s="3"/>
      <c r="AH23" s="3"/>
      <c r="AI23" s="3"/>
      <c r="AJ23" s="3"/>
      <c r="AK23" s="3"/>
      <c r="AL23" s="3"/>
      <c r="AM23" s="3"/>
      <c r="AN23" s="3"/>
      <c r="AO23" s="3"/>
      <c r="AP23" s="3"/>
    </row>
    <row r="24" spans="2:42" x14ac:dyDescent="0.2">
      <c r="B24" s="3"/>
      <c r="C24" s="3"/>
      <c r="D24" s="11" t="s">
        <v>214</v>
      </c>
      <c r="E24" s="79">
        <v>10</v>
      </c>
      <c r="F24" s="15" t="s">
        <v>89</v>
      </c>
      <c r="G24" s="113"/>
      <c r="H24" s="15" t="s">
        <v>89</v>
      </c>
      <c r="I24" s="79">
        <v>10</v>
      </c>
      <c r="J24" s="15" t="s">
        <v>89</v>
      </c>
      <c r="K24" s="113"/>
      <c r="L24" s="15" t="s">
        <v>89</v>
      </c>
      <c r="M24" s="3"/>
      <c r="O24" s="3"/>
      <c r="P24" s="3"/>
      <c r="Q24" s="3"/>
      <c r="R24" s="3"/>
      <c r="S24" s="3"/>
      <c r="T24" s="3"/>
      <c r="U24" s="3"/>
      <c r="V24" s="3"/>
      <c r="X24" s="3"/>
      <c r="Y24" s="3"/>
      <c r="Z24" s="3"/>
      <c r="AA24" s="3"/>
      <c r="AB24" s="3"/>
      <c r="AC24" s="3"/>
      <c r="AD24" s="3"/>
      <c r="AE24" s="3"/>
      <c r="AG24" s="3"/>
      <c r="AH24" s="3"/>
      <c r="AI24" s="3"/>
      <c r="AJ24" s="3"/>
      <c r="AK24" s="3"/>
      <c r="AL24" s="3"/>
      <c r="AM24" s="3"/>
      <c r="AN24" s="3"/>
      <c r="AO24" s="3"/>
      <c r="AP24" s="3"/>
    </row>
    <row r="25" spans="2:42" x14ac:dyDescent="0.2">
      <c r="B25" s="3"/>
      <c r="C25" s="3"/>
      <c r="D25" s="11" t="s">
        <v>213</v>
      </c>
      <c r="E25" s="9">
        <f>E17*(1-IF(NOT(ISBLANK(G24)),G24/100,E24/100))</f>
        <v>2475</v>
      </c>
      <c r="F25" s="3" t="s">
        <v>203</v>
      </c>
      <c r="G25" s="15"/>
      <c r="H25" s="15"/>
      <c r="I25" s="9">
        <f>E17*(1-IF(NOT(ISBLANK(K24)),K24/100,I24/100))</f>
        <v>2475</v>
      </c>
      <c r="J25" s="3" t="s">
        <v>203</v>
      </c>
      <c r="K25" s="15"/>
      <c r="L25" s="15"/>
      <c r="M25" s="3"/>
      <c r="O25" s="3"/>
      <c r="P25" s="3"/>
      <c r="Q25" s="3"/>
      <c r="R25" s="3"/>
      <c r="S25" s="3"/>
      <c r="T25" s="3"/>
      <c r="U25" s="3"/>
      <c r="V25" s="3"/>
      <c r="X25" s="3"/>
      <c r="Y25" s="3"/>
      <c r="Z25" s="3"/>
      <c r="AA25" s="3"/>
      <c r="AB25" s="3"/>
      <c r="AC25" s="3"/>
      <c r="AD25" s="3"/>
      <c r="AE25" s="3"/>
      <c r="AG25" s="3"/>
      <c r="AH25" s="3"/>
      <c r="AI25" s="3"/>
      <c r="AJ25" s="3"/>
      <c r="AK25" s="3"/>
      <c r="AL25" s="3"/>
      <c r="AM25" s="3"/>
      <c r="AN25" s="3"/>
      <c r="AO25" s="3"/>
      <c r="AP25" s="3"/>
    </row>
    <row r="26" spans="2:42" x14ac:dyDescent="0.2">
      <c r="B26" s="3"/>
      <c r="C26" s="3"/>
      <c r="D26" s="8"/>
      <c r="E26" s="80"/>
      <c r="F26" s="15"/>
      <c r="G26" s="15"/>
      <c r="H26" s="15"/>
      <c r="I26" s="80"/>
      <c r="J26" s="15"/>
      <c r="K26" s="15"/>
      <c r="L26" s="3"/>
      <c r="M26" s="3"/>
      <c r="O26" s="3"/>
      <c r="P26" s="3"/>
      <c r="Q26" s="3"/>
      <c r="R26" s="3"/>
      <c r="S26" s="3"/>
      <c r="T26" s="3"/>
      <c r="U26" s="3"/>
      <c r="V26" s="3"/>
      <c r="X26" s="3"/>
      <c r="Y26" s="3"/>
      <c r="Z26" s="3"/>
      <c r="AA26" s="3"/>
      <c r="AB26" s="3"/>
      <c r="AC26" s="3"/>
      <c r="AD26" s="3"/>
      <c r="AE26" s="3"/>
      <c r="AG26" s="3"/>
      <c r="AH26" s="3"/>
      <c r="AI26" s="3"/>
      <c r="AJ26" s="3"/>
      <c r="AK26" s="3"/>
      <c r="AL26" s="3"/>
      <c r="AM26" s="3"/>
      <c r="AN26" s="3"/>
      <c r="AO26" s="3"/>
      <c r="AP26" s="3"/>
    </row>
    <row r="27" spans="2:42" x14ac:dyDescent="0.2">
      <c r="B27" s="3"/>
      <c r="C27" s="3"/>
      <c r="D27" s="12" t="s">
        <v>199</v>
      </c>
      <c r="E27" s="79">
        <v>80000</v>
      </c>
      <c r="F27" s="15" t="s">
        <v>95</v>
      </c>
      <c r="G27" s="272"/>
      <c r="H27" s="15" t="s">
        <v>95</v>
      </c>
      <c r="I27" s="79">
        <v>80000</v>
      </c>
      <c r="J27" s="15" t="s">
        <v>95</v>
      </c>
      <c r="K27" s="272"/>
      <c r="L27" s="3" t="s">
        <v>95</v>
      </c>
      <c r="M27" s="3"/>
      <c r="O27" s="3"/>
      <c r="P27" s="3"/>
      <c r="Q27" s="3"/>
      <c r="R27" s="3"/>
      <c r="S27" s="3"/>
      <c r="T27" s="3"/>
      <c r="U27" s="3"/>
      <c r="V27" s="3"/>
      <c r="X27" s="3"/>
      <c r="Y27" s="3"/>
      <c r="Z27" s="3"/>
      <c r="AA27" s="3"/>
      <c r="AB27" s="3"/>
      <c r="AC27" s="3"/>
      <c r="AD27" s="3"/>
      <c r="AE27" s="3"/>
      <c r="AG27" s="3"/>
      <c r="AH27" s="3"/>
      <c r="AI27" s="3"/>
      <c r="AJ27" s="3"/>
      <c r="AK27" s="3"/>
      <c r="AL27" s="3"/>
      <c r="AM27" s="3"/>
      <c r="AN27" s="3"/>
      <c r="AO27" s="3"/>
      <c r="AP27" s="3"/>
    </row>
    <row r="28" spans="2:42" ht="14.25" x14ac:dyDescent="0.2">
      <c r="B28" s="3"/>
      <c r="C28" s="3"/>
      <c r="D28" s="78" t="s">
        <v>210</v>
      </c>
      <c r="E28" s="79">
        <v>0</v>
      </c>
      <c r="F28" s="15" t="s">
        <v>96</v>
      </c>
      <c r="G28" s="272"/>
      <c r="H28" s="15" t="s">
        <v>96</v>
      </c>
      <c r="I28" s="79">
        <v>0</v>
      </c>
      <c r="J28" s="15" t="s">
        <v>96</v>
      </c>
      <c r="K28" s="272"/>
      <c r="L28" s="3" t="s">
        <v>96</v>
      </c>
      <c r="M28" s="3"/>
      <c r="O28" s="3"/>
      <c r="P28" s="3"/>
      <c r="Q28" s="3"/>
      <c r="R28" s="3"/>
      <c r="S28" s="3"/>
      <c r="T28" s="3"/>
      <c r="U28" s="3"/>
      <c r="V28" s="3"/>
      <c r="X28" s="3"/>
      <c r="Y28" s="3"/>
      <c r="Z28" s="3"/>
      <c r="AA28" s="3"/>
      <c r="AB28" s="3"/>
      <c r="AC28" s="3"/>
      <c r="AD28" s="3"/>
      <c r="AE28" s="3"/>
      <c r="AG28" s="3"/>
      <c r="AH28" s="3"/>
      <c r="AI28" s="3"/>
      <c r="AJ28" s="3"/>
      <c r="AK28" s="3"/>
      <c r="AL28" s="3"/>
      <c r="AM28" s="3"/>
      <c r="AN28" s="3"/>
      <c r="AO28" s="3"/>
      <c r="AP28" s="3"/>
    </row>
    <row r="29" spans="2:42" ht="14.25" x14ac:dyDescent="0.2">
      <c r="B29" s="3"/>
      <c r="C29" s="3"/>
      <c r="D29" s="78" t="s">
        <v>177</v>
      </c>
      <c r="E29" s="79">
        <v>0</v>
      </c>
      <c r="F29" s="15" t="s">
        <v>95</v>
      </c>
      <c r="G29" s="272"/>
      <c r="H29" s="15" t="s">
        <v>95</v>
      </c>
      <c r="I29" s="79">
        <v>0</v>
      </c>
      <c r="J29" s="15" t="s">
        <v>95</v>
      </c>
      <c r="K29" s="272"/>
      <c r="L29" s="3" t="s">
        <v>95</v>
      </c>
      <c r="M29" s="3"/>
      <c r="O29" s="3"/>
      <c r="P29" s="3"/>
      <c r="Q29" s="3"/>
      <c r="R29" s="3"/>
      <c r="S29" s="3"/>
      <c r="T29" s="3"/>
      <c r="U29" s="3"/>
      <c r="V29" s="3"/>
      <c r="X29" s="3"/>
      <c r="Y29" s="3"/>
      <c r="Z29" s="3"/>
      <c r="AA29" s="3"/>
      <c r="AB29" s="3"/>
      <c r="AC29" s="3"/>
      <c r="AD29" s="3"/>
      <c r="AE29" s="3"/>
      <c r="AG29" s="3"/>
      <c r="AH29" s="3"/>
      <c r="AI29" s="3"/>
      <c r="AJ29" s="3"/>
      <c r="AK29" s="3"/>
      <c r="AL29" s="3"/>
      <c r="AM29" s="3"/>
      <c r="AN29" s="3"/>
      <c r="AO29" s="3"/>
      <c r="AP29" s="3"/>
    </row>
    <row r="30" spans="2:42" x14ac:dyDescent="0.2">
      <c r="B30" s="3"/>
      <c r="C30" s="8"/>
      <c r="D30" s="78"/>
      <c r="E30" s="80"/>
      <c r="F30" s="15"/>
      <c r="G30" s="15"/>
      <c r="H30" s="15"/>
      <c r="I30" s="15"/>
      <c r="J30" s="15"/>
      <c r="K30" s="15"/>
      <c r="L30" s="3"/>
      <c r="M30" s="3"/>
      <c r="O30" s="3"/>
      <c r="P30" s="3"/>
      <c r="Q30" s="3"/>
      <c r="R30" s="3"/>
      <c r="S30" s="3"/>
      <c r="T30" s="3"/>
      <c r="U30" s="3"/>
      <c r="V30" s="3"/>
      <c r="X30" s="3"/>
      <c r="Y30" s="3"/>
      <c r="Z30" s="3"/>
      <c r="AA30" s="3"/>
      <c r="AB30" s="3"/>
      <c r="AC30" s="3"/>
      <c r="AD30" s="3"/>
      <c r="AE30" s="3"/>
      <c r="AG30" s="3"/>
      <c r="AH30" s="3"/>
      <c r="AI30" s="3"/>
      <c r="AJ30" s="3"/>
      <c r="AK30" s="3"/>
      <c r="AL30" s="3"/>
      <c r="AM30" s="3"/>
      <c r="AN30" s="3"/>
      <c r="AO30" s="3"/>
      <c r="AP30" s="3"/>
    </row>
    <row r="31" spans="2:42" x14ac:dyDescent="0.2">
      <c r="B31" s="3"/>
      <c r="C31" s="3"/>
      <c r="D31" s="78"/>
      <c r="E31" s="15"/>
      <c r="F31" s="15"/>
      <c r="G31" s="15"/>
      <c r="H31" s="15"/>
      <c r="I31" s="15"/>
      <c r="J31" s="15"/>
      <c r="K31" s="15"/>
      <c r="L31" s="15"/>
      <c r="M31" s="3"/>
      <c r="O31" s="3"/>
      <c r="P31" s="3"/>
      <c r="Q31" s="3"/>
      <c r="R31" s="3"/>
      <c r="S31" s="3"/>
      <c r="T31" s="3"/>
      <c r="U31" s="3"/>
      <c r="V31" s="3"/>
      <c r="X31" s="3"/>
      <c r="Y31" s="3"/>
      <c r="Z31" s="3"/>
      <c r="AA31" s="3"/>
      <c r="AB31" s="3"/>
      <c r="AC31" s="3"/>
      <c r="AD31" s="3"/>
      <c r="AE31" s="3"/>
      <c r="AG31" s="3"/>
      <c r="AH31" s="3"/>
      <c r="AI31" s="3"/>
      <c r="AJ31" s="3"/>
      <c r="AK31" s="3"/>
      <c r="AL31" s="3"/>
      <c r="AM31" s="3"/>
      <c r="AN31" s="3"/>
      <c r="AO31" s="3"/>
      <c r="AP31" s="3"/>
    </row>
    <row r="32" spans="2:42" x14ac:dyDescent="0.2">
      <c r="B32" s="3"/>
      <c r="C32" s="3"/>
      <c r="D32" s="78" t="s">
        <v>23</v>
      </c>
      <c r="E32" s="79">
        <v>10</v>
      </c>
      <c r="F32" s="15" t="s">
        <v>88</v>
      </c>
      <c r="G32" s="113"/>
      <c r="H32" s="15" t="s">
        <v>88</v>
      </c>
      <c r="I32" s="79">
        <v>10</v>
      </c>
      <c r="J32" s="15" t="s">
        <v>88</v>
      </c>
      <c r="K32" s="113"/>
      <c r="L32" s="15" t="s">
        <v>88</v>
      </c>
      <c r="M32" s="3"/>
      <c r="O32" s="3"/>
      <c r="P32" s="3"/>
      <c r="Q32" s="3"/>
      <c r="R32" s="3"/>
      <c r="S32" s="3"/>
      <c r="T32" s="3"/>
      <c r="U32" s="3"/>
      <c r="V32" s="3"/>
      <c r="X32" s="3"/>
      <c r="Y32" s="3"/>
      <c r="Z32" s="3"/>
      <c r="AA32" s="3"/>
      <c r="AB32" s="3"/>
      <c r="AC32" s="3"/>
      <c r="AD32" s="3"/>
      <c r="AE32" s="3"/>
      <c r="AG32" s="3"/>
      <c r="AH32" s="3"/>
      <c r="AI32" s="3"/>
      <c r="AJ32" s="3"/>
      <c r="AK32" s="3"/>
      <c r="AL32" s="3"/>
      <c r="AM32" s="3"/>
      <c r="AN32" s="3"/>
      <c r="AO32" s="3"/>
      <c r="AP32" s="3"/>
    </row>
    <row r="33" spans="1:42" x14ac:dyDescent="0.2">
      <c r="B33" s="3"/>
      <c r="C33" s="3"/>
      <c r="D33" s="78" t="s">
        <v>24</v>
      </c>
      <c r="E33" s="81">
        <v>8</v>
      </c>
      <c r="F33" s="15" t="s">
        <v>89</v>
      </c>
      <c r="G33" s="273"/>
      <c r="H33" s="15" t="s">
        <v>89</v>
      </c>
      <c r="I33" s="81">
        <v>8</v>
      </c>
      <c r="J33" s="15" t="s">
        <v>89</v>
      </c>
      <c r="K33" s="273"/>
      <c r="L33" s="15" t="s">
        <v>89</v>
      </c>
      <c r="M33" s="3"/>
      <c r="O33" s="3"/>
      <c r="P33" s="3"/>
      <c r="Q33" s="3"/>
      <c r="R33" s="3"/>
      <c r="S33" s="3"/>
      <c r="T33" s="3"/>
      <c r="U33" s="3"/>
      <c r="V33" s="3"/>
      <c r="X33" s="3"/>
      <c r="Y33" s="3"/>
      <c r="Z33" s="3"/>
      <c r="AA33" s="3"/>
      <c r="AB33" s="3"/>
      <c r="AC33" s="3"/>
      <c r="AD33" s="3"/>
      <c r="AE33" s="3"/>
      <c r="AG33" s="3"/>
      <c r="AH33" s="3"/>
      <c r="AI33" s="3"/>
      <c r="AJ33" s="3"/>
      <c r="AK33" s="3"/>
      <c r="AL33" s="3"/>
      <c r="AM33" s="3"/>
      <c r="AN33" s="3"/>
      <c r="AO33" s="3"/>
      <c r="AP33" s="3"/>
    </row>
    <row r="34" spans="1:42" x14ac:dyDescent="0.2">
      <c r="B34" s="3"/>
      <c r="C34" s="3"/>
      <c r="D34" s="15"/>
      <c r="E34" s="81"/>
      <c r="F34" s="15"/>
      <c r="G34" s="15"/>
      <c r="H34" s="15"/>
      <c r="I34" s="80"/>
      <c r="J34" s="15"/>
      <c r="K34" s="15"/>
      <c r="L34" s="3"/>
      <c r="M34" s="3"/>
      <c r="O34" s="3"/>
      <c r="P34" s="3"/>
      <c r="Q34" s="3"/>
      <c r="R34" s="3"/>
      <c r="S34" s="3"/>
      <c r="T34" s="3"/>
      <c r="U34" s="3"/>
      <c r="V34" s="3"/>
      <c r="X34" s="3"/>
      <c r="Y34" s="3"/>
      <c r="Z34" s="3"/>
      <c r="AA34" s="3"/>
      <c r="AB34" s="3"/>
      <c r="AC34" s="3"/>
      <c r="AD34" s="3"/>
      <c r="AE34" s="3"/>
      <c r="AG34" s="3"/>
      <c r="AH34" s="3"/>
      <c r="AI34" s="3"/>
      <c r="AJ34" s="3"/>
      <c r="AK34" s="3"/>
      <c r="AL34" s="3"/>
      <c r="AM34" s="3"/>
      <c r="AN34" s="3"/>
      <c r="AO34" s="3"/>
      <c r="AP34" s="3"/>
    </row>
    <row r="35" spans="1:42" x14ac:dyDescent="0.2">
      <c r="B35" s="3"/>
      <c r="C35" s="3"/>
      <c r="D35" s="15"/>
      <c r="E35" s="10"/>
      <c r="F35" s="3"/>
      <c r="G35" s="3"/>
      <c r="H35" s="3"/>
      <c r="I35" s="16"/>
      <c r="J35" s="3"/>
      <c r="K35" s="3"/>
      <c r="L35" s="3"/>
      <c r="M35" s="3"/>
      <c r="O35" s="3"/>
      <c r="P35" s="3"/>
      <c r="Q35" s="3"/>
      <c r="R35" s="3"/>
      <c r="S35" s="3"/>
      <c r="T35" s="3"/>
      <c r="U35" s="3"/>
      <c r="V35" s="3"/>
      <c r="X35" s="3"/>
      <c r="Y35" s="3"/>
      <c r="Z35" s="3"/>
      <c r="AA35" s="3"/>
      <c r="AB35" s="3"/>
      <c r="AC35" s="3"/>
      <c r="AD35" s="3"/>
      <c r="AE35" s="3"/>
      <c r="AG35" s="3"/>
      <c r="AH35" s="3"/>
      <c r="AI35" s="3"/>
      <c r="AJ35" s="3"/>
      <c r="AK35" s="3"/>
      <c r="AL35" s="3"/>
      <c r="AM35" s="3"/>
      <c r="AN35" s="3"/>
      <c r="AO35" s="3"/>
      <c r="AP35" s="3"/>
    </row>
    <row r="36" spans="1:42" ht="18" x14ac:dyDescent="0.25">
      <c r="B36" s="3"/>
      <c r="C36" s="3"/>
      <c r="D36" s="65" t="s">
        <v>154</v>
      </c>
      <c r="E36" s="10"/>
      <c r="F36" s="3"/>
      <c r="G36" s="3"/>
      <c r="H36" s="3"/>
      <c r="I36" s="16"/>
      <c r="J36" s="3"/>
      <c r="K36" s="3"/>
      <c r="L36" s="3"/>
      <c r="M36" s="3"/>
      <c r="O36" s="3"/>
      <c r="P36" s="96"/>
      <c r="Q36" s="61"/>
      <c r="R36" s="3"/>
      <c r="S36" s="3"/>
      <c r="T36" s="3"/>
      <c r="U36" s="3"/>
      <c r="V36" s="3"/>
      <c r="X36" s="3"/>
      <c r="Y36" s="3"/>
      <c r="Z36" s="3"/>
      <c r="AA36" s="3"/>
      <c r="AB36" s="3"/>
      <c r="AC36" s="3"/>
      <c r="AD36" s="3"/>
      <c r="AE36" s="3"/>
      <c r="AG36" s="3"/>
      <c r="AH36" s="3"/>
      <c r="AI36" s="3"/>
      <c r="AJ36" s="3"/>
      <c r="AK36" s="3"/>
      <c r="AL36" s="3"/>
      <c r="AM36" s="3"/>
      <c r="AN36" s="84"/>
      <c r="AO36" s="84"/>
      <c r="AP36" s="3"/>
    </row>
    <row r="37" spans="1:42" ht="13.5" x14ac:dyDescent="0.2">
      <c r="B37" s="3"/>
      <c r="C37" s="3"/>
      <c r="D37" s="65" t="s">
        <v>201</v>
      </c>
      <c r="E37" s="10"/>
      <c r="F37" s="3"/>
      <c r="G37" s="3"/>
      <c r="H37" s="3"/>
      <c r="I37" s="16"/>
      <c r="J37" s="3"/>
      <c r="K37" s="3"/>
      <c r="L37" s="3"/>
      <c r="M37" s="3"/>
      <c r="O37" s="3"/>
      <c r="P37" s="3"/>
      <c r="Q37" s="3"/>
      <c r="R37" s="3"/>
      <c r="S37" s="3"/>
      <c r="T37" s="3"/>
      <c r="U37" s="3"/>
      <c r="V37" s="3"/>
      <c r="X37" s="3"/>
      <c r="Y37" s="3"/>
      <c r="Z37" s="3"/>
      <c r="AA37" s="3"/>
      <c r="AB37" s="3"/>
      <c r="AC37" s="3"/>
      <c r="AD37" s="3"/>
      <c r="AE37" s="3"/>
      <c r="AG37" s="3"/>
      <c r="AH37" s="3"/>
      <c r="AI37" s="3"/>
      <c r="AJ37" s="3"/>
      <c r="AK37" s="3"/>
      <c r="AL37" s="3"/>
      <c r="AM37" s="3"/>
      <c r="AN37" s="83"/>
      <c r="AO37" s="83"/>
      <c r="AP37" s="3"/>
    </row>
    <row r="38" spans="1:42" x14ac:dyDescent="0.2">
      <c r="B38" s="3"/>
      <c r="C38" s="3"/>
      <c r="D38" s="15"/>
      <c r="E38" s="10"/>
      <c r="F38" s="3"/>
      <c r="G38" s="3"/>
      <c r="H38" s="3"/>
      <c r="I38" s="16"/>
      <c r="J38" s="3"/>
      <c r="K38" s="3"/>
      <c r="L38" s="3"/>
      <c r="M38" s="3"/>
      <c r="O38" s="3"/>
      <c r="P38" s="3"/>
      <c r="Q38" s="3"/>
      <c r="R38" s="3"/>
      <c r="S38" s="3"/>
      <c r="T38" s="3"/>
      <c r="U38" s="3"/>
      <c r="V38" s="3"/>
      <c r="X38" s="3"/>
      <c r="Y38" s="3"/>
      <c r="Z38" s="3"/>
      <c r="AA38" s="3"/>
      <c r="AB38" s="3"/>
      <c r="AC38" s="3"/>
      <c r="AD38" s="3"/>
      <c r="AE38" s="3"/>
      <c r="AG38" s="3"/>
      <c r="AH38" s="3"/>
      <c r="AI38" s="3"/>
      <c r="AJ38" s="3"/>
      <c r="AK38" s="3"/>
      <c r="AL38" s="3"/>
      <c r="AM38" s="3"/>
      <c r="AN38" s="83"/>
      <c r="AO38" s="83"/>
      <c r="AP38" s="3"/>
    </row>
    <row r="39" spans="1:42" ht="15" x14ac:dyDescent="0.25">
      <c r="A39" s="2"/>
      <c r="B39" s="2"/>
      <c r="C39" s="2"/>
      <c r="D39" s="2"/>
      <c r="E39" s="2"/>
      <c r="F39" s="2"/>
      <c r="G39" s="2"/>
      <c r="H39" s="2"/>
      <c r="I39" s="2"/>
      <c r="J39" s="2"/>
      <c r="K39" s="2"/>
      <c r="L39" s="2"/>
      <c r="M39" s="2"/>
      <c r="O39" s="3"/>
      <c r="P39" s="3"/>
      <c r="Q39" s="23" t="s">
        <v>102</v>
      </c>
      <c r="R39" s="24"/>
      <c r="S39" s="24"/>
      <c r="T39" s="24"/>
      <c r="U39" s="24"/>
      <c r="V39" s="3"/>
      <c r="X39" s="3"/>
      <c r="Y39" s="3"/>
      <c r="Z39" s="23" t="s">
        <v>180</v>
      </c>
      <c r="AA39" s="24"/>
      <c r="AB39" s="24"/>
      <c r="AC39" s="24"/>
      <c r="AD39" s="24"/>
      <c r="AE39" s="3"/>
      <c r="AG39" s="3"/>
      <c r="AH39" s="3"/>
      <c r="AI39" s="23" t="s">
        <v>185</v>
      </c>
      <c r="AJ39" s="24"/>
      <c r="AK39" s="24"/>
      <c r="AL39" s="24"/>
      <c r="AM39" s="3"/>
      <c r="AN39" s="83"/>
      <c r="AO39" s="83"/>
      <c r="AP39" s="3"/>
    </row>
    <row r="40" spans="1:42" ht="15" x14ac:dyDescent="0.25">
      <c r="A40" s="2"/>
      <c r="B40" s="2"/>
      <c r="C40" s="2"/>
      <c r="D40" s="2"/>
      <c r="E40" s="2"/>
      <c r="F40" s="2"/>
      <c r="G40" s="2"/>
      <c r="H40" s="2"/>
      <c r="I40" s="2"/>
      <c r="J40" s="2"/>
      <c r="K40" s="2"/>
      <c r="L40" s="2"/>
      <c r="M40" s="2"/>
      <c r="O40" s="3"/>
      <c r="P40" s="484" t="s">
        <v>131</v>
      </c>
      <c r="Q40" s="45"/>
      <c r="R40" s="45">
        <f>E13</f>
        <v>0</v>
      </c>
      <c r="S40" s="46">
        <f>R40+5</f>
        <v>5</v>
      </c>
      <c r="T40" s="46">
        <f>R40+10</f>
        <v>10</v>
      </c>
      <c r="U40" s="34"/>
      <c r="V40" s="3"/>
      <c r="X40" s="3"/>
      <c r="Y40" s="3"/>
      <c r="Z40" s="34"/>
      <c r="AA40" s="45">
        <f>R40</f>
        <v>0</v>
      </c>
      <c r="AB40" s="45">
        <f>S40</f>
        <v>5</v>
      </c>
      <c r="AC40" s="45">
        <f>T40</f>
        <v>10</v>
      </c>
      <c r="AD40" s="34"/>
      <c r="AE40" s="3"/>
      <c r="AG40" s="3"/>
      <c r="AH40" s="483" t="s">
        <v>131</v>
      </c>
      <c r="AI40" s="34"/>
      <c r="AJ40" s="45">
        <f>AA40</f>
        <v>0</v>
      </c>
      <c r="AK40" s="45">
        <f>AB40</f>
        <v>5</v>
      </c>
      <c r="AL40" s="45">
        <f>AC40</f>
        <v>10</v>
      </c>
      <c r="AM40" s="3"/>
      <c r="AN40" s="83"/>
      <c r="AO40" s="83"/>
      <c r="AP40" s="62"/>
    </row>
    <row r="41" spans="1:42" x14ac:dyDescent="0.2">
      <c r="A41" s="2"/>
      <c r="B41" s="2"/>
      <c r="C41" s="2"/>
      <c r="D41" s="2"/>
      <c r="E41" s="2"/>
      <c r="F41" s="2"/>
      <c r="G41" s="2"/>
      <c r="H41" s="2"/>
      <c r="I41" s="2"/>
      <c r="J41" s="2"/>
      <c r="K41" s="2"/>
      <c r="L41" s="2"/>
      <c r="M41" s="2"/>
      <c r="O41" s="3"/>
      <c r="P41" s="484"/>
      <c r="Q41" s="24"/>
      <c r="R41" s="47" t="s">
        <v>81</v>
      </c>
      <c r="S41" s="48"/>
      <c r="T41" s="48"/>
      <c r="U41" s="24"/>
      <c r="V41" s="3"/>
      <c r="X41" s="3"/>
      <c r="Y41" s="3"/>
      <c r="Z41" s="24"/>
      <c r="AA41" s="47" t="s">
        <v>81</v>
      </c>
      <c r="AB41" s="48"/>
      <c r="AC41" s="48"/>
      <c r="AD41" s="24"/>
      <c r="AE41" s="3"/>
      <c r="AG41" s="3"/>
      <c r="AH41" s="483"/>
      <c r="AI41" s="24"/>
      <c r="AJ41" s="47" t="s">
        <v>81</v>
      </c>
      <c r="AK41" s="48"/>
      <c r="AL41" s="48"/>
      <c r="AM41" s="58"/>
      <c r="AN41" s="58"/>
      <c r="AO41" s="83"/>
      <c r="AP41" s="62"/>
    </row>
    <row r="42" spans="1:42" ht="15.75" x14ac:dyDescent="0.3">
      <c r="A42" s="2"/>
      <c r="B42" s="2"/>
      <c r="C42" s="2"/>
      <c r="D42" s="2"/>
      <c r="E42" s="2"/>
      <c r="F42" s="2"/>
      <c r="G42" s="2"/>
      <c r="H42" s="2"/>
      <c r="I42" s="2"/>
      <c r="J42" s="2"/>
      <c r="K42" s="2"/>
      <c r="L42" s="2"/>
      <c r="M42" s="2"/>
      <c r="O42" s="3"/>
      <c r="P42" s="3"/>
      <c r="Q42" s="29" t="s">
        <v>29</v>
      </c>
      <c r="R42" s="32">
        <f>'Referenz Plattenfertiger'!$W$16+'Referenz Plattenfertiger'!W21</f>
        <v>43.0426</v>
      </c>
      <c r="S42" s="32">
        <f>X115+X120</f>
        <v>43.0426</v>
      </c>
      <c r="T42" s="32">
        <f>X188+X193</f>
        <v>43.0426</v>
      </c>
      <c r="U42" s="25" t="s">
        <v>148</v>
      </c>
      <c r="V42" s="3"/>
      <c r="X42" s="3"/>
      <c r="Y42" s="3"/>
      <c r="Z42" s="29" t="s">
        <v>104</v>
      </c>
      <c r="AA42" s="26">
        <f>'Referenz Plattenfertiger'!S78</f>
        <v>94.932355060000006</v>
      </c>
      <c r="AB42" s="26">
        <f>S176</f>
        <v>93.470408001999999</v>
      </c>
      <c r="AC42" s="26">
        <f>S249</f>
        <v>92.008460943999992</v>
      </c>
      <c r="AD42" s="25" t="s">
        <v>148</v>
      </c>
      <c r="AE42" s="3"/>
      <c r="AG42" s="3"/>
      <c r="AH42" s="3"/>
      <c r="AI42" s="56" t="s">
        <v>144</v>
      </c>
      <c r="AJ42" s="57">
        <f>SUM(AJ43:AJ49)</f>
        <v>109669</v>
      </c>
      <c r="AK42" s="57">
        <f t="shared" ref="AK42:AL42" si="0">SUM(AK43:AK49)</f>
        <v>109050.8</v>
      </c>
      <c r="AL42" s="57">
        <f t="shared" si="0"/>
        <v>108432.6</v>
      </c>
      <c r="AM42" s="3"/>
      <c r="AN42" s="112"/>
      <c r="AO42" s="112"/>
      <c r="AP42" s="62"/>
    </row>
    <row r="43" spans="1:42" ht="15.75" x14ac:dyDescent="0.3">
      <c r="A43" s="2"/>
      <c r="B43" s="2"/>
      <c r="C43" s="2"/>
      <c r="D43" s="2"/>
      <c r="E43" s="2"/>
      <c r="F43" s="2"/>
      <c r="G43" s="2"/>
      <c r="H43" s="2"/>
      <c r="I43" s="2"/>
      <c r="J43" s="2"/>
      <c r="K43" s="2"/>
      <c r="L43" s="2"/>
      <c r="M43" s="2"/>
      <c r="O43" s="3"/>
      <c r="P43" s="3"/>
      <c r="Q43" s="8" t="s">
        <v>30</v>
      </c>
      <c r="R43" s="10">
        <f>'Referenz Plattenfertiger'!$W$17+'Referenz Plattenfertiger'!W22</f>
        <v>16.005600000000001</v>
      </c>
      <c r="S43" s="10">
        <f>X116+X121</f>
        <v>16.005600000000001</v>
      </c>
      <c r="T43" s="10">
        <f>X189+X194</f>
        <v>16.005600000000001</v>
      </c>
      <c r="U43" s="3" t="s">
        <v>148</v>
      </c>
      <c r="V43" s="3"/>
      <c r="X43" s="3"/>
      <c r="Y43" s="3"/>
      <c r="Z43" s="8" t="s">
        <v>26</v>
      </c>
      <c r="AA43" s="9">
        <f>'Referenz Plattenfertiger'!T78</f>
        <v>171.9</v>
      </c>
      <c r="AB43" s="9">
        <f>T176</f>
        <v>124.8924470887134</v>
      </c>
      <c r="AC43" s="9">
        <f>T249</f>
        <v>61.552554846110553</v>
      </c>
      <c r="AD43" s="3" t="s">
        <v>148</v>
      </c>
      <c r="AE43" s="3"/>
      <c r="AG43" s="3"/>
      <c r="AH43" s="3"/>
      <c r="AI43" s="31" t="s">
        <v>29</v>
      </c>
      <c r="AJ43" s="51">
        <f>'Referenz Plattenfertiger'!AD16</f>
        <v>14335</v>
      </c>
      <c r="AK43" s="51">
        <f>AH115+AH120</f>
        <v>14335</v>
      </c>
      <c r="AL43" s="51">
        <f>AH184+AH189</f>
        <v>14335</v>
      </c>
      <c r="AM43" s="3"/>
      <c r="AN43" s="112"/>
      <c r="AO43" s="112"/>
      <c r="AP43" s="62"/>
    </row>
    <row r="44" spans="1:42" ht="15.75" x14ac:dyDescent="0.3">
      <c r="A44" s="2"/>
      <c r="B44" s="2"/>
      <c r="C44" s="2"/>
      <c r="D44" s="2"/>
      <c r="E44" s="2"/>
      <c r="F44" s="2"/>
      <c r="G44" s="2"/>
      <c r="H44" s="2"/>
      <c r="I44" s="2"/>
      <c r="J44" s="2"/>
      <c r="K44" s="2"/>
      <c r="L44" s="2"/>
      <c r="M44" s="2"/>
      <c r="O44" s="3"/>
      <c r="P44" s="3"/>
      <c r="Q44" s="29" t="s">
        <v>31</v>
      </c>
      <c r="R44" s="32">
        <f>'Referenz Plattenfertiger'!$W$18+'Referenz Plattenfertiger'!T24</f>
        <v>171.9</v>
      </c>
      <c r="S44" s="32">
        <f>X117+X123</f>
        <v>124.8924470887134</v>
      </c>
      <c r="T44" s="32">
        <f>X190+X196</f>
        <v>61.552554846110553</v>
      </c>
      <c r="U44" s="25" t="s">
        <v>148</v>
      </c>
      <c r="V44" s="3"/>
      <c r="X44" s="3"/>
      <c r="Y44" s="3"/>
      <c r="Z44" s="29" t="s">
        <v>27</v>
      </c>
      <c r="AA44" s="26">
        <f>'Referenz Plattenfertiger'!U78</f>
        <v>5831.5296228095176</v>
      </c>
      <c r="AB44" s="26">
        <f>U176</f>
        <v>5744.0611300424298</v>
      </c>
      <c r="AC44" s="26">
        <f>U249</f>
        <v>5734.5174076351468</v>
      </c>
      <c r="AD44" s="25" t="s">
        <v>148</v>
      </c>
      <c r="AE44" s="3"/>
      <c r="AG44" s="3"/>
      <c r="AH44" s="3"/>
      <c r="AI44" s="31" t="s">
        <v>30</v>
      </c>
      <c r="AJ44" s="51">
        <f>'Referenz Plattenfertiger'!AD17</f>
        <v>2760</v>
      </c>
      <c r="AK44" s="51">
        <f>AH116+AH121</f>
        <v>2760</v>
      </c>
      <c r="AL44" s="51">
        <f>AH185+AH190</f>
        <v>2760</v>
      </c>
      <c r="AM44" s="3"/>
      <c r="AN44" s="112"/>
      <c r="AO44" s="112"/>
      <c r="AP44" s="62"/>
    </row>
    <row r="45" spans="1:42" ht="16.5" thickBot="1" x14ac:dyDescent="0.35">
      <c r="A45" s="2"/>
      <c r="B45" s="2"/>
      <c r="C45" s="2"/>
      <c r="D45" s="2"/>
      <c r="E45" s="2"/>
      <c r="F45" s="2"/>
      <c r="G45" s="2"/>
      <c r="H45" s="2"/>
      <c r="I45" s="2"/>
      <c r="J45" s="2"/>
      <c r="K45" s="2"/>
      <c r="L45" s="2"/>
      <c r="M45" s="2"/>
      <c r="O45" s="3"/>
      <c r="P45" s="3"/>
      <c r="Q45" s="8" t="s">
        <v>115</v>
      </c>
      <c r="R45" s="10">
        <f>'Referenz Plattenfertiger'!$W$19</f>
        <v>0</v>
      </c>
      <c r="S45" s="10">
        <f>X118</f>
        <v>0</v>
      </c>
      <c r="T45" s="10">
        <f>X191</f>
        <v>0</v>
      </c>
      <c r="U45" s="3" t="s">
        <v>148</v>
      </c>
      <c r="V45" s="3"/>
      <c r="X45" s="3"/>
      <c r="Y45" s="3"/>
      <c r="Z45" s="27" t="s">
        <v>67</v>
      </c>
      <c r="AA45" s="28">
        <f>SUM(AA42:AA44)</f>
        <v>6098.3619778695174</v>
      </c>
      <c r="AB45" s="28">
        <f t="shared" ref="AB45:AC45" si="1">SUM(AB42:AB44)</f>
        <v>5962.4239851331431</v>
      </c>
      <c r="AC45" s="28">
        <f t="shared" si="1"/>
        <v>5888.0784234252569</v>
      </c>
      <c r="AD45" s="27" t="s">
        <v>149</v>
      </c>
      <c r="AE45" s="3"/>
      <c r="AG45" s="3"/>
      <c r="AH45" s="3"/>
      <c r="AI45" s="31" t="s">
        <v>31</v>
      </c>
      <c r="AJ45" s="51">
        <f>'Referenz Plattenfertiger'!AD18</f>
        <v>77400</v>
      </c>
      <c r="AK45" s="51">
        <f>AH117+AH123</f>
        <v>77400</v>
      </c>
      <c r="AL45" s="51">
        <f>AH186+AH192</f>
        <v>77400</v>
      </c>
      <c r="AM45" s="3"/>
      <c r="AN45" s="112"/>
      <c r="AO45" s="112"/>
      <c r="AP45" s="62"/>
    </row>
    <row r="46" spans="1:42" ht="16.5" thickTop="1" x14ac:dyDescent="0.3">
      <c r="A46" s="2"/>
      <c r="B46" s="2"/>
      <c r="C46" s="2"/>
      <c r="D46" s="2"/>
      <c r="E46" s="2"/>
      <c r="F46" s="2"/>
      <c r="G46" s="2"/>
      <c r="H46" s="2"/>
      <c r="I46" s="2"/>
      <c r="J46" s="2"/>
      <c r="K46" s="2"/>
      <c r="L46" s="2"/>
      <c r="M46" s="2"/>
      <c r="O46" s="3"/>
      <c r="P46" s="3"/>
      <c r="Q46" s="29" t="s">
        <v>111</v>
      </c>
      <c r="R46" s="32">
        <f>'Referenz Plattenfertiger'!$W$25</f>
        <v>0</v>
      </c>
      <c r="S46" s="32">
        <f>X124</f>
        <v>0</v>
      </c>
      <c r="T46" s="32">
        <f>X197</f>
        <v>0</v>
      </c>
      <c r="U46" s="25" t="s">
        <v>148</v>
      </c>
      <c r="V46" s="3"/>
      <c r="X46" s="3"/>
      <c r="Y46" s="3"/>
      <c r="Z46" s="3"/>
      <c r="AA46" s="3"/>
      <c r="AB46" s="3"/>
      <c r="AC46" s="3"/>
      <c r="AD46" s="3"/>
      <c r="AE46" s="3"/>
      <c r="AG46" s="3"/>
      <c r="AH46" s="3"/>
      <c r="AI46" s="31" t="s">
        <v>111</v>
      </c>
      <c r="AJ46" s="51">
        <f>'Referenz Plattenfertiger'!AD19</f>
        <v>0</v>
      </c>
      <c r="AK46" s="51">
        <f>AH124</f>
        <v>0</v>
      </c>
      <c r="AL46" s="51">
        <f>AH193</f>
        <v>0</v>
      </c>
      <c r="AM46" s="3"/>
      <c r="AN46" s="112"/>
      <c r="AO46" s="112"/>
      <c r="AP46" s="62"/>
    </row>
    <row r="47" spans="1:42" ht="15.75" x14ac:dyDescent="0.3">
      <c r="A47" s="2"/>
      <c r="B47" s="2"/>
      <c r="C47" s="2"/>
      <c r="D47" s="2"/>
      <c r="E47" s="2"/>
      <c r="F47" s="2"/>
      <c r="G47" s="2"/>
      <c r="H47" s="2"/>
      <c r="I47" s="2"/>
      <c r="J47" s="2"/>
      <c r="K47" s="2"/>
      <c r="L47" s="2"/>
      <c r="M47" s="2"/>
      <c r="O47" s="3"/>
      <c r="P47" s="3"/>
      <c r="Q47" s="8" t="s">
        <v>135</v>
      </c>
      <c r="R47" s="10">
        <f>'Referenz Plattenfertiger'!$W$26</f>
        <v>0</v>
      </c>
      <c r="S47" s="10">
        <f>X125</f>
        <v>0</v>
      </c>
      <c r="T47" s="10">
        <f>X198</f>
        <v>0</v>
      </c>
      <c r="U47" s="3" t="s">
        <v>148</v>
      </c>
      <c r="V47" s="3"/>
      <c r="X47" s="3"/>
      <c r="Y47" s="3"/>
      <c r="Z47" s="3"/>
      <c r="AA47" s="3"/>
      <c r="AB47" s="3"/>
      <c r="AC47" s="3"/>
      <c r="AD47" s="3"/>
      <c r="AE47" s="3"/>
      <c r="AG47" s="3"/>
      <c r="AH47" s="3"/>
      <c r="AI47" s="31" t="s">
        <v>112</v>
      </c>
      <c r="AJ47" s="51">
        <f>'Referenz Plattenfertiger'!AD20</f>
        <v>0</v>
      </c>
      <c r="AK47" s="51">
        <f>AH118</f>
        <v>0</v>
      </c>
      <c r="AL47" s="51">
        <f>AH187</f>
        <v>0</v>
      </c>
      <c r="AM47" s="3"/>
      <c r="AN47" s="112"/>
      <c r="AO47" s="112"/>
      <c r="AP47" s="62"/>
    </row>
    <row r="48" spans="1:42" ht="15.75" x14ac:dyDescent="0.3">
      <c r="A48" s="2"/>
      <c r="B48" s="2"/>
      <c r="C48" s="2"/>
      <c r="D48" s="2"/>
      <c r="E48" s="2"/>
      <c r="F48" s="2"/>
      <c r="G48" s="2"/>
      <c r="H48" s="2"/>
      <c r="I48" s="2"/>
      <c r="J48" s="2"/>
      <c r="K48" s="2"/>
      <c r="L48" s="2"/>
      <c r="M48" s="2"/>
      <c r="O48" s="3"/>
      <c r="P48" s="3"/>
      <c r="Q48" s="29" t="s">
        <v>32</v>
      </c>
      <c r="R48" s="32">
        <f>'Referenz Plattenfertiger'!$W$28+'Referenz Plattenfertiger'!$W$29</f>
        <v>35.884155059999998</v>
      </c>
      <c r="S48" s="32">
        <f>X127+X128</f>
        <v>34.422208001999998</v>
      </c>
      <c r="T48" s="32">
        <f>X200+X201</f>
        <v>32.960260943999998</v>
      </c>
      <c r="U48" s="25" t="s">
        <v>148</v>
      </c>
      <c r="V48" s="3"/>
      <c r="X48" s="3"/>
      <c r="Y48" s="3"/>
      <c r="Z48" s="23" t="s">
        <v>178</v>
      </c>
      <c r="AA48" s="24"/>
      <c r="AB48" s="24"/>
      <c r="AC48" s="24"/>
      <c r="AD48" s="24"/>
      <c r="AE48" s="3"/>
      <c r="AG48" s="3"/>
      <c r="AH48" s="3"/>
      <c r="AI48" s="31" t="s">
        <v>410</v>
      </c>
      <c r="AJ48" s="51">
        <f>'Referenz Plattenfertiger'!AD21</f>
        <v>0</v>
      </c>
      <c r="AK48" s="51">
        <f>AH125</f>
        <v>0</v>
      </c>
      <c r="AL48" s="51">
        <f>AH194</f>
        <v>0</v>
      </c>
      <c r="AM48" s="3"/>
      <c r="AN48" s="112"/>
      <c r="AO48" s="112"/>
      <c r="AP48" s="62"/>
    </row>
    <row r="49" spans="1:42" ht="15.75" thickBot="1" x14ac:dyDescent="0.3">
      <c r="A49" s="2"/>
      <c r="B49" s="2"/>
      <c r="C49" s="2"/>
      <c r="D49" s="2"/>
      <c r="E49" s="2"/>
      <c r="F49" s="2"/>
      <c r="G49" s="2"/>
      <c r="H49" s="2"/>
      <c r="I49" s="2"/>
      <c r="J49" s="2"/>
      <c r="K49" s="2"/>
      <c r="L49" s="2"/>
      <c r="M49" s="2"/>
      <c r="O49" s="3"/>
      <c r="P49" s="3"/>
      <c r="Q49" s="27" t="s">
        <v>67</v>
      </c>
      <c r="R49" s="33">
        <f>SUM(R42:R48)</f>
        <v>266.83235506</v>
      </c>
      <c r="S49" s="33">
        <f>SUM(S42:S48)</f>
        <v>218.3628550907134</v>
      </c>
      <c r="T49" s="33">
        <f>SUM(T42:T48)</f>
        <v>153.56101579011056</v>
      </c>
      <c r="U49" s="27" t="s">
        <v>149</v>
      </c>
      <c r="V49" s="3"/>
      <c r="X49" s="3"/>
      <c r="Y49" s="483" t="s">
        <v>131</v>
      </c>
      <c r="Z49" s="34"/>
      <c r="AA49" s="45">
        <f>R40</f>
        <v>0</v>
      </c>
      <c r="AB49" s="45">
        <f>S40</f>
        <v>5</v>
      </c>
      <c r="AC49" s="45">
        <f>T40</f>
        <v>10</v>
      </c>
      <c r="AD49" s="34"/>
      <c r="AE49" s="3"/>
      <c r="AG49" s="3"/>
      <c r="AH49" s="3"/>
      <c r="AI49" s="50" t="s">
        <v>32</v>
      </c>
      <c r="AJ49" s="52">
        <f>'Referenz Plattenfertiger'!AD22</f>
        <v>15174.000000000002</v>
      </c>
      <c r="AK49" s="53">
        <f>AH127+AH128</f>
        <v>14555.800000000001</v>
      </c>
      <c r="AL49" s="53">
        <f>AH196+AH197</f>
        <v>13937.6</v>
      </c>
      <c r="AM49" s="3"/>
      <c r="AN49" s="112"/>
      <c r="AO49" s="112"/>
      <c r="AP49" s="62"/>
    </row>
    <row r="50" spans="1:42" ht="13.5" thickTop="1" x14ac:dyDescent="0.2">
      <c r="A50" s="2"/>
      <c r="B50" s="2"/>
      <c r="C50" s="2"/>
      <c r="D50" s="2"/>
      <c r="E50" s="2"/>
      <c r="F50" s="2"/>
      <c r="G50" s="2"/>
      <c r="H50" s="2"/>
      <c r="I50" s="2"/>
      <c r="J50" s="2"/>
      <c r="K50" s="2"/>
      <c r="L50" s="2"/>
      <c r="M50" s="2"/>
      <c r="O50" s="3"/>
      <c r="P50" s="3"/>
      <c r="Q50" s="3"/>
      <c r="R50" s="3"/>
      <c r="S50" s="3"/>
      <c r="T50" s="3"/>
      <c r="U50" s="3"/>
      <c r="V50" s="3"/>
      <c r="X50" s="3"/>
      <c r="Y50" s="483"/>
      <c r="Z50" s="24"/>
      <c r="AA50" s="47" t="s">
        <v>81</v>
      </c>
      <c r="AB50" s="48"/>
      <c r="AC50" s="48"/>
      <c r="AD50" s="24"/>
      <c r="AE50" s="3"/>
      <c r="AG50" s="3"/>
      <c r="AH50" s="3"/>
      <c r="AI50" s="8" t="s">
        <v>28</v>
      </c>
      <c r="AJ50" s="54">
        <v>0</v>
      </c>
      <c r="AK50" s="54">
        <f>AH131</f>
        <v>28800</v>
      </c>
      <c r="AL50" s="54">
        <f>AH200</f>
        <v>57600</v>
      </c>
      <c r="AM50" s="3"/>
      <c r="AN50" s="112"/>
      <c r="AO50" s="112"/>
      <c r="AP50" s="62"/>
    </row>
    <row r="51" spans="1:42" ht="15.75" x14ac:dyDescent="0.3">
      <c r="A51" s="2"/>
      <c r="B51" s="2"/>
      <c r="C51" s="2"/>
      <c r="D51" s="2"/>
      <c r="E51" s="2"/>
      <c r="F51" s="2"/>
      <c r="G51" s="2"/>
      <c r="H51" s="2"/>
      <c r="I51" s="2"/>
      <c r="J51" s="2"/>
      <c r="K51" s="2"/>
      <c r="L51" s="2"/>
      <c r="M51" s="2"/>
      <c r="O51" s="3"/>
      <c r="P51" s="3"/>
      <c r="Q51" s="3"/>
      <c r="R51" s="3"/>
      <c r="S51" s="3"/>
      <c r="T51" s="3"/>
      <c r="U51" s="3"/>
      <c r="V51" s="3"/>
      <c r="X51" s="3"/>
      <c r="Y51" s="3"/>
      <c r="Z51" s="29" t="str">
        <f>P113</f>
        <v>Energieträger gesamt</v>
      </c>
      <c r="AA51" s="26">
        <f>SUM('Referenz Plattenfertiger'!U16:U29)</f>
        <v>41.281733459999998</v>
      </c>
      <c r="AB51" s="26">
        <f>U113</f>
        <v>34.132280692910868</v>
      </c>
      <c r="AC51" s="26">
        <f>U186</f>
        <v>24.588558285628775</v>
      </c>
      <c r="AD51" s="25" t="s">
        <v>148</v>
      </c>
      <c r="AE51" s="3"/>
      <c r="AG51" s="3"/>
      <c r="AH51" s="3"/>
      <c r="AI51" s="8" t="s">
        <v>139</v>
      </c>
      <c r="AJ51" s="54">
        <v>0</v>
      </c>
      <c r="AK51" s="54">
        <f>AH132</f>
        <v>0</v>
      </c>
      <c r="AL51" s="54">
        <f>AH201</f>
        <v>0</v>
      </c>
      <c r="AM51" s="3"/>
      <c r="AN51" s="112"/>
      <c r="AO51" s="112"/>
      <c r="AP51" s="62"/>
    </row>
    <row r="52" spans="1:42" ht="15.75" x14ac:dyDescent="0.3">
      <c r="A52" s="2"/>
      <c r="B52" s="2"/>
      <c r="C52" s="2"/>
      <c r="D52" s="2"/>
      <c r="E52" s="2"/>
      <c r="F52" s="2"/>
      <c r="G52" s="2"/>
      <c r="H52" s="2"/>
      <c r="I52" s="2"/>
      <c r="J52" s="2"/>
      <c r="K52" s="2"/>
      <c r="L52" s="2"/>
      <c r="M52" s="2"/>
      <c r="O52" s="3"/>
      <c r="P52" s="3"/>
      <c r="Q52" s="3"/>
      <c r="R52" s="3"/>
      <c r="S52" s="3"/>
      <c r="T52" s="3"/>
      <c r="U52" s="3"/>
      <c r="V52" s="3"/>
      <c r="X52" s="3"/>
      <c r="Y52" s="3"/>
      <c r="Z52" s="8" t="str">
        <f>P129</f>
        <v>Transport gesamt</v>
      </c>
      <c r="AA52" s="9">
        <f>'Referenz Plattenfertiger'!U32+'Referenz Plattenfertiger'!U33</f>
        <v>469.15642799999995</v>
      </c>
      <c r="AB52" s="9">
        <f>U129</f>
        <v>469.15642799999995</v>
      </c>
      <c r="AC52" s="9">
        <f>U202</f>
        <v>469.15642799999995</v>
      </c>
      <c r="AD52" s="3" t="s">
        <v>148</v>
      </c>
      <c r="AE52" s="3"/>
      <c r="AG52" s="3"/>
      <c r="AH52" s="3"/>
      <c r="AI52" s="58" t="s">
        <v>146</v>
      </c>
      <c r="AJ52" s="60">
        <v>0</v>
      </c>
      <c r="AK52" s="60">
        <f>AH133</f>
        <v>0</v>
      </c>
      <c r="AL52" s="60">
        <f>AH202</f>
        <v>0</v>
      </c>
      <c r="AM52" s="3"/>
      <c r="AN52" s="112"/>
      <c r="AO52" s="112"/>
      <c r="AP52" s="62"/>
    </row>
    <row r="53" spans="1:42" ht="15.75" x14ac:dyDescent="0.3">
      <c r="A53" s="2"/>
      <c r="B53" s="2"/>
      <c r="C53" s="2"/>
      <c r="D53" s="2"/>
      <c r="E53" s="2"/>
      <c r="F53" s="2"/>
      <c r="G53" s="2"/>
      <c r="H53" s="2"/>
      <c r="I53" s="2"/>
      <c r="J53" s="2"/>
      <c r="K53" s="2"/>
      <c r="L53" s="2"/>
      <c r="M53" s="2"/>
      <c r="O53" s="3"/>
      <c r="P53" s="3"/>
      <c r="Q53" s="3"/>
      <c r="R53" s="3"/>
      <c r="S53" s="3"/>
      <c r="T53" s="3"/>
      <c r="U53" s="3"/>
      <c r="V53" s="3"/>
      <c r="X53" s="3"/>
      <c r="Y53" s="3"/>
      <c r="Z53" s="29" t="str">
        <f>P133</f>
        <v>Zement</v>
      </c>
      <c r="AA53" s="26">
        <f>'Referenz Plattenfertiger'!U35</f>
        <v>4548.5439999999999</v>
      </c>
      <c r="AB53" s="26">
        <f>U133</f>
        <v>4548.5439999999999</v>
      </c>
      <c r="AC53" s="26">
        <f>U206</f>
        <v>4548.5439999999999</v>
      </c>
      <c r="AD53" s="25" t="s">
        <v>148</v>
      </c>
      <c r="AE53" s="3"/>
      <c r="AG53" s="3"/>
      <c r="AH53" s="3"/>
      <c r="AI53" s="56" t="s">
        <v>140</v>
      </c>
      <c r="AJ53" s="57">
        <f>SUM(AJ54:AJ56)</f>
        <v>152459.04944673795</v>
      </c>
      <c r="AK53" s="57">
        <f t="shared" ref="AK53:AL53" si="2">SUM(AK54:AK56)</f>
        <v>268309.07933099143</v>
      </c>
      <c r="AL53" s="57">
        <f t="shared" si="2"/>
        <v>471046.27387402061</v>
      </c>
      <c r="AM53" s="3"/>
      <c r="AN53" s="112"/>
      <c r="AO53" s="112"/>
      <c r="AP53" s="62"/>
    </row>
    <row r="54" spans="1:42" ht="15.75" x14ac:dyDescent="0.3">
      <c r="A54" s="2"/>
      <c r="B54" s="2"/>
      <c r="C54" s="2"/>
      <c r="D54" s="2"/>
      <c r="E54" s="2"/>
      <c r="F54" s="2"/>
      <c r="G54" s="2"/>
      <c r="H54" s="2"/>
      <c r="I54" s="2"/>
      <c r="J54" s="2"/>
      <c r="K54" s="2"/>
      <c r="L54" s="2"/>
      <c r="M54" s="2"/>
      <c r="O54" s="3"/>
      <c r="P54" s="3"/>
      <c r="Q54" s="3"/>
      <c r="R54" s="3"/>
      <c r="S54" s="3"/>
      <c r="T54" s="3"/>
      <c r="U54" s="3"/>
      <c r="V54" s="3"/>
      <c r="X54" s="3"/>
      <c r="Y54" s="3"/>
      <c r="Z54" s="8" t="str">
        <f>P139</f>
        <v>Gesteinskörnungen (Zuschlagsstoffe)</v>
      </c>
      <c r="AA54" s="9">
        <f>'Referenz Plattenfertiger'!U41</f>
        <v>129.59200000000001</v>
      </c>
      <c r="AB54" s="9">
        <f>U139</f>
        <v>129.59200000000001</v>
      </c>
      <c r="AC54" s="9">
        <f>U212</f>
        <v>129.59200000000001</v>
      </c>
      <c r="AD54" s="3" t="s">
        <v>148</v>
      </c>
      <c r="AE54" s="3"/>
      <c r="AG54" s="3"/>
      <c r="AH54" s="3"/>
      <c r="AI54" s="31" t="s">
        <v>141</v>
      </c>
      <c r="AJ54" s="51">
        <f>'Referenz Plattenfertiger'!AD26</f>
        <v>2373.3088765000002</v>
      </c>
      <c r="AK54" s="51">
        <f>AH136</f>
        <v>4206.1683600899996</v>
      </c>
      <c r="AL54" s="51">
        <f>AH205</f>
        <v>7360.6768755199992</v>
      </c>
      <c r="AM54" s="3"/>
      <c r="AN54" s="112"/>
      <c r="AO54" s="112"/>
      <c r="AP54" s="62"/>
    </row>
    <row r="55" spans="1:42" ht="15.75" x14ac:dyDescent="0.3">
      <c r="A55" s="2"/>
      <c r="B55" s="2"/>
      <c r="C55" s="2"/>
      <c r="D55" s="2"/>
      <c r="E55" s="2"/>
      <c r="F55" s="2"/>
      <c r="G55" s="2"/>
      <c r="H55" s="2"/>
      <c r="I55" s="2"/>
      <c r="J55" s="2"/>
      <c r="K55" s="2"/>
      <c r="L55" s="2"/>
      <c r="M55" s="2"/>
      <c r="O55" s="3"/>
      <c r="P55" s="3"/>
      <c r="Q55" s="3"/>
      <c r="R55" s="3"/>
      <c r="S55" s="3"/>
      <c r="T55" s="3"/>
      <c r="U55" s="3"/>
      <c r="V55" s="3"/>
      <c r="X55" s="3"/>
      <c r="Y55" s="3"/>
      <c r="Z55" s="29" t="str">
        <f>Q146</f>
        <v>Farben</v>
      </c>
      <c r="AA55" s="26">
        <f>'Referenz Plattenfertiger'!U48</f>
        <v>208</v>
      </c>
      <c r="AB55" s="26">
        <f>U146</f>
        <v>208</v>
      </c>
      <c r="AC55" s="26">
        <f>U219</f>
        <v>208</v>
      </c>
      <c r="AD55" s="25" t="s">
        <v>148</v>
      </c>
      <c r="AE55" s="3"/>
      <c r="AG55" s="3"/>
      <c r="AH55" s="3"/>
      <c r="AI55" s="31" t="s">
        <v>142</v>
      </c>
      <c r="AJ55" s="51">
        <f>'Referenz Plattenfertiger'!AD27</f>
        <v>4297.5</v>
      </c>
      <c r="AK55" s="51">
        <f>AH137</f>
        <v>5620.160118992103</v>
      </c>
      <c r="AL55" s="51">
        <f>AH206</f>
        <v>4924.2043876888438</v>
      </c>
      <c r="AM55" s="3"/>
      <c r="AN55" s="112"/>
      <c r="AO55" s="112"/>
      <c r="AP55" s="62"/>
    </row>
    <row r="56" spans="1:42" ht="15.75" x14ac:dyDescent="0.3">
      <c r="A56" s="2"/>
      <c r="B56" s="2"/>
      <c r="C56" s="2"/>
      <c r="D56" s="2"/>
      <c r="E56" s="2"/>
      <c r="F56" s="2"/>
      <c r="G56" s="2"/>
      <c r="H56" s="2"/>
      <c r="I56" s="2"/>
      <c r="J56" s="2"/>
      <c r="K56" s="2"/>
      <c r="L56" s="2"/>
      <c r="M56" s="2"/>
      <c r="O56" s="3"/>
      <c r="P56" s="3"/>
      <c r="Q56" s="3"/>
      <c r="R56" s="3"/>
      <c r="S56" s="3"/>
      <c r="T56" s="3"/>
      <c r="U56" s="3"/>
      <c r="V56" s="3"/>
      <c r="X56" s="3"/>
      <c r="Y56" s="3"/>
      <c r="Z56" s="8" t="str">
        <f>P148</f>
        <v>Zusatzstoffe (Füllstoffe)</v>
      </c>
      <c r="AA56" s="9">
        <f>'Referenz Plattenfertiger'!U50</f>
        <v>81.003999999999991</v>
      </c>
      <c r="AB56" s="9">
        <f>U148</f>
        <v>81.003999999999991</v>
      </c>
      <c r="AC56" s="9">
        <f>U221</f>
        <v>81.003999999999991</v>
      </c>
      <c r="AD56" s="3" t="s">
        <v>148</v>
      </c>
      <c r="AE56" s="3"/>
      <c r="AG56" s="3"/>
      <c r="AH56" s="3"/>
      <c r="AI56" s="31" t="s">
        <v>143</v>
      </c>
      <c r="AJ56" s="51">
        <f>'Referenz Plattenfertiger'!AD28</f>
        <v>145788.24057023795</v>
      </c>
      <c r="AK56" s="51">
        <f>AH138</f>
        <v>258482.75085190934</v>
      </c>
      <c r="AL56" s="51">
        <f>AH207</f>
        <v>458761.39261081174</v>
      </c>
      <c r="AM56" s="3"/>
      <c r="AN56" s="112"/>
      <c r="AO56" s="112"/>
      <c r="AP56" s="62"/>
    </row>
    <row r="57" spans="1:42" ht="16.5" thickBot="1" x14ac:dyDescent="0.35">
      <c r="A57" s="2"/>
      <c r="B57" s="2"/>
      <c r="C57" s="2"/>
      <c r="D57" s="2"/>
      <c r="E57" s="2"/>
      <c r="F57" s="2"/>
      <c r="G57" s="2"/>
      <c r="H57" s="2"/>
      <c r="I57" s="2"/>
      <c r="J57" s="2"/>
      <c r="K57" s="2"/>
      <c r="L57" s="2"/>
      <c r="M57" s="2"/>
      <c r="O57" s="3"/>
      <c r="P57" s="3"/>
      <c r="Q57" s="3"/>
      <c r="R57" s="3"/>
      <c r="S57" s="3"/>
      <c r="T57" s="3"/>
      <c r="U57" s="3"/>
      <c r="V57" s="3"/>
      <c r="X57" s="3"/>
      <c r="Y57" s="3"/>
      <c r="Z57" s="29" t="str">
        <f>P155</f>
        <v>Zusatzmittel</v>
      </c>
      <c r="AA57" s="26">
        <f>'Referenz Plattenfertiger'!U57</f>
        <v>148.44746134951595</v>
      </c>
      <c r="AB57" s="26">
        <f>U155</f>
        <v>148.44746134951595</v>
      </c>
      <c r="AC57" s="26">
        <f>U228</f>
        <v>148.44746134951595</v>
      </c>
      <c r="AD57" s="25" t="s">
        <v>148</v>
      </c>
      <c r="AE57" s="3"/>
      <c r="AG57" s="3"/>
      <c r="AH57" s="3"/>
      <c r="AI57" s="27" t="s">
        <v>67</v>
      </c>
      <c r="AJ57" s="55">
        <f>AJ53+AJ52+AJ51+AJ50+AJ42</f>
        <v>262128.04944673795</v>
      </c>
      <c r="AK57" s="55">
        <f t="shared" ref="AK57:AL57" si="3">AK53+AK52+AK51+AK50+AK42</f>
        <v>406159.87933099142</v>
      </c>
      <c r="AL57" s="55">
        <f t="shared" si="3"/>
        <v>637078.87387402065</v>
      </c>
      <c r="AM57" s="3"/>
      <c r="AN57" s="112"/>
      <c r="AO57" s="112"/>
      <c r="AP57" s="62"/>
    </row>
    <row r="58" spans="1:42" ht="16.5" thickTop="1" x14ac:dyDescent="0.3">
      <c r="A58" s="2"/>
      <c r="B58" s="2"/>
      <c r="C58" s="2"/>
      <c r="D58" s="2"/>
      <c r="E58" s="2"/>
      <c r="F58" s="2"/>
      <c r="G58" s="2"/>
      <c r="H58" s="2"/>
      <c r="I58" s="2"/>
      <c r="J58" s="2"/>
      <c r="K58" s="2"/>
      <c r="L58" s="2"/>
      <c r="M58" s="2"/>
      <c r="O58" s="3"/>
      <c r="P58" s="3"/>
      <c r="Q58" s="3"/>
      <c r="R58" s="3"/>
      <c r="S58" s="3"/>
      <c r="T58" s="3"/>
      <c r="U58" s="3"/>
      <c r="V58" s="3"/>
      <c r="X58" s="3"/>
      <c r="Y58" s="3"/>
      <c r="Z58" s="8" t="s">
        <v>179</v>
      </c>
      <c r="AA58" s="9">
        <f>'Referenz Plattenfertiger'!U63+'Referenz Plattenfertiger'!U64</f>
        <v>0.54400000000000004</v>
      </c>
      <c r="AB58" s="9">
        <f>U161+U162</f>
        <v>0.54400000000000004</v>
      </c>
      <c r="AC58" s="9">
        <f>U234+U235</f>
        <v>0.54400000000000004</v>
      </c>
      <c r="AD58" s="3" t="s">
        <v>148</v>
      </c>
      <c r="AE58" s="3"/>
      <c r="AG58" s="3"/>
      <c r="AH58" s="3"/>
      <c r="AI58" s="3"/>
      <c r="AJ58" s="3"/>
      <c r="AK58" s="3"/>
      <c r="AL58" s="3"/>
      <c r="AM58" s="3"/>
      <c r="AN58" s="62"/>
      <c r="AO58" s="62"/>
      <c r="AP58" s="62"/>
    </row>
    <row r="59" spans="1:42" ht="16.5" thickBot="1" x14ac:dyDescent="0.35">
      <c r="A59" s="2"/>
      <c r="B59" s="2"/>
      <c r="C59" s="2"/>
      <c r="D59" s="2"/>
      <c r="E59" s="2"/>
      <c r="F59" s="2"/>
      <c r="G59" s="2"/>
      <c r="H59" s="2"/>
      <c r="I59" s="2"/>
      <c r="J59" s="2"/>
      <c r="K59" s="2"/>
      <c r="L59" s="2"/>
      <c r="M59" s="2"/>
      <c r="O59" s="3"/>
      <c r="P59" s="3"/>
      <c r="Q59" s="3"/>
      <c r="R59" s="3"/>
      <c r="S59" s="3"/>
      <c r="T59" s="3"/>
      <c r="U59" s="3"/>
      <c r="V59" s="3"/>
      <c r="X59" s="3"/>
      <c r="Y59" s="3"/>
      <c r="Z59" s="29" t="str">
        <f>P164</f>
        <v>Oberflächenschutzsysteme</v>
      </c>
      <c r="AA59" s="26">
        <f>'Referenz Plattenfertiger'!U66</f>
        <v>80.47999999999999</v>
      </c>
      <c r="AB59" s="26">
        <f>U164</f>
        <v>0.16095999999999999</v>
      </c>
      <c r="AC59" s="26">
        <f>U237</f>
        <v>0.16095999999999999</v>
      </c>
      <c r="AD59" s="25" t="s">
        <v>148</v>
      </c>
      <c r="AE59" s="3"/>
      <c r="AG59" s="3"/>
      <c r="AH59" s="3"/>
      <c r="AI59" s="104" t="s">
        <v>196</v>
      </c>
      <c r="AJ59" s="105">
        <f>AJ57-AJ56</f>
        <v>116339.8088765</v>
      </c>
      <c r="AK59" s="105">
        <f>AK57-AK56</f>
        <v>147677.12847908208</v>
      </c>
      <c r="AL59" s="105">
        <f>AL57-AL56</f>
        <v>178317.4812632089</v>
      </c>
      <c r="AM59" s="3"/>
      <c r="AN59" s="3"/>
      <c r="AO59" s="3"/>
      <c r="AP59" s="3"/>
    </row>
    <row r="60" spans="1:42" ht="16.5" thickBot="1" x14ac:dyDescent="0.35">
      <c r="A60" s="2"/>
      <c r="B60" s="2"/>
      <c r="C60" s="2"/>
      <c r="D60" s="2"/>
      <c r="E60" s="2"/>
      <c r="F60" s="2"/>
      <c r="G60" s="2"/>
      <c r="H60" s="2"/>
      <c r="I60" s="2"/>
      <c r="J60" s="2"/>
      <c r="K60" s="2"/>
      <c r="L60" s="2"/>
      <c r="M60" s="2"/>
      <c r="O60" s="3"/>
      <c r="P60" s="3"/>
      <c r="Q60" s="3"/>
      <c r="R60" s="3"/>
      <c r="S60" s="3"/>
      <c r="T60" s="3"/>
      <c r="U60" s="3"/>
      <c r="V60" s="3"/>
      <c r="X60" s="3"/>
      <c r="Y60" s="3"/>
      <c r="Z60" s="8" t="str">
        <f>P169</f>
        <v>Oberflächenbearbeitung (vor/nach Erhärtung)</v>
      </c>
      <c r="AA60" s="9">
        <f>'Referenz Plattenfertiger'!U71</f>
        <v>60</v>
      </c>
      <c r="AB60" s="9">
        <f>U169</f>
        <v>60</v>
      </c>
      <c r="AC60" s="9">
        <f>U242</f>
        <v>60</v>
      </c>
      <c r="AD60" s="3" t="s">
        <v>148</v>
      </c>
      <c r="AE60" s="3"/>
      <c r="AG60" s="3"/>
      <c r="AH60" s="3"/>
      <c r="AI60" s="106" t="s">
        <v>145</v>
      </c>
      <c r="AJ60" s="107">
        <f>AJ57-AJ53</f>
        <v>109669</v>
      </c>
      <c r="AK60" s="107">
        <f>AK57-AK53</f>
        <v>137850.79999999999</v>
      </c>
      <c r="AL60" s="107">
        <f>AL57-AL53</f>
        <v>166032.60000000003</v>
      </c>
      <c r="AM60" s="3"/>
      <c r="AN60" s="3"/>
      <c r="AO60" s="3"/>
      <c r="AP60" s="3"/>
    </row>
    <row r="61" spans="1:42" ht="15.75" x14ac:dyDescent="0.3">
      <c r="A61" s="2"/>
      <c r="B61" s="2"/>
      <c r="C61" s="2"/>
      <c r="D61" s="2"/>
      <c r="E61" s="2"/>
      <c r="F61" s="2"/>
      <c r="G61" s="2"/>
      <c r="H61" s="2"/>
      <c r="I61" s="2"/>
      <c r="J61" s="2"/>
      <c r="K61" s="2"/>
      <c r="L61" s="2"/>
      <c r="M61" s="2"/>
      <c r="O61" s="3"/>
      <c r="P61" s="3"/>
      <c r="Q61" s="3"/>
      <c r="R61" s="3"/>
      <c r="S61" s="3"/>
      <c r="T61" s="3"/>
      <c r="U61" s="3"/>
      <c r="V61" s="3"/>
      <c r="X61" s="3"/>
      <c r="Y61" s="3"/>
      <c r="Z61" s="29" t="str">
        <f>Q174</f>
        <v>Verpackungsmaterial</v>
      </c>
      <c r="AA61" s="26">
        <f>'Referenz Plattenfertiger'!U76</f>
        <v>64.48</v>
      </c>
      <c r="AB61" s="26">
        <f>U174</f>
        <v>64.48</v>
      </c>
      <c r="AC61" s="26">
        <f>U247</f>
        <v>64.48</v>
      </c>
      <c r="AD61" s="25" t="s">
        <v>148</v>
      </c>
      <c r="AE61" s="3"/>
      <c r="AG61" s="3"/>
      <c r="AH61" s="3"/>
      <c r="AI61" s="3"/>
      <c r="AJ61" s="3"/>
      <c r="AK61" s="3"/>
      <c r="AL61" s="3"/>
      <c r="AM61" s="3"/>
      <c r="AN61" s="3"/>
      <c r="AO61" s="3"/>
      <c r="AP61" s="3"/>
    </row>
    <row r="62" spans="1:42" ht="15" thickBot="1" x14ac:dyDescent="0.3">
      <c r="A62" s="2"/>
      <c r="B62" s="2"/>
      <c r="C62" s="2"/>
      <c r="D62" s="2"/>
      <c r="E62" s="2"/>
      <c r="F62" s="2"/>
      <c r="G62" s="2"/>
      <c r="H62" s="2"/>
      <c r="I62" s="2"/>
      <c r="J62" s="2"/>
      <c r="K62" s="2"/>
      <c r="L62" s="2"/>
      <c r="M62" s="2"/>
      <c r="O62" s="3"/>
      <c r="P62" s="3"/>
      <c r="Q62" s="3"/>
      <c r="R62" s="3"/>
      <c r="S62" s="3"/>
      <c r="T62" s="3"/>
      <c r="U62" s="3"/>
      <c r="V62" s="3"/>
      <c r="X62" s="3"/>
      <c r="Y62" s="3"/>
      <c r="Z62" s="27" t="s">
        <v>67</v>
      </c>
      <c r="AA62" s="28">
        <f>SUM(AA51:AA61)</f>
        <v>5831.529622809514</v>
      </c>
      <c r="AB62" s="28">
        <f t="shared" ref="AB62" si="4">SUM(AB51:AB61)</f>
        <v>5744.0611300424252</v>
      </c>
      <c r="AC62" s="28">
        <f>SUM(AC51:AC61)</f>
        <v>5734.5174076351432</v>
      </c>
      <c r="AD62" s="27" t="s">
        <v>149</v>
      </c>
      <c r="AE62" s="3"/>
      <c r="AG62" s="3"/>
      <c r="AH62" s="3"/>
      <c r="AI62" s="3"/>
      <c r="AJ62" s="3"/>
      <c r="AK62" s="3"/>
      <c r="AL62" s="3"/>
      <c r="AM62" s="3"/>
      <c r="AN62" s="3"/>
      <c r="AO62" s="3"/>
      <c r="AP62" s="3"/>
    </row>
    <row r="63" spans="1:42" ht="13.5" thickTop="1" x14ac:dyDescent="0.2">
      <c r="A63" s="2"/>
      <c r="B63" s="2"/>
      <c r="C63" s="2"/>
      <c r="D63" s="2"/>
      <c r="E63" s="2"/>
      <c r="F63" s="2"/>
      <c r="G63" s="2"/>
      <c r="H63" s="2"/>
      <c r="I63" s="2"/>
      <c r="J63" s="2"/>
      <c r="K63" s="2"/>
      <c r="L63" s="2"/>
      <c r="M63" s="2"/>
      <c r="O63" s="3"/>
      <c r="P63" s="3"/>
      <c r="Q63" s="3"/>
      <c r="R63" s="3"/>
      <c r="S63" s="3"/>
      <c r="T63" s="3"/>
      <c r="U63" s="3"/>
      <c r="V63" s="3"/>
      <c r="X63" s="3"/>
      <c r="Y63" s="3"/>
      <c r="Z63" s="8"/>
      <c r="AA63" s="82"/>
      <c r="AB63" s="82"/>
      <c r="AC63" s="82"/>
      <c r="AD63" s="8"/>
      <c r="AE63" s="3"/>
      <c r="AG63" s="3"/>
      <c r="AH63" s="3"/>
      <c r="AI63" s="3"/>
      <c r="AJ63" s="3"/>
      <c r="AK63" s="3"/>
      <c r="AL63" s="3"/>
      <c r="AM63" s="3"/>
      <c r="AN63" s="3"/>
      <c r="AO63" s="3"/>
      <c r="AP63" s="3"/>
    </row>
    <row r="64" spans="1:42" x14ac:dyDescent="0.2">
      <c r="A64" s="2"/>
      <c r="B64" s="2"/>
      <c r="C64" s="2"/>
      <c r="D64" s="2"/>
      <c r="E64" s="2"/>
      <c r="F64" s="2"/>
      <c r="G64" s="2"/>
      <c r="H64" s="2"/>
      <c r="I64" s="2"/>
      <c r="J64" s="2"/>
      <c r="K64" s="2"/>
      <c r="L64" s="2"/>
      <c r="M64" s="2"/>
      <c r="O64" s="3"/>
      <c r="P64" s="3"/>
      <c r="Q64" s="3"/>
      <c r="R64" s="3"/>
      <c r="S64" s="3"/>
      <c r="T64" s="3"/>
      <c r="U64" s="3"/>
      <c r="V64" s="3"/>
      <c r="X64" s="3"/>
      <c r="Y64" s="3"/>
      <c r="Z64" s="8"/>
      <c r="AA64" s="82"/>
      <c r="AB64" s="82"/>
      <c r="AC64" s="82"/>
      <c r="AD64" s="8"/>
      <c r="AE64" s="3"/>
      <c r="AG64" s="3"/>
      <c r="AH64" s="3"/>
      <c r="AI64" s="3"/>
      <c r="AJ64" s="3"/>
      <c r="AK64" s="3"/>
      <c r="AL64" s="3"/>
      <c r="AM64" s="3"/>
      <c r="AN64" s="3"/>
      <c r="AO64" s="3"/>
      <c r="AP64" s="3"/>
    </row>
    <row r="65" spans="1:42" ht="15" x14ac:dyDescent="0.25">
      <c r="A65" s="2"/>
      <c r="B65" s="2"/>
      <c r="C65" s="2"/>
      <c r="D65" s="2"/>
      <c r="E65" s="2"/>
      <c r="F65" s="2"/>
      <c r="G65" s="2"/>
      <c r="H65" s="2"/>
      <c r="I65" s="2"/>
      <c r="J65" s="2"/>
      <c r="K65" s="2"/>
      <c r="L65" s="2"/>
      <c r="M65" s="2"/>
      <c r="O65" s="3"/>
      <c r="P65" s="3"/>
      <c r="Q65" s="3"/>
      <c r="R65" s="3"/>
      <c r="S65" s="3"/>
      <c r="T65" s="3"/>
      <c r="U65" s="3"/>
      <c r="V65" s="3"/>
      <c r="X65" s="3"/>
      <c r="Y65" s="3"/>
      <c r="Z65" s="23" t="s">
        <v>194</v>
      </c>
      <c r="AA65" s="3"/>
      <c r="AB65" s="3"/>
      <c r="AC65" s="3"/>
      <c r="AD65" s="3"/>
      <c r="AE65" s="3"/>
      <c r="AG65" s="3"/>
      <c r="AH65" s="3"/>
      <c r="AI65" s="3"/>
      <c r="AJ65" s="3"/>
      <c r="AK65" s="3"/>
      <c r="AL65" s="3"/>
      <c r="AM65" s="3"/>
      <c r="AN65" s="3"/>
      <c r="AO65" s="3"/>
      <c r="AP65" s="3"/>
    </row>
    <row r="66" spans="1:42" ht="15" x14ac:dyDescent="0.25">
      <c r="A66" s="2"/>
      <c r="B66" s="2"/>
      <c r="C66" s="2"/>
      <c r="D66" s="2"/>
      <c r="E66" s="2"/>
      <c r="F66" s="2"/>
      <c r="G66" s="2"/>
      <c r="H66" s="2"/>
      <c r="I66" s="2"/>
      <c r="J66" s="2"/>
      <c r="K66" s="2"/>
      <c r="L66" s="2"/>
      <c r="M66" s="2"/>
      <c r="O66" s="3"/>
      <c r="P66" s="3"/>
      <c r="Q66" s="3"/>
      <c r="R66" s="3"/>
      <c r="S66" s="3"/>
      <c r="T66" s="3"/>
      <c r="U66" s="3"/>
      <c r="V66" s="3"/>
      <c r="X66" s="3"/>
      <c r="Y66" s="3"/>
      <c r="Z66" s="34"/>
      <c r="AA66" s="45">
        <f>R40</f>
        <v>0</v>
      </c>
      <c r="AB66" s="45">
        <f>S40</f>
        <v>5</v>
      </c>
      <c r="AC66" s="45">
        <f>T40</f>
        <v>10</v>
      </c>
      <c r="AD66" s="34"/>
      <c r="AE66" s="3"/>
      <c r="AG66" s="3"/>
      <c r="AH66" s="3"/>
      <c r="AI66" s="3"/>
      <c r="AJ66" s="3"/>
      <c r="AK66" s="3"/>
      <c r="AL66" s="3"/>
      <c r="AM66" s="3"/>
      <c r="AN66" s="3"/>
      <c r="AO66" s="3"/>
      <c r="AP66" s="3"/>
    </row>
    <row r="67" spans="1:42" x14ac:dyDescent="0.2">
      <c r="A67" s="2"/>
      <c r="B67" s="2"/>
      <c r="C67" s="2"/>
      <c r="D67" s="2"/>
      <c r="E67" s="2"/>
      <c r="F67" s="2"/>
      <c r="G67" s="2"/>
      <c r="H67" s="2"/>
      <c r="I67" s="2"/>
      <c r="J67" s="2"/>
      <c r="K67" s="2"/>
      <c r="L67" s="2"/>
      <c r="M67" s="2"/>
      <c r="O67" s="3"/>
      <c r="P67" s="3"/>
      <c r="Q67" s="3"/>
      <c r="R67" s="3"/>
      <c r="S67" s="3"/>
      <c r="T67" s="3"/>
      <c r="U67" s="3"/>
      <c r="V67" s="3"/>
      <c r="X67" s="3"/>
      <c r="Y67" s="3"/>
      <c r="Z67" s="24"/>
      <c r="AA67" s="47" t="s">
        <v>81</v>
      </c>
      <c r="AB67" s="48"/>
      <c r="AC67" s="48"/>
      <c r="AD67" s="24"/>
      <c r="AE67" s="3"/>
      <c r="AG67" s="3"/>
      <c r="AH67" s="3"/>
      <c r="AI67" s="3"/>
      <c r="AJ67" s="3"/>
      <c r="AK67" s="3"/>
      <c r="AL67" s="3"/>
      <c r="AM67" s="3"/>
      <c r="AN67" s="3"/>
      <c r="AO67" s="3"/>
      <c r="AP67" s="3"/>
    </row>
    <row r="68" spans="1:42" ht="15.75" x14ac:dyDescent="0.3">
      <c r="A68" s="2"/>
      <c r="B68" s="2"/>
      <c r="C68" s="2"/>
      <c r="D68" s="2"/>
      <c r="E68" s="2"/>
      <c r="F68" s="2"/>
      <c r="G68" s="2"/>
      <c r="H68" s="2"/>
      <c r="I68" s="2"/>
      <c r="J68" s="2"/>
      <c r="K68" s="2"/>
      <c r="L68" s="2"/>
      <c r="M68" s="2"/>
      <c r="O68" s="3"/>
      <c r="P68" s="3"/>
      <c r="Q68" s="3"/>
      <c r="R68" s="3"/>
      <c r="S68" s="3"/>
      <c r="T68" s="3"/>
      <c r="U68" s="3"/>
      <c r="V68" s="3"/>
      <c r="X68" s="3"/>
      <c r="Y68" s="3"/>
      <c r="Z68" s="29" t="s">
        <v>104</v>
      </c>
      <c r="AA68" s="97">
        <f>AA42/IF(NOT(ISBLANK('Referenz Plattenfertiger'!$I$12)),'Referenz Plattenfertiger'!$I$12,'Referenz Plattenfertiger'!$F$12)</f>
        <v>2.3733088764999999E-3</v>
      </c>
      <c r="AB68" s="97">
        <f>AB42/IF(NOT(ISBLANK('Referenz Plattenfertiger'!$I$12)),'Referenz Plattenfertiger'!$I$12,'Referenz Plattenfertiger'!$F$12)</f>
        <v>2.3367602000499998E-3</v>
      </c>
      <c r="AC68" s="97">
        <f>AC42/IF(NOT(ISBLANK('Referenz Plattenfertiger'!$I$12)),'Referenz Plattenfertiger'!$I$12,'Referenz Plattenfertiger'!$F$12)</f>
        <v>2.3002115235999997E-3</v>
      </c>
      <c r="AD68" s="25" t="s">
        <v>193</v>
      </c>
      <c r="AE68" s="3"/>
      <c r="AG68" s="3"/>
      <c r="AH68" s="3"/>
      <c r="AI68" s="3"/>
      <c r="AJ68" s="3"/>
      <c r="AK68" s="3"/>
      <c r="AL68" s="3"/>
      <c r="AM68" s="3"/>
      <c r="AN68" s="3"/>
      <c r="AO68" s="3"/>
      <c r="AP68" s="3"/>
    </row>
    <row r="69" spans="1:42" ht="15.75" x14ac:dyDescent="0.3">
      <c r="A69" s="2"/>
      <c r="B69" s="2"/>
      <c r="C69" s="2"/>
      <c r="D69" s="2"/>
      <c r="E69" s="2"/>
      <c r="F69" s="2"/>
      <c r="G69" s="2"/>
      <c r="H69" s="2"/>
      <c r="I69" s="2"/>
      <c r="J69" s="2"/>
      <c r="K69" s="2"/>
      <c r="L69" s="2"/>
      <c r="M69" s="2"/>
      <c r="O69" s="3"/>
      <c r="P69" s="3"/>
      <c r="Q69" s="3"/>
      <c r="R69" s="3"/>
      <c r="S69" s="3"/>
      <c r="T69" s="3"/>
      <c r="U69" s="3"/>
      <c r="V69" s="3"/>
      <c r="X69" s="3"/>
      <c r="Y69" s="3"/>
      <c r="Z69" s="8" t="s">
        <v>26</v>
      </c>
      <c r="AA69" s="98">
        <f>AA43/IF(NOT(ISBLANK('Referenz Plattenfertiger'!$I$12)),'Referenz Plattenfertiger'!$I$12,'Referenz Plattenfertiger'!$F$12)</f>
        <v>4.2975000000000001E-3</v>
      </c>
      <c r="AB69" s="98">
        <f>AB43/IF(NOT(ISBLANK('Referenz Plattenfertiger'!$I$12)),'Referenz Plattenfertiger'!$I$12,'Referenz Plattenfertiger'!$F$12)</f>
        <v>3.122311177217835E-3</v>
      </c>
      <c r="AC69" s="98">
        <f>AC43/IF(NOT(ISBLANK('Referenz Plattenfertiger'!$I$12)),'Referenz Plattenfertiger'!$I$12,'Referenz Plattenfertiger'!$F$12)</f>
        <v>1.5388138711527638E-3</v>
      </c>
      <c r="AD69" s="3" t="s">
        <v>193</v>
      </c>
      <c r="AE69" s="3"/>
      <c r="AG69" s="3"/>
      <c r="AH69" s="3"/>
      <c r="AI69" s="3"/>
      <c r="AJ69" s="3"/>
      <c r="AK69" s="3"/>
      <c r="AL69" s="3"/>
      <c r="AM69" s="3"/>
      <c r="AN69" s="3"/>
      <c r="AO69" s="3"/>
      <c r="AP69" s="3"/>
    </row>
    <row r="70" spans="1:42" ht="15.75" x14ac:dyDescent="0.3">
      <c r="A70" s="2"/>
      <c r="B70" s="2"/>
      <c r="C70" s="2"/>
      <c r="D70" s="2"/>
      <c r="E70" s="2"/>
      <c r="F70" s="2"/>
      <c r="G70" s="2"/>
      <c r="H70" s="2"/>
      <c r="I70" s="2"/>
      <c r="J70" s="2"/>
      <c r="K70" s="2"/>
      <c r="L70" s="2"/>
      <c r="M70" s="2"/>
      <c r="O70" s="3"/>
      <c r="P70" s="3"/>
      <c r="Q70" s="3"/>
      <c r="R70" s="3"/>
      <c r="S70" s="3"/>
      <c r="T70" s="3"/>
      <c r="U70" s="3"/>
      <c r="V70" s="3"/>
      <c r="X70" s="3"/>
      <c r="Y70" s="3"/>
      <c r="Z70" s="29" t="s">
        <v>27</v>
      </c>
      <c r="AA70" s="97">
        <f>AA44/IF(NOT(ISBLANK('Referenz Plattenfertiger'!$I$12)),'Referenz Plattenfertiger'!$I$12,'Referenz Plattenfertiger'!$F$12)</f>
        <v>0.14578824057023795</v>
      </c>
      <c r="AB70" s="97">
        <f>AB44/IF(NOT(ISBLANK('Referenz Plattenfertiger'!$I$12)),'Referenz Plattenfertiger'!$I$12,'Referenz Plattenfertiger'!$F$12)</f>
        <v>0.14360152825106073</v>
      </c>
      <c r="AC70" s="97">
        <f>AC44/IF(NOT(ISBLANK('Referenz Plattenfertiger'!$I$12)),'Referenz Plattenfertiger'!$I$12,'Referenz Plattenfertiger'!$F$12)</f>
        <v>0.14336293519087867</v>
      </c>
      <c r="AD70" s="25" t="s">
        <v>193</v>
      </c>
      <c r="AE70" s="3"/>
      <c r="AG70" s="3"/>
      <c r="AH70" s="3"/>
      <c r="AI70" s="3"/>
      <c r="AJ70" s="3"/>
      <c r="AK70" s="3"/>
      <c r="AL70" s="3"/>
      <c r="AM70" s="3"/>
      <c r="AN70" s="3"/>
      <c r="AO70" s="3"/>
      <c r="AP70" s="3"/>
    </row>
    <row r="71" spans="1:42" ht="15" thickBot="1" x14ac:dyDescent="0.3">
      <c r="A71" s="2"/>
      <c r="B71" s="2"/>
      <c r="C71" s="2"/>
      <c r="D71" s="2"/>
      <c r="E71" s="2"/>
      <c r="F71" s="2"/>
      <c r="G71" s="2"/>
      <c r="H71" s="2"/>
      <c r="I71" s="2"/>
      <c r="J71" s="2"/>
      <c r="K71" s="2"/>
      <c r="L71" s="2"/>
      <c r="M71" s="2"/>
      <c r="O71" s="3"/>
      <c r="P71" s="3"/>
      <c r="Q71" s="3"/>
      <c r="R71" s="3"/>
      <c r="S71" s="3"/>
      <c r="T71" s="3"/>
      <c r="U71" s="3"/>
      <c r="V71" s="3"/>
      <c r="X71" s="3"/>
      <c r="Y71" s="3"/>
      <c r="Z71" s="27" t="s">
        <v>67</v>
      </c>
      <c r="AA71" s="99">
        <f>AA45/IF(NOT(ISBLANK('Referenz Plattenfertiger'!$I$12)),'Referenz Plattenfertiger'!$I$12,'Referenz Plattenfertiger'!$F$12)</f>
        <v>0.15245904944673794</v>
      </c>
      <c r="AB71" s="99">
        <f>AB45/IF(NOT(ISBLANK('Referenz Plattenfertiger'!$I$12)),'Referenz Plattenfertiger'!$I$12,'Referenz Plattenfertiger'!$F$12)</f>
        <v>0.14906059962832857</v>
      </c>
      <c r="AC71" s="99">
        <f>AC45/IF(NOT(ISBLANK('Referenz Plattenfertiger'!$I$12)),'Referenz Plattenfertiger'!$I$12,'Referenz Plattenfertiger'!$F$12)</f>
        <v>0.14720196058563143</v>
      </c>
      <c r="AD71" s="27" t="s">
        <v>195</v>
      </c>
      <c r="AE71" s="3"/>
      <c r="AG71" s="3"/>
      <c r="AH71" s="3"/>
      <c r="AI71" s="3"/>
      <c r="AJ71" s="3"/>
      <c r="AK71" s="3"/>
      <c r="AL71" s="3"/>
      <c r="AM71" s="3"/>
      <c r="AN71" s="3"/>
      <c r="AO71" s="3"/>
      <c r="AP71" s="3"/>
    </row>
    <row r="72" spans="1:42" ht="13.5" thickTop="1" x14ac:dyDescent="0.2">
      <c r="A72" s="2"/>
      <c r="B72" s="2"/>
      <c r="C72" s="2"/>
      <c r="D72" s="2"/>
      <c r="E72" s="2"/>
      <c r="F72" s="2"/>
      <c r="G72" s="2"/>
      <c r="H72" s="2"/>
      <c r="I72" s="2"/>
      <c r="J72" s="2"/>
      <c r="K72" s="2"/>
      <c r="L72" s="2"/>
      <c r="M72" s="2"/>
      <c r="O72" s="3"/>
      <c r="P72" s="3"/>
      <c r="Q72" s="3"/>
      <c r="R72" s="3"/>
      <c r="S72" s="3"/>
      <c r="T72" s="3"/>
      <c r="U72" s="3"/>
      <c r="V72" s="3"/>
      <c r="X72" s="3"/>
      <c r="Y72" s="3"/>
      <c r="Z72" s="3"/>
      <c r="AA72" s="3"/>
      <c r="AB72" s="3"/>
      <c r="AC72" s="3"/>
      <c r="AD72" s="3"/>
      <c r="AE72" s="3"/>
      <c r="AG72" s="3"/>
      <c r="AH72" s="3"/>
      <c r="AI72" s="3"/>
      <c r="AJ72" s="3"/>
      <c r="AK72" s="3"/>
      <c r="AL72" s="3"/>
      <c r="AM72" s="3"/>
      <c r="AN72" s="3"/>
      <c r="AO72" s="3"/>
      <c r="AP72" s="3"/>
    </row>
    <row r="73" spans="1:42" x14ac:dyDescent="0.2">
      <c r="A73" s="2"/>
      <c r="B73" s="2"/>
      <c r="C73" s="2"/>
      <c r="D73" s="2"/>
      <c r="E73" s="2"/>
      <c r="F73" s="2"/>
      <c r="G73" s="2"/>
      <c r="H73" s="2"/>
      <c r="I73" s="2"/>
      <c r="J73" s="2"/>
      <c r="K73" s="2"/>
      <c r="L73" s="2"/>
      <c r="M73" s="2"/>
      <c r="O73" s="3"/>
      <c r="P73" s="3"/>
      <c r="Q73" s="3"/>
      <c r="R73" s="3"/>
      <c r="S73" s="3"/>
      <c r="T73" s="3"/>
      <c r="U73" s="3"/>
      <c r="V73" s="3"/>
      <c r="X73" s="3"/>
      <c r="Y73" s="3"/>
      <c r="Z73" s="3"/>
      <c r="AA73" s="3"/>
      <c r="AB73" s="3"/>
      <c r="AC73" s="3"/>
      <c r="AD73" s="3"/>
      <c r="AE73" s="3"/>
      <c r="AG73" s="3"/>
      <c r="AH73" s="3"/>
      <c r="AI73" s="3"/>
      <c r="AJ73" s="3"/>
      <c r="AK73" s="3"/>
      <c r="AL73" s="3"/>
      <c r="AM73" s="3"/>
      <c r="AN73" s="3"/>
      <c r="AO73" s="3"/>
      <c r="AP73" s="3"/>
    </row>
    <row r="74" spans="1:42" x14ac:dyDescent="0.2">
      <c r="A74" s="2"/>
      <c r="B74" s="2"/>
      <c r="C74" s="2"/>
      <c r="D74" s="2"/>
      <c r="E74" s="2"/>
      <c r="F74" s="2"/>
      <c r="G74" s="2"/>
      <c r="H74" s="2"/>
      <c r="I74" s="2"/>
      <c r="J74" s="2"/>
      <c r="K74" s="2"/>
      <c r="L74" s="2"/>
      <c r="M74" s="2"/>
      <c r="O74" s="3"/>
      <c r="P74" s="3"/>
      <c r="Q74" s="3"/>
      <c r="R74" s="3"/>
      <c r="S74" s="3"/>
      <c r="T74" s="3"/>
      <c r="U74" s="3"/>
      <c r="V74" s="3"/>
      <c r="X74" s="3"/>
      <c r="Y74" s="3"/>
      <c r="Z74" s="3"/>
      <c r="AA74" s="3"/>
      <c r="AB74" s="3"/>
      <c r="AC74" s="3"/>
      <c r="AD74" s="3"/>
      <c r="AE74" s="3"/>
      <c r="AG74" s="3"/>
      <c r="AH74" s="3"/>
      <c r="AI74" s="3"/>
      <c r="AJ74" s="3"/>
      <c r="AK74" s="3"/>
      <c r="AL74" s="3"/>
      <c r="AM74" s="3"/>
      <c r="AN74" s="3"/>
      <c r="AO74" s="3"/>
      <c r="AP74" s="3"/>
    </row>
    <row r="75" spans="1:42" ht="15" customHeight="1" x14ac:dyDescent="0.2"/>
    <row r="76" spans="1:42" x14ac:dyDescent="0.2">
      <c r="B76" s="6" t="str">
        <f>IF(AND($F$16&gt;0,J16&lt;F16),"Bitte den Handeingabewert 'Reduktion' für 'Bilanzjahr +10 Jahre' auch anpassen. Dieser muss dem Werte Ihrer Handeingabe  'Bilanzjahr + 5 Jahre' entsprechen, sollte nur eine Maßnahme im  'Bilanzjahr + 5 Jahre' umgesetzt werden.","")</f>
        <v/>
      </c>
    </row>
    <row r="77" spans="1:42" hidden="1" outlineLevel="1" x14ac:dyDescent="0.2">
      <c r="O77" s="3"/>
      <c r="P77" s="3"/>
      <c r="Q77" s="3"/>
      <c r="R77" s="3"/>
      <c r="S77" s="3"/>
      <c r="T77" s="3"/>
      <c r="U77" s="3"/>
      <c r="V77" s="3"/>
      <c r="X77" s="3"/>
      <c r="Y77" s="3"/>
      <c r="Z77" s="3"/>
      <c r="AA77" s="3"/>
      <c r="AB77" s="3"/>
      <c r="AC77" s="3"/>
      <c r="AD77" s="3"/>
      <c r="AE77" s="3"/>
      <c r="AG77" s="3"/>
      <c r="AH77" s="3"/>
      <c r="AI77" s="3"/>
      <c r="AJ77" s="3"/>
      <c r="AK77" s="3"/>
      <c r="AL77" s="3"/>
      <c r="AM77" s="3"/>
      <c r="AN77" s="3"/>
    </row>
    <row r="78" spans="1:42" ht="15" hidden="1" customHeight="1" outlineLevel="1" x14ac:dyDescent="0.25">
      <c r="B78" s="6"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O78" s="3"/>
      <c r="P78" s="3"/>
      <c r="Q78" s="61" t="s">
        <v>130</v>
      </c>
      <c r="R78" s="3"/>
      <c r="S78" s="3"/>
      <c r="T78" s="3"/>
      <c r="U78" s="3"/>
      <c r="V78" s="3"/>
      <c r="X78" s="3"/>
      <c r="Y78" s="3"/>
      <c r="Z78" s="61" t="s">
        <v>130</v>
      </c>
      <c r="AA78" s="3"/>
      <c r="AB78" s="3"/>
      <c r="AC78" s="3"/>
      <c r="AD78" s="3"/>
      <c r="AE78" s="3"/>
      <c r="AG78" s="3"/>
      <c r="AH78" s="61" t="s">
        <v>130</v>
      </c>
      <c r="AI78" s="24"/>
      <c r="AJ78" s="24"/>
      <c r="AK78" s="24"/>
      <c r="AL78" s="24"/>
      <c r="AM78" s="3"/>
      <c r="AN78" s="3"/>
    </row>
    <row r="79" spans="1:42" ht="15" hidden="1" customHeight="1" outlineLevel="1" x14ac:dyDescent="0.25">
      <c r="B79"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79" s="3"/>
      <c r="P79" s="3"/>
      <c r="Q79" s="35" t="s">
        <v>102</v>
      </c>
      <c r="R79" s="35">
        <f>R40</f>
        <v>0</v>
      </c>
      <c r="S79" s="35">
        <f t="shared" ref="S79:T79" si="5">S40</f>
        <v>5</v>
      </c>
      <c r="T79" s="35">
        <f t="shared" si="5"/>
        <v>10</v>
      </c>
      <c r="U79" s="34"/>
      <c r="V79" s="3"/>
      <c r="X79" s="3"/>
      <c r="Y79" s="3"/>
      <c r="Z79" s="35" t="s">
        <v>239</v>
      </c>
      <c r="AA79" s="35" t="s">
        <v>475</v>
      </c>
      <c r="AB79" s="35" t="s">
        <v>474</v>
      </c>
      <c r="AC79" s="35" t="s">
        <v>474</v>
      </c>
      <c r="AD79" s="34"/>
      <c r="AE79" s="3"/>
      <c r="AG79" s="3"/>
      <c r="AH79" s="3"/>
      <c r="AI79" s="45" t="s">
        <v>185</v>
      </c>
      <c r="AJ79" s="46">
        <f>R79</f>
        <v>0</v>
      </c>
      <c r="AK79" s="46">
        <f t="shared" ref="AK79:AL79" si="6">S79</f>
        <v>5</v>
      </c>
      <c r="AL79" s="46">
        <f t="shared" si="6"/>
        <v>10</v>
      </c>
      <c r="AM79" s="3"/>
      <c r="AN79" s="3"/>
    </row>
    <row r="80" spans="1:42" hidden="1" outlineLevel="1" x14ac:dyDescent="0.2">
      <c r="O80" s="3"/>
      <c r="P80" s="3"/>
      <c r="Q80" s="24"/>
      <c r="R80" s="59" t="s">
        <v>81</v>
      </c>
      <c r="S80" s="58"/>
      <c r="T80" s="58"/>
      <c r="U80" s="24"/>
      <c r="V80" s="3"/>
      <c r="X80" s="3"/>
      <c r="Y80" s="3"/>
      <c r="Z80" s="24"/>
      <c r="AA80" s="59" t="s">
        <v>81</v>
      </c>
      <c r="AB80" s="58" t="s">
        <v>475</v>
      </c>
      <c r="AC80" s="58" t="s">
        <v>474</v>
      </c>
      <c r="AD80" s="24"/>
      <c r="AE80" s="3"/>
      <c r="AG80" s="3"/>
      <c r="AH80" s="3"/>
      <c r="AI80" s="24"/>
      <c r="AJ80" s="49"/>
      <c r="AK80" s="49"/>
      <c r="AL80" s="58"/>
      <c r="AM80" s="3"/>
      <c r="AN80" s="3"/>
    </row>
    <row r="81" spans="15:40" ht="15.75" hidden="1" outlineLevel="1" x14ac:dyDescent="0.3">
      <c r="O81" s="3"/>
      <c r="P81" s="3"/>
      <c r="Q81" s="3" t="str">
        <f t="shared" ref="Q81:Q87" si="7">IF($V81,Q42,"")</f>
        <v>Erdgas</v>
      </c>
      <c r="R81" s="10">
        <f t="shared" ref="R81:T87" si="8">IF($V81,R42,NA())</f>
        <v>43.0426</v>
      </c>
      <c r="S81" s="10">
        <f t="shared" si="8"/>
        <v>43.0426</v>
      </c>
      <c r="T81" s="10">
        <f t="shared" si="8"/>
        <v>43.0426</v>
      </c>
      <c r="U81" s="3" t="s">
        <v>148</v>
      </c>
      <c r="V81" s="374" t="b">
        <v>1</v>
      </c>
      <c r="X81" s="3"/>
      <c r="Y81" s="3"/>
      <c r="Z81" s="3" t="str">
        <f t="shared" ref="Z81:Z91" si="9">IF($AE81,Z51,"")</f>
        <v>Energieträger gesamt</v>
      </c>
      <c r="AA81" s="9">
        <f>IF($AE81,AA51,NA())</f>
        <v>41.281733459999998</v>
      </c>
      <c r="AB81" s="9">
        <f>IF($AE81,AB51,NA())</f>
        <v>34.132280692910868</v>
      </c>
      <c r="AC81" s="9">
        <f t="shared" ref="AC81" si="10">IF($AE81,AC51,NA())</f>
        <v>24.588558285628775</v>
      </c>
      <c r="AD81" s="3" t="s">
        <v>148</v>
      </c>
      <c r="AE81" s="374" t="b">
        <v>1</v>
      </c>
      <c r="AG81" s="3"/>
      <c r="AH81" s="3"/>
      <c r="AI81" s="56" t="s">
        <v>144</v>
      </c>
      <c r="AJ81" s="57">
        <f>SUM(AJ82:AJ88)</f>
        <v>109669</v>
      </c>
      <c r="AK81" s="57">
        <f t="shared" ref="AK81:AL81" si="11">SUM(AK82:AK88)</f>
        <v>109050.8</v>
      </c>
      <c r="AL81" s="57">
        <f t="shared" si="11"/>
        <v>108432.6</v>
      </c>
      <c r="AM81" s="3"/>
      <c r="AN81" s="3"/>
    </row>
    <row r="82" spans="15:40" ht="15.75" hidden="1" outlineLevel="1" x14ac:dyDescent="0.3">
      <c r="O82" s="3"/>
      <c r="P82" s="3"/>
      <c r="Q82" s="3" t="str">
        <f t="shared" si="7"/>
        <v>Heizöl</v>
      </c>
      <c r="R82" s="10">
        <f t="shared" si="8"/>
        <v>16.005600000000001</v>
      </c>
      <c r="S82" s="10">
        <f t="shared" si="8"/>
        <v>16.005600000000001</v>
      </c>
      <c r="T82" s="10">
        <f t="shared" si="8"/>
        <v>16.005600000000001</v>
      </c>
      <c r="U82" s="3" t="s">
        <v>148</v>
      </c>
      <c r="V82" s="374" t="b">
        <v>1</v>
      </c>
      <c r="X82" s="3"/>
      <c r="Y82" s="3"/>
      <c r="Z82" s="3" t="str">
        <f t="shared" si="9"/>
        <v>Transport gesamt</v>
      </c>
      <c r="AA82" s="9">
        <f t="shared" ref="AA82:AC91" si="12">IF($AE82,AA52,NA())</f>
        <v>469.15642799999995</v>
      </c>
      <c r="AB82" s="9">
        <f t="shared" si="12"/>
        <v>469.15642799999995</v>
      </c>
      <c r="AC82" s="9">
        <f t="shared" si="12"/>
        <v>469.15642799999995</v>
      </c>
      <c r="AD82" s="3" t="s">
        <v>148</v>
      </c>
      <c r="AE82" s="374" t="b">
        <v>1</v>
      </c>
      <c r="AG82" s="3"/>
      <c r="AH82" s="3"/>
      <c r="AI82" s="31" t="s">
        <v>29</v>
      </c>
      <c r="AJ82" s="51">
        <f>AJ43</f>
        <v>14335</v>
      </c>
      <c r="AK82" s="51">
        <f t="shared" ref="AK82:AL82" si="13">AK43</f>
        <v>14335</v>
      </c>
      <c r="AL82" s="51">
        <f t="shared" si="13"/>
        <v>14335</v>
      </c>
      <c r="AM82" s="3"/>
      <c r="AN82" s="3"/>
    </row>
    <row r="83" spans="15:40" ht="15.75" hidden="1" outlineLevel="1" x14ac:dyDescent="0.3">
      <c r="O83" s="3"/>
      <c r="P83" s="3"/>
      <c r="Q83" s="3" t="str">
        <f t="shared" si="7"/>
        <v>Strom</v>
      </c>
      <c r="R83" s="10">
        <f t="shared" si="8"/>
        <v>171.9</v>
      </c>
      <c r="S83" s="10">
        <f t="shared" si="8"/>
        <v>124.8924470887134</v>
      </c>
      <c r="T83" s="10">
        <f t="shared" si="8"/>
        <v>61.552554846110553</v>
      </c>
      <c r="U83" s="3" t="s">
        <v>148</v>
      </c>
      <c r="V83" s="374" t="b">
        <v>1</v>
      </c>
      <c r="X83" s="3"/>
      <c r="Y83" s="3"/>
      <c r="Z83" s="3" t="str">
        <f t="shared" si="9"/>
        <v>Zement</v>
      </c>
      <c r="AA83" s="9">
        <f t="shared" si="12"/>
        <v>4548.5439999999999</v>
      </c>
      <c r="AB83" s="9">
        <f t="shared" si="12"/>
        <v>4548.5439999999999</v>
      </c>
      <c r="AC83" s="9">
        <f t="shared" si="12"/>
        <v>4548.5439999999999</v>
      </c>
      <c r="AD83" s="3" t="s">
        <v>148</v>
      </c>
      <c r="AE83" s="374" t="b">
        <v>1</v>
      </c>
      <c r="AG83" s="3"/>
      <c r="AH83" s="3"/>
      <c r="AI83" s="31" t="s">
        <v>30</v>
      </c>
      <c r="AJ83" s="51">
        <f t="shared" ref="AJ83:AL88" si="14">AJ44</f>
        <v>2760</v>
      </c>
      <c r="AK83" s="51">
        <f t="shared" si="14"/>
        <v>2760</v>
      </c>
      <c r="AL83" s="51">
        <f t="shared" si="14"/>
        <v>2760</v>
      </c>
      <c r="AM83" s="3"/>
      <c r="AN83" s="3"/>
    </row>
    <row r="84" spans="15:40" ht="15.75" hidden="1" outlineLevel="1" x14ac:dyDescent="0.3">
      <c r="O84" s="3"/>
      <c r="P84" s="3"/>
      <c r="Q84" s="3" t="str">
        <f t="shared" si="7"/>
        <v>Alternativer Energieträger Härtekammer</v>
      </c>
      <c r="R84" s="10">
        <f t="shared" si="8"/>
        <v>0</v>
      </c>
      <c r="S84" s="10">
        <f t="shared" si="8"/>
        <v>0</v>
      </c>
      <c r="T84" s="10">
        <f t="shared" si="8"/>
        <v>0</v>
      </c>
      <c r="U84" s="3" t="s">
        <v>148</v>
      </c>
      <c r="V84" s="374" t="b">
        <v>1</v>
      </c>
      <c r="X84" s="3"/>
      <c r="Y84" s="3"/>
      <c r="Z84" s="3" t="str">
        <f t="shared" si="9"/>
        <v>Gesteinskörnungen (Zuschlagsstoffe)</v>
      </c>
      <c r="AA84" s="9">
        <f t="shared" si="12"/>
        <v>129.59200000000001</v>
      </c>
      <c r="AB84" s="9">
        <f t="shared" si="12"/>
        <v>129.59200000000001</v>
      </c>
      <c r="AC84" s="9">
        <f t="shared" si="12"/>
        <v>129.59200000000001</v>
      </c>
      <c r="AD84" s="3" t="s">
        <v>148</v>
      </c>
      <c r="AE84" s="374" t="b">
        <v>1</v>
      </c>
      <c r="AG84" s="3"/>
      <c r="AH84" s="3"/>
      <c r="AI84" s="31" t="s">
        <v>31</v>
      </c>
      <c r="AJ84" s="51">
        <f t="shared" si="14"/>
        <v>77400</v>
      </c>
      <c r="AK84" s="51">
        <f t="shared" si="14"/>
        <v>77400</v>
      </c>
      <c r="AL84" s="51">
        <f t="shared" si="14"/>
        <v>77400</v>
      </c>
      <c r="AM84" s="3"/>
      <c r="AN84" s="3"/>
    </row>
    <row r="85" spans="15:40" ht="15.75" hidden="1" outlineLevel="1" x14ac:dyDescent="0.3">
      <c r="O85" s="3"/>
      <c r="P85" s="3"/>
      <c r="Q85" s="3" t="str">
        <f t="shared" si="7"/>
        <v>Flüssiggas</v>
      </c>
      <c r="R85" s="10">
        <f t="shared" si="8"/>
        <v>0</v>
      </c>
      <c r="S85" s="10">
        <f t="shared" si="8"/>
        <v>0</v>
      </c>
      <c r="T85" s="10">
        <f t="shared" si="8"/>
        <v>0</v>
      </c>
      <c r="U85" s="3" t="s">
        <v>148</v>
      </c>
      <c r="V85" s="374" t="b">
        <v>1</v>
      </c>
      <c r="X85" s="3"/>
      <c r="Y85" s="3"/>
      <c r="Z85" s="3" t="str">
        <f t="shared" si="9"/>
        <v>Farben</v>
      </c>
      <c r="AA85" s="9">
        <f t="shared" si="12"/>
        <v>208</v>
      </c>
      <c r="AB85" s="9">
        <f t="shared" si="12"/>
        <v>208</v>
      </c>
      <c r="AC85" s="9">
        <f t="shared" si="12"/>
        <v>208</v>
      </c>
      <c r="AD85" s="3" t="s">
        <v>148</v>
      </c>
      <c r="AE85" s="374" t="b">
        <v>1</v>
      </c>
      <c r="AG85" s="3"/>
      <c r="AH85" s="3"/>
      <c r="AI85" s="31" t="s">
        <v>111</v>
      </c>
      <c r="AJ85" s="51">
        <f t="shared" si="14"/>
        <v>0</v>
      </c>
      <c r="AK85" s="51">
        <f t="shared" si="14"/>
        <v>0</v>
      </c>
      <c r="AL85" s="51">
        <f t="shared" si="14"/>
        <v>0</v>
      </c>
      <c r="AM85" s="3"/>
      <c r="AN85" s="3"/>
    </row>
    <row r="86" spans="15:40" ht="15.75" hidden="1" outlineLevel="1" x14ac:dyDescent="0.3">
      <c r="O86" s="3"/>
      <c r="P86" s="3"/>
      <c r="Q86" s="3" t="str">
        <f t="shared" si="7"/>
        <v>Alternativer Energieträger restliches Werk</v>
      </c>
      <c r="R86" s="10">
        <f t="shared" si="8"/>
        <v>0</v>
      </c>
      <c r="S86" s="10">
        <f t="shared" si="8"/>
        <v>0</v>
      </c>
      <c r="T86" s="10">
        <f t="shared" si="8"/>
        <v>0</v>
      </c>
      <c r="U86" s="3" t="s">
        <v>148</v>
      </c>
      <c r="V86" s="374" t="b">
        <v>1</v>
      </c>
      <c r="X86" s="3"/>
      <c r="Y86" s="3"/>
      <c r="Z86" s="3" t="str">
        <f t="shared" si="9"/>
        <v>Zusatzstoffe (Füllstoffe)</v>
      </c>
      <c r="AA86" s="9">
        <f t="shared" si="12"/>
        <v>81.003999999999991</v>
      </c>
      <c r="AB86" s="9">
        <f t="shared" si="12"/>
        <v>81.003999999999991</v>
      </c>
      <c r="AC86" s="9">
        <f t="shared" si="12"/>
        <v>81.003999999999991</v>
      </c>
      <c r="AD86" s="3" t="s">
        <v>148</v>
      </c>
      <c r="AE86" s="374" t="b">
        <v>1</v>
      </c>
      <c r="AG86" s="3"/>
      <c r="AH86" s="3"/>
      <c r="AI86" s="31" t="s">
        <v>112</v>
      </c>
      <c r="AJ86" s="51">
        <f t="shared" si="14"/>
        <v>0</v>
      </c>
      <c r="AK86" s="51">
        <f t="shared" si="14"/>
        <v>0</v>
      </c>
      <c r="AL86" s="51">
        <f t="shared" si="14"/>
        <v>0</v>
      </c>
      <c r="AM86" s="3"/>
      <c r="AN86" s="3"/>
    </row>
    <row r="87" spans="15:40" ht="15.75" hidden="1" outlineLevel="1" x14ac:dyDescent="0.3">
      <c r="O87" s="3"/>
      <c r="P87" s="3"/>
      <c r="Q87" s="3" t="str">
        <f t="shared" si="7"/>
        <v>Diesel</v>
      </c>
      <c r="R87" s="10">
        <f t="shared" si="8"/>
        <v>35.884155059999998</v>
      </c>
      <c r="S87" s="10">
        <f t="shared" si="8"/>
        <v>34.422208001999998</v>
      </c>
      <c r="T87" s="10">
        <f>IF($V87,T48,NA())</f>
        <v>32.960260943999998</v>
      </c>
      <c r="U87" s="3" t="s">
        <v>148</v>
      </c>
      <c r="V87" s="374" t="b">
        <v>1</v>
      </c>
      <c r="X87" s="3"/>
      <c r="Y87" s="3"/>
      <c r="Z87" s="3" t="str">
        <f t="shared" si="9"/>
        <v>Zusatzmittel</v>
      </c>
      <c r="AA87" s="9">
        <f t="shared" si="12"/>
        <v>148.44746134951595</v>
      </c>
      <c r="AB87" s="9">
        <f t="shared" si="12"/>
        <v>148.44746134951595</v>
      </c>
      <c r="AC87" s="9">
        <f t="shared" si="12"/>
        <v>148.44746134951595</v>
      </c>
      <c r="AD87" s="3" t="s">
        <v>148</v>
      </c>
      <c r="AE87" s="374" t="b">
        <v>1</v>
      </c>
      <c r="AG87" s="3"/>
      <c r="AH87" s="3"/>
      <c r="AI87" s="31" t="s">
        <v>113</v>
      </c>
      <c r="AJ87" s="51">
        <f t="shared" si="14"/>
        <v>0</v>
      </c>
      <c r="AK87" s="51">
        <f t="shared" si="14"/>
        <v>0</v>
      </c>
      <c r="AL87" s="51">
        <f t="shared" si="14"/>
        <v>0</v>
      </c>
      <c r="AM87" s="3"/>
      <c r="AN87" s="3"/>
    </row>
    <row r="88" spans="15:40" ht="16.5" hidden="1" outlineLevel="1" thickBot="1" x14ac:dyDescent="0.35">
      <c r="O88" s="3"/>
      <c r="P88" s="3"/>
      <c r="Q88" s="27" t="s">
        <v>67</v>
      </c>
      <c r="R88" s="33">
        <f>SUMIF($V$81:$V$87,TRUE,R81:R87)</f>
        <v>266.83235506</v>
      </c>
      <c r="S88" s="33">
        <f>SUMIF($V$81:$V$87,TRUE,S81:S87)</f>
        <v>218.3628550907134</v>
      </c>
      <c r="T88" s="33">
        <f>SUMIF($V$81:$V$87,TRUE,T81:T87)</f>
        <v>153.56101579011056</v>
      </c>
      <c r="U88" s="27" t="s">
        <v>149</v>
      </c>
      <c r="V88" s="3"/>
      <c r="X88" s="3"/>
      <c r="Y88" s="3"/>
      <c r="Z88" s="3" t="str">
        <f t="shared" si="9"/>
        <v/>
      </c>
      <c r="AA88" s="9" t="e">
        <f t="shared" si="12"/>
        <v>#N/A</v>
      </c>
      <c r="AB88" s="9" t="e">
        <f t="shared" si="12"/>
        <v>#N/A</v>
      </c>
      <c r="AC88" s="9" t="e">
        <f t="shared" si="12"/>
        <v>#N/A</v>
      </c>
      <c r="AD88" s="3" t="s">
        <v>148</v>
      </c>
      <c r="AE88" s="374" t="b">
        <v>0</v>
      </c>
      <c r="AG88" s="3"/>
      <c r="AH88" s="3"/>
      <c r="AI88" s="50" t="s">
        <v>32</v>
      </c>
      <c r="AJ88" s="52">
        <f t="shared" si="14"/>
        <v>15174.000000000002</v>
      </c>
      <c r="AK88" s="53">
        <f t="shared" si="14"/>
        <v>14555.800000000001</v>
      </c>
      <c r="AL88" s="53">
        <f t="shared" si="14"/>
        <v>13937.6</v>
      </c>
      <c r="AM88" s="3"/>
      <c r="AN88" s="3"/>
    </row>
    <row r="89" spans="15:40" ht="16.5" hidden="1" outlineLevel="1" thickTop="1" x14ac:dyDescent="0.3">
      <c r="O89" s="3"/>
      <c r="P89" s="3"/>
      <c r="Q89" s="3"/>
      <c r="R89" s="3"/>
      <c r="S89" s="3"/>
      <c r="T89" s="3"/>
      <c r="U89" s="3"/>
      <c r="V89" s="3"/>
      <c r="X89" s="3"/>
      <c r="Y89" s="3"/>
      <c r="Z89" s="3" t="str">
        <f t="shared" si="9"/>
        <v/>
      </c>
      <c r="AA89" s="9" t="e">
        <f t="shared" si="12"/>
        <v>#N/A</v>
      </c>
      <c r="AB89" s="9" t="e">
        <f t="shared" si="12"/>
        <v>#N/A</v>
      </c>
      <c r="AC89" s="9" t="e">
        <f t="shared" si="12"/>
        <v>#N/A</v>
      </c>
      <c r="AD89" s="3" t="s">
        <v>148</v>
      </c>
      <c r="AE89" s="374" t="b">
        <v>0</v>
      </c>
      <c r="AG89" s="3"/>
      <c r="AH89" s="3"/>
      <c r="AI89" s="8" t="str">
        <f>IF(AM89,"CAPEX","")</f>
        <v>CAPEX</v>
      </c>
      <c r="AJ89" s="54">
        <f>IF($AM89,AJ50,NA())</f>
        <v>0</v>
      </c>
      <c r="AK89" s="54">
        <f t="shared" ref="AK89:AL91" si="15">IF($AM89,AK50,NA())</f>
        <v>28800</v>
      </c>
      <c r="AL89" s="54">
        <f t="shared" si="15"/>
        <v>57600</v>
      </c>
      <c r="AM89" s="374" t="b">
        <v>1</v>
      </c>
      <c r="AN89" s="3"/>
    </row>
    <row r="90" spans="15:40" ht="15.75" hidden="1" outlineLevel="1" x14ac:dyDescent="0.3">
      <c r="O90" s="3"/>
      <c r="P90" s="3"/>
      <c r="Q90" s="3"/>
      <c r="R90" s="3"/>
      <c r="S90" s="3"/>
      <c r="T90" s="3"/>
      <c r="U90" s="3"/>
      <c r="V90" s="3"/>
      <c r="X90" s="3"/>
      <c r="Y90" s="3"/>
      <c r="Z90" s="3" t="str">
        <f t="shared" si="9"/>
        <v/>
      </c>
      <c r="AA90" s="9" t="e">
        <f t="shared" si="12"/>
        <v>#N/A</v>
      </c>
      <c r="AB90" s="9" t="e">
        <f t="shared" si="12"/>
        <v>#N/A</v>
      </c>
      <c r="AC90" s="9" t="e">
        <f t="shared" si="12"/>
        <v>#N/A</v>
      </c>
      <c r="AD90" s="3" t="s">
        <v>148</v>
      </c>
      <c r="AE90" s="374" t="b">
        <v>0</v>
      </c>
      <c r="AG90" s="3"/>
      <c r="AH90" s="3"/>
      <c r="AI90" s="8" t="str">
        <f>IF(AM90,"Zusätzliche jährliche Kosten","")</f>
        <v>Zusätzliche jährliche Kosten</v>
      </c>
      <c r="AJ90" s="54">
        <f>IF($AM90,AJ51,NA())</f>
        <v>0</v>
      </c>
      <c r="AK90" s="54">
        <f t="shared" si="15"/>
        <v>0</v>
      </c>
      <c r="AL90" s="54">
        <f t="shared" si="15"/>
        <v>0</v>
      </c>
      <c r="AM90" s="374" t="b">
        <v>1</v>
      </c>
      <c r="AN90" s="3"/>
    </row>
    <row r="91" spans="15:40" ht="15.75" hidden="1" outlineLevel="1" x14ac:dyDescent="0.3">
      <c r="O91" s="3"/>
      <c r="P91" s="3"/>
      <c r="Q91" s="3"/>
      <c r="R91" s="3"/>
      <c r="S91" s="3"/>
      <c r="T91" s="3"/>
      <c r="U91" s="3"/>
      <c r="V91" s="3"/>
      <c r="X91" s="3"/>
      <c r="Y91" s="3"/>
      <c r="Z91" s="3" t="str">
        <f t="shared" si="9"/>
        <v>Verpackungsmaterial</v>
      </c>
      <c r="AA91" s="9">
        <f t="shared" si="12"/>
        <v>64.48</v>
      </c>
      <c r="AB91" s="9">
        <f t="shared" si="12"/>
        <v>64.48</v>
      </c>
      <c r="AC91" s="9">
        <f t="shared" si="12"/>
        <v>64.48</v>
      </c>
      <c r="AD91" s="3" t="s">
        <v>148</v>
      </c>
      <c r="AE91" s="374" t="b">
        <v>1</v>
      </c>
      <c r="AG91" s="3"/>
      <c r="AH91" s="3"/>
      <c r="AI91" s="58" t="str">
        <f>IF(AM91,"Einmalige Kosten","")</f>
        <v>Einmalige Kosten</v>
      </c>
      <c r="AJ91" s="54">
        <f>IF($AM91,AJ52,NA())</f>
        <v>0</v>
      </c>
      <c r="AK91" s="54">
        <f t="shared" si="15"/>
        <v>0</v>
      </c>
      <c r="AL91" s="54">
        <f t="shared" si="15"/>
        <v>0</v>
      </c>
      <c r="AM91" s="374" t="b">
        <v>1</v>
      </c>
      <c r="AN91" s="3"/>
    </row>
    <row r="92" spans="15:40" ht="15" hidden="1" outlineLevel="1" thickBot="1" x14ac:dyDescent="0.3">
      <c r="O92" s="3"/>
      <c r="P92" s="3"/>
      <c r="Q92" s="3"/>
      <c r="R92" s="3"/>
      <c r="S92" s="3"/>
      <c r="T92" s="3"/>
      <c r="U92" s="3"/>
      <c r="V92" s="3"/>
      <c r="X92" s="3"/>
      <c r="Y92" s="3"/>
      <c r="Z92" s="27" t="s">
        <v>67</v>
      </c>
      <c r="AA92" s="28">
        <f>SUMIF($AE$81:$AE$91,TRUE,AA81:AA91)</f>
        <v>5690.5056228095145</v>
      </c>
      <c r="AB92" s="28">
        <f>SUMIF($AE$81:$AE$91,TRUE,AB81:AB91)</f>
        <v>5683.3561700424252</v>
      </c>
      <c r="AC92" s="28">
        <f>SUMIF($AE$81:$AE$91,TRUE,AC81:AC91)</f>
        <v>5673.8124476351431</v>
      </c>
      <c r="AD92" s="27" t="s">
        <v>149</v>
      </c>
      <c r="AE92" s="3"/>
      <c r="AG92" s="3"/>
      <c r="AH92" s="3"/>
      <c r="AI92" s="56" t="str">
        <f>IF(AM92,"CO2-Kosten","")</f>
        <v>CO2-Kosten</v>
      </c>
      <c r="AJ92" s="57">
        <f>IF($AM$92,SUMIF($AM$93:$AM$95,TRUE,AJ93:AJ95),NA())</f>
        <v>152459.04944673795</v>
      </c>
      <c r="AK92" s="57">
        <f>IF($AM$92,SUMIF($AM$93:$AM$95,TRUE,AK93:AK95),NA())</f>
        <v>268309.07933099143</v>
      </c>
      <c r="AL92" s="57">
        <f>IF($AM$92,SUMIF($AM$93:$AM$95,TRUE,AL93:AL95),NA())</f>
        <v>471046.27387402061</v>
      </c>
      <c r="AM92" s="374" t="b">
        <v>1</v>
      </c>
      <c r="AN92" s="3"/>
    </row>
    <row r="93" spans="15:40" ht="16.5" hidden="1" outlineLevel="1" thickTop="1" x14ac:dyDescent="0.3">
      <c r="O93" s="3"/>
      <c r="P93" s="3"/>
      <c r="Q93" s="3"/>
      <c r="R93" s="3"/>
      <c r="S93" s="3"/>
      <c r="T93" s="3"/>
      <c r="U93" s="3"/>
      <c r="V93" s="3"/>
      <c r="X93" s="3"/>
      <c r="Y93" s="3"/>
      <c r="Z93" s="3"/>
      <c r="AA93" s="3"/>
      <c r="AB93" s="3"/>
      <c r="AC93" s="3"/>
      <c r="AD93" s="3"/>
      <c r="AE93" s="3"/>
      <c r="AG93" s="3"/>
      <c r="AH93" s="3"/>
      <c r="AI93" s="31" t="s">
        <v>141</v>
      </c>
      <c r="AJ93" s="51">
        <f>IF($AM93,AJ54,NA())</f>
        <v>2373.3088765000002</v>
      </c>
      <c r="AK93" s="51">
        <f t="shared" ref="AK93:AL93" si="16">IF($AM93,AK54,NA())</f>
        <v>4206.1683600899996</v>
      </c>
      <c r="AL93" s="51">
        <f t="shared" si="16"/>
        <v>7360.6768755199992</v>
      </c>
      <c r="AM93" s="374" t="b">
        <v>1</v>
      </c>
      <c r="AN93" s="3"/>
    </row>
    <row r="94" spans="15:40" ht="15.75" hidden="1" outlineLevel="1" x14ac:dyDescent="0.3">
      <c r="O94" s="3"/>
      <c r="P94" s="3"/>
      <c r="Q94" s="3"/>
      <c r="R94" s="3"/>
      <c r="S94" s="3"/>
      <c r="T94" s="3"/>
      <c r="U94" s="3"/>
      <c r="V94" s="3"/>
      <c r="X94" s="3"/>
      <c r="Y94" s="3"/>
      <c r="Z94" s="3"/>
      <c r="AA94" s="3"/>
      <c r="AB94" s="3"/>
      <c r="AC94" s="3"/>
      <c r="AD94" s="3"/>
      <c r="AE94" s="3"/>
      <c r="AG94" s="3"/>
      <c r="AH94" s="3"/>
      <c r="AI94" s="31" t="s">
        <v>142</v>
      </c>
      <c r="AJ94" s="51">
        <f t="shared" ref="AJ94:AL95" si="17">IF($AM94,AJ55,NA())</f>
        <v>4297.5</v>
      </c>
      <c r="AK94" s="51">
        <f t="shared" si="17"/>
        <v>5620.160118992103</v>
      </c>
      <c r="AL94" s="51">
        <f t="shared" si="17"/>
        <v>4924.2043876888438</v>
      </c>
      <c r="AM94" s="374" t="b">
        <v>1</v>
      </c>
      <c r="AN94" s="3"/>
    </row>
    <row r="95" spans="15:40" ht="15.75" hidden="1" outlineLevel="1" x14ac:dyDescent="0.3">
      <c r="O95" s="3"/>
      <c r="P95" s="3"/>
      <c r="Q95" s="3"/>
      <c r="R95" s="3"/>
      <c r="S95" s="3"/>
      <c r="T95" s="3"/>
      <c r="U95" s="3"/>
      <c r="V95" s="3"/>
      <c r="X95" s="3"/>
      <c r="Y95" s="3"/>
      <c r="Z95" s="3"/>
      <c r="AA95" s="3"/>
      <c r="AB95" s="3"/>
      <c r="AC95" s="3"/>
      <c r="AD95" s="3"/>
      <c r="AE95" s="3"/>
      <c r="AG95" s="3"/>
      <c r="AH95" s="3"/>
      <c r="AI95" s="31" t="s">
        <v>143</v>
      </c>
      <c r="AJ95" s="51">
        <f t="shared" si="17"/>
        <v>145788.24057023795</v>
      </c>
      <c r="AK95" s="51">
        <f t="shared" si="17"/>
        <v>258482.75085190934</v>
      </c>
      <c r="AL95" s="51">
        <f t="shared" si="17"/>
        <v>458761.39261081174</v>
      </c>
      <c r="AM95" s="374" t="b">
        <v>1</v>
      </c>
      <c r="AN95" s="3"/>
    </row>
    <row r="96" spans="15:40" ht="13.5" hidden="1" outlineLevel="1" thickBot="1" x14ac:dyDescent="0.25">
      <c r="O96" s="3"/>
      <c r="P96" s="3"/>
      <c r="Q96" s="3"/>
      <c r="R96" s="3"/>
      <c r="S96" s="3"/>
      <c r="T96" s="3"/>
      <c r="U96" s="3"/>
      <c r="V96" s="3"/>
      <c r="X96" s="3"/>
      <c r="Y96" s="3"/>
      <c r="Z96" s="3"/>
      <c r="AA96" s="3"/>
      <c r="AB96" s="3"/>
      <c r="AC96" s="3"/>
      <c r="AD96" s="3"/>
      <c r="AE96" s="3"/>
      <c r="AG96" s="3"/>
      <c r="AH96" s="3"/>
      <c r="AI96" s="27" t="s">
        <v>67</v>
      </c>
      <c r="AJ96" s="55">
        <f>IF($AM$92,AJ92,0)+IF($AM$91,AJ91,0)+IF($AM$90,AJ90,0)+IF($AM$89,AJ89,0)+AJ81</f>
        <v>262128.04944673795</v>
      </c>
      <c r="AK96" s="55">
        <f t="shared" ref="AK96:AL96" si="18">IF($AM$92,AK92,0)+IF($AM$91,AK91,0)+IF($AM$90,AK90,0)+IF($AM$89,AK89,0)+AK81</f>
        <v>406159.87933099142</v>
      </c>
      <c r="AL96" s="55">
        <f t="shared" si="18"/>
        <v>637078.87387402065</v>
      </c>
      <c r="AM96" s="3"/>
      <c r="AN96" s="3"/>
    </row>
    <row r="97" spans="2:40" ht="13.5" hidden="1" outlineLevel="1" thickTop="1" x14ac:dyDescent="0.2">
      <c r="O97" s="3"/>
      <c r="P97" s="3"/>
      <c r="Q97" s="3"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X97" s="3"/>
      <c r="Y97" s="3"/>
      <c r="Z97" s="3"/>
      <c r="AA97" s="3"/>
      <c r="AB97" s="3"/>
      <c r="AC97" s="3"/>
      <c r="AD97" s="3"/>
      <c r="AE97" s="3"/>
      <c r="AG97" s="3"/>
      <c r="AH97" s="3"/>
      <c r="AI97" s="3"/>
      <c r="AJ97" s="3"/>
      <c r="AK97" s="3"/>
      <c r="AL97" s="3"/>
      <c r="AM97" s="3"/>
      <c r="AN97" s="3"/>
    </row>
    <row r="98" spans="2:40" hidden="1" outlineLevel="1" x14ac:dyDescent="0.2">
      <c r="O98" s="3"/>
      <c r="P98" s="3"/>
      <c r="Q98" s="3"/>
      <c r="R98" s="3"/>
      <c r="S98" s="3"/>
      <c r="T98" s="3"/>
      <c r="U98" s="3"/>
      <c r="V98" s="3"/>
      <c r="X98" s="3"/>
      <c r="Y98" s="3"/>
      <c r="Z98" s="3"/>
      <c r="AA98" s="3"/>
      <c r="AB98" s="3"/>
      <c r="AC98" s="3"/>
      <c r="AD98" s="3"/>
      <c r="AE98" s="3"/>
      <c r="AG98" s="3"/>
      <c r="AH98" s="3"/>
      <c r="AI98" s="3"/>
      <c r="AJ98" s="3"/>
      <c r="AK98" s="3"/>
      <c r="AL98" s="3"/>
      <c r="AM98" s="3"/>
      <c r="AN98" s="3"/>
    </row>
    <row r="99" spans="2:40" hidden="1" outlineLevel="1" x14ac:dyDescent="0.2">
      <c r="O99" s="3"/>
      <c r="P99" s="3"/>
      <c r="Q99" s="3"/>
      <c r="R99" s="3"/>
      <c r="S99" s="3"/>
      <c r="T99" s="3"/>
      <c r="U99" s="3"/>
      <c r="V99" s="3"/>
      <c r="X99" s="3"/>
      <c r="Y99" s="3"/>
      <c r="Z99" s="3"/>
      <c r="AA99" s="3"/>
      <c r="AB99" s="3"/>
      <c r="AC99" s="3"/>
      <c r="AD99" s="3"/>
      <c r="AE99" s="3"/>
      <c r="AG99" s="3"/>
      <c r="AH99" s="3"/>
      <c r="AI99" s="3"/>
      <c r="AJ99" s="3"/>
      <c r="AK99" s="3"/>
      <c r="AL99" s="3"/>
      <c r="AM99" s="3"/>
      <c r="AN99" s="3"/>
    </row>
    <row r="100" spans="2:40" hidden="1" outlineLevel="1" x14ac:dyDescent="0.2">
      <c r="O100" s="3"/>
      <c r="P100" s="3"/>
      <c r="Q100" s="3"/>
      <c r="R100" s="3"/>
      <c r="S100" s="3"/>
      <c r="T100" s="3"/>
      <c r="U100" s="3"/>
      <c r="V100" s="3"/>
      <c r="X100" s="3"/>
      <c r="Y100" s="3"/>
      <c r="Z100" s="3"/>
      <c r="AA100" s="3"/>
      <c r="AB100" s="3"/>
      <c r="AC100" s="3"/>
      <c r="AD100" s="3"/>
      <c r="AE100" s="3"/>
      <c r="AG100" s="3"/>
      <c r="AH100" s="3"/>
      <c r="AI100" s="3"/>
      <c r="AJ100" s="3"/>
      <c r="AK100" s="3"/>
      <c r="AL100" s="3"/>
      <c r="AM100" s="3"/>
      <c r="AN100" s="3"/>
    </row>
    <row r="101" spans="2:40" hidden="1" outlineLevel="1" x14ac:dyDescent="0.2">
      <c r="O101" s="3"/>
      <c r="P101" s="3"/>
      <c r="Q101" s="3"/>
      <c r="R101" s="3"/>
      <c r="S101" s="3"/>
      <c r="T101" s="3"/>
      <c r="U101" s="3"/>
      <c r="V101" s="3"/>
      <c r="X101" s="3"/>
      <c r="Y101" s="3"/>
      <c r="Z101" s="3"/>
      <c r="AA101" s="3"/>
      <c r="AB101" s="3"/>
      <c r="AC101" s="3"/>
      <c r="AD101" s="3"/>
      <c r="AE101" s="3"/>
      <c r="AG101" s="3"/>
      <c r="AH101" s="3"/>
      <c r="AI101" s="3"/>
      <c r="AJ101" s="3"/>
      <c r="AK101" s="3"/>
      <c r="AL101" s="3"/>
      <c r="AM101" s="3"/>
      <c r="AN101" s="3"/>
    </row>
    <row r="102" spans="2:40" hidden="1" outlineLevel="1" x14ac:dyDescent="0.2">
      <c r="O102" s="3"/>
      <c r="P102" s="3"/>
      <c r="Q102" s="3"/>
      <c r="R102" s="3"/>
      <c r="S102" s="3"/>
      <c r="T102" s="3"/>
      <c r="U102" s="3"/>
      <c r="V102" s="3"/>
      <c r="X102" s="3"/>
      <c r="Y102" s="3"/>
      <c r="Z102" s="3"/>
      <c r="AA102" s="3"/>
      <c r="AB102" s="3"/>
      <c r="AC102" s="3"/>
      <c r="AD102" s="3"/>
      <c r="AE102" s="3"/>
      <c r="AG102" s="3"/>
      <c r="AH102" s="3"/>
      <c r="AI102" s="3"/>
      <c r="AJ102" s="3"/>
      <c r="AK102" s="3"/>
      <c r="AL102" s="3"/>
      <c r="AM102" s="3"/>
      <c r="AN102" s="3"/>
    </row>
    <row r="103" spans="2:40" hidden="1" outlineLevel="1" x14ac:dyDescent="0.2">
      <c r="O103" s="3"/>
      <c r="P103" s="3"/>
      <c r="Q103" s="3"/>
      <c r="R103" s="3"/>
      <c r="S103" s="3"/>
      <c r="T103" s="3"/>
      <c r="U103" s="3"/>
      <c r="V103" s="3"/>
      <c r="X103" s="3"/>
      <c r="Y103" s="3"/>
      <c r="Z103" s="3"/>
      <c r="AA103" s="3"/>
      <c r="AB103" s="3"/>
      <c r="AC103" s="3"/>
      <c r="AD103" s="3"/>
      <c r="AE103" s="3"/>
      <c r="AG103" s="3"/>
      <c r="AH103" s="3"/>
      <c r="AI103" s="3"/>
      <c r="AJ103" s="3"/>
      <c r="AK103" s="3"/>
      <c r="AL103" s="3"/>
      <c r="AM103" s="3"/>
      <c r="AN103" s="3"/>
    </row>
    <row r="104" spans="2:40" hidden="1" outlineLevel="1" x14ac:dyDescent="0.2">
      <c r="O104" s="3"/>
      <c r="P104" s="3"/>
      <c r="Q104" s="3"/>
      <c r="R104" s="3"/>
      <c r="S104" s="3"/>
      <c r="T104" s="3"/>
      <c r="U104" s="3"/>
      <c r="V104" s="3"/>
      <c r="X104" s="3"/>
      <c r="Y104" s="3"/>
      <c r="Z104" s="3"/>
      <c r="AA104" s="3"/>
      <c r="AB104" s="3"/>
      <c r="AC104" s="3"/>
      <c r="AD104" s="3"/>
      <c r="AE104" s="3"/>
      <c r="AG104" s="3"/>
      <c r="AH104" s="3"/>
      <c r="AI104" s="3"/>
      <c r="AJ104" s="3"/>
      <c r="AK104" s="3"/>
      <c r="AL104" s="3"/>
      <c r="AM104" s="3"/>
      <c r="AN104" s="3"/>
    </row>
    <row r="105" spans="2:40" hidden="1" outlineLevel="1" x14ac:dyDescent="0.2"/>
    <row r="106" spans="2:40" hidden="1" outlineLevel="1" x14ac:dyDescent="0.2"/>
    <row r="107" spans="2:40" ht="15.75" hidden="1" outlineLevel="1" x14ac:dyDescent="0.25">
      <c r="B107" s="6" t="str">
        <f>IF(AND($G$16&gt;0,K16&lt;G16),"Bitte den Handeingabewert 'selbsterzeugte Strommenge' für 'Bilanzjahr +10 Jahre' auch anpassen. Dieser muss dem Werte Ihrer Handeingabe 'Bilanzjahr +5 Jahre' entsprechen, sollte nur eine Maßnahme in 'Bilanzjahr +5 Jahre' umgesetzt werden.","")</f>
        <v/>
      </c>
      <c r="O107" s="22"/>
      <c r="P107" s="22" t="s">
        <v>103</v>
      </c>
      <c r="Q107" s="17"/>
      <c r="R107" s="17"/>
      <c r="S107" s="17"/>
      <c r="T107" s="17"/>
      <c r="U107" s="17"/>
      <c r="V107" s="17"/>
      <c r="X107" s="17"/>
      <c r="Y107" s="17"/>
      <c r="Z107" s="17"/>
      <c r="AB107" s="22" t="s">
        <v>106</v>
      </c>
      <c r="AC107" s="17"/>
      <c r="AD107" s="17"/>
      <c r="AE107" s="17"/>
      <c r="AG107" s="17"/>
      <c r="AH107" s="17"/>
      <c r="AI107" s="17"/>
    </row>
    <row r="108" spans="2:40" ht="15" hidden="1" outlineLevel="1" x14ac:dyDescent="0.25">
      <c r="O108" s="64"/>
      <c r="P108" s="64">
        <f>E20</f>
        <v>5</v>
      </c>
      <c r="Q108" s="17"/>
      <c r="R108" s="17"/>
      <c r="S108" s="17"/>
      <c r="T108" s="17"/>
      <c r="U108" s="17"/>
      <c r="V108" s="17"/>
      <c r="X108" s="17"/>
      <c r="Y108" s="17"/>
      <c r="Z108" s="17"/>
      <c r="AB108" s="64">
        <f>P108</f>
        <v>5</v>
      </c>
      <c r="AC108" s="17"/>
      <c r="AD108" s="17"/>
      <c r="AE108" s="17"/>
      <c r="AG108" s="17"/>
      <c r="AH108" s="17"/>
      <c r="AI108" s="17"/>
    </row>
    <row r="109" spans="2:40" ht="15" hidden="1" outlineLevel="1" x14ac:dyDescent="0.25">
      <c r="O109" s="64"/>
      <c r="P109" s="17"/>
      <c r="Q109" s="17" t="s">
        <v>435</v>
      </c>
      <c r="R109" s="41">
        <f>IF(NOT(ISBLANK(G23)),G23,E23)</f>
        <v>2</v>
      </c>
      <c r="S109" s="17"/>
      <c r="T109" s="17"/>
      <c r="U109" s="17"/>
      <c r="V109" s="17"/>
      <c r="X109" s="17"/>
      <c r="Y109" s="17"/>
      <c r="Z109" s="17"/>
      <c r="AB109" s="21" t="s">
        <v>475</v>
      </c>
      <c r="AC109" s="17"/>
      <c r="AD109" s="17"/>
      <c r="AE109" s="17"/>
      <c r="AG109" s="17"/>
      <c r="AH109" s="17"/>
      <c r="AI109" s="17"/>
    </row>
    <row r="110" spans="2:40" ht="15" hidden="1" outlineLevel="1" x14ac:dyDescent="0.25">
      <c r="O110" s="64"/>
      <c r="P110" s="17"/>
      <c r="Q110" s="17" t="s">
        <v>438</v>
      </c>
      <c r="R110" s="41">
        <f>R109*($E$17-$E$25)</f>
        <v>550</v>
      </c>
      <c r="S110" s="20" t="s">
        <v>215</v>
      </c>
      <c r="T110" s="20"/>
      <c r="U110" s="20"/>
      <c r="V110" s="17"/>
      <c r="X110" s="17"/>
      <c r="Y110" s="17"/>
      <c r="Z110" s="17"/>
      <c r="AB110" s="17"/>
      <c r="AC110" s="17"/>
      <c r="AD110" s="17"/>
      <c r="AE110" s="17"/>
      <c r="AG110" s="17"/>
      <c r="AH110" s="17"/>
      <c r="AI110" s="17"/>
    </row>
    <row r="111" spans="2:40" hidden="1" outlineLevel="1" x14ac:dyDescent="0.2">
      <c r="O111" s="17"/>
      <c r="P111" s="17"/>
      <c r="Q111" s="17"/>
      <c r="R111" s="17"/>
      <c r="S111" s="20"/>
      <c r="T111" s="20"/>
      <c r="U111" s="20"/>
      <c r="V111" s="17"/>
      <c r="X111" s="17"/>
      <c r="Y111" s="17"/>
      <c r="Z111" s="17"/>
      <c r="AB111" s="17"/>
      <c r="AC111" s="17"/>
      <c r="AD111" s="17"/>
      <c r="AE111" s="17"/>
      <c r="AG111" s="17"/>
      <c r="AH111" s="17"/>
      <c r="AI111" s="17"/>
    </row>
    <row r="112" spans="2:40" ht="63.75" hidden="1" outlineLevel="1" x14ac:dyDescent="0.2">
      <c r="O112" s="17"/>
      <c r="P112" s="17"/>
      <c r="Q112" s="17"/>
      <c r="R112" s="17"/>
      <c r="S112" s="36" t="s">
        <v>25</v>
      </c>
      <c r="T112" s="36" t="s">
        <v>77</v>
      </c>
      <c r="U112" s="36" t="s">
        <v>27</v>
      </c>
      <c r="V112" s="17"/>
      <c r="X112" s="39" t="s">
        <v>100</v>
      </c>
      <c r="Y112" s="40" t="s">
        <v>37</v>
      </c>
      <c r="Z112" s="17"/>
      <c r="AB112" s="17"/>
      <c r="AC112" s="17"/>
      <c r="AD112" s="17"/>
      <c r="AE112" s="18"/>
      <c r="AG112" s="18"/>
      <c r="AH112" s="18"/>
      <c r="AI112" s="18"/>
    </row>
    <row r="113" spans="2:35" ht="14.25" hidden="1" outlineLevel="1" x14ac:dyDescent="0.25">
      <c r="B113" s="6" t="str">
        <f>IF(AND($G$21&gt;0,K21&lt;G21),"Bitte den Handeingabewert 'Reduktion' für 'Bilanzjahr +10 Jahre' auch anpassen. Dieser muss dem Werte Ihrer Handeingabe 'Bilanzjahr +5 Jahre' entsprechen, sollte nur eine Maßnahme in 'Bilanzjahr +5 Jahre' umgesetzt werden.","")</f>
        <v/>
      </c>
      <c r="O113" s="76"/>
      <c r="P113" s="76" t="s">
        <v>176</v>
      </c>
      <c r="Q113" s="76"/>
      <c r="R113" s="76"/>
      <c r="S113" s="77">
        <f>SUM(S115:S128)</f>
        <v>93.470408001999999</v>
      </c>
      <c r="T113" s="77">
        <f t="shared" ref="T113:U113" si="19">SUM(T115:T128)</f>
        <v>124.8924470887134</v>
      </c>
      <c r="U113" s="77">
        <f t="shared" si="19"/>
        <v>34.132280692910868</v>
      </c>
      <c r="V113" s="76"/>
      <c r="X113" s="77">
        <f>S113+T113</f>
        <v>218.3628550907134</v>
      </c>
      <c r="Y113" s="77">
        <f>SUM(S113:U113)</f>
        <v>252.49513578362428</v>
      </c>
      <c r="Z113" s="76" t="s">
        <v>183</v>
      </c>
      <c r="AB113" s="17"/>
      <c r="AC113" s="17"/>
      <c r="AD113" s="17"/>
      <c r="AE113" s="18"/>
      <c r="AG113" s="18"/>
      <c r="AH113" s="18"/>
      <c r="AI113" s="18"/>
    </row>
    <row r="114" spans="2:35" hidden="1" outlineLevel="1" x14ac:dyDescent="0.2">
      <c r="O114" s="275"/>
      <c r="P114" s="17" t="s">
        <v>132</v>
      </c>
      <c r="Q114" s="17"/>
      <c r="R114" s="17"/>
      <c r="S114" s="17"/>
      <c r="T114" s="17"/>
      <c r="U114" s="17"/>
      <c r="V114" s="17"/>
      <c r="X114" s="17"/>
      <c r="Y114" s="17"/>
      <c r="Z114" s="17"/>
      <c r="AB114" s="17" t="s">
        <v>132</v>
      </c>
      <c r="AC114" s="17"/>
      <c r="AD114" s="17"/>
      <c r="AE114" s="18"/>
      <c r="AG114" s="18"/>
      <c r="AH114" s="18"/>
      <c r="AI114" s="18"/>
    </row>
    <row r="115" spans="2:35" ht="15.75" hidden="1" outlineLevel="1" x14ac:dyDescent="0.3">
      <c r="O115" s="275"/>
      <c r="P115" s="17"/>
      <c r="Q115" s="17" t="s">
        <v>114</v>
      </c>
      <c r="R115" s="17"/>
      <c r="S115" s="37">
        <f>IF(NOT(ISBLANK('Referenz Plattenfertiger'!$I16)),'Referenz Plattenfertiger'!$I16,'Referenz Plattenfertiger'!$F16)*IF(NOT(ISBLANK('Eingabe EF'!$AA9)),'Eingabe EF'!$AA9,'Eingabe EF'!$Y9)</f>
        <v>34.434080000000002</v>
      </c>
      <c r="T115" s="37">
        <f>IF(NOT(ISBLANK('Referenz Plattenfertiger'!$I16)),'Referenz Plattenfertiger'!$I16,'Referenz Plattenfertiger'!$F16)*IF(NOT(ISBLANK('Eingabe EF'!$AE9)),'Eingabe EF'!$AE9,'Eingabe EF'!$AC9)</f>
        <v>0</v>
      </c>
      <c r="U115" s="37">
        <f>IF(NOT(ISBLANK('Referenz Plattenfertiger'!$I16)),'Referenz Plattenfertiger'!$I16,'Referenz Plattenfertiger'!$F16)*IF(NOT(ISBLANK('Eingabe EF'!$AI9)),'Eingabe EF'!$AI9,'Eingabe EF'!$AG9)</f>
        <v>5.8938000000000006</v>
      </c>
      <c r="V115" s="17"/>
      <c r="X115" s="37">
        <f>S115+T115</f>
        <v>34.434080000000002</v>
      </c>
      <c r="Y115" s="37">
        <f>SUM(S115:U115)</f>
        <v>40.32788</v>
      </c>
      <c r="Z115" s="17" t="s">
        <v>184</v>
      </c>
      <c r="AB115" s="17"/>
      <c r="AC115" s="17" t="s">
        <v>114</v>
      </c>
      <c r="AD115" s="17"/>
      <c r="AE115" s="19"/>
      <c r="AG115" s="20"/>
      <c r="AH115" s="41">
        <f>IF(NOT(ISBLANK('Referenz Plattenfertiger'!$I16)),'Referenz Plattenfertiger'!$I16,'Referenz Plattenfertiger'!$F16)/1000*IF(NOT(ISBLANK('Eingabe Preise'!$K10)),'Eingabe Preise'!$K10,'Eingabe Preise'!$I10)</f>
        <v>11468</v>
      </c>
      <c r="AI115" s="20" t="s">
        <v>96</v>
      </c>
    </row>
    <row r="116" spans="2:35" ht="15.75" hidden="1" outlineLevel="1" x14ac:dyDescent="0.3">
      <c r="B116" s="102" t="str">
        <f>IF(AND($G$23&gt;0,K23&lt;G23),"Bitte den Handeingabewert 'Umstellung Dieselstapler' für 'Bilanzjahr +10 Jahre' und ggf. 'Bilanzjahr +5 Jahre' auch anpassen. Diese Werte dürfen nicht größer Ihrer Handeingabe 'Anzahl Dieselstapler im Werk' sein. Ansonsten ist die Berechnung fehlerhaft.","")</f>
        <v/>
      </c>
      <c r="O116" s="275"/>
      <c r="P116" s="17"/>
      <c r="Q116" s="17" t="s">
        <v>151</v>
      </c>
      <c r="R116" s="17"/>
      <c r="S116" s="37">
        <f>IF(NOT(ISBLANK('Referenz Plattenfertiger'!$I17)),'Referenz Plattenfertiger'!$I17,'Referenz Plattenfertiger'!$F17)*IF(NOT(ISBLANK('Eingabe EF'!$AA10)),'Eingabe EF'!$AA10,'Eingabe EF'!$Y10)</f>
        <v>6.4022399999999999</v>
      </c>
      <c r="T116" s="37">
        <f>IF(NOT(ISBLANK('Referenz Plattenfertiger'!$I17)),'Referenz Plattenfertiger'!$I17,'Referenz Plattenfertiger'!$F17)*IF(NOT(ISBLANK('Eingabe EF'!$AE10)),'Eingabe EF'!$AE10,'Eingabe EF'!$AC10)</f>
        <v>0</v>
      </c>
      <c r="U116" s="37">
        <f>IF(NOT(ISBLANK('Referenz Plattenfertiger'!$I17)),'Referenz Plattenfertiger'!$I17,'Referenz Plattenfertiger'!$F17)*IF(NOT(ISBLANK('Eingabe EF'!$AI10)),'Eingabe EF'!$AI10,'Eingabe EF'!$AG10)</f>
        <v>0.949824</v>
      </c>
      <c r="V116" s="17"/>
      <c r="X116" s="37">
        <f>S116+T116</f>
        <v>6.4022399999999999</v>
      </c>
      <c r="Y116" s="37">
        <f>SUM(S116:U116)</f>
        <v>7.3520640000000004</v>
      </c>
      <c r="Z116" s="17" t="s">
        <v>184</v>
      </c>
      <c r="AB116" s="17"/>
      <c r="AC116" s="17" t="s">
        <v>151</v>
      </c>
      <c r="AD116" s="17"/>
      <c r="AE116" s="20"/>
      <c r="AG116" s="20"/>
      <c r="AH116" s="41">
        <f>IF(NOT(ISBLANK('Referenz Plattenfertiger'!$I17)),'Referenz Plattenfertiger'!$I17,'Referenz Plattenfertiger'!$F17)/1000*IF(NOT(ISBLANK('Eingabe Preise'!$K11)),'Eingabe Preise'!$K11,'Eingabe Preise'!$I11)</f>
        <v>1104</v>
      </c>
      <c r="AI116" s="20" t="s">
        <v>96</v>
      </c>
    </row>
    <row r="117" spans="2:35" ht="15.75" hidden="1" outlineLevel="1" x14ac:dyDescent="0.3">
      <c r="O117" s="275"/>
      <c r="P117" s="17"/>
      <c r="Q117" s="17" t="s">
        <v>152</v>
      </c>
      <c r="R117" s="17"/>
      <c r="S117" s="37">
        <f>IF(NOT(ISBLANK('Referenz Plattenfertiger'!$I18)),'Referenz Plattenfertiger'!$I18,'Referenz Plattenfertiger'!$F18)*IF(NOT(ISBLANK('Eingabe EF'!$AA11)),'Eingabe EF'!$AA11,'Eingabe EF'!$Y11)</f>
        <v>0</v>
      </c>
      <c r="T117" s="37">
        <f>IF(NOT(ISBLANK('Referenz Plattenfertiger'!$I18)),'Referenz Plattenfertiger'!$I18,'Referenz Plattenfertiger'!$F18)*IF(NOT(ISBLANK('Eingabe EF'!$AE11)),'Eingabe EF'!$AE11,'Eingabe EF'!$AC11)</f>
        <v>12.48924470887134</v>
      </c>
      <c r="U117" s="37">
        <f>IF(NOT(ISBLANK('Referenz Plattenfertiger'!$I18)),'Referenz Plattenfertiger'!$I18,'Referenz Plattenfertiger'!$F18)*IF(NOT(ISBLANK('Eingabe EF'!$AI11)),'Eingabe EF'!$AI11,'Eingabe EF'!$AG11)</f>
        <v>1.8308840410910865</v>
      </c>
      <c r="V117" s="17"/>
      <c r="X117" s="37">
        <f>S117+T117</f>
        <v>12.48924470887134</v>
      </c>
      <c r="Y117" s="37">
        <f>SUM(S117:U117)</f>
        <v>14.320128749962427</v>
      </c>
      <c r="Z117" s="17" t="s">
        <v>184</v>
      </c>
      <c r="AB117" s="17"/>
      <c r="AC117" s="17" t="s">
        <v>152</v>
      </c>
      <c r="AD117" s="17"/>
      <c r="AE117" s="20"/>
      <c r="AG117" s="20"/>
      <c r="AH117" s="41">
        <f>IF(NOT(ISBLANK('Referenz Plattenfertiger'!$I18)),'Referenz Plattenfertiger'!$I18,'Referenz Plattenfertiger'!$F18)/1000*IF(NOT(ISBLANK('Eingabe Preise'!$K12)),'Eingabe Preise'!$K12,'Eingabe Preise'!$I12)</f>
        <v>7740</v>
      </c>
      <c r="AI117" s="20" t="s">
        <v>96</v>
      </c>
    </row>
    <row r="118" spans="2:35" ht="15.75" hidden="1" outlineLevel="1" x14ac:dyDescent="0.3">
      <c r="O118" s="275"/>
      <c r="P118" s="17"/>
      <c r="Q118" s="17" t="s">
        <v>115</v>
      </c>
      <c r="R118" s="17"/>
      <c r="S118" s="43">
        <f>IF(NOT(ISBLANK('Referenz Plattenfertiger'!$I19)),'Referenz Plattenfertiger'!$I19,'Referenz Plattenfertiger'!$F19)*IF(NOT(ISBLANK('Eingabe EF'!$AA12)),'Eingabe EF'!$AA12,0)</f>
        <v>0</v>
      </c>
      <c r="T118" s="43">
        <f>IF(NOT(ISBLANK('Referenz Plattenfertiger'!$I19)),'Referenz Plattenfertiger'!$I19,'Referenz Plattenfertiger'!$F19)*IF(NOT(ISBLANK('Eingabe EF'!$AE12)),'Eingabe EF'!$AE12,0)</f>
        <v>0</v>
      </c>
      <c r="U118" s="43">
        <f>IF(NOT(ISBLANK('Referenz Plattenfertiger'!$I19)),'Referenz Plattenfertiger'!$I19,'Referenz Plattenfertiger'!$F19)*IF(NOT(ISBLANK('Eingabe EF'!$AI12)),'Eingabe EF'!$AI12,0)</f>
        <v>0</v>
      </c>
      <c r="V118" s="17"/>
      <c r="X118" s="37">
        <f>S118+T118</f>
        <v>0</v>
      </c>
      <c r="Y118" s="37">
        <f>SUM(S118:U118)</f>
        <v>0</v>
      </c>
      <c r="Z118" s="17" t="s">
        <v>184</v>
      </c>
      <c r="AB118" s="17"/>
      <c r="AC118" s="17" t="s">
        <v>115</v>
      </c>
      <c r="AD118" s="17"/>
      <c r="AE118" s="20"/>
      <c r="AG118" s="20"/>
      <c r="AH118" s="41">
        <f>IF(NOT(ISBLANK('Referenz Plattenfertiger'!$I19)),'Referenz Plattenfertiger'!$I19,'Referenz Plattenfertiger'!$F19)/1000*IF(NOT(ISBLANK('Eingabe Preise'!$K16)),'Eingabe Preise'!$K16,0)</f>
        <v>0</v>
      </c>
      <c r="AI118" s="20" t="s">
        <v>96</v>
      </c>
    </row>
    <row r="119" spans="2:35" hidden="1" outlineLevel="1" x14ac:dyDescent="0.2">
      <c r="O119" s="275"/>
      <c r="P119" s="17" t="s">
        <v>133</v>
      </c>
      <c r="Q119" s="17"/>
      <c r="R119" s="17"/>
      <c r="S119" s="20"/>
      <c r="T119" s="20"/>
      <c r="U119" s="20"/>
      <c r="V119" s="17"/>
      <c r="X119" s="17"/>
      <c r="Y119" s="17"/>
      <c r="Z119" s="17"/>
      <c r="AB119" s="17" t="s">
        <v>133</v>
      </c>
      <c r="AC119" s="17"/>
      <c r="AD119" s="17"/>
      <c r="AE119" s="20"/>
      <c r="AG119" s="20"/>
      <c r="AH119" s="20"/>
      <c r="AI119" s="20"/>
    </row>
    <row r="120" spans="2:35" ht="15.75" hidden="1" outlineLevel="1" x14ac:dyDescent="0.3">
      <c r="B120" s="6"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Hinweis: Bitte den Handeingabewert 'Reduktion' für 'Bilanzjahr +10 Jahre' auch anpassen. Dieser muss dem Werte Ihrer Handeingabe 'Bilanzjahr +5 Jahre' entsprechen, sollte nur eine Maßnahme in 'Bilanzjahr +5 Jahre' umgesetzt werden.</v>
      </c>
      <c r="O120" s="275"/>
      <c r="P120" s="17"/>
      <c r="Q120" s="17" t="s">
        <v>29</v>
      </c>
      <c r="R120" s="17"/>
      <c r="S120" s="37">
        <f>IF(NOT(ISBLANK('Referenz Plattenfertiger'!$I21)),'Referenz Plattenfertiger'!$I21,'Referenz Plattenfertiger'!$F21)*IF(NOT(ISBLANK('Eingabe EF'!$AA9)),'Eingabe EF'!$AA9,'Eingabe EF'!$Y9)</f>
        <v>8.6085200000000004</v>
      </c>
      <c r="T120" s="37">
        <f>IF(NOT(ISBLANK('Referenz Plattenfertiger'!$I21)),'Referenz Plattenfertiger'!$I21,'Referenz Plattenfertiger'!$F21)*IF(NOT(ISBLANK('Eingabe EF'!$AE9)),'Eingabe EF'!$AE9,'Eingabe EF'!$AC9)</f>
        <v>0</v>
      </c>
      <c r="U120" s="37">
        <f>IF(NOT(ISBLANK('Referenz Plattenfertiger'!$I21)),'Referenz Plattenfertiger'!$I21,'Referenz Plattenfertiger'!$F21)*IF(NOT(ISBLANK('Eingabe EF'!$AG9)),'Eingabe EF'!$AG9,'Eingabe EF'!$AIC9)</f>
        <v>1.4734500000000001</v>
      </c>
      <c r="V120" s="17"/>
      <c r="X120" s="37">
        <f t="shared" ref="X120:X121" si="20">S120+T120</f>
        <v>8.6085200000000004</v>
      </c>
      <c r="Y120" s="37">
        <f t="shared" ref="Y120:Y131" si="21">SUM(S120:U120)</f>
        <v>10.08197</v>
      </c>
      <c r="Z120" s="17" t="s">
        <v>184</v>
      </c>
      <c r="AA120" s="42"/>
      <c r="AB120" s="17"/>
      <c r="AC120" s="17" t="s">
        <v>29</v>
      </c>
      <c r="AD120" s="17"/>
      <c r="AE120" s="20"/>
      <c r="AG120" s="20"/>
      <c r="AH120" s="41">
        <f>IF(NOT(ISBLANK('Referenz Plattenfertiger'!$I21)),'Referenz Plattenfertiger'!$I21,'Referenz Plattenfertiger'!$F21)/1000*IF(NOT(ISBLANK('Eingabe Preise'!$K10)),'Eingabe Preise'!$K10,'Eingabe Preise'!$I10)</f>
        <v>2867</v>
      </c>
      <c r="AI120" s="20" t="s">
        <v>96</v>
      </c>
    </row>
    <row r="121" spans="2:35" ht="15.75" hidden="1" outlineLevel="1" x14ac:dyDescent="0.3">
      <c r="O121" s="275"/>
      <c r="P121" s="17"/>
      <c r="Q121" s="17" t="s">
        <v>30</v>
      </c>
      <c r="R121" s="17"/>
      <c r="S121" s="37">
        <f>IF(NOT(ISBLANK('Referenz Plattenfertiger'!$I22)),'Referenz Plattenfertiger'!$I22,'Referenz Plattenfertiger'!$F22)*IF(NOT(ISBLANK('Eingabe EF'!$AA10)),'Eingabe EF'!$AA10,'Eingabe EF'!$Y10)</f>
        <v>9.6033600000000003</v>
      </c>
      <c r="T121" s="37">
        <f>IF(NOT(ISBLANK('Referenz Plattenfertiger'!$I22)),'Referenz Plattenfertiger'!$I22,'Referenz Plattenfertiger'!$F22)*IF(NOT(ISBLANK('Eingabe EF'!$AE10)),'Eingabe EF'!$AE10,'Eingabe EF'!$AC10)</f>
        <v>0</v>
      </c>
      <c r="U121" s="37">
        <f>IF(NOT(ISBLANK('Referenz Plattenfertiger'!$I22)),'Referenz Plattenfertiger'!$I22,'Referenz Plattenfertiger'!$F22)*IF(NOT(ISBLANK('Eingabe EF'!$AG10)),'Eingabe EF'!$AG10,'Eingabe EF'!$AIC10)</f>
        <v>1.424736</v>
      </c>
      <c r="V121" s="17"/>
      <c r="X121" s="37">
        <f t="shared" si="20"/>
        <v>9.6033600000000003</v>
      </c>
      <c r="Y121" s="37">
        <f t="shared" si="21"/>
        <v>11.028096</v>
      </c>
      <c r="Z121" s="17" t="s">
        <v>184</v>
      </c>
      <c r="AA121" s="42"/>
      <c r="AB121" s="17"/>
      <c r="AC121" s="17" t="s">
        <v>30</v>
      </c>
      <c r="AD121" s="17"/>
      <c r="AE121" s="20"/>
      <c r="AG121" s="20"/>
      <c r="AH121" s="41">
        <f>IF(NOT(ISBLANK('Referenz Plattenfertiger'!$I22)),'Referenz Plattenfertiger'!$I22,'Referenz Plattenfertiger'!$F22)/1000*IF(NOT(ISBLANK('Eingabe Preise'!$K11)),'Eingabe Preise'!$K11,'Eingabe Preise'!$I11)</f>
        <v>1656</v>
      </c>
      <c r="AI121" s="20" t="s">
        <v>96</v>
      </c>
    </row>
    <row r="122" spans="2:35" hidden="1" outlineLevel="1" x14ac:dyDescent="0.2">
      <c r="O122" s="275"/>
      <c r="P122" s="17" t="s">
        <v>134</v>
      </c>
      <c r="Q122" s="17"/>
      <c r="R122" s="17"/>
      <c r="S122" s="20"/>
      <c r="T122" s="20"/>
      <c r="U122" s="20"/>
      <c r="V122" s="17"/>
      <c r="X122" s="17"/>
      <c r="Y122" s="17"/>
      <c r="Z122" s="17"/>
      <c r="AB122" s="17" t="s">
        <v>134</v>
      </c>
      <c r="AC122" s="17"/>
      <c r="AD122" s="17"/>
      <c r="AE122" s="20"/>
      <c r="AG122" s="20"/>
      <c r="AH122" s="20"/>
      <c r="AI122" s="20"/>
    </row>
    <row r="123" spans="2:35" ht="15.75" hidden="1" outlineLevel="1" x14ac:dyDescent="0.3">
      <c r="O123" s="276"/>
      <c r="P123" s="17"/>
      <c r="Q123" s="17" t="s">
        <v>136</v>
      </c>
      <c r="R123" s="17"/>
      <c r="S123" s="37">
        <f>IF(NOT(ISBLANK('Referenz Plattenfertiger'!$I24)),'Referenz Plattenfertiger'!$I24,'Referenz Plattenfertiger'!$F24)*IF(NOT(ISBLANK('Eingabe EF'!$AA11)),'Eingabe EF'!$AA11,'Eingabe EF'!$Y11)</f>
        <v>0</v>
      </c>
      <c r="T123" s="37">
        <f>IF(NOT(ISBLANK('Referenz Plattenfertiger'!$I24)),'Referenz Plattenfertiger'!$I24,'Referenz Plattenfertiger'!$F24)*IF(NOT(ISBLANK('Eingabe EF'!$AE11)),'Eingabe EF'!$AE11,'Eingabe EF'!$AC11)</f>
        <v>112.40320237984206</v>
      </c>
      <c r="U123" s="37">
        <f>IF(NOT(ISBLANK('Referenz Plattenfertiger'!$I24)),'Referenz Plattenfertiger'!$I24,'Referenz Plattenfertiger'!$F24)*IF(NOT(ISBLANK('Eingabe EF'!$AI11)),'Eingabe EF'!$AI11,'Eingabe EF'!$AG11)</f>
        <v>16.477956369819779</v>
      </c>
      <c r="V123" s="17"/>
      <c r="X123" s="37">
        <f t="shared" ref="X123:X131" si="22">S123+T123</f>
        <v>112.40320237984206</v>
      </c>
      <c r="Y123" s="37">
        <f t="shared" si="21"/>
        <v>128.88115874966184</v>
      </c>
      <c r="Z123" s="17" t="s">
        <v>184</v>
      </c>
      <c r="AA123" s="42"/>
      <c r="AB123" s="17"/>
      <c r="AC123" s="17" t="s">
        <v>153</v>
      </c>
      <c r="AD123" s="17"/>
      <c r="AE123" s="20"/>
      <c r="AG123" s="20"/>
      <c r="AH123" s="41">
        <f>IF(NOT(ISBLANK('Referenz Plattenfertiger'!$I24)),'Referenz Plattenfertiger'!$I24,'Referenz Plattenfertiger'!$F24)/1000*IF(NOT(ISBLANK('Eingabe Preise'!$K12)),'Eingabe Preise'!$K12,'Eingabe Preise'!$I12)</f>
        <v>69660</v>
      </c>
      <c r="AI123" s="20" t="s">
        <v>96</v>
      </c>
    </row>
    <row r="124" spans="2:35"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O124" s="275"/>
      <c r="P124" s="17"/>
      <c r="Q124" s="17" t="s">
        <v>111</v>
      </c>
      <c r="R124" s="17"/>
      <c r="S124" s="37">
        <f>IF(NOT(ISBLANK('Referenz Plattenfertiger'!$I25)),'Referenz Plattenfertiger'!$I25,'Referenz Plattenfertiger'!$F25)*IF(NOT(ISBLANK('Eingabe EF'!$AA13)),'Eingabe EF'!$AA13,'Eingabe EF'!$Y13)</f>
        <v>0</v>
      </c>
      <c r="T124" s="37">
        <f>IF(NOT(ISBLANK('Referenz Plattenfertiger'!$I25)),'Referenz Plattenfertiger'!$I25,'Referenz Plattenfertiger'!$F25)*IF(NOT(ISBLANK('Eingabe EF'!$AE13)),'Eingabe EF'!$AE13,'Eingabe EF'!$AC13)</f>
        <v>0</v>
      </c>
      <c r="U124" s="37">
        <f>IF(NOT(ISBLANK('Referenz Plattenfertiger'!$I25)),'Referenz Plattenfertiger'!$I25,'Referenz Plattenfertiger'!$F25)*IF(NOT(ISBLANK('Eingabe EF'!$AI13)),'Eingabe EF'!$AI13,'Eingabe EF'!$AG13)</f>
        <v>0</v>
      </c>
      <c r="V124" s="17"/>
      <c r="X124" s="37">
        <f t="shared" si="22"/>
        <v>0</v>
      </c>
      <c r="Y124" s="37">
        <f t="shared" si="21"/>
        <v>0</v>
      </c>
      <c r="Z124" s="17" t="s">
        <v>184</v>
      </c>
      <c r="AA124" s="42"/>
      <c r="AB124" s="17"/>
      <c r="AC124" s="17" t="s">
        <v>111</v>
      </c>
      <c r="AD124" s="17"/>
      <c r="AE124" s="20"/>
      <c r="AG124" s="20"/>
      <c r="AH124" s="41">
        <f>IF(NOT(ISBLANK('Referenz Plattenfertiger'!$I25)),'Referenz Plattenfertiger'!$I25,'Referenz Plattenfertiger'!$F25)/1000*IF(NOT(ISBLANK('Eingabe Preise'!$K13)),'Eingabe Preise'!$K13,'Eingabe Preise'!$I13)</f>
        <v>0</v>
      </c>
      <c r="AI124" s="20" t="s">
        <v>96</v>
      </c>
    </row>
    <row r="125" spans="2:35" ht="15.75" hidden="1" outlineLevel="1" x14ac:dyDescent="0.3">
      <c r="O125" s="275"/>
      <c r="P125" s="17"/>
      <c r="Q125" s="17" t="s">
        <v>135</v>
      </c>
      <c r="R125" s="17"/>
      <c r="S125" s="37">
        <f>IF(NOT(ISBLANK('Referenz Plattenfertiger'!$I26)),'Referenz Plattenfertiger'!$I26,'Referenz Plattenfertiger'!$F26)*IF(NOT(ISBLANK('Eingabe EF'!$AA14)),'Eingabe EF'!$AA14,0)</f>
        <v>0</v>
      </c>
      <c r="T125" s="37">
        <f>IF(NOT(ISBLANK('Referenz Plattenfertiger'!$I26)),'Referenz Plattenfertiger'!$I26,'Referenz Plattenfertiger'!$F26)*IF(NOT(ISBLANK('Eingabe EF'!$AE14)),'Eingabe EF'!$AE14,0)</f>
        <v>0</v>
      </c>
      <c r="U125" s="37">
        <f>IF(NOT(ISBLANK('Referenz Plattenfertiger'!$I26)),'Referenz Plattenfertiger'!$I26,'Referenz Plattenfertiger'!$F26)*IF(NOT(ISBLANK('Eingabe EF'!$AI14)),'Eingabe EF'!$AI14,0)</f>
        <v>0</v>
      </c>
      <c r="V125" s="17"/>
      <c r="X125" s="37">
        <f t="shared" si="22"/>
        <v>0</v>
      </c>
      <c r="Y125" s="37">
        <f t="shared" si="21"/>
        <v>0</v>
      </c>
      <c r="Z125" s="17" t="s">
        <v>184</v>
      </c>
      <c r="AA125" s="42"/>
      <c r="AB125" s="17"/>
      <c r="AC125" s="17" t="s">
        <v>135</v>
      </c>
      <c r="AD125" s="17"/>
      <c r="AE125" s="30"/>
      <c r="AG125" s="17"/>
      <c r="AH125" s="41">
        <f>IF(NOT(ISBLANK('Referenz Plattenfertiger'!$I26)),'Referenz Plattenfertiger'!$I26,'Referenz Plattenfertiger'!$F26)/1000*IF(NOT(ISBLANK('Eingabe Preise'!$K17)),'Eingabe Preise'!$K17,0)</f>
        <v>0</v>
      </c>
      <c r="AI125" s="20" t="s">
        <v>96</v>
      </c>
    </row>
    <row r="126" spans="2:35" hidden="1" outlineLevel="1" x14ac:dyDescent="0.2">
      <c r="O126" s="275"/>
      <c r="P126" s="17"/>
      <c r="Q126" s="17"/>
      <c r="R126" s="17"/>
      <c r="S126" s="20"/>
      <c r="T126" s="20"/>
      <c r="U126" s="20"/>
      <c r="V126" s="17"/>
      <c r="X126" s="17"/>
      <c r="Y126" s="17"/>
      <c r="Z126" s="17"/>
      <c r="AB126" s="17"/>
      <c r="AC126" s="17"/>
      <c r="AD126" s="17"/>
      <c r="AE126" s="30"/>
      <c r="AG126" s="17"/>
      <c r="AH126" s="17"/>
      <c r="AI126" s="17"/>
    </row>
    <row r="127" spans="2:35" ht="15.75" hidden="1" outlineLevel="1" x14ac:dyDescent="0.3">
      <c r="O127" s="276"/>
      <c r="P127" s="17" t="s">
        <v>408</v>
      </c>
      <c r="Q127" s="17" t="s">
        <v>32</v>
      </c>
      <c r="R127" s="17"/>
      <c r="S127" s="450">
        <f>(IF(NOT(ISBLANK('Referenz Plattenfertiger'!$I28)),'Referenz Plattenfertiger'!$I28,'Referenz Plattenfertiger'!$F28)-R110)*IF(NOT(ISBLANK('Eingabe EF'!$AA15)),'Eingabe EF'!$AA15,'Eingabe EF'!$Y15)</f>
        <v>27.776994101999996</v>
      </c>
      <c r="T127" s="450">
        <f>(IF(NOT(ISBLANK('Referenz Plattenfertiger'!$I28)),'Referenz Plattenfertiger'!$I28,'Referenz Plattenfertiger'!$F28)-R110)*IF(NOT(ISBLANK('Eingabe EF'!$AE15)),'Eingabe EF'!$AE15,'Eingabe EF'!$AC15)</f>
        <v>0</v>
      </c>
      <c r="U127" s="450">
        <f>(IF(NOT(ISBLANK('Referenz Plattenfertiger'!$I28)),'Referenz Plattenfertiger'!$I28,'Referenz Plattenfertiger'!$F28)-R110)*IF(NOT(ISBLANK('Eingabe EF'!$AI15)),'Eingabe EF'!$AI15,'Eingabe EF'!$AG15)</f>
        <v>4.9075703820000012</v>
      </c>
      <c r="V127" s="17"/>
      <c r="X127" s="37">
        <f t="shared" si="22"/>
        <v>27.776994101999996</v>
      </c>
      <c r="Y127" s="37">
        <f t="shared" si="21"/>
        <v>32.684564483999999</v>
      </c>
      <c r="Z127" s="17" t="s">
        <v>184</v>
      </c>
      <c r="AA127" s="42"/>
      <c r="AB127" s="17"/>
      <c r="AC127" s="17" t="s">
        <v>32</v>
      </c>
      <c r="AD127" s="17" t="s">
        <v>408</v>
      </c>
      <c r="AE127" s="30"/>
      <c r="AG127" s="17"/>
      <c r="AH127" s="41">
        <f>(IF(NOT(ISBLANK('Referenz Plattenfertiger'!$I28)),'Referenz Plattenfertiger'!$I28,'Referenz Plattenfertiger'!$F28)-R110)*IF(NOT(ISBLANK('Eingabe Preise'!$K14)),'Eingabe Preise'!$K14,'Eingabe Preise'!$I14)</f>
        <v>11745.800000000001</v>
      </c>
      <c r="AI127" s="20" t="s">
        <v>96</v>
      </c>
    </row>
    <row r="128" spans="2:35" ht="15.75" hidden="1" outlineLevel="1" x14ac:dyDescent="0.3">
      <c r="O128" s="275"/>
      <c r="P128" s="17" t="s">
        <v>70</v>
      </c>
      <c r="Q128" s="17" t="s">
        <v>32</v>
      </c>
      <c r="R128" s="17"/>
      <c r="S128" s="37">
        <f>IF(NOT(ISBLANK('Referenz Plattenfertiger'!$I29)),'Referenz Plattenfertiger'!$I29,'Referenz Plattenfertiger'!$F29)*IF(NOT(ISBLANK('Eingabe EF'!$AA15)),'Eingabe EF'!$AA15,'Eingabe EF'!$Y15)</f>
        <v>6.645213899999999</v>
      </c>
      <c r="T128" s="37">
        <f>IF(NOT(ISBLANK('Referenz Plattenfertiger'!$I29)),'Referenz Plattenfertiger'!$I29,'Referenz Plattenfertiger'!$F29)*IF(NOT(ISBLANK('Eingabe EF'!$AE15)),'Eingabe EF'!$AE15,'Eingabe EF'!$AC15)</f>
        <v>0</v>
      </c>
      <c r="U128" s="37">
        <f>IF(NOT(ISBLANK('Referenz Plattenfertiger'!$I29)),'Referenz Plattenfertiger'!$I29,'Referenz Plattenfertiger'!$F29)*IF(NOT(ISBLANK('Eingabe EF'!$AI15)),'Eingabe EF'!$AI15,'Eingabe EF'!$AG15)</f>
        <v>1.1740599000000003</v>
      </c>
      <c r="V128" s="17"/>
      <c r="X128" s="37">
        <f t="shared" si="22"/>
        <v>6.645213899999999</v>
      </c>
      <c r="Y128" s="37">
        <f t="shared" si="21"/>
        <v>7.8192737999999995</v>
      </c>
      <c r="Z128" s="17" t="s">
        <v>184</v>
      </c>
      <c r="AA128" s="42"/>
      <c r="AB128" s="17"/>
      <c r="AC128" s="17" t="s">
        <v>32</v>
      </c>
      <c r="AD128" s="17" t="s">
        <v>70</v>
      </c>
      <c r="AE128" s="30"/>
      <c r="AG128" s="17"/>
      <c r="AH128" s="41">
        <f>IF(NOT(ISBLANK('Referenz Plattenfertiger'!$I29)),'Referenz Plattenfertiger'!$I29,'Referenz Plattenfertiger'!$F29)*IF(NOT(ISBLANK('Eingabe Preise'!$K14)),'Eingabe Preise'!$K14,'Eingabe Preise'!$I14)</f>
        <v>2810.0000000000005</v>
      </c>
      <c r="AI128" s="20" t="s">
        <v>96</v>
      </c>
    </row>
    <row r="129" spans="15:42" ht="14.25" hidden="1" outlineLevel="1" x14ac:dyDescent="0.25">
      <c r="O129" s="69"/>
      <c r="P129" s="69" t="s">
        <v>175</v>
      </c>
      <c r="Q129" s="69"/>
      <c r="R129" s="69"/>
      <c r="S129" s="71"/>
      <c r="T129" s="71"/>
      <c r="U129" s="71">
        <f t="shared" ref="U129" si="23">U130+U131</f>
        <v>469.15642799999995</v>
      </c>
      <c r="V129" s="69"/>
      <c r="X129" s="71">
        <f t="shared" si="22"/>
        <v>0</v>
      </c>
      <c r="Y129" s="71">
        <f t="shared" si="21"/>
        <v>469.15642799999995</v>
      </c>
      <c r="Z129" s="76" t="s">
        <v>183</v>
      </c>
      <c r="AA129" s="72"/>
      <c r="AB129" s="17"/>
      <c r="AC129" s="21"/>
      <c r="AD129" s="21"/>
      <c r="AE129" s="73"/>
      <c r="AG129" s="21"/>
      <c r="AH129" s="21"/>
      <c r="AI129" s="21"/>
      <c r="AK129" s="72"/>
      <c r="AL129" s="72"/>
      <c r="AM129" s="72"/>
      <c r="AN129" s="72"/>
      <c r="AO129" s="72"/>
      <c r="AP129" s="72"/>
    </row>
    <row r="130" spans="15:42" ht="15.75" hidden="1" outlineLevel="1" x14ac:dyDescent="0.3">
      <c r="O130" s="17"/>
      <c r="P130" s="17"/>
      <c r="Q130" s="17" t="s">
        <v>43</v>
      </c>
      <c r="R130" s="17"/>
      <c r="S130" s="37"/>
      <c r="T130" s="37"/>
      <c r="U130" s="37">
        <f>IF(NOT(ISBLANK('Referenz Plattenfertiger'!$I32)),'Referenz Plattenfertiger'!$I32,'Referenz Plattenfertiger'!$F32)*IF(NOT(ISBLANK('Eingabe EF'!$AI17)),'Eingabe EF'!$AI17,'Eingabe EF'!$AG17)</f>
        <v>109.4698332</v>
      </c>
      <c r="V130" s="17"/>
      <c r="X130" s="37">
        <f t="shared" si="22"/>
        <v>0</v>
      </c>
      <c r="Y130" s="37">
        <f t="shared" si="21"/>
        <v>109.4698332</v>
      </c>
      <c r="Z130" s="17" t="s">
        <v>184</v>
      </c>
      <c r="AA130" s="42"/>
      <c r="AB130" s="17"/>
      <c r="AC130" s="17"/>
      <c r="AD130" s="17"/>
      <c r="AE130" s="30"/>
      <c r="AG130" s="17"/>
      <c r="AH130" s="17"/>
      <c r="AI130" s="17"/>
    </row>
    <row r="131" spans="15:42" ht="15.75" hidden="1" outlineLevel="1" x14ac:dyDescent="0.3">
      <c r="O131" s="17"/>
      <c r="P131" s="17"/>
      <c r="Q131" s="17" t="s">
        <v>44</v>
      </c>
      <c r="R131" s="17"/>
      <c r="S131" s="37"/>
      <c r="T131" s="37"/>
      <c r="U131" s="37">
        <f>IF(NOT(ISBLANK('Referenz Plattenfertiger'!$I33)),'Referenz Plattenfertiger'!$I33,'Referenz Plattenfertiger'!$F33)*IF(NOT(ISBLANK('Eingabe EF'!$AI18)),'Eingabe EF'!$AI18,'Eingabe EF'!$AG18)</f>
        <v>359.68659479999997</v>
      </c>
      <c r="V131" s="17"/>
      <c r="X131" s="37">
        <f t="shared" si="22"/>
        <v>0</v>
      </c>
      <c r="Y131" s="37">
        <f t="shared" si="21"/>
        <v>359.68659479999997</v>
      </c>
      <c r="Z131" s="17" t="s">
        <v>184</v>
      </c>
      <c r="AA131" s="42"/>
      <c r="AB131" s="17"/>
      <c r="AC131" s="17" t="s">
        <v>28</v>
      </c>
      <c r="AD131" s="17"/>
      <c r="AE131" s="30"/>
      <c r="AG131" s="17"/>
      <c r="AH131" s="41">
        <f>(IF(NOT(ISBLANK($G$27)),$G$27,$E$27)/IF(NOT(ISBLANK($G$32)),$G$32,$E$32)+IF(NOT(ISBLANK($G$27)),$G$27,$E$27)*(IF(NOT(ISBLANK($G$33)),$G$33,$E$33)/100))*R109</f>
        <v>28800</v>
      </c>
      <c r="AI131" s="20" t="s">
        <v>96</v>
      </c>
    </row>
    <row r="132" spans="15:42" hidden="1" outlineLevel="1" x14ac:dyDescent="0.2">
      <c r="O132" s="17"/>
      <c r="P132" s="17"/>
      <c r="Q132" s="17"/>
      <c r="R132" s="17"/>
      <c r="S132" s="20"/>
      <c r="T132" s="20"/>
      <c r="U132" s="20"/>
      <c r="V132" s="17"/>
      <c r="X132" s="20"/>
      <c r="Y132" s="20"/>
      <c r="Z132" s="17"/>
      <c r="AB132" s="17"/>
      <c r="AC132" s="44" t="s">
        <v>139</v>
      </c>
      <c r="AD132" s="17"/>
      <c r="AE132" s="30"/>
      <c r="AG132" s="17"/>
      <c r="AH132" s="41">
        <f>IF(NOT(ISBLANK($G$28)),$G$28,$E$28)</f>
        <v>0</v>
      </c>
      <c r="AI132" s="20" t="s">
        <v>96</v>
      </c>
    </row>
    <row r="133" spans="15:42" ht="14.25" hidden="1" outlineLevel="1" x14ac:dyDescent="0.25">
      <c r="O133" s="69"/>
      <c r="P133" s="69" t="s">
        <v>66</v>
      </c>
      <c r="Q133" s="70"/>
      <c r="R133" s="70"/>
      <c r="S133" s="71"/>
      <c r="T133" s="71"/>
      <c r="U133" s="71">
        <f>SUM(U134:U137)</f>
        <v>4548.5439999999999</v>
      </c>
      <c r="V133" s="70"/>
      <c r="X133" s="71">
        <f t="shared" ref="X133:X137" si="24">S133+T133</f>
        <v>0</v>
      </c>
      <c r="Y133" s="71">
        <f t="shared" ref="Y133:Y136" si="25">SUM(S133:U133)</f>
        <v>4548.5439999999999</v>
      </c>
      <c r="Z133" s="76" t="s">
        <v>183</v>
      </c>
      <c r="AB133" s="17"/>
      <c r="AC133" s="44" t="s">
        <v>146</v>
      </c>
      <c r="AD133" s="17"/>
      <c r="AE133" s="30"/>
      <c r="AG133" s="17"/>
      <c r="AH133" s="41">
        <f>IF(NOT(ISBLANK($G$29)),$G$29,$E$29)/IF(NOT(ISBLANK($G$32)),$G$32,$E$32)+IF(NOT(ISBLANK($G$29)),$G$29,$E$29)*(IF(NOT(ISBLANK($G$33)),$G$33,$E$33)/100)</f>
        <v>0</v>
      </c>
      <c r="AI133" s="20" t="s">
        <v>96</v>
      </c>
    </row>
    <row r="134" spans="15:42" ht="15.75" hidden="1" outlineLevel="1" x14ac:dyDescent="0.3">
      <c r="O134" s="17"/>
      <c r="P134" s="17"/>
      <c r="Q134" s="17" t="s">
        <v>45</v>
      </c>
      <c r="R134" s="17"/>
      <c r="S134" s="37"/>
      <c r="T134" s="37"/>
      <c r="U134" s="37">
        <f>'M1 Härtekammern'!T134</f>
        <v>1210.3</v>
      </c>
      <c r="V134" s="17"/>
      <c r="X134" s="37">
        <f t="shared" si="24"/>
        <v>0</v>
      </c>
      <c r="Y134" s="37">
        <f t="shared" si="25"/>
        <v>1210.3</v>
      </c>
      <c r="Z134" s="17" t="s">
        <v>184</v>
      </c>
      <c r="AA134" s="42"/>
      <c r="AB134" s="17"/>
      <c r="AC134" s="17"/>
      <c r="AD134" s="17"/>
      <c r="AE134" s="17"/>
      <c r="AG134" s="17"/>
      <c r="AH134" s="17"/>
      <c r="AI134" s="17"/>
    </row>
    <row r="135" spans="15:42" ht="15.75" hidden="1" outlineLevel="1" x14ac:dyDescent="0.3">
      <c r="O135" s="17"/>
      <c r="P135" s="17"/>
      <c r="Q135" s="17" t="s">
        <v>47</v>
      </c>
      <c r="R135" s="17"/>
      <c r="S135" s="37"/>
      <c r="T135" s="37"/>
      <c r="U135" s="37">
        <f>'M1 Härtekammern'!T135</f>
        <v>2415.5039999999999</v>
      </c>
      <c r="V135" s="17"/>
      <c r="X135" s="37">
        <f t="shared" si="24"/>
        <v>0</v>
      </c>
      <c r="Y135" s="37">
        <f t="shared" si="25"/>
        <v>2415.5039999999999</v>
      </c>
      <c r="Z135" s="17" t="s">
        <v>184</v>
      </c>
      <c r="AA135" s="42"/>
      <c r="AB135" s="17"/>
      <c r="AC135" s="17"/>
      <c r="AD135" s="17"/>
      <c r="AE135" s="17"/>
      <c r="AG135" s="17"/>
      <c r="AH135" s="17"/>
      <c r="AI135" s="17"/>
    </row>
    <row r="136" spans="15:42" ht="15.75" hidden="1" outlineLevel="1" x14ac:dyDescent="0.3">
      <c r="O136" s="17"/>
      <c r="P136" s="17"/>
      <c r="Q136" s="17" t="s">
        <v>48</v>
      </c>
      <c r="R136" s="17"/>
      <c r="S136" s="37"/>
      <c r="T136" s="37"/>
      <c r="U136" s="37">
        <f>'M1 Härtekammern'!T136</f>
        <v>922.7399999999999</v>
      </c>
      <c r="V136" s="17"/>
      <c r="X136" s="37">
        <f t="shared" si="24"/>
        <v>0</v>
      </c>
      <c r="Y136" s="37">
        <f t="shared" si="25"/>
        <v>922.7399999999999</v>
      </c>
      <c r="Z136" s="17" t="s">
        <v>184</v>
      </c>
      <c r="AA136" s="42"/>
      <c r="AB136" s="17"/>
      <c r="AC136" s="17" t="s">
        <v>186</v>
      </c>
      <c r="AD136" s="17"/>
      <c r="AE136" s="30"/>
      <c r="AG136" s="17"/>
      <c r="AH136" s="41">
        <f>S176*IF(NOT(ISBLANK('Eingabe Preise'!$K21)),'Eingabe Preise'!$K21,'Eingabe Preise'!$I21)</f>
        <v>4206.1683600899996</v>
      </c>
      <c r="AI136" s="20" t="s">
        <v>96</v>
      </c>
    </row>
    <row r="137" spans="15:42" ht="15.75" hidden="1" outlineLevel="1" x14ac:dyDescent="0.3">
      <c r="O137" s="17"/>
      <c r="P137" s="17"/>
      <c r="Q137" s="17" t="s">
        <v>147</v>
      </c>
      <c r="R137" s="17"/>
      <c r="S137" s="37"/>
      <c r="T137" s="37"/>
      <c r="U137" s="37">
        <f>'M1 Härtekammern'!T137</f>
        <v>0</v>
      </c>
      <c r="V137" s="17"/>
      <c r="X137" s="37">
        <f t="shared" si="24"/>
        <v>0</v>
      </c>
      <c r="Y137" s="37">
        <f t="shared" ref="Y137" si="26">SUM(S137:U137)</f>
        <v>0</v>
      </c>
      <c r="Z137" s="17" t="s">
        <v>184</v>
      </c>
      <c r="AA137" s="42"/>
      <c r="AB137" s="17"/>
      <c r="AC137" s="17" t="s">
        <v>187</v>
      </c>
      <c r="AD137" s="17"/>
      <c r="AE137" s="30"/>
      <c r="AG137" s="17"/>
      <c r="AH137" s="41">
        <f>T176*IF(NOT(ISBLANK('Eingabe Preise'!$K22)),'Eingabe Preise'!$K22,'Eingabe Preise'!$I22)</f>
        <v>5620.160118992103</v>
      </c>
      <c r="AI137" s="20" t="s">
        <v>96</v>
      </c>
    </row>
    <row r="138" spans="15:42" ht="15.75" hidden="1" outlineLevel="1" x14ac:dyDescent="0.3">
      <c r="O138" s="17"/>
      <c r="P138" s="17"/>
      <c r="Q138" s="17"/>
      <c r="R138" s="17"/>
      <c r="S138" s="20"/>
      <c r="T138" s="20"/>
      <c r="U138" s="20"/>
      <c r="V138" s="17"/>
      <c r="X138" s="17"/>
      <c r="Y138" s="20"/>
      <c r="Z138" s="20"/>
      <c r="AA138" s="42"/>
      <c r="AB138" s="17"/>
      <c r="AC138" s="17" t="s">
        <v>188</v>
      </c>
      <c r="AD138" s="17"/>
      <c r="AE138" s="30"/>
      <c r="AG138" s="17"/>
      <c r="AH138" s="41">
        <f>U176*IF(NOT(ISBLANK('Eingabe Preise'!$K23)),'Eingabe Preise'!$K23,'Eingabe Preise'!$I23)</f>
        <v>258482.75085190934</v>
      </c>
      <c r="AI138" s="20" t="s">
        <v>96</v>
      </c>
    </row>
    <row r="139" spans="15:42" ht="14.25" hidden="1" outlineLevel="1" x14ac:dyDescent="0.25">
      <c r="O139" s="69"/>
      <c r="P139" s="69" t="s">
        <v>163</v>
      </c>
      <c r="Q139" s="70"/>
      <c r="R139" s="70"/>
      <c r="S139" s="71"/>
      <c r="T139" s="71"/>
      <c r="U139" s="71">
        <f>SUM(U140:U144)</f>
        <v>129.59200000000001</v>
      </c>
      <c r="V139" s="70"/>
      <c r="X139" s="71">
        <f t="shared" ref="X139" si="27">S139+T139</f>
        <v>0</v>
      </c>
      <c r="Y139" s="71">
        <f t="shared" ref="Y139" si="28">SUM(S139:U139)</f>
        <v>129.59200000000001</v>
      </c>
      <c r="Z139" s="76" t="s">
        <v>183</v>
      </c>
      <c r="AA139" s="42"/>
      <c r="AB139" s="17"/>
      <c r="AC139" s="17"/>
      <c r="AD139" s="17"/>
      <c r="AE139" s="30"/>
      <c r="AG139" s="17"/>
      <c r="AH139" s="66"/>
      <c r="AI139" s="17"/>
    </row>
    <row r="140" spans="15:42" ht="15.75" hidden="1" outlineLevel="1" x14ac:dyDescent="0.3">
      <c r="O140" s="17"/>
      <c r="P140" s="17"/>
      <c r="Q140" s="17" t="s">
        <v>164</v>
      </c>
      <c r="R140" s="17"/>
      <c r="S140" s="37"/>
      <c r="T140" s="37"/>
      <c r="U140" s="37">
        <f>'M1 Härtekammern'!T140</f>
        <v>129.59200000000001</v>
      </c>
      <c r="V140" s="17"/>
      <c r="X140" s="37">
        <f>S140+T140</f>
        <v>0</v>
      </c>
      <c r="Y140" s="37">
        <f>SUM(S140:U140)</f>
        <v>129.59200000000001</v>
      </c>
      <c r="Z140" s="17" t="s">
        <v>184</v>
      </c>
      <c r="AA140" s="42"/>
      <c r="AB140" s="17"/>
      <c r="AC140" s="17"/>
      <c r="AD140" s="17"/>
      <c r="AE140" s="17"/>
      <c r="AG140" s="17"/>
      <c r="AH140" s="17"/>
      <c r="AI140" s="17"/>
    </row>
    <row r="141" spans="15:42" ht="15.75" hidden="1" outlineLevel="1" x14ac:dyDescent="0.3">
      <c r="O141" s="17"/>
      <c r="P141" s="17"/>
      <c r="Q141" s="17" t="s">
        <v>165</v>
      </c>
      <c r="R141" s="17"/>
      <c r="S141" s="37"/>
      <c r="T141" s="37"/>
      <c r="U141" s="37">
        <f>'M1 Härtekammern'!T141</f>
        <v>0</v>
      </c>
      <c r="V141" s="17"/>
      <c r="X141" s="37">
        <f t="shared" ref="X141:X142" si="29">S141+T141</f>
        <v>0</v>
      </c>
      <c r="Y141" s="37">
        <f t="shared" ref="Y141:Y142" si="30">SUM(S141:U141)</f>
        <v>0</v>
      </c>
      <c r="Z141" s="17" t="s">
        <v>184</v>
      </c>
      <c r="AA141" s="42"/>
      <c r="AB141" s="17"/>
      <c r="AC141" s="17"/>
      <c r="AD141" s="17"/>
      <c r="AE141" s="30"/>
      <c r="AG141" s="17"/>
      <c r="AH141" s="66"/>
      <c r="AI141" s="17"/>
    </row>
    <row r="142" spans="15:42" ht="15.75" hidden="1" outlineLevel="1" x14ac:dyDescent="0.3">
      <c r="O142" s="17"/>
      <c r="P142" s="17"/>
      <c r="Q142" s="17" t="s">
        <v>166</v>
      </c>
      <c r="R142" s="17"/>
      <c r="S142" s="37"/>
      <c r="T142" s="37"/>
      <c r="U142" s="37">
        <f>'M1 Härtekammern'!T142</f>
        <v>0</v>
      </c>
      <c r="V142" s="17"/>
      <c r="X142" s="37">
        <f t="shared" si="29"/>
        <v>0</v>
      </c>
      <c r="Y142" s="37">
        <f t="shared" si="30"/>
        <v>0</v>
      </c>
      <c r="Z142" s="17" t="s">
        <v>184</v>
      </c>
      <c r="AA142" s="42"/>
      <c r="AB142" s="42"/>
      <c r="AC142" s="42"/>
      <c r="AD142" s="42"/>
      <c r="AE142" s="42"/>
      <c r="AG142" s="42"/>
      <c r="AH142" s="42"/>
    </row>
    <row r="143" spans="15:42" ht="15.75" hidden="1" outlineLevel="1" x14ac:dyDescent="0.3">
      <c r="O143" s="17"/>
      <c r="P143" s="17"/>
      <c r="Q143" s="17" t="str">
        <f>'M1 Härtekammern'!P143</f>
        <v>Weiterer Zuschlagstoff 1</v>
      </c>
      <c r="R143" s="17"/>
      <c r="S143" s="37"/>
      <c r="T143" s="37"/>
      <c r="U143" s="37">
        <f>'M1 Härtekammern'!T143</f>
        <v>0</v>
      </c>
      <c r="V143" s="17"/>
      <c r="X143" s="37">
        <f t="shared" ref="X143:X144" si="31">S143+T143</f>
        <v>0</v>
      </c>
      <c r="Y143" s="37">
        <f t="shared" ref="Y143:Y144" si="32">SUM(S143:U143)</f>
        <v>0</v>
      </c>
      <c r="Z143" s="17" t="s">
        <v>184</v>
      </c>
      <c r="AA143" s="42"/>
      <c r="AB143" s="42"/>
      <c r="AC143" s="42"/>
      <c r="AD143" s="42"/>
      <c r="AE143" s="42"/>
      <c r="AG143" s="42"/>
      <c r="AH143" s="42"/>
    </row>
    <row r="144" spans="15:42" ht="15.75" hidden="1" outlineLevel="1" x14ac:dyDescent="0.3">
      <c r="O144" s="17"/>
      <c r="P144" s="17"/>
      <c r="Q144" s="17" t="str">
        <f>'M1 Härtekammern'!P144</f>
        <v>Weiterer Zuschlagstoff 2</v>
      </c>
      <c r="R144" s="17"/>
      <c r="S144" s="37"/>
      <c r="T144" s="37"/>
      <c r="U144" s="37">
        <f>'M1 Härtekammern'!T144</f>
        <v>0</v>
      </c>
      <c r="V144" s="17"/>
      <c r="X144" s="37">
        <f t="shared" si="31"/>
        <v>0</v>
      </c>
      <c r="Y144" s="37">
        <f t="shared" si="32"/>
        <v>0</v>
      </c>
      <c r="Z144" s="17" t="s">
        <v>184</v>
      </c>
      <c r="AA144" s="42"/>
      <c r="AB144" s="42"/>
      <c r="AC144" s="42"/>
      <c r="AD144" s="42"/>
      <c r="AE144" s="42"/>
      <c r="AG144" s="42"/>
      <c r="AH144" s="42"/>
    </row>
    <row r="145" spans="15:34" hidden="1" outlineLevel="1" x14ac:dyDescent="0.2">
      <c r="O145" s="17"/>
      <c r="P145" s="17"/>
      <c r="Q145" s="17"/>
      <c r="R145" s="17"/>
      <c r="S145" s="20"/>
      <c r="T145" s="20"/>
      <c r="U145" s="20"/>
      <c r="V145" s="17"/>
      <c r="X145" s="17"/>
      <c r="Y145" s="20"/>
      <c r="Z145" s="20"/>
      <c r="AA145" s="42"/>
      <c r="AB145" s="42"/>
      <c r="AC145" s="42"/>
      <c r="AD145" s="42"/>
      <c r="AE145" s="42"/>
      <c r="AG145" s="42"/>
      <c r="AH145" s="42"/>
    </row>
    <row r="146" spans="15:34" ht="14.25" hidden="1" outlineLevel="1" x14ac:dyDescent="0.25">
      <c r="O146" s="17"/>
      <c r="P146" s="17"/>
      <c r="Q146" s="21" t="s">
        <v>55</v>
      </c>
      <c r="R146" s="21"/>
      <c r="S146" s="74"/>
      <c r="T146" s="74"/>
      <c r="U146" s="37">
        <f>'M1 Härtekammern'!T146</f>
        <v>208</v>
      </c>
      <c r="V146" s="21"/>
      <c r="X146" s="74">
        <f>S146+T146</f>
        <v>0</v>
      </c>
      <c r="Y146" s="74">
        <f t="shared" ref="Y146" si="33">SUM(S146:U146)</f>
        <v>208</v>
      </c>
      <c r="Z146" s="21" t="s">
        <v>183</v>
      </c>
      <c r="AA146" s="42"/>
      <c r="AB146" s="42"/>
      <c r="AC146" s="42"/>
      <c r="AD146" s="42"/>
      <c r="AE146" s="42"/>
      <c r="AG146" s="42"/>
      <c r="AH146" s="42"/>
    </row>
    <row r="147" spans="15:34" hidden="1" outlineLevel="1" x14ac:dyDescent="0.2">
      <c r="O147" s="17"/>
      <c r="P147" s="17"/>
      <c r="Q147" s="17"/>
      <c r="R147" s="17"/>
      <c r="S147" s="20"/>
      <c r="T147" s="20"/>
      <c r="U147" s="20"/>
      <c r="V147" s="17"/>
      <c r="X147" s="17"/>
      <c r="Y147" s="20"/>
      <c r="Z147" s="20"/>
      <c r="AA147" s="42"/>
      <c r="AB147" s="42"/>
      <c r="AC147" s="42"/>
      <c r="AD147" s="42"/>
      <c r="AE147" s="42"/>
      <c r="AG147" s="42"/>
      <c r="AH147" s="42"/>
    </row>
    <row r="148" spans="15:34" ht="14.25" hidden="1" outlineLevel="1" x14ac:dyDescent="0.25">
      <c r="O148" s="69"/>
      <c r="P148" s="69" t="s">
        <v>167</v>
      </c>
      <c r="Q148" s="70"/>
      <c r="R148" s="70"/>
      <c r="S148" s="71"/>
      <c r="T148" s="71"/>
      <c r="U148" s="71">
        <f>SUM(U149:U153)</f>
        <v>81.003999999999991</v>
      </c>
      <c r="V148" s="70"/>
      <c r="X148" s="71">
        <f t="shared" ref="X148" si="34">S148+T148</f>
        <v>0</v>
      </c>
      <c r="Y148" s="71">
        <f t="shared" ref="Y148" si="35">SUM(S148:U148)</f>
        <v>81.003999999999991</v>
      </c>
      <c r="Z148" s="76" t="s">
        <v>183</v>
      </c>
      <c r="AA148" s="42"/>
      <c r="AB148" s="42"/>
      <c r="AC148" s="42"/>
      <c r="AD148" s="42"/>
      <c r="AE148" s="42"/>
      <c r="AG148" s="42"/>
      <c r="AH148" s="42"/>
    </row>
    <row r="149" spans="15:34" ht="15.75" hidden="1" outlineLevel="1" x14ac:dyDescent="0.3">
      <c r="O149" s="17"/>
      <c r="P149" s="17"/>
      <c r="Q149" s="17" t="s">
        <v>57</v>
      </c>
      <c r="R149" s="17"/>
      <c r="S149" s="37"/>
      <c r="T149" s="37"/>
      <c r="U149" s="37">
        <f>'M1 Härtekammern'!T149</f>
        <v>0</v>
      </c>
      <c r="V149" s="17"/>
      <c r="X149" s="37">
        <f>S149+T149</f>
        <v>0</v>
      </c>
      <c r="Y149" s="37">
        <f>SUM(S149:U149)</f>
        <v>0</v>
      </c>
      <c r="Z149" s="17" t="s">
        <v>184</v>
      </c>
      <c r="AA149" s="42"/>
      <c r="AB149" s="42"/>
      <c r="AC149" s="42"/>
      <c r="AD149" s="42"/>
      <c r="AE149" s="42"/>
      <c r="AG149" s="42"/>
      <c r="AH149" s="42"/>
    </row>
    <row r="150" spans="15:34" ht="15.75" hidden="1" outlineLevel="1" x14ac:dyDescent="0.3">
      <c r="O150" s="17"/>
      <c r="P150" s="17"/>
      <c r="Q150" s="17" t="s">
        <v>58</v>
      </c>
      <c r="R150" s="17"/>
      <c r="S150" s="37"/>
      <c r="T150" s="37"/>
      <c r="U150" s="37">
        <f>'M1 Härtekammern'!T150</f>
        <v>8.6840000000000011</v>
      </c>
      <c r="V150" s="17"/>
      <c r="X150" s="37">
        <f>S150+T150</f>
        <v>0</v>
      </c>
      <c r="Y150" s="37">
        <f>SUM(S150:U150)</f>
        <v>8.6840000000000011</v>
      </c>
      <c r="Z150" s="17" t="s">
        <v>184</v>
      </c>
      <c r="AA150" s="42"/>
      <c r="AB150" s="42"/>
      <c r="AC150" s="42"/>
      <c r="AD150" s="42"/>
      <c r="AE150" s="42"/>
      <c r="AG150" s="42"/>
      <c r="AH150" s="42"/>
    </row>
    <row r="151" spans="15:34" ht="15.75" hidden="1" outlineLevel="1" x14ac:dyDescent="0.3">
      <c r="O151" s="17"/>
      <c r="P151" s="17"/>
      <c r="Q151" s="17" t="s">
        <v>59</v>
      </c>
      <c r="R151" s="17"/>
      <c r="S151" s="37"/>
      <c r="T151" s="37"/>
      <c r="U151" s="37">
        <f>'M1 Härtekammern'!T151</f>
        <v>72.319999999999993</v>
      </c>
      <c r="V151" s="17"/>
      <c r="X151" s="37">
        <f>S151+T151</f>
        <v>0</v>
      </c>
      <c r="Y151" s="37">
        <f>SUM(S151:U151)</f>
        <v>72.319999999999993</v>
      </c>
      <c r="Z151" s="17" t="s">
        <v>184</v>
      </c>
      <c r="AA151" s="42"/>
      <c r="AB151" s="42"/>
      <c r="AC151" s="42"/>
      <c r="AD151" s="42"/>
      <c r="AE151" s="42"/>
      <c r="AG151" s="42"/>
      <c r="AH151" s="42"/>
    </row>
    <row r="152" spans="15:34" ht="15.75" hidden="1" outlineLevel="1" x14ac:dyDescent="0.3">
      <c r="O152" s="17"/>
      <c r="P152" s="17"/>
      <c r="Q152" s="17" t="str">
        <f>'M1 Härtekammern'!P152</f>
        <v>Weiterer Zusatzstoff 1</v>
      </c>
      <c r="R152" s="17"/>
      <c r="S152" s="37"/>
      <c r="T152" s="37"/>
      <c r="U152" s="37">
        <f>'M1 Härtekammern'!T152</f>
        <v>0</v>
      </c>
      <c r="V152" s="17"/>
      <c r="X152" s="37">
        <f t="shared" ref="X152:X153" si="36">S152+T152</f>
        <v>0</v>
      </c>
      <c r="Y152" s="37">
        <f t="shared" ref="Y152:Y153" si="37">SUM(S152:U152)</f>
        <v>0</v>
      </c>
      <c r="Z152" s="17" t="s">
        <v>184</v>
      </c>
      <c r="AA152" s="42"/>
      <c r="AB152" s="42"/>
      <c r="AC152" s="42"/>
      <c r="AD152" s="42"/>
      <c r="AE152" s="42"/>
      <c r="AG152" s="42"/>
      <c r="AH152" s="42"/>
    </row>
    <row r="153" spans="15:34" ht="15.75" hidden="1" outlineLevel="1" x14ac:dyDescent="0.3">
      <c r="O153" s="17"/>
      <c r="P153" s="17"/>
      <c r="Q153" s="17" t="str">
        <f>'M1 Härtekammern'!P153</f>
        <v>Weiterer Zusatzstoff 2</v>
      </c>
      <c r="R153" s="17"/>
      <c r="S153" s="37"/>
      <c r="T153" s="37"/>
      <c r="U153" s="37">
        <f>'M1 Härtekammern'!T153</f>
        <v>0</v>
      </c>
      <c r="V153" s="17"/>
      <c r="X153" s="37">
        <f t="shared" si="36"/>
        <v>0</v>
      </c>
      <c r="Y153" s="37">
        <f t="shared" si="37"/>
        <v>0</v>
      </c>
      <c r="Z153" s="17" t="s">
        <v>184</v>
      </c>
      <c r="AA153" s="42"/>
      <c r="AB153" s="42"/>
      <c r="AC153" s="42"/>
      <c r="AD153" s="42"/>
      <c r="AE153" s="42"/>
      <c r="AG153" s="42"/>
      <c r="AH153" s="42"/>
    </row>
    <row r="154" spans="15:34" hidden="1" outlineLevel="1" x14ac:dyDescent="0.2">
      <c r="O154" s="17"/>
      <c r="P154" s="17"/>
      <c r="Q154" s="17"/>
      <c r="R154" s="17"/>
      <c r="S154" s="20"/>
      <c r="T154" s="20"/>
      <c r="U154" s="20"/>
      <c r="V154" s="17"/>
      <c r="X154" s="17"/>
      <c r="Y154" s="20"/>
      <c r="Z154" s="20"/>
      <c r="AA154" s="42"/>
      <c r="AB154" s="42"/>
      <c r="AC154" s="42"/>
      <c r="AD154" s="42"/>
      <c r="AE154" s="42"/>
      <c r="AG154" s="42"/>
      <c r="AH154" s="42"/>
    </row>
    <row r="155" spans="15:34" ht="14.25" hidden="1" outlineLevel="1" x14ac:dyDescent="0.25">
      <c r="O155" s="69"/>
      <c r="P155" s="69" t="s">
        <v>49</v>
      </c>
      <c r="Q155" s="70"/>
      <c r="R155" s="70"/>
      <c r="S155" s="71"/>
      <c r="T155" s="71"/>
      <c r="U155" s="71">
        <f>SUM(U156:U159)</f>
        <v>148.44746134951595</v>
      </c>
      <c r="V155" s="70"/>
      <c r="X155" s="71">
        <f t="shared" ref="X155:X159" si="38">S155+T155</f>
        <v>0</v>
      </c>
      <c r="Y155" s="71">
        <f t="shared" ref="Y155" si="39">SUM(S155:U155)</f>
        <v>148.44746134951595</v>
      </c>
      <c r="Z155" s="76" t="s">
        <v>183</v>
      </c>
      <c r="AA155" s="42"/>
      <c r="AB155" s="42"/>
      <c r="AC155" s="42"/>
      <c r="AD155" s="42"/>
      <c r="AE155" s="42"/>
      <c r="AG155" s="42"/>
      <c r="AH155" s="42"/>
    </row>
    <row r="156" spans="15:34" ht="15.75" hidden="1" outlineLevel="1" x14ac:dyDescent="0.3">
      <c r="O156" s="17"/>
      <c r="P156" s="17"/>
      <c r="Q156" s="17" t="s">
        <v>50</v>
      </c>
      <c r="R156" s="17"/>
      <c r="S156" s="37"/>
      <c r="T156" s="37"/>
      <c r="U156" s="37">
        <f>'M1 Härtekammern'!T156</f>
        <v>47.997919375812742</v>
      </c>
      <c r="V156" s="17"/>
      <c r="X156" s="37">
        <f t="shared" si="38"/>
        <v>0</v>
      </c>
      <c r="Y156" s="37">
        <f t="shared" ref="Y156:Y159" si="40">SUM(S156:U156)</f>
        <v>47.997919375812742</v>
      </c>
      <c r="Z156" s="17" t="s">
        <v>184</v>
      </c>
      <c r="AA156" s="42"/>
      <c r="AB156" s="42"/>
      <c r="AC156" s="42"/>
      <c r="AD156" s="42"/>
      <c r="AE156" s="42"/>
      <c r="AG156" s="42"/>
      <c r="AH156" s="42"/>
    </row>
    <row r="157" spans="15:34" ht="15.75" hidden="1" outlineLevel="1" x14ac:dyDescent="0.3">
      <c r="O157" s="17"/>
      <c r="P157" s="17"/>
      <c r="Q157" s="17" t="s">
        <v>52</v>
      </c>
      <c r="R157" s="17"/>
      <c r="S157" s="37"/>
      <c r="T157" s="37"/>
      <c r="U157" s="37">
        <f>'M1 Härtekammern'!T157</f>
        <v>5.7797543707556596</v>
      </c>
      <c r="V157" s="17"/>
      <c r="X157" s="37">
        <f t="shared" si="38"/>
        <v>0</v>
      </c>
      <c r="Y157" s="37">
        <f t="shared" si="40"/>
        <v>5.7797543707556596</v>
      </c>
      <c r="Z157" s="17" t="s">
        <v>184</v>
      </c>
      <c r="AA157" s="42"/>
      <c r="AB157" s="42"/>
      <c r="AC157" s="42"/>
      <c r="AD157" s="42"/>
      <c r="AE157" s="42"/>
      <c r="AG157" s="42"/>
      <c r="AH157" s="42"/>
    </row>
    <row r="158" spans="15:34" ht="15.75" hidden="1" outlineLevel="1" x14ac:dyDescent="0.3">
      <c r="O158" s="17"/>
      <c r="P158" s="17"/>
      <c r="Q158" s="17" t="s">
        <v>53</v>
      </c>
      <c r="R158" s="17"/>
      <c r="S158" s="37"/>
      <c r="T158" s="37"/>
      <c r="U158" s="37">
        <f>'M1 Härtekammern'!T158</f>
        <v>1.4217598612917211E-2</v>
      </c>
      <c r="V158" s="17"/>
      <c r="X158" s="37">
        <f t="shared" si="38"/>
        <v>0</v>
      </c>
      <c r="Y158" s="37">
        <f t="shared" si="40"/>
        <v>1.4217598612917211E-2</v>
      </c>
      <c r="Z158" s="17" t="s">
        <v>184</v>
      </c>
      <c r="AA158" s="42"/>
      <c r="AB158" s="42"/>
      <c r="AC158" s="42"/>
      <c r="AD158" s="42"/>
      <c r="AE158" s="42"/>
      <c r="AG158" s="42"/>
      <c r="AH158" s="42"/>
    </row>
    <row r="159" spans="15:34" ht="15.75" hidden="1" outlineLevel="1" x14ac:dyDescent="0.3">
      <c r="O159" s="17"/>
      <c r="P159" s="17"/>
      <c r="Q159" s="17" t="s">
        <v>54</v>
      </c>
      <c r="R159" s="17"/>
      <c r="S159" s="37"/>
      <c r="T159" s="37"/>
      <c r="U159" s="37">
        <f>'M1 Härtekammern'!T159</f>
        <v>94.655570004334635</v>
      </c>
      <c r="V159" s="17"/>
      <c r="X159" s="37">
        <f t="shared" si="38"/>
        <v>0</v>
      </c>
      <c r="Y159" s="37">
        <f t="shared" si="40"/>
        <v>94.655570004334635</v>
      </c>
      <c r="Z159" s="17" t="s">
        <v>184</v>
      </c>
      <c r="AA159" s="42"/>
      <c r="AB159" s="42"/>
      <c r="AC159" s="42"/>
      <c r="AD159" s="42"/>
      <c r="AE159" s="42"/>
      <c r="AG159" s="42"/>
      <c r="AH159" s="42"/>
    </row>
    <row r="160" spans="15:34" hidden="1" outlineLevel="1" x14ac:dyDescent="0.2">
      <c r="O160" s="17"/>
      <c r="P160" s="17"/>
      <c r="Q160" s="17"/>
      <c r="R160" s="17"/>
      <c r="S160" s="20"/>
      <c r="T160" s="20"/>
      <c r="U160" s="20"/>
      <c r="V160" s="17"/>
      <c r="X160" s="20"/>
      <c r="Y160" s="20"/>
      <c r="Z160" s="17"/>
      <c r="AA160" s="42"/>
      <c r="AB160" s="42"/>
      <c r="AC160" s="42"/>
      <c r="AD160" s="42"/>
      <c r="AE160" s="42"/>
      <c r="AG160" s="42"/>
      <c r="AH160" s="42"/>
    </row>
    <row r="161" spans="14:42" ht="14.25" hidden="1" outlineLevel="1" x14ac:dyDescent="0.25">
      <c r="O161" s="17"/>
      <c r="P161" s="17"/>
      <c r="Q161" s="21" t="s">
        <v>99</v>
      </c>
      <c r="R161" s="21"/>
      <c r="S161" s="74"/>
      <c r="T161" s="74"/>
      <c r="U161" s="37">
        <f>'M1 Härtekammern'!T161</f>
        <v>0</v>
      </c>
      <c r="V161" s="21"/>
      <c r="X161" s="74">
        <f>S161+T161</f>
        <v>0</v>
      </c>
      <c r="Y161" s="74">
        <f>SUM(S161:U161)</f>
        <v>0</v>
      </c>
      <c r="Z161" s="21" t="s">
        <v>183</v>
      </c>
      <c r="AA161" s="42"/>
      <c r="AB161" s="42"/>
      <c r="AC161" s="42"/>
      <c r="AD161" s="42"/>
      <c r="AE161" s="42"/>
      <c r="AG161" s="42"/>
      <c r="AH161" s="42"/>
    </row>
    <row r="162" spans="14:42" ht="14.25" hidden="1" outlineLevel="1" x14ac:dyDescent="0.25">
      <c r="O162" s="17"/>
      <c r="P162" s="17"/>
      <c r="Q162" s="21" t="s">
        <v>62</v>
      </c>
      <c r="R162" s="21"/>
      <c r="S162" s="74"/>
      <c r="T162" s="74"/>
      <c r="U162" s="37">
        <f>'M1 Härtekammern'!T162</f>
        <v>0.54400000000000004</v>
      </c>
      <c r="V162" s="21"/>
      <c r="X162" s="74">
        <f>S162+T162</f>
        <v>0</v>
      </c>
      <c r="Y162" s="74">
        <f>SUM(S162:U162)</f>
        <v>0.54400000000000004</v>
      </c>
      <c r="Z162" s="21" t="s">
        <v>183</v>
      </c>
      <c r="AA162" s="42"/>
      <c r="AB162" s="42"/>
      <c r="AC162" s="42"/>
      <c r="AD162" s="42"/>
      <c r="AE162" s="42"/>
      <c r="AG162" s="42"/>
      <c r="AH162" s="42"/>
    </row>
    <row r="163" spans="14:42" hidden="1" outlineLevel="1" x14ac:dyDescent="0.2">
      <c r="O163" s="17"/>
      <c r="P163" s="17"/>
      <c r="Q163" s="17"/>
      <c r="R163" s="17"/>
      <c r="S163" s="20"/>
      <c r="T163" s="20"/>
      <c r="U163" s="20"/>
      <c r="V163" s="17"/>
      <c r="X163" s="20"/>
      <c r="Y163" s="20"/>
      <c r="Z163" s="17"/>
      <c r="AA163" s="42"/>
      <c r="AB163" s="42"/>
      <c r="AC163" s="42"/>
      <c r="AD163" s="42"/>
      <c r="AE163" s="42"/>
      <c r="AG163" s="42"/>
      <c r="AH163" s="42"/>
    </row>
    <row r="164" spans="14:42" ht="14.25" hidden="1" outlineLevel="1" x14ac:dyDescent="0.25">
      <c r="O164" s="69"/>
      <c r="P164" s="69" t="s">
        <v>168</v>
      </c>
      <c r="Q164" s="70"/>
      <c r="R164" s="70"/>
      <c r="S164" s="71"/>
      <c r="T164" s="71"/>
      <c r="U164" s="71">
        <f>SUM(U165:U167)</f>
        <v>0.16095999999999999</v>
      </c>
      <c r="V164" s="70"/>
      <c r="X164" s="71">
        <f t="shared" ref="X164:X167" si="41">S164+T164</f>
        <v>0</v>
      </c>
      <c r="Y164" s="71">
        <f t="shared" ref="Y164" si="42">SUM(S164:U164)</f>
        <v>0.16095999999999999</v>
      </c>
      <c r="Z164" s="76" t="s">
        <v>183</v>
      </c>
      <c r="AA164" s="42"/>
      <c r="AB164" s="42"/>
      <c r="AC164" s="42"/>
      <c r="AD164" s="42"/>
      <c r="AE164" s="42"/>
      <c r="AG164" s="42"/>
      <c r="AH164" s="42"/>
    </row>
    <row r="165" spans="14:42" ht="15.75" hidden="1" outlineLevel="1" x14ac:dyDescent="0.3">
      <c r="O165" s="17"/>
      <c r="P165" s="17"/>
      <c r="Q165" s="17" t="s">
        <v>169</v>
      </c>
      <c r="R165" s="17"/>
      <c r="S165" s="37"/>
      <c r="T165" s="37"/>
      <c r="U165" s="37">
        <f>'M1 Härtekammern'!T165</f>
        <v>0</v>
      </c>
      <c r="V165" s="17"/>
      <c r="X165" s="37">
        <f t="shared" si="41"/>
        <v>0</v>
      </c>
      <c r="Y165" s="37">
        <f t="shared" ref="Y165:Y167" si="43">SUM(S165:U165)</f>
        <v>0</v>
      </c>
      <c r="Z165" s="17" t="s">
        <v>184</v>
      </c>
      <c r="AA165" s="42"/>
      <c r="AB165" s="42"/>
      <c r="AC165" s="42"/>
      <c r="AD165" s="42"/>
      <c r="AE165" s="42"/>
      <c r="AG165" s="42"/>
      <c r="AH165" s="42"/>
    </row>
    <row r="166" spans="14:42" ht="15.75" hidden="1" outlineLevel="1" x14ac:dyDescent="0.3">
      <c r="O166" s="17"/>
      <c r="P166" s="17"/>
      <c r="Q166" s="17" t="s">
        <v>60</v>
      </c>
      <c r="R166" s="17"/>
      <c r="S166" s="37"/>
      <c r="T166" s="37"/>
      <c r="U166" s="37">
        <f>'M1 Härtekammern'!T166</f>
        <v>0.16095999999999999</v>
      </c>
      <c r="V166" s="17"/>
      <c r="X166" s="37">
        <f t="shared" si="41"/>
        <v>0</v>
      </c>
      <c r="Y166" s="37">
        <f t="shared" si="43"/>
        <v>0.16095999999999999</v>
      </c>
      <c r="Z166" s="17" t="s">
        <v>184</v>
      </c>
      <c r="AA166" s="42"/>
      <c r="AB166" s="42"/>
      <c r="AC166" s="42"/>
      <c r="AD166" s="42"/>
      <c r="AE166" s="42"/>
      <c r="AG166" s="42"/>
      <c r="AH166" s="42"/>
    </row>
    <row r="167" spans="14:42" ht="15.75" hidden="1" outlineLevel="1" x14ac:dyDescent="0.3">
      <c r="O167" s="17"/>
      <c r="P167" s="17"/>
      <c r="Q167" s="17" t="s">
        <v>170</v>
      </c>
      <c r="R167" s="17"/>
      <c r="S167" s="37"/>
      <c r="T167" s="37"/>
      <c r="U167" s="37">
        <f>'M1 Härtekammern'!T167</f>
        <v>0</v>
      </c>
      <c r="V167" s="17"/>
      <c r="X167" s="37">
        <f t="shared" si="41"/>
        <v>0</v>
      </c>
      <c r="Y167" s="37">
        <f t="shared" si="43"/>
        <v>0</v>
      </c>
      <c r="Z167" s="17" t="s">
        <v>184</v>
      </c>
      <c r="AA167" s="42"/>
      <c r="AB167" s="42"/>
      <c r="AC167" s="42"/>
      <c r="AD167" s="42"/>
      <c r="AE167" s="42"/>
      <c r="AG167" s="42"/>
      <c r="AH167" s="42"/>
    </row>
    <row r="168" spans="14:42" s="72" customFormat="1" hidden="1" outlineLevel="1" x14ac:dyDescent="0.2">
      <c r="N168" s="131"/>
      <c r="O168" s="17"/>
      <c r="P168" s="17"/>
      <c r="Q168" s="17"/>
      <c r="R168" s="17"/>
      <c r="S168" s="20"/>
      <c r="T168" s="20"/>
      <c r="U168" s="20"/>
      <c r="V168" s="17"/>
      <c r="W168" s="2"/>
      <c r="X168" s="17"/>
      <c r="Y168" s="17"/>
      <c r="Z168" s="20"/>
      <c r="AA168" s="42"/>
      <c r="AB168" s="42"/>
      <c r="AC168" s="42"/>
      <c r="AD168" s="42"/>
      <c r="AE168" s="42"/>
      <c r="AF168" s="131"/>
      <c r="AG168" s="42"/>
      <c r="AH168" s="42"/>
      <c r="AI168" s="6"/>
      <c r="AJ168" s="6"/>
      <c r="AK168" s="6"/>
      <c r="AL168" s="6"/>
      <c r="AM168" s="6"/>
      <c r="AN168" s="6"/>
      <c r="AO168" s="6"/>
      <c r="AP168" s="6"/>
    </row>
    <row r="169" spans="14:42" ht="14.25" hidden="1" outlineLevel="1" x14ac:dyDescent="0.25">
      <c r="O169" s="69"/>
      <c r="P169" s="69" t="s">
        <v>171</v>
      </c>
      <c r="Q169" s="70"/>
      <c r="R169" s="70"/>
      <c r="S169" s="71"/>
      <c r="T169" s="71"/>
      <c r="U169" s="71">
        <f>SUM(U170:U172)</f>
        <v>60</v>
      </c>
      <c r="V169" s="70"/>
      <c r="X169" s="71">
        <f>S169+T169</f>
        <v>0</v>
      </c>
      <c r="Y169" s="71">
        <f t="shared" ref="Y169" si="44">SUM(S169:U169)</f>
        <v>60</v>
      </c>
      <c r="Z169" s="76" t="s">
        <v>183</v>
      </c>
      <c r="AA169" s="42"/>
      <c r="AB169" s="42"/>
      <c r="AC169" s="42"/>
      <c r="AD169" s="42"/>
      <c r="AE169" s="42"/>
      <c r="AG169" s="42"/>
      <c r="AH169" s="42"/>
    </row>
    <row r="170" spans="14:42" ht="15.75" hidden="1" outlineLevel="1" x14ac:dyDescent="0.3">
      <c r="O170" s="17"/>
      <c r="P170" s="17"/>
      <c r="Q170" s="17" t="s">
        <v>64</v>
      </c>
      <c r="R170" s="17"/>
      <c r="S170" s="37"/>
      <c r="T170" s="37"/>
      <c r="U170" s="37">
        <f>'M1 Härtekammern'!T170</f>
        <v>60</v>
      </c>
      <c r="V170" s="17"/>
      <c r="X170" s="37">
        <f>S170+T170</f>
        <v>0</v>
      </c>
      <c r="Y170" s="37">
        <f>SUM(S170:U170)</f>
        <v>60</v>
      </c>
      <c r="Z170" s="17" t="s">
        <v>184</v>
      </c>
      <c r="AA170" s="42"/>
      <c r="AB170" s="42"/>
      <c r="AC170" s="42"/>
      <c r="AD170" s="42"/>
      <c r="AE170" s="42"/>
      <c r="AG170" s="42"/>
      <c r="AH170" s="42"/>
    </row>
    <row r="171" spans="14:42" ht="15.75" hidden="1" outlineLevel="1" x14ac:dyDescent="0.3">
      <c r="O171" s="17"/>
      <c r="P171" s="17"/>
      <c r="Q171" s="17" t="s">
        <v>173</v>
      </c>
      <c r="R171" s="17"/>
      <c r="S171" s="37"/>
      <c r="T171" s="37"/>
      <c r="U171" s="37">
        <f>'M1 Härtekammern'!T171</f>
        <v>0</v>
      </c>
      <c r="V171" s="17"/>
      <c r="X171" s="37">
        <f t="shared" ref="X171:X172" si="45">S171+T171</f>
        <v>0</v>
      </c>
      <c r="Y171" s="37">
        <f t="shared" ref="Y171:Y172" si="46">SUM(S171:U171)</f>
        <v>0</v>
      </c>
      <c r="Z171" s="17" t="s">
        <v>184</v>
      </c>
      <c r="AA171" s="42"/>
      <c r="AB171" s="42"/>
      <c r="AC171" s="42"/>
      <c r="AD171" s="42"/>
      <c r="AE171" s="42"/>
      <c r="AG171" s="42"/>
      <c r="AH171" s="42"/>
    </row>
    <row r="172" spans="14:42" ht="15.75" hidden="1" outlineLevel="1" x14ac:dyDescent="0.3">
      <c r="O172" s="17"/>
      <c r="P172" s="17"/>
      <c r="Q172" s="17" t="s">
        <v>172</v>
      </c>
      <c r="R172" s="17"/>
      <c r="S172" s="37"/>
      <c r="T172" s="37"/>
      <c r="U172" s="37">
        <f>'M1 Härtekammern'!T172</f>
        <v>0</v>
      </c>
      <c r="V172" s="17"/>
      <c r="W172" s="131"/>
      <c r="X172" s="37">
        <f t="shared" si="45"/>
        <v>0</v>
      </c>
      <c r="Y172" s="37">
        <f t="shared" si="46"/>
        <v>0</v>
      </c>
      <c r="Z172" s="17" t="s">
        <v>184</v>
      </c>
      <c r="AA172" s="42"/>
      <c r="AB172" s="42"/>
      <c r="AC172" s="42"/>
      <c r="AD172" s="42"/>
      <c r="AE172" s="42"/>
      <c r="AG172" s="42"/>
      <c r="AH172" s="42"/>
    </row>
    <row r="173" spans="14:42" hidden="1" outlineLevel="1" x14ac:dyDescent="0.2">
      <c r="O173" s="17"/>
      <c r="P173" s="17"/>
      <c r="Q173" s="17"/>
      <c r="R173" s="17"/>
      <c r="S173" s="20"/>
      <c r="T173" s="20"/>
      <c r="U173" s="20"/>
      <c r="V173" s="17"/>
      <c r="X173" s="17"/>
      <c r="Y173" s="17"/>
      <c r="Z173" s="20"/>
      <c r="AA173" s="42"/>
      <c r="AB173" s="42"/>
      <c r="AC173" s="42"/>
      <c r="AD173" s="42"/>
      <c r="AE173" s="42"/>
      <c r="AG173" s="42"/>
      <c r="AH173" s="42"/>
    </row>
    <row r="174" spans="14:42" ht="14.25" hidden="1" outlineLevel="1" x14ac:dyDescent="0.25">
      <c r="O174" s="17"/>
      <c r="P174" s="17"/>
      <c r="Q174" s="21" t="s">
        <v>61</v>
      </c>
      <c r="R174" s="21"/>
      <c r="S174" s="74"/>
      <c r="T174" s="74"/>
      <c r="U174" s="37">
        <f>'M1 Härtekammern'!T174</f>
        <v>64.48</v>
      </c>
      <c r="V174" s="21"/>
      <c r="X174" s="74">
        <f t="shared" ref="X174" si="47">S174+T174</f>
        <v>0</v>
      </c>
      <c r="Y174" s="74">
        <f t="shared" ref="Y174" si="48">SUM(S174:U174)</f>
        <v>64.48</v>
      </c>
      <c r="Z174" s="21" t="s">
        <v>183</v>
      </c>
    </row>
    <row r="175" spans="14:42" hidden="1" outlineLevel="1" x14ac:dyDescent="0.2">
      <c r="O175" s="17"/>
      <c r="P175" s="17"/>
      <c r="Q175" s="17"/>
      <c r="R175" s="17"/>
      <c r="S175" s="20"/>
      <c r="T175" s="20"/>
      <c r="U175" s="20"/>
      <c r="V175" s="17"/>
      <c r="X175" s="17"/>
      <c r="Y175" s="17"/>
      <c r="Z175" s="20"/>
    </row>
    <row r="176" spans="14:42" ht="16.5" hidden="1" outlineLevel="1" thickBot="1" x14ac:dyDescent="0.3">
      <c r="O176" s="17"/>
      <c r="P176" s="17"/>
      <c r="Q176" s="67" t="s">
        <v>67</v>
      </c>
      <c r="R176" s="67"/>
      <c r="S176" s="68">
        <f>SUM(S115:S174)-S129-S133-S139-S148-S155-S164-S169</f>
        <v>93.470408001999999</v>
      </c>
      <c r="T176" s="68">
        <f>SUM(T115:T174)-T129-T133-T139-T148-T155-T164-T169</f>
        <v>124.8924470887134</v>
      </c>
      <c r="U176" s="68">
        <f>SUM(U115:U174)-U129-U133-U139-U148-U155-U164-U169</f>
        <v>5744.0611300424298</v>
      </c>
      <c r="V176" s="21"/>
      <c r="X176" s="68">
        <f>SUM(X115:X174)-X129-X133-X139-X148-X155-X164-X169</f>
        <v>218.36285509071337</v>
      </c>
      <c r="Y176" s="68">
        <f>SUM(Y115:Y174)-Y129-Y133-Y139-Y148-Y155-Y164-Y169</f>
        <v>5962.4239851331422</v>
      </c>
      <c r="Z176" s="68" t="s">
        <v>183</v>
      </c>
      <c r="AB176" s="22" t="s">
        <v>106</v>
      </c>
      <c r="AC176" s="17"/>
      <c r="AD176" s="17"/>
      <c r="AE176" s="17"/>
      <c r="AG176" s="17"/>
      <c r="AH176" s="17"/>
      <c r="AI176" s="17"/>
    </row>
    <row r="177" spans="15:35" ht="15.75" hidden="1" outlineLevel="1" thickTop="1" x14ac:dyDescent="0.25">
      <c r="O177" s="17"/>
      <c r="P177" s="17"/>
      <c r="Q177" s="17"/>
      <c r="R177" s="17"/>
      <c r="S177" s="20"/>
      <c r="T177" s="20"/>
      <c r="U177" s="20"/>
      <c r="V177" s="17"/>
      <c r="X177" s="17"/>
      <c r="Y177" s="17"/>
      <c r="Z177" s="20"/>
      <c r="AB177" s="64" t="s">
        <v>474</v>
      </c>
      <c r="AC177" s="17"/>
      <c r="AD177" s="17"/>
      <c r="AE177" s="17"/>
      <c r="AG177" s="17"/>
      <c r="AH177" s="17"/>
      <c r="AI177" s="17"/>
    </row>
    <row r="178" spans="15:35" hidden="1" outlineLevel="1" x14ac:dyDescent="0.2">
      <c r="AB178" s="17"/>
      <c r="AC178" s="17"/>
      <c r="AD178" s="17"/>
      <c r="AE178" s="17"/>
      <c r="AG178" s="17"/>
      <c r="AH178" s="17"/>
      <c r="AI178" s="17"/>
    </row>
    <row r="179" spans="15:35" hidden="1" outlineLevel="1" x14ac:dyDescent="0.2">
      <c r="AB179" s="17"/>
      <c r="AC179" s="17"/>
      <c r="AD179" s="17"/>
      <c r="AE179" s="17"/>
      <c r="AG179" s="17"/>
      <c r="AH179" s="17"/>
      <c r="AI179" s="17"/>
    </row>
    <row r="180" spans="15:35" ht="15.75" hidden="1" outlineLevel="1" x14ac:dyDescent="0.25">
      <c r="O180" s="22"/>
      <c r="P180" s="22" t="s">
        <v>103</v>
      </c>
      <c r="Q180" s="17"/>
      <c r="R180" s="17"/>
      <c r="S180" s="17"/>
      <c r="T180" s="17"/>
      <c r="U180" s="17"/>
      <c r="V180" s="17"/>
      <c r="X180" s="17"/>
      <c r="Y180" s="17"/>
      <c r="Z180" s="17"/>
      <c r="AB180" s="17" t="s">
        <v>474</v>
      </c>
      <c r="AC180" s="17"/>
      <c r="AD180" s="17"/>
      <c r="AE180" s="17"/>
      <c r="AG180" s="17"/>
      <c r="AH180" s="17"/>
      <c r="AI180" s="17"/>
    </row>
    <row r="181" spans="15:35" ht="15" hidden="1" outlineLevel="1" x14ac:dyDescent="0.25">
      <c r="O181" s="64"/>
      <c r="P181" s="64">
        <f>I20</f>
        <v>10</v>
      </c>
      <c r="Q181" s="25"/>
      <c r="R181" s="25"/>
      <c r="S181" s="25"/>
      <c r="T181" s="25"/>
      <c r="U181" s="25"/>
      <c r="V181" s="25"/>
      <c r="X181" s="25"/>
      <c r="Y181" s="25"/>
      <c r="Z181" s="25"/>
      <c r="AB181" s="17"/>
      <c r="AC181" s="17"/>
      <c r="AD181" s="17"/>
      <c r="AE181" s="18"/>
      <c r="AG181" s="17"/>
      <c r="AH181" s="18"/>
      <c r="AI181" s="18"/>
    </row>
    <row r="182" spans="15:35" ht="15" hidden="1" outlineLevel="1" x14ac:dyDescent="0.25">
      <c r="O182" s="64"/>
      <c r="P182" s="17"/>
      <c r="Q182" s="17" t="s">
        <v>435</v>
      </c>
      <c r="R182" s="41">
        <f>IF(NOT(ISBLANK(K23)),K23,I23)-IF(NOT(ISBLANK(G23)),G23,E23)</f>
        <v>2</v>
      </c>
      <c r="S182" s="17"/>
      <c r="T182" s="17"/>
      <c r="U182" s="17"/>
      <c r="V182" s="17"/>
      <c r="X182" s="17"/>
      <c r="Y182" s="17"/>
      <c r="Z182" s="17"/>
      <c r="AB182" s="17"/>
      <c r="AC182" s="17"/>
      <c r="AD182" s="17"/>
      <c r="AE182" s="18"/>
      <c r="AG182" s="17"/>
      <c r="AH182" s="18"/>
      <c r="AI182" s="18"/>
    </row>
    <row r="183" spans="15:35" ht="15" hidden="1" outlineLevel="1" x14ac:dyDescent="0.25">
      <c r="O183" s="64"/>
      <c r="P183" s="17"/>
      <c r="Q183" s="17" t="s">
        <v>438</v>
      </c>
      <c r="R183" s="41">
        <f>R109*($E$17-$E$25)+R182*(E17-I25)</f>
        <v>1100</v>
      </c>
      <c r="S183" s="20" t="s">
        <v>39</v>
      </c>
      <c r="T183" s="17"/>
      <c r="U183" s="17"/>
      <c r="V183" s="17"/>
      <c r="X183" s="17"/>
      <c r="Y183" s="17"/>
      <c r="Z183" s="17"/>
      <c r="AB183" s="17" t="s">
        <v>132</v>
      </c>
      <c r="AC183" s="17"/>
      <c r="AD183" s="17"/>
      <c r="AE183" s="18"/>
      <c r="AG183" s="17"/>
      <c r="AH183" s="18"/>
      <c r="AI183" s="18"/>
    </row>
    <row r="184" spans="15:35" hidden="1" outlineLevel="1" x14ac:dyDescent="0.2">
      <c r="O184" s="17"/>
      <c r="P184" s="17"/>
      <c r="Q184" s="17"/>
      <c r="R184" s="66"/>
      <c r="S184" s="20"/>
      <c r="T184" s="17"/>
      <c r="U184" s="17"/>
      <c r="V184" s="17"/>
      <c r="X184" s="17"/>
      <c r="Y184" s="17"/>
      <c r="Z184" s="17"/>
      <c r="AB184" s="17"/>
      <c r="AC184" s="17" t="s">
        <v>114</v>
      </c>
      <c r="AD184" s="17"/>
      <c r="AE184" s="19"/>
      <c r="AG184" s="17"/>
      <c r="AH184" s="41">
        <f>IF(NOT(ISBLANK('Referenz Plattenfertiger'!$I16)),'Referenz Plattenfertiger'!$I16,'Referenz Plattenfertiger'!$F16)/1000*IF(NOT(ISBLANK('Eingabe Preise'!$O10)),'Eingabe Preise'!$O10,'Eingabe Preise'!$M10)</f>
        <v>11468</v>
      </c>
      <c r="AI184" s="20" t="s">
        <v>96</v>
      </c>
    </row>
    <row r="185" spans="15:35" ht="63.75" hidden="1" outlineLevel="1" x14ac:dyDescent="0.2">
      <c r="O185" s="17"/>
      <c r="P185" s="17"/>
      <c r="Q185" s="17"/>
      <c r="R185" s="17"/>
      <c r="S185" s="36" t="s">
        <v>25</v>
      </c>
      <c r="T185" s="36" t="s">
        <v>77</v>
      </c>
      <c r="U185" s="36" t="s">
        <v>27</v>
      </c>
      <c r="V185" s="17"/>
      <c r="X185" s="39" t="s">
        <v>100</v>
      </c>
      <c r="Y185" s="40" t="s">
        <v>37</v>
      </c>
      <c r="Z185" s="17"/>
      <c r="AB185" s="17"/>
      <c r="AC185" s="17" t="s">
        <v>151</v>
      </c>
      <c r="AD185" s="17"/>
      <c r="AE185" s="20"/>
      <c r="AG185" s="17"/>
      <c r="AH185" s="41">
        <f>IF(NOT(ISBLANK('Referenz Plattenfertiger'!$I17)),'Referenz Plattenfertiger'!$I17,'Referenz Plattenfertiger'!$F17)/1000*IF(NOT(ISBLANK('Eingabe Preise'!$O11)),'Eingabe Preise'!$O11,'Eingabe Preise'!$M11)</f>
        <v>1104</v>
      </c>
      <c r="AI185" s="20" t="s">
        <v>96</v>
      </c>
    </row>
    <row r="186" spans="15:35" ht="14.25" hidden="1" outlineLevel="1" x14ac:dyDescent="0.25">
      <c r="O186" s="76"/>
      <c r="P186" s="76" t="s">
        <v>176</v>
      </c>
      <c r="Q186" s="76"/>
      <c r="R186" s="76"/>
      <c r="S186" s="77">
        <f>SUM(S188:S201)</f>
        <v>92.008460943999992</v>
      </c>
      <c r="T186" s="77">
        <f>SUM(T188:T201)</f>
        <v>61.552554846110553</v>
      </c>
      <c r="U186" s="77">
        <f>SUM(U188:U201)</f>
        <v>24.588558285628775</v>
      </c>
      <c r="V186" s="76"/>
      <c r="X186" s="77">
        <f>S186+T186</f>
        <v>153.56101579011056</v>
      </c>
      <c r="Y186" s="77">
        <f>SUM(S186:U186)</f>
        <v>178.14957407573934</v>
      </c>
      <c r="Z186" s="76" t="s">
        <v>183</v>
      </c>
      <c r="AB186" s="17"/>
      <c r="AC186" s="17" t="s">
        <v>138</v>
      </c>
      <c r="AD186" s="17"/>
      <c r="AE186" s="20"/>
      <c r="AG186" s="17"/>
      <c r="AH186" s="41">
        <f>IF(NOT(ISBLANK('Referenz Plattenfertiger'!$I18)),'Referenz Plattenfertiger'!$I18,'Referenz Plattenfertiger'!$F18)/1000*IF(NOT(ISBLANK('Eingabe Preise'!$O12)),'Eingabe Preise'!$O12,'Eingabe Preise'!$M12)</f>
        <v>7740</v>
      </c>
      <c r="AI186" s="20" t="s">
        <v>96</v>
      </c>
    </row>
    <row r="187" spans="15:35" hidden="1" outlineLevel="1" x14ac:dyDescent="0.2">
      <c r="O187" s="17"/>
      <c r="P187" s="17" t="s">
        <v>132</v>
      </c>
      <c r="Q187" s="17"/>
      <c r="R187" s="17"/>
      <c r="S187" s="17"/>
      <c r="T187" s="17"/>
      <c r="U187" s="17"/>
      <c r="V187" s="17"/>
      <c r="X187" s="17"/>
      <c r="Y187" s="17"/>
      <c r="Z187" s="17"/>
      <c r="AB187" s="17"/>
      <c r="AC187" s="17" t="s">
        <v>115</v>
      </c>
      <c r="AD187" s="17"/>
      <c r="AE187" s="20"/>
      <c r="AG187" s="17"/>
      <c r="AH187" s="41">
        <f>IF(NOT(ISBLANK('Referenz Plattenfertiger'!$I19)),'Referenz Plattenfertiger'!$I19,'Referenz Plattenfertiger'!$F19)/1000*IF(NOT(ISBLANK('Eingabe Preise'!$O16)),'Eingabe Preise'!$O16,0)</f>
        <v>0</v>
      </c>
      <c r="AI187" s="20" t="s">
        <v>96</v>
      </c>
    </row>
    <row r="188" spans="15:35" ht="15.75" hidden="1" outlineLevel="1" x14ac:dyDescent="0.3">
      <c r="O188" s="17"/>
      <c r="P188" s="17"/>
      <c r="Q188" s="17" t="s">
        <v>114</v>
      </c>
      <c r="R188" s="17"/>
      <c r="S188" s="37">
        <f>IF(NOT(ISBLANK('Referenz Plattenfertiger'!$I16)),'Referenz Plattenfertiger'!$I16,'Referenz Plattenfertiger'!$F16)*IF(NOT(ISBLANK('Eingabe EF'!$AS9)),'Eingabe EF'!$AS9,'Eingabe EF'!$AQ9)</f>
        <v>34.434080000000002</v>
      </c>
      <c r="T188" s="37">
        <f>IF(NOT(ISBLANK('Referenz Plattenfertiger'!$I16)),'Referenz Plattenfertiger'!$I16,'Referenz Plattenfertiger'!$F16)*IF(NOT(ISBLANK('Eingabe EF'!$AW9)),'Eingabe EF'!$AW9,'Eingabe EF'!$AU9)</f>
        <v>0</v>
      </c>
      <c r="U188" s="37">
        <f>IF(NOT(ISBLANK('Referenz Plattenfertiger'!$I16)),'Referenz Plattenfertiger'!$I16,'Referenz Plattenfertiger'!$F16)*IF(NOT(ISBLANK('Eingabe EF'!$BA9)),'Eingabe EF'!$BA9,'Eingabe EF'!$AY9)</f>
        <v>5.8938000000000006</v>
      </c>
      <c r="V188" s="17"/>
      <c r="X188" s="37">
        <f>S188+T188</f>
        <v>34.434080000000002</v>
      </c>
      <c r="Y188" s="37">
        <f>SUM(S188:U188)</f>
        <v>40.32788</v>
      </c>
      <c r="Z188" s="17" t="s">
        <v>184</v>
      </c>
      <c r="AB188" s="17" t="s">
        <v>133</v>
      </c>
      <c r="AC188" s="17"/>
      <c r="AD188" s="17"/>
      <c r="AE188" s="20"/>
      <c r="AG188" s="17"/>
      <c r="AH188" s="20"/>
      <c r="AI188" s="20"/>
    </row>
    <row r="189" spans="15:35" ht="15.75" hidden="1" outlineLevel="1" x14ac:dyDescent="0.3">
      <c r="O189" s="17"/>
      <c r="P189" s="17"/>
      <c r="Q189" s="17" t="s">
        <v>151</v>
      </c>
      <c r="R189" s="17"/>
      <c r="S189" s="37">
        <f>IF(NOT(ISBLANK('Referenz Plattenfertiger'!$I17)),'Referenz Plattenfertiger'!$I17,'Referenz Plattenfertiger'!$F17)*IF(NOT(ISBLANK('Eingabe EF'!$AS10)),'Eingabe EF'!$AS10,'Eingabe EF'!$AQ10)</f>
        <v>6.4022399999999999</v>
      </c>
      <c r="T189" s="37">
        <f>IF(NOT(ISBLANK('Referenz Plattenfertiger'!$I17)),'Referenz Plattenfertiger'!$I17,'Referenz Plattenfertiger'!$F17)*IF(NOT(ISBLANK('Eingabe EF'!$AW10)),'Eingabe EF'!$AW10,'Eingabe EF'!$AU10)</f>
        <v>0</v>
      </c>
      <c r="U189" s="37">
        <f>IF(NOT(ISBLANK('Referenz Plattenfertiger'!$I17)),'Referenz Plattenfertiger'!$I17,'Referenz Plattenfertiger'!$F17)*IF(NOT(ISBLANK('Eingabe EF'!$BA10)),'Eingabe EF'!$BA10,'Eingabe EF'!$AY10)</f>
        <v>0.949824</v>
      </c>
      <c r="V189" s="17"/>
      <c r="X189" s="37">
        <f>S189+T189</f>
        <v>6.4022399999999999</v>
      </c>
      <c r="Y189" s="37">
        <f>SUM(S189:U189)</f>
        <v>7.3520640000000004</v>
      </c>
      <c r="Z189" s="17" t="s">
        <v>184</v>
      </c>
      <c r="AB189" s="17"/>
      <c r="AC189" s="17" t="s">
        <v>29</v>
      </c>
      <c r="AD189" s="17"/>
      <c r="AE189" s="20"/>
      <c r="AG189" s="17"/>
      <c r="AH189" s="41">
        <f>IF(NOT(ISBLANK('Referenz Plattenfertiger'!$I21)),'Referenz Plattenfertiger'!$I21,'Referenz Plattenfertiger'!$F21)/1000*IF(NOT(ISBLANK('Eingabe Preise'!$O10)),'Eingabe Preise'!$O10,'Eingabe Preise'!$M10)</f>
        <v>2867</v>
      </c>
      <c r="AI189" s="20" t="s">
        <v>96</v>
      </c>
    </row>
    <row r="190" spans="15:35" ht="15.75" hidden="1" outlineLevel="1" x14ac:dyDescent="0.3">
      <c r="O190" s="17"/>
      <c r="P190" s="17"/>
      <c r="Q190" s="17" t="s">
        <v>138</v>
      </c>
      <c r="R190" s="17"/>
      <c r="S190" s="37">
        <f>IF(NOT(ISBLANK('Referenz Plattenfertiger'!$I18)),'Referenz Plattenfertiger'!$I18,'Referenz Plattenfertiger'!$F18)*IF(NOT(ISBLANK('Eingabe EF'!$AS11)),'Eingabe EF'!$AS11,'Eingabe EF'!$AQ11)</f>
        <v>0</v>
      </c>
      <c r="T190" s="37">
        <f>IF(NOT(ISBLANK('Referenz Plattenfertiger'!$I18)),'Referenz Plattenfertiger'!$I18,'Referenz Plattenfertiger'!$F18)*IF(NOT(ISBLANK('Eingabe EF'!$AW11)),'Eingabe EF'!$AW11,'Eingabe EF'!$AU11)</f>
        <v>6.1552554846110556</v>
      </c>
      <c r="U190" s="37">
        <f>IF(NOT(ISBLANK('Referenz Plattenfertiger'!$I18)),'Referenz Plattenfertiger'!$I18,'Referenz Plattenfertiger'!$F18)*IF(NOT(ISBLANK('Eingabe EF'!$BA11)),'Eingabe EF'!$BA11,'Eingabe EF'!$AY11)</f>
        <v>0.90234111816287721</v>
      </c>
      <c r="V190" s="17"/>
      <c r="X190" s="37">
        <f>S190+T190</f>
        <v>6.1552554846110556</v>
      </c>
      <c r="Y190" s="37">
        <f>SUM(S190:U190)</f>
        <v>7.0575966027739332</v>
      </c>
      <c r="Z190" s="17" t="s">
        <v>184</v>
      </c>
      <c r="AB190" s="17"/>
      <c r="AC190" s="17" t="s">
        <v>30</v>
      </c>
      <c r="AD190" s="17"/>
      <c r="AE190" s="20"/>
      <c r="AG190" s="17"/>
      <c r="AH190" s="41">
        <f>IF(NOT(ISBLANK('Referenz Plattenfertiger'!$I22)),'Referenz Plattenfertiger'!$I22,'Referenz Plattenfertiger'!$F22)/1000*IF(NOT(ISBLANK('Eingabe Preise'!$O11)),'Eingabe Preise'!$O11,'Eingabe Preise'!$M11)</f>
        <v>1656</v>
      </c>
      <c r="AI190" s="20" t="s">
        <v>96</v>
      </c>
    </row>
    <row r="191" spans="15:35" ht="15.75" hidden="1" outlineLevel="1" x14ac:dyDescent="0.3">
      <c r="O191" s="17"/>
      <c r="P191" s="17"/>
      <c r="Q191" s="17" t="s">
        <v>115</v>
      </c>
      <c r="R191" s="17"/>
      <c r="S191" s="43">
        <f>IF(NOT(ISBLANK('Referenz Plattenfertiger'!$I19)),'Referenz Plattenfertiger'!$I19,'Referenz Plattenfertiger'!$F19)*IF(NOT(ISBLANK('Eingabe EF'!$AS12)),'Eingabe EF'!$AS12,0)</f>
        <v>0</v>
      </c>
      <c r="T191" s="43">
        <f>IF(NOT(ISBLANK('Referenz Plattenfertiger'!$I19)),'Referenz Plattenfertiger'!$I19,'Referenz Plattenfertiger'!$F19)*IF(NOT(ISBLANK('Eingabe EF'!$AW12)),'Eingabe EF'!$AW12,0)</f>
        <v>0</v>
      </c>
      <c r="U191" s="43">
        <f>IF(NOT(ISBLANK('Referenz Plattenfertiger'!$I19)),'Referenz Plattenfertiger'!$I19,'Referenz Plattenfertiger'!$F19)*IF(NOT(ISBLANK('Eingabe EF'!$BA12)),'Eingabe EF'!$BA12,0)</f>
        <v>0</v>
      </c>
      <c r="V191" s="17"/>
      <c r="X191" s="37">
        <f>S191+T191</f>
        <v>0</v>
      </c>
      <c r="Y191" s="37">
        <f>SUM(S191:U191)</f>
        <v>0</v>
      </c>
      <c r="Z191" s="17" t="s">
        <v>184</v>
      </c>
      <c r="AB191" s="17" t="s">
        <v>134</v>
      </c>
      <c r="AC191" s="17"/>
      <c r="AD191" s="17"/>
      <c r="AE191" s="20"/>
      <c r="AG191" s="17"/>
      <c r="AH191" s="20"/>
      <c r="AI191" s="20"/>
    </row>
    <row r="192" spans="15:35" hidden="1" outlineLevel="1" x14ac:dyDescent="0.2">
      <c r="O192" s="17"/>
      <c r="P192" s="17" t="s">
        <v>133</v>
      </c>
      <c r="Q192" s="17"/>
      <c r="R192" s="17"/>
      <c r="S192" s="17"/>
      <c r="T192" s="17"/>
      <c r="U192" s="17"/>
      <c r="V192" s="17"/>
      <c r="X192" s="17"/>
      <c r="Y192" s="17"/>
      <c r="Z192" s="17"/>
      <c r="AB192" s="17"/>
      <c r="AC192" s="17" t="s">
        <v>136</v>
      </c>
      <c r="AD192" s="17"/>
      <c r="AE192" s="20"/>
      <c r="AG192" s="17"/>
      <c r="AH192" s="41">
        <f>IF(NOT(ISBLANK('Referenz Plattenfertiger'!$I24)),'Referenz Plattenfertiger'!$I24,'Referenz Plattenfertiger'!$F24)/1000*IF(NOT(ISBLANK('Eingabe Preise'!$O12)),'Eingabe Preise'!$O12,'Eingabe Preise'!$M12)</f>
        <v>69660</v>
      </c>
      <c r="AI192" s="20" t="s">
        <v>96</v>
      </c>
    </row>
    <row r="193" spans="15:35" ht="15.75" hidden="1" outlineLevel="1" x14ac:dyDescent="0.3">
      <c r="O193" s="17"/>
      <c r="P193" s="17"/>
      <c r="Q193" s="17" t="s">
        <v>29</v>
      </c>
      <c r="R193" s="17"/>
      <c r="S193" s="43">
        <f>IF(NOT(ISBLANK('Referenz Plattenfertiger'!$I21)),'Referenz Plattenfertiger'!$I21,'Referenz Plattenfertiger'!$F21)*IF(NOT(ISBLANK('Eingabe EF'!$AS9)),'Eingabe EF'!$AS9,'Eingabe EF'!$AQ9)</f>
        <v>8.6085200000000004</v>
      </c>
      <c r="T193" s="43">
        <f>IF(NOT(ISBLANK('Referenz Plattenfertiger'!$I21)),'Referenz Plattenfertiger'!$I21,'Referenz Plattenfertiger'!$F21)*IF(NOT(ISBLANK('Eingabe EF'!$AW9)),'Eingabe EF'!$AW9,'Eingabe EF'!$AU9)</f>
        <v>0</v>
      </c>
      <c r="U193" s="43">
        <f>IF(NOT(ISBLANK('Referenz Plattenfertiger'!$I21)),'Referenz Plattenfertiger'!$I21,'Referenz Plattenfertiger'!$F21)*IF(NOT(ISBLANK('Eingabe EF'!$BA9)),'Eingabe EF'!$BA9,'Eingabe EF'!$AY9)</f>
        <v>1.4734500000000001</v>
      </c>
      <c r="V193" s="17"/>
      <c r="X193" s="37">
        <f t="shared" ref="X193:X194" si="49">S193+T193</f>
        <v>8.6085200000000004</v>
      </c>
      <c r="Y193" s="37">
        <f t="shared" ref="Y193:Y194" si="50">SUM(S193:U193)</f>
        <v>10.08197</v>
      </c>
      <c r="Z193" s="17" t="s">
        <v>184</v>
      </c>
      <c r="AB193" s="17"/>
      <c r="AC193" s="17" t="s">
        <v>111</v>
      </c>
      <c r="AD193" s="17"/>
      <c r="AE193" s="20"/>
      <c r="AG193" s="17"/>
      <c r="AH193" s="41">
        <f>IF(NOT(ISBLANK('Referenz Plattenfertiger'!$I25)),'Referenz Plattenfertiger'!$I25,'Referenz Plattenfertiger'!$F25)/1000*IF(NOT(ISBLANK('Eingabe Preise'!$O13)),'Eingabe Preise'!$O13,'Eingabe Preise'!$M13)</f>
        <v>0</v>
      </c>
      <c r="AI193" s="20" t="s">
        <v>96</v>
      </c>
    </row>
    <row r="194" spans="15:35" ht="15.75" hidden="1" outlineLevel="1" x14ac:dyDescent="0.3">
      <c r="O194" s="17"/>
      <c r="P194" s="17"/>
      <c r="Q194" s="17" t="s">
        <v>30</v>
      </c>
      <c r="R194" s="17"/>
      <c r="S194" s="43">
        <f>IF(NOT(ISBLANK('Referenz Plattenfertiger'!$I22)),'Referenz Plattenfertiger'!$I22,'Referenz Plattenfertiger'!$F22)*IF(NOT(ISBLANK('Eingabe EF'!$AS10)),'Eingabe EF'!$AS10,'Eingabe EF'!$AQ10)</f>
        <v>9.6033600000000003</v>
      </c>
      <c r="T194" s="43">
        <f>IF(NOT(ISBLANK('Referenz Plattenfertiger'!$I22)),'Referenz Plattenfertiger'!$I22,'Referenz Plattenfertiger'!$F22)*IF(NOT(ISBLANK('Eingabe EF'!$AW10)),'Eingabe EF'!$AW10,'Eingabe EF'!$AU10)</f>
        <v>0</v>
      </c>
      <c r="U194" s="43">
        <f>IF(NOT(ISBLANK('Referenz Plattenfertiger'!$I22)),'Referenz Plattenfertiger'!$I22,'Referenz Plattenfertiger'!$F22)*IF(NOT(ISBLANK('Eingabe EF'!$BA10)),'Eingabe EF'!$BA10,'Eingabe EF'!$AY10)</f>
        <v>1.424736</v>
      </c>
      <c r="V194" s="17"/>
      <c r="X194" s="37">
        <f t="shared" si="49"/>
        <v>9.6033600000000003</v>
      </c>
      <c r="Y194" s="37">
        <f t="shared" si="50"/>
        <v>11.028096</v>
      </c>
      <c r="Z194" s="17" t="s">
        <v>184</v>
      </c>
      <c r="AB194" s="17"/>
      <c r="AC194" s="17" t="s">
        <v>135</v>
      </c>
      <c r="AD194" s="17"/>
      <c r="AE194" s="30"/>
      <c r="AG194" s="17"/>
      <c r="AH194" s="41">
        <f>IF(NOT(ISBLANK('Referenz Plattenfertiger'!$I26)),'Referenz Plattenfertiger'!$I26,'Referenz Plattenfertiger'!$F26)/1000*IF(NOT(ISBLANK('Eingabe Preise'!$O17)),'Eingabe Preise'!$O17,0)</f>
        <v>0</v>
      </c>
      <c r="AI194" s="20" t="s">
        <v>96</v>
      </c>
    </row>
    <row r="195" spans="15:35" hidden="1" outlineLevel="1" x14ac:dyDescent="0.2">
      <c r="O195" s="17"/>
      <c r="P195" s="17" t="s">
        <v>134</v>
      </c>
      <c r="Q195" s="17"/>
      <c r="R195" s="17"/>
      <c r="S195" s="17"/>
      <c r="T195" s="17"/>
      <c r="U195" s="17"/>
      <c r="V195" s="17"/>
      <c r="X195" s="17"/>
      <c r="Y195" s="17"/>
      <c r="Z195" s="17"/>
      <c r="AB195" s="17"/>
      <c r="AC195" s="17"/>
      <c r="AD195" s="17"/>
      <c r="AE195" s="30"/>
      <c r="AG195" s="17"/>
      <c r="AH195" s="17"/>
      <c r="AI195" s="17"/>
    </row>
    <row r="196" spans="15:35" ht="15.75" hidden="1" outlineLevel="1" x14ac:dyDescent="0.3">
      <c r="O196" s="276"/>
      <c r="P196" s="17"/>
      <c r="Q196" s="17" t="s">
        <v>136</v>
      </c>
      <c r="R196" s="17"/>
      <c r="S196" s="43">
        <f>IF(NOT(ISBLANK('Referenz Plattenfertiger'!$I24)),'Referenz Plattenfertiger'!$I24,'Referenz Plattenfertiger'!$F24)*IF(NOT(ISBLANK('Eingabe EF'!$AS11)),'Eingabe EF'!$AS11,'Eingabe EF'!$AQ11)</f>
        <v>0</v>
      </c>
      <c r="T196" s="43">
        <f>IF(NOT(ISBLANK('Referenz Plattenfertiger'!$I24)),'Referenz Plattenfertiger'!$I24,'Referenz Plattenfertiger'!$F24)*IF(NOT(ISBLANK('Eingabe EF'!$AW11)),'Eingabe EF'!$AW11,'Eingabe EF'!$AU11)</f>
        <v>55.397299361499499</v>
      </c>
      <c r="U196" s="43">
        <f>IF(NOT(ISBLANK('Referenz Plattenfertiger'!$I24)),'Referenz Plattenfertiger'!$I24,'Referenz Plattenfertiger'!$F24)*IF(NOT(ISBLANK('Eingabe EF'!$BA11)),'Eingabe EF'!$BA11,'Eingabe EF'!$AY11)</f>
        <v>8.1210700634658952</v>
      </c>
      <c r="V196" s="17"/>
      <c r="X196" s="37">
        <f t="shared" ref="X196:X204" si="51">S196+T196</f>
        <v>55.397299361499499</v>
      </c>
      <c r="Y196" s="37">
        <f t="shared" ref="Y196:Y204" si="52">SUM(S196:U196)</f>
        <v>63.518369424965393</v>
      </c>
      <c r="Z196" s="17" t="s">
        <v>184</v>
      </c>
      <c r="AB196" s="17"/>
      <c r="AC196" s="17" t="s">
        <v>32</v>
      </c>
      <c r="AD196" s="17" t="s">
        <v>408</v>
      </c>
      <c r="AE196" s="30"/>
      <c r="AG196" s="17"/>
      <c r="AH196" s="41">
        <f>(IF(NOT(ISBLANK('Referenz Plattenfertiger'!$I28)),'Referenz Plattenfertiger'!$I28,'Referenz Plattenfertiger'!$F28)-R183)*IF(NOT(ISBLANK('Eingabe Preise'!$O14)),'Eingabe Preise'!$O14,'Eingabe Preise'!$M14)</f>
        <v>11127.6</v>
      </c>
      <c r="AI196" s="20" t="s">
        <v>96</v>
      </c>
    </row>
    <row r="197" spans="15:35" ht="15.75" hidden="1" outlineLevel="1" x14ac:dyDescent="0.3">
      <c r="O197" s="17"/>
      <c r="P197" s="17"/>
      <c r="Q197" s="17" t="s">
        <v>111</v>
      </c>
      <c r="R197" s="17"/>
      <c r="S197" s="43">
        <f>IF(NOT(ISBLANK('Referenz Plattenfertiger'!$I25)),'Referenz Plattenfertiger'!$I25,'Referenz Plattenfertiger'!$F25)*IF(NOT(ISBLANK('Eingabe EF'!$AS13)),'Eingabe EF'!$AS13,'Eingabe EF'!$AQ13)</f>
        <v>0</v>
      </c>
      <c r="T197" s="43">
        <f>IF(NOT(ISBLANK('Referenz Plattenfertiger'!$I25)),'Referenz Plattenfertiger'!$I25,'Referenz Plattenfertiger'!$F25)*IF(NOT(ISBLANK('Eingabe EF'!$AW13)),'Eingabe EF'!$AW13,'Eingabe EF'!$AU13)</f>
        <v>0</v>
      </c>
      <c r="U197" s="43">
        <f>IF(NOT(ISBLANK('Referenz Plattenfertiger'!$I25)),'Referenz Plattenfertiger'!$I25,'Referenz Plattenfertiger'!$F25)*IF(NOT(ISBLANK('Eingabe EF'!$BA13)),'Eingabe EF'!$BA13,'Eingabe EF'!$AY13)</f>
        <v>0</v>
      </c>
      <c r="V197" s="17"/>
      <c r="X197" s="37">
        <f t="shared" si="51"/>
        <v>0</v>
      </c>
      <c r="Y197" s="37">
        <f t="shared" si="52"/>
        <v>0</v>
      </c>
      <c r="Z197" s="17" t="s">
        <v>184</v>
      </c>
      <c r="AB197" s="17"/>
      <c r="AC197" s="17" t="s">
        <v>32</v>
      </c>
      <c r="AD197" s="17" t="s">
        <v>70</v>
      </c>
      <c r="AE197" s="30"/>
      <c r="AG197" s="17"/>
      <c r="AH197" s="41">
        <f>IF(NOT(ISBLANK('Referenz Plattenfertiger'!$I29)),'Referenz Plattenfertiger'!$I29,'Referenz Plattenfertiger'!$F29)*IF(NOT(ISBLANK('Eingabe Preise'!$O14)),'Eingabe Preise'!$O14,'Eingabe Preise'!$M14)</f>
        <v>2810.0000000000005</v>
      </c>
      <c r="AI197" s="20" t="s">
        <v>96</v>
      </c>
    </row>
    <row r="198" spans="15:35" ht="15.75" hidden="1" outlineLevel="1" x14ac:dyDescent="0.3">
      <c r="O198" s="17"/>
      <c r="P198" s="17"/>
      <c r="Q198" s="17" t="s">
        <v>135</v>
      </c>
      <c r="R198" s="17"/>
      <c r="S198" s="43">
        <f>IF(NOT(ISBLANK('Referenz Plattenfertiger'!$I26)),'Referenz Plattenfertiger'!$I26,'Referenz Plattenfertiger'!$F26)*IF(NOT(ISBLANK('Eingabe EF'!$AS14)),'Eingabe EF'!$AS14,0)</f>
        <v>0</v>
      </c>
      <c r="T198" s="43">
        <f>IF(NOT(ISBLANK('Referenz Plattenfertiger'!$I26)),'Referenz Plattenfertiger'!$I26,'Referenz Plattenfertiger'!$F26)*IF(NOT(ISBLANK('Eingabe EF'!$AW14)),'Eingabe EF'!$AW14,0)</f>
        <v>0</v>
      </c>
      <c r="U198" s="43">
        <f>IF(NOT(ISBLANK('Referenz Plattenfertiger'!$I26)),'Referenz Plattenfertiger'!$I26,'Referenz Plattenfertiger'!$F26)*IF(NOT(ISBLANK('Eingabe EF'!$BA14)),'Eingabe EF'!$BA14,0)</f>
        <v>0</v>
      </c>
      <c r="V198" s="17"/>
      <c r="X198" s="37">
        <f t="shared" si="51"/>
        <v>0</v>
      </c>
      <c r="Y198" s="37">
        <f t="shared" si="52"/>
        <v>0</v>
      </c>
      <c r="Z198" s="17" t="s">
        <v>184</v>
      </c>
      <c r="AB198" s="17"/>
      <c r="AC198" s="17"/>
      <c r="AD198" s="17"/>
      <c r="AE198" s="30"/>
      <c r="AG198" s="17"/>
      <c r="AH198" s="17"/>
      <c r="AI198" s="17"/>
    </row>
    <row r="199" spans="15:35" hidden="1" outlineLevel="1" x14ac:dyDescent="0.2">
      <c r="O199" s="17"/>
      <c r="P199" s="17"/>
      <c r="Q199" s="17"/>
      <c r="R199" s="17"/>
      <c r="S199" s="17"/>
      <c r="T199" s="17"/>
      <c r="U199" s="17"/>
      <c r="V199" s="17"/>
      <c r="X199" s="17"/>
      <c r="Y199" s="17"/>
      <c r="Z199" s="17"/>
      <c r="AB199" s="17"/>
      <c r="AC199" s="17"/>
      <c r="AD199" s="17"/>
      <c r="AE199" s="30"/>
      <c r="AG199" s="17"/>
      <c r="AH199" s="17"/>
      <c r="AI199" s="17"/>
    </row>
    <row r="200" spans="15:35" ht="15.75" hidden="1" outlineLevel="1" x14ac:dyDescent="0.3">
      <c r="O200" s="276"/>
      <c r="P200" s="17" t="s">
        <v>408</v>
      </c>
      <c r="Q200" s="17" t="s">
        <v>32</v>
      </c>
      <c r="R200" s="17"/>
      <c r="S200" s="450">
        <f>(IF(NOT(ISBLANK('Referenz Plattenfertiger'!$I28)),'Referenz Plattenfertiger'!$I28,'Referenz Plattenfertiger'!$F28)-R183)*IF(NOT(ISBLANK('Eingabe EF'!$AS15)),'Eingabe EF'!$AS15,'Eingabe EF'!$AQ15)</f>
        <v>26.315047043999996</v>
      </c>
      <c r="T200" s="450">
        <f>(IF(NOT(ISBLANK('Referenz Plattenfertiger'!$I28)),'Referenz Plattenfertiger'!$I28,'Referenz Plattenfertiger'!$F28)-R183)*IF(NOT(ISBLANK('Eingabe EF'!$AW15)),'Eingabe EF'!$AW15,'Eingabe EF'!$AU15)</f>
        <v>0</v>
      </c>
      <c r="U200" s="450">
        <f>(IF(NOT(ISBLANK('Referenz Plattenfertiger'!$I28)),'Referenz Plattenfertiger'!$I28,'Referenz Plattenfertiger'!$F28)-R183)*IF(NOT(ISBLANK('Eingabe EF'!$BA15)),'Eingabe EF'!$BA15,'Eingabe EF'!$AY15)</f>
        <v>4.6492772040000006</v>
      </c>
      <c r="V200" s="17"/>
      <c r="X200" s="37">
        <f t="shared" ref="X200:X202" si="53">S200+T200</f>
        <v>26.315047043999996</v>
      </c>
      <c r="Y200" s="37">
        <f>SUM(S200:U200)</f>
        <v>30.964324247999997</v>
      </c>
      <c r="Z200" s="17" t="s">
        <v>184</v>
      </c>
      <c r="AB200" s="17"/>
      <c r="AC200" s="17" t="s">
        <v>28</v>
      </c>
      <c r="AD200" s="17"/>
      <c r="AE200" s="30"/>
      <c r="AG200" s="17"/>
      <c r="AH200" s="41">
        <f>AH213+AH214</f>
        <v>57600</v>
      </c>
      <c r="AI200" s="20" t="s">
        <v>96</v>
      </c>
    </row>
    <row r="201" spans="15:35" ht="15.75" hidden="1" outlineLevel="1" x14ac:dyDescent="0.3">
      <c r="O201" s="17"/>
      <c r="P201" s="17" t="s">
        <v>70</v>
      </c>
      <c r="Q201" s="17" t="s">
        <v>32</v>
      </c>
      <c r="R201" s="17"/>
      <c r="S201" s="43">
        <f>IF(NOT(ISBLANK('Referenz Plattenfertiger'!$I29)),'Referenz Plattenfertiger'!$I29,'Referenz Plattenfertiger'!$F29)*IF(NOT(ISBLANK('Eingabe EF'!$AS15)),'Eingabe EF'!$AS15,'Eingabe EF'!$AQ15)</f>
        <v>6.645213899999999</v>
      </c>
      <c r="T201" s="43">
        <f>IF(NOT(ISBLANK('Referenz Plattenfertiger'!$I29)),'Referenz Plattenfertiger'!$I29,'Referenz Plattenfertiger'!$F29)*IF(NOT(ISBLANK('Eingabe EF'!$AW15)),'Eingabe EF'!$AW15,'Eingabe EF'!$AU15)</f>
        <v>0</v>
      </c>
      <c r="U201" s="43">
        <f>IF(NOT(ISBLANK('Referenz Plattenfertiger'!$I29)),'Referenz Plattenfertiger'!$I29,'Referenz Plattenfertiger'!$F29)*IF(NOT(ISBLANK('Eingabe EF'!$BA15)),'Eingabe EF'!$BA15,'Eingabe EF'!$AY15)</f>
        <v>1.1740599000000003</v>
      </c>
      <c r="V201" s="17"/>
      <c r="X201" s="37">
        <f t="shared" si="53"/>
        <v>6.645213899999999</v>
      </c>
      <c r="Y201" s="37">
        <f t="shared" ref="Y201:Y202" si="54">SUM(S201:U201)</f>
        <v>7.8192737999999995</v>
      </c>
      <c r="Z201" s="17" t="s">
        <v>184</v>
      </c>
      <c r="AB201" s="17"/>
      <c r="AC201" s="44" t="s">
        <v>139</v>
      </c>
      <c r="AD201" s="17"/>
      <c r="AE201" s="30"/>
      <c r="AG201" s="17"/>
      <c r="AH201" s="41">
        <f>IF(NOT(ISBLANK($K$28)),$K$28,$I$28)</f>
        <v>0</v>
      </c>
      <c r="AI201" s="20" t="s">
        <v>96</v>
      </c>
    </row>
    <row r="202" spans="15:35" ht="14.25" hidden="1" outlineLevel="1" x14ac:dyDescent="0.25">
      <c r="O202" s="69"/>
      <c r="P202" s="69" t="s">
        <v>175</v>
      </c>
      <c r="Q202" s="69"/>
      <c r="R202" s="69"/>
      <c r="S202" s="71"/>
      <c r="T202" s="71"/>
      <c r="U202" s="71">
        <f t="shared" ref="U202" si="55">U203+U204</f>
        <v>469.15642799999995</v>
      </c>
      <c r="V202" s="69"/>
      <c r="X202" s="71">
        <f t="shared" si="53"/>
        <v>0</v>
      </c>
      <c r="Y202" s="71">
        <f t="shared" si="54"/>
        <v>469.15642799999995</v>
      </c>
      <c r="Z202" s="76" t="s">
        <v>183</v>
      </c>
      <c r="AB202" s="17"/>
      <c r="AC202" s="44" t="s">
        <v>146</v>
      </c>
      <c r="AD202" s="17"/>
      <c r="AE202" s="30"/>
      <c r="AG202" s="17"/>
      <c r="AH202" s="41">
        <f>AH216+AH217</f>
        <v>0</v>
      </c>
      <c r="AI202" s="20" t="s">
        <v>96</v>
      </c>
    </row>
    <row r="203" spans="15:35" ht="15.75" hidden="1" outlineLevel="1" x14ac:dyDescent="0.3">
      <c r="O203" s="17"/>
      <c r="P203" s="17"/>
      <c r="Q203" s="17" t="s">
        <v>43</v>
      </c>
      <c r="R203" s="17"/>
      <c r="S203" s="43"/>
      <c r="T203" s="43"/>
      <c r="U203" s="43">
        <f>IF(NOT(ISBLANK('Referenz Plattenfertiger'!$I32)),'Referenz Plattenfertiger'!$I32,'Referenz Plattenfertiger'!$F32)*IF(NOT(ISBLANK('Eingabe EF'!$BA17)),'Eingabe EF'!$BA17,'Eingabe EF'!$AY17)</f>
        <v>109.4698332</v>
      </c>
      <c r="V203" s="17"/>
      <c r="X203" s="37">
        <f t="shared" si="51"/>
        <v>0</v>
      </c>
      <c r="Y203" s="37">
        <f t="shared" si="52"/>
        <v>109.4698332</v>
      </c>
      <c r="Z203" s="17" t="s">
        <v>184</v>
      </c>
      <c r="AB203" s="17"/>
      <c r="AC203" s="17"/>
      <c r="AD203" s="17"/>
      <c r="AE203" s="17"/>
      <c r="AG203" s="17"/>
      <c r="AH203" s="17"/>
      <c r="AI203" s="17"/>
    </row>
    <row r="204" spans="15:35" ht="15.75" hidden="1" outlineLevel="1" x14ac:dyDescent="0.3">
      <c r="O204" s="17"/>
      <c r="P204" s="17"/>
      <c r="Q204" s="17" t="s">
        <v>44</v>
      </c>
      <c r="R204" s="17"/>
      <c r="S204" s="43"/>
      <c r="T204" s="43"/>
      <c r="U204" s="43">
        <f>IF(NOT(ISBLANK('Referenz Plattenfertiger'!$I33)),'Referenz Plattenfertiger'!$I33,'Referenz Plattenfertiger'!$F33)*IF(NOT(ISBLANK('Eingabe EF'!$BA18)),'Eingabe EF'!$BA18,'Eingabe EF'!$AY18)</f>
        <v>359.68659479999997</v>
      </c>
      <c r="V204" s="17"/>
      <c r="X204" s="37">
        <f t="shared" si="51"/>
        <v>0</v>
      </c>
      <c r="Y204" s="37">
        <f t="shared" si="52"/>
        <v>359.68659479999997</v>
      </c>
      <c r="Z204" s="17" t="s">
        <v>184</v>
      </c>
      <c r="AB204" s="17"/>
      <c r="AC204" s="17"/>
      <c r="AD204" s="17"/>
      <c r="AE204" s="17"/>
      <c r="AG204" s="17"/>
      <c r="AH204" s="17"/>
      <c r="AI204" s="17"/>
    </row>
    <row r="205" spans="15:35" ht="15.75" hidden="1" outlineLevel="1" x14ac:dyDescent="0.3">
      <c r="O205" s="17"/>
      <c r="P205" s="17"/>
      <c r="Q205" s="17"/>
      <c r="R205" s="17"/>
      <c r="S205" s="20"/>
      <c r="T205" s="20"/>
      <c r="U205" s="20"/>
      <c r="V205" s="17"/>
      <c r="X205" s="20"/>
      <c r="Y205" s="20"/>
      <c r="Z205" s="17"/>
      <c r="AB205" s="17"/>
      <c r="AC205" s="17" t="s">
        <v>186</v>
      </c>
      <c r="AD205" s="17"/>
      <c r="AE205" s="30"/>
      <c r="AG205" s="17"/>
      <c r="AH205" s="41">
        <f>S249*IF(NOT(ISBLANK('Eingabe Preise'!$O21)),'Eingabe Preise'!$O21,'Eingabe Preise'!$M21)</f>
        <v>7360.6768755199992</v>
      </c>
      <c r="AI205" s="20" t="s">
        <v>96</v>
      </c>
    </row>
    <row r="206" spans="15:35" ht="15.75" hidden="1" outlineLevel="1" x14ac:dyDescent="0.3">
      <c r="O206" s="69"/>
      <c r="P206" s="69" t="s">
        <v>66</v>
      </c>
      <c r="Q206" s="70"/>
      <c r="R206" s="70"/>
      <c r="S206" s="71"/>
      <c r="T206" s="71"/>
      <c r="U206" s="71">
        <f>SUM(U207:U210)</f>
        <v>4548.5439999999999</v>
      </c>
      <c r="V206" s="70"/>
      <c r="X206" s="71">
        <f t="shared" ref="X206:X210" si="56">S206+T206</f>
        <v>0</v>
      </c>
      <c r="Y206" s="71">
        <f t="shared" ref="Y206" si="57">SUM(S206:U206)</f>
        <v>4548.5439999999999</v>
      </c>
      <c r="Z206" s="76" t="s">
        <v>183</v>
      </c>
      <c r="AB206" s="17"/>
      <c r="AC206" s="17" t="s">
        <v>187</v>
      </c>
      <c r="AD206" s="17"/>
      <c r="AE206" s="30"/>
      <c r="AG206" s="17"/>
      <c r="AH206" s="41">
        <f>T249*IF(NOT(ISBLANK('Eingabe Preise'!$O22)),'Eingabe Preise'!$O22,'Eingabe Preise'!$M22)</f>
        <v>4924.2043876888438</v>
      </c>
      <c r="AI206" s="20" t="s">
        <v>96</v>
      </c>
    </row>
    <row r="207" spans="15:35" ht="15.75" hidden="1" outlineLevel="1" x14ac:dyDescent="0.3">
      <c r="O207" s="17"/>
      <c r="P207" s="17"/>
      <c r="Q207" s="17" t="s">
        <v>45</v>
      </c>
      <c r="R207" s="17"/>
      <c r="S207" s="37"/>
      <c r="T207" s="37"/>
      <c r="U207" s="37">
        <f>'M1 Härtekammern'!T206</f>
        <v>1210.3</v>
      </c>
      <c r="V207" s="17"/>
      <c r="X207" s="37">
        <f t="shared" si="56"/>
        <v>0</v>
      </c>
      <c r="Y207" s="37">
        <f t="shared" ref="Y207:Y210" si="58">SUM(S207:U207)</f>
        <v>1210.3</v>
      </c>
      <c r="Z207" s="17" t="s">
        <v>184</v>
      </c>
      <c r="AB207" s="17"/>
      <c r="AC207" s="17" t="s">
        <v>188</v>
      </c>
      <c r="AD207" s="17"/>
      <c r="AE207" s="30"/>
      <c r="AG207" s="17"/>
      <c r="AH207" s="41">
        <f>U249*IF(NOT(ISBLANK('Eingabe Preise'!$O23)),'Eingabe Preise'!$O23,'Eingabe Preise'!$M23)</f>
        <v>458761.39261081174</v>
      </c>
      <c r="AI207" s="20" t="s">
        <v>96</v>
      </c>
    </row>
    <row r="208" spans="15:35" ht="15.75" hidden="1" outlineLevel="1" x14ac:dyDescent="0.3">
      <c r="O208" s="17"/>
      <c r="P208" s="17"/>
      <c r="Q208" s="17" t="s">
        <v>47</v>
      </c>
      <c r="R208" s="17"/>
      <c r="S208" s="37"/>
      <c r="T208" s="37"/>
      <c r="U208" s="37">
        <f>'M1 Härtekammern'!T207</f>
        <v>2415.5039999999999</v>
      </c>
      <c r="V208" s="17"/>
      <c r="X208" s="37">
        <f t="shared" si="56"/>
        <v>0</v>
      </c>
      <c r="Y208" s="37">
        <f t="shared" si="58"/>
        <v>2415.5039999999999</v>
      </c>
      <c r="Z208" s="17" t="s">
        <v>184</v>
      </c>
      <c r="AB208" s="17"/>
      <c r="AC208" s="17"/>
      <c r="AD208" s="17"/>
      <c r="AE208" s="17"/>
      <c r="AG208" s="17"/>
      <c r="AH208" s="17"/>
      <c r="AI208" s="17"/>
    </row>
    <row r="209" spans="15:35" ht="15.75" hidden="1" outlineLevel="1" x14ac:dyDescent="0.3">
      <c r="O209" s="17"/>
      <c r="P209" s="17"/>
      <c r="Q209" s="17" t="s">
        <v>48</v>
      </c>
      <c r="R209" s="17"/>
      <c r="S209" s="37"/>
      <c r="T209" s="37"/>
      <c r="U209" s="37">
        <f>'M1 Härtekammern'!T208</f>
        <v>922.7399999999999</v>
      </c>
      <c r="V209" s="17"/>
      <c r="X209" s="37">
        <f t="shared" si="56"/>
        <v>0</v>
      </c>
      <c r="Y209" s="37">
        <f t="shared" si="58"/>
        <v>922.7399999999999</v>
      </c>
      <c r="Z209" s="17" t="s">
        <v>184</v>
      </c>
      <c r="AB209" s="17"/>
      <c r="AC209" s="17"/>
      <c r="AD209" s="17"/>
      <c r="AE209" s="17"/>
      <c r="AG209" s="17"/>
      <c r="AH209" s="17"/>
      <c r="AI209" s="17"/>
    </row>
    <row r="210" spans="15:35" ht="15.75" hidden="1" outlineLevel="1" x14ac:dyDescent="0.3">
      <c r="O210" s="17"/>
      <c r="P210" s="17"/>
      <c r="Q210" s="17" t="s">
        <v>147</v>
      </c>
      <c r="R210" s="17"/>
      <c r="S210" s="37"/>
      <c r="T210" s="37"/>
      <c r="U210" s="37">
        <f>'M1 Härtekammern'!T209</f>
        <v>0</v>
      </c>
      <c r="V210" s="17"/>
      <c r="X210" s="37">
        <f t="shared" si="56"/>
        <v>0</v>
      </c>
      <c r="Y210" s="37">
        <f t="shared" si="58"/>
        <v>0</v>
      </c>
      <c r="Z210" s="17" t="s">
        <v>184</v>
      </c>
      <c r="AB210" s="17"/>
      <c r="AC210" s="17"/>
      <c r="AD210" s="17"/>
      <c r="AE210" s="17"/>
      <c r="AG210" s="17"/>
      <c r="AH210" s="17"/>
      <c r="AI210" s="17"/>
    </row>
    <row r="211" spans="15:35" hidden="1" outlineLevel="1" x14ac:dyDescent="0.2">
      <c r="O211" s="17"/>
      <c r="P211" s="17"/>
      <c r="Q211" s="17"/>
      <c r="R211" s="17"/>
      <c r="S211" s="17"/>
      <c r="T211" s="17"/>
      <c r="U211" s="17"/>
      <c r="V211" s="17"/>
      <c r="X211" s="20"/>
      <c r="Y211" s="20"/>
      <c r="Z211" s="17"/>
      <c r="AB211" s="17"/>
      <c r="AC211" s="17"/>
      <c r="AD211" s="17"/>
      <c r="AE211" s="18"/>
      <c r="AG211" s="17"/>
      <c r="AH211" s="18"/>
      <c r="AI211" s="18"/>
    </row>
    <row r="212" spans="15:35" ht="14.25" hidden="1" outlineLevel="1" x14ac:dyDescent="0.25">
      <c r="O212" s="69"/>
      <c r="P212" s="69" t="s">
        <v>163</v>
      </c>
      <c r="Q212" s="70"/>
      <c r="R212" s="70"/>
      <c r="S212" s="71"/>
      <c r="T212" s="71"/>
      <c r="U212" s="71">
        <f>SUM(U213:U217)</f>
        <v>129.59200000000001</v>
      </c>
      <c r="V212" s="70"/>
      <c r="X212" s="71">
        <f t="shared" ref="X212" si="59">S212+T212</f>
        <v>0</v>
      </c>
      <c r="Y212" s="71">
        <f t="shared" ref="Y212" si="60">SUM(S212:U212)</f>
        <v>129.59200000000001</v>
      </c>
      <c r="Z212" s="76" t="s">
        <v>183</v>
      </c>
      <c r="AB212" s="21" t="s">
        <v>209</v>
      </c>
      <c r="AC212" s="17"/>
      <c r="AD212" s="17"/>
      <c r="AE212" s="17"/>
      <c r="AG212" s="17"/>
      <c r="AH212" s="17"/>
      <c r="AI212" s="17"/>
    </row>
    <row r="213" spans="15:35" ht="15.75" hidden="1" outlineLevel="1" collapsed="1" x14ac:dyDescent="0.3">
      <c r="O213" s="17"/>
      <c r="P213" s="17"/>
      <c r="Q213" s="17" t="s">
        <v>164</v>
      </c>
      <c r="R213" s="17"/>
      <c r="S213" s="37"/>
      <c r="T213" s="37"/>
      <c r="U213" s="37">
        <f>'M1 Härtekammern'!T212</f>
        <v>129.59200000000001</v>
      </c>
      <c r="V213" s="17"/>
      <c r="X213" s="37">
        <f>S213+T213</f>
        <v>0</v>
      </c>
      <c r="Y213" s="37">
        <f>SUM(S213:U213)</f>
        <v>129.59200000000001</v>
      </c>
      <c r="Z213" s="17" t="s">
        <v>184</v>
      </c>
      <c r="AB213" s="17"/>
      <c r="AC213" s="17" t="s">
        <v>470</v>
      </c>
      <c r="AD213" s="17"/>
      <c r="AE213" s="18"/>
      <c r="AG213" s="17"/>
      <c r="AH213" s="41">
        <f>IF(IF(NOT(ISBLANK($G$32)),$G$32,$E$32)&gt;5,AH131,0)</f>
        <v>28800</v>
      </c>
      <c r="AI213" s="20" t="s">
        <v>96</v>
      </c>
    </row>
    <row r="214" spans="15:35" ht="15.75" hidden="1" outlineLevel="1" x14ac:dyDescent="0.3">
      <c r="O214" s="17"/>
      <c r="P214" s="17"/>
      <c r="Q214" s="17" t="s">
        <v>165</v>
      </c>
      <c r="R214" s="17"/>
      <c r="S214" s="37"/>
      <c r="T214" s="37"/>
      <c r="U214" s="37">
        <f>'M1 Härtekammern'!T213</f>
        <v>0</v>
      </c>
      <c r="V214" s="17"/>
      <c r="X214" s="37">
        <f>S214+T214</f>
        <v>0</v>
      </c>
      <c r="Y214" s="37">
        <f t="shared" ref="Y214:Y215" si="61">SUM(S214:U214)</f>
        <v>0</v>
      </c>
      <c r="Z214" s="17" t="s">
        <v>184</v>
      </c>
      <c r="AB214" s="17"/>
      <c r="AC214" s="17" t="s">
        <v>471</v>
      </c>
      <c r="AD214" s="17"/>
      <c r="AE214" s="17"/>
      <c r="AG214" s="17"/>
      <c r="AH214" s="41">
        <f>(IF(NOT(ISBLANK($K$27)),$K$27,$I$27)/IF(NOT(ISBLANK($K$32)),$K$32,$I$32)+IF(NOT(ISBLANK($K$27)),$K$27,$I$27)*(IF(NOT(ISBLANK($K$33)),$K$33,$I$33)/100))*R182</f>
        <v>28800</v>
      </c>
      <c r="AI214" s="20" t="s">
        <v>96</v>
      </c>
    </row>
    <row r="215" spans="15:35" ht="15.75" hidden="1" outlineLevel="1" x14ac:dyDescent="0.3">
      <c r="O215" s="17"/>
      <c r="P215" s="17"/>
      <c r="Q215" s="17" t="s">
        <v>166</v>
      </c>
      <c r="R215" s="17"/>
      <c r="S215" s="37"/>
      <c r="T215" s="37"/>
      <c r="U215" s="37">
        <f>'M1 Härtekammern'!T214</f>
        <v>0</v>
      </c>
      <c r="V215" s="17"/>
      <c r="X215" s="37">
        <f t="shared" ref="X215" si="62">S215+T215</f>
        <v>0</v>
      </c>
      <c r="Y215" s="37">
        <f t="shared" si="61"/>
        <v>0</v>
      </c>
      <c r="Z215" s="17" t="s">
        <v>184</v>
      </c>
      <c r="AB215" s="17"/>
      <c r="AC215" s="17"/>
      <c r="AD215" s="17"/>
      <c r="AE215" s="18"/>
      <c r="AG215" s="17"/>
      <c r="AH215" s="18"/>
      <c r="AI215" s="18"/>
    </row>
    <row r="216" spans="15:35" ht="15.75" hidden="1" outlineLevel="1" x14ac:dyDescent="0.3">
      <c r="O216" s="17"/>
      <c r="P216" s="17"/>
      <c r="Q216" s="17" t="str">
        <f>'M1 Härtekammern'!P215</f>
        <v>Weiterer Zuschlagstoff 1</v>
      </c>
      <c r="R216" s="17"/>
      <c r="S216" s="37"/>
      <c r="T216" s="37"/>
      <c r="U216" s="37">
        <f>'M1 Härtekammern'!T215</f>
        <v>0</v>
      </c>
      <c r="V216" s="17"/>
      <c r="X216" s="37">
        <f t="shared" ref="X216:X217" si="63">S216+T216</f>
        <v>0</v>
      </c>
      <c r="Y216" s="37">
        <f t="shared" ref="Y216:Y217" si="64">SUM(S216:U216)</f>
        <v>0</v>
      </c>
      <c r="Z216" s="17" t="s">
        <v>184</v>
      </c>
      <c r="AB216" s="17"/>
      <c r="AC216" s="17" t="s">
        <v>472</v>
      </c>
      <c r="AD216" s="17"/>
      <c r="AE216" s="17"/>
      <c r="AG216" s="17"/>
      <c r="AH216" s="41">
        <f>IF(IF(NOT(ISBLANK($G$32)),$G$32,$E$32)&gt;5,AH133,0)</f>
        <v>0</v>
      </c>
      <c r="AI216" s="20" t="s">
        <v>96</v>
      </c>
    </row>
    <row r="217" spans="15:35" ht="15.75" hidden="1" outlineLevel="1" x14ac:dyDescent="0.3">
      <c r="O217" s="17"/>
      <c r="P217" s="17"/>
      <c r="Q217" s="17" t="str">
        <f>'M1 Härtekammern'!P216</f>
        <v>Weiterer Zuschlagstoff 2</v>
      </c>
      <c r="R217" s="17"/>
      <c r="S217" s="37"/>
      <c r="T217" s="37"/>
      <c r="U217" s="37">
        <f>'M1 Härtekammern'!T216</f>
        <v>0</v>
      </c>
      <c r="V217" s="17"/>
      <c r="X217" s="37">
        <f t="shared" si="63"/>
        <v>0</v>
      </c>
      <c r="Y217" s="37">
        <f t="shared" si="64"/>
        <v>0</v>
      </c>
      <c r="Z217" s="17" t="s">
        <v>184</v>
      </c>
      <c r="AB217" s="17"/>
      <c r="AC217" s="17" t="s">
        <v>473</v>
      </c>
      <c r="AD217" s="17"/>
      <c r="AE217" s="18"/>
      <c r="AG217" s="17"/>
      <c r="AH217" s="41">
        <f>IF(NOT(ISBLANK($K$29)),$K$29,$I$29)/IF(NOT(ISBLANK($K$32)),$K$32,$I$32)+IF(NOT(ISBLANK($K$29)),$K$29,$I$29)*(IF(NOT(ISBLANK($K$33)),$K$33,$I$33)/100)</f>
        <v>0</v>
      </c>
      <c r="AI217" s="20" t="s">
        <v>96</v>
      </c>
    </row>
    <row r="218" spans="15:35" hidden="1" outlineLevel="1" x14ac:dyDescent="0.2">
      <c r="O218" s="17"/>
      <c r="P218" s="17"/>
      <c r="Q218" s="17"/>
      <c r="R218" s="17"/>
      <c r="S218" s="17"/>
      <c r="T218" s="17"/>
      <c r="U218" s="17"/>
      <c r="V218" s="17"/>
      <c r="X218" s="20"/>
      <c r="Y218" s="20"/>
      <c r="Z218" s="17"/>
      <c r="AB218" s="17"/>
      <c r="AC218" s="17"/>
      <c r="AD218" s="17"/>
      <c r="AE218" s="18"/>
      <c r="AG218" s="17"/>
      <c r="AH218" s="18"/>
      <c r="AI218" s="18"/>
    </row>
    <row r="219" spans="15:35" ht="14.25" hidden="1" outlineLevel="1" x14ac:dyDescent="0.25">
      <c r="O219" s="17"/>
      <c r="P219" s="17"/>
      <c r="Q219" s="21" t="s">
        <v>55</v>
      </c>
      <c r="R219" s="21"/>
      <c r="S219" s="74"/>
      <c r="T219" s="74"/>
      <c r="U219" s="37">
        <f>'M1 Härtekammern'!T218</f>
        <v>208</v>
      </c>
      <c r="V219" s="21"/>
      <c r="X219" s="74">
        <f>S219+T219</f>
        <v>0</v>
      </c>
      <c r="Y219" s="74">
        <f t="shared" ref="Y219" si="65">SUM(S219:U219)</f>
        <v>208</v>
      </c>
      <c r="Z219" s="21" t="s">
        <v>183</v>
      </c>
      <c r="AB219" s="17"/>
      <c r="AC219" s="17"/>
      <c r="AD219" s="17"/>
      <c r="AE219" s="17"/>
      <c r="AG219" s="17"/>
      <c r="AH219" s="17"/>
      <c r="AI219" s="17"/>
    </row>
    <row r="220" spans="15:35" hidden="1" outlineLevel="1" x14ac:dyDescent="0.2">
      <c r="O220" s="17"/>
      <c r="P220" s="17"/>
      <c r="Q220" s="17"/>
      <c r="R220" s="17"/>
      <c r="S220" s="17"/>
      <c r="T220" s="17"/>
      <c r="U220" s="17"/>
      <c r="V220" s="17"/>
      <c r="X220" s="20"/>
      <c r="Y220" s="20"/>
      <c r="Z220" s="17"/>
      <c r="AB220" s="17"/>
      <c r="AC220" s="17"/>
      <c r="AD220" s="17"/>
      <c r="AE220" s="18"/>
      <c r="AG220" s="17"/>
      <c r="AH220" s="18"/>
      <c r="AI220" s="18"/>
    </row>
    <row r="221" spans="15:35" ht="14.25" hidden="1" outlineLevel="1" x14ac:dyDescent="0.25">
      <c r="O221" s="69"/>
      <c r="P221" s="69" t="s">
        <v>167</v>
      </c>
      <c r="Q221" s="70"/>
      <c r="R221" s="70"/>
      <c r="S221" s="71"/>
      <c r="T221" s="71"/>
      <c r="U221" s="71">
        <f>SUM(U222:U226)</f>
        <v>81.003999999999991</v>
      </c>
      <c r="V221" s="70"/>
      <c r="X221" s="71">
        <f t="shared" ref="X221" si="66">S221+T221</f>
        <v>0</v>
      </c>
      <c r="Y221" s="71">
        <f t="shared" ref="Y221" si="67">SUM(S221:U221)</f>
        <v>81.003999999999991</v>
      </c>
      <c r="Z221" s="76" t="s">
        <v>183</v>
      </c>
    </row>
    <row r="222" spans="15:35" ht="15.75" hidden="1" outlineLevel="1" x14ac:dyDescent="0.3">
      <c r="O222" s="17"/>
      <c r="P222" s="17"/>
      <c r="Q222" s="17" t="s">
        <v>57</v>
      </c>
      <c r="R222" s="17"/>
      <c r="S222" s="37"/>
      <c r="T222" s="37"/>
      <c r="U222" s="37">
        <f>'M1 Härtekammern'!T221</f>
        <v>0</v>
      </c>
      <c r="V222" s="17"/>
      <c r="X222" s="37">
        <f>S222+T222</f>
        <v>0</v>
      </c>
      <c r="Y222" s="37">
        <f>SUM(S222:U222)</f>
        <v>0</v>
      </c>
      <c r="Z222" s="17" t="s">
        <v>184</v>
      </c>
    </row>
    <row r="223" spans="15:35" ht="15.75" hidden="1" outlineLevel="1" x14ac:dyDescent="0.3">
      <c r="O223" s="17"/>
      <c r="P223" s="17"/>
      <c r="Q223" s="17" t="s">
        <v>58</v>
      </c>
      <c r="R223" s="17"/>
      <c r="S223" s="37"/>
      <c r="T223" s="37"/>
      <c r="U223" s="37">
        <f>'M1 Härtekammern'!T222</f>
        <v>8.6840000000000011</v>
      </c>
      <c r="V223" s="17"/>
      <c r="X223" s="37">
        <f>S223+T223</f>
        <v>0</v>
      </c>
      <c r="Y223" s="37">
        <f>SUM(S223:U223)</f>
        <v>8.6840000000000011</v>
      </c>
      <c r="Z223" s="17" t="s">
        <v>184</v>
      </c>
    </row>
    <row r="224" spans="15:35" ht="15.75" hidden="1" outlineLevel="1" x14ac:dyDescent="0.3">
      <c r="O224" s="17"/>
      <c r="P224" s="17"/>
      <c r="Q224" s="17" t="s">
        <v>59</v>
      </c>
      <c r="R224" s="17"/>
      <c r="S224" s="37"/>
      <c r="T224" s="37"/>
      <c r="U224" s="37">
        <f>'M1 Härtekammern'!T223</f>
        <v>72.319999999999993</v>
      </c>
      <c r="V224" s="17"/>
      <c r="X224" s="37">
        <f>S224+T224</f>
        <v>0</v>
      </c>
      <c r="Y224" s="37">
        <f>SUM(S224:U224)</f>
        <v>72.319999999999993</v>
      </c>
      <c r="Z224" s="17" t="s">
        <v>184</v>
      </c>
    </row>
    <row r="225" spans="15:26" ht="15.75" hidden="1" outlineLevel="1" x14ac:dyDescent="0.3">
      <c r="O225" s="17"/>
      <c r="P225" s="17"/>
      <c r="Q225" s="17" t="str">
        <f>'M1 Härtekammern'!P224</f>
        <v>Weiterer Zusatzstoff 1</v>
      </c>
      <c r="R225" s="17"/>
      <c r="S225" s="37"/>
      <c r="T225" s="37"/>
      <c r="U225" s="37">
        <f>'M1 Härtekammern'!T224</f>
        <v>0</v>
      </c>
      <c r="V225" s="17"/>
      <c r="X225" s="37">
        <f t="shared" ref="X225:X226" si="68">S225+T225</f>
        <v>0</v>
      </c>
      <c r="Y225" s="37">
        <f t="shared" ref="Y225:Y226" si="69">SUM(S225:U225)</f>
        <v>0</v>
      </c>
      <c r="Z225" s="17" t="s">
        <v>184</v>
      </c>
    </row>
    <row r="226" spans="15:26" ht="15.75" hidden="1" outlineLevel="1" x14ac:dyDescent="0.3">
      <c r="O226" s="17"/>
      <c r="P226" s="17"/>
      <c r="Q226" s="17" t="str">
        <f>'M1 Härtekammern'!P225</f>
        <v>Weiterer Zusatzstoff 2</v>
      </c>
      <c r="R226" s="17"/>
      <c r="S226" s="37"/>
      <c r="T226" s="37"/>
      <c r="U226" s="37">
        <f>'M1 Härtekammern'!T225</f>
        <v>0</v>
      </c>
      <c r="V226" s="17"/>
      <c r="X226" s="37">
        <f t="shared" si="68"/>
        <v>0</v>
      </c>
      <c r="Y226" s="37">
        <f t="shared" si="69"/>
        <v>0</v>
      </c>
      <c r="Z226" s="17" t="s">
        <v>184</v>
      </c>
    </row>
    <row r="227" spans="15:26" hidden="1" outlineLevel="1" x14ac:dyDescent="0.2">
      <c r="O227" s="17"/>
      <c r="P227" s="17"/>
      <c r="Q227" s="17"/>
      <c r="R227" s="17"/>
      <c r="S227" s="17"/>
      <c r="T227" s="17"/>
      <c r="U227" s="17"/>
      <c r="V227" s="17"/>
      <c r="X227" s="17"/>
      <c r="Y227" s="20"/>
      <c r="Z227" s="20"/>
    </row>
    <row r="228" spans="15:26" ht="14.25" hidden="1" outlineLevel="1" x14ac:dyDescent="0.25">
      <c r="O228" s="69"/>
      <c r="P228" s="69" t="s">
        <v>49</v>
      </c>
      <c r="Q228" s="70"/>
      <c r="R228" s="70"/>
      <c r="S228" s="71"/>
      <c r="T228" s="71"/>
      <c r="U228" s="71">
        <f t="shared" ref="U228" si="70">SUM(U229:U232)</f>
        <v>148.44746134951595</v>
      </c>
      <c r="V228" s="70"/>
      <c r="X228" s="71">
        <f t="shared" ref="X228:X232" si="71">S228+T228</f>
        <v>0</v>
      </c>
      <c r="Y228" s="71">
        <f t="shared" ref="Y228" si="72">SUM(S228:U228)</f>
        <v>148.44746134951595</v>
      </c>
      <c r="Z228" s="76" t="s">
        <v>183</v>
      </c>
    </row>
    <row r="229" spans="15:26" ht="15.75" hidden="1" outlineLevel="1" x14ac:dyDescent="0.3">
      <c r="O229" s="17"/>
      <c r="P229" s="17"/>
      <c r="Q229" s="17" t="s">
        <v>50</v>
      </c>
      <c r="R229" s="17"/>
      <c r="S229" s="37"/>
      <c r="T229" s="37"/>
      <c r="U229" s="37">
        <f>'M1 Härtekammern'!T228</f>
        <v>47.997919375812742</v>
      </c>
      <c r="V229" s="17"/>
      <c r="X229" s="37">
        <f t="shared" si="71"/>
        <v>0</v>
      </c>
      <c r="Y229" s="37">
        <f t="shared" ref="Y229:Y232" si="73">SUM(S229:U229)</f>
        <v>47.997919375812742</v>
      </c>
      <c r="Z229" s="17" t="s">
        <v>184</v>
      </c>
    </row>
    <row r="230" spans="15:26" ht="15.75" hidden="1" outlineLevel="1" x14ac:dyDescent="0.3">
      <c r="O230" s="17"/>
      <c r="P230" s="17"/>
      <c r="Q230" s="17" t="s">
        <v>52</v>
      </c>
      <c r="R230" s="17"/>
      <c r="S230" s="37"/>
      <c r="T230" s="37"/>
      <c r="U230" s="37">
        <f>'M1 Härtekammern'!T229</f>
        <v>5.7797543707556596</v>
      </c>
      <c r="V230" s="17"/>
      <c r="X230" s="37">
        <f t="shared" si="71"/>
        <v>0</v>
      </c>
      <c r="Y230" s="37">
        <f t="shared" si="73"/>
        <v>5.7797543707556596</v>
      </c>
      <c r="Z230" s="17" t="s">
        <v>184</v>
      </c>
    </row>
    <row r="231" spans="15:26" ht="15.75" hidden="1" outlineLevel="1" x14ac:dyDescent="0.3">
      <c r="O231" s="17"/>
      <c r="P231" s="17"/>
      <c r="Q231" s="17" t="s">
        <v>53</v>
      </c>
      <c r="R231" s="17"/>
      <c r="S231" s="37"/>
      <c r="T231" s="37"/>
      <c r="U231" s="37">
        <f>'M1 Härtekammern'!T230</f>
        <v>1.4217598612917211E-2</v>
      </c>
      <c r="V231" s="17"/>
      <c r="X231" s="37">
        <f t="shared" si="71"/>
        <v>0</v>
      </c>
      <c r="Y231" s="37">
        <f t="shared" si="73"/>
        <v>1.4217598612917211E-2</v>
      </c>
      <c r="Z231" s="17" t="s">
        <v>184</v>
      </c>
    </row>
    <row r="232" spans="15:26" ht="15.75" hidden="1" outlineLevel="1" x14ac:dyDescent="0.3">
      <c r="O232" s="17"/>
      <c r="P232" s="17"/>
      <c r="Q232" s="17" t="s">
        <v>54</v>
      </c>
      <c r="R232" s="17"/>
      <c r="S232" s="37"/>
      <c r="T232" s="37"/>
      <c r="U232" s="37">
        <f>'M1 Härtekammern'!T231</f>
        <v>94.655570004334635</v>
      </c>
      <c r="V232" s="17"/>
      <c r="X232" s="37">
        <f t="shared" si="71"/>
        <v>0</v>
      </c>
      <c r="Y232" s="37">
        <f t="shared" si="73"/>
        <v>94.655570004334635</v>
      </c>
      <c r="Z232" s="17" t="s">
        <v>184</v>
      </c>
    </row>
    <row r="233" spans="15:26" hidden="1" outlineLevel="1" x14ac:dyDescent="0.2">
      <c r="O233" s="17"/>
      <c r="P233" s="17"/>
      <c r="Q233" s="17"/>
      <c r="R233" s="17"/>
      <c r="S233" s="17"/>
      <c r="T233" s="17"/>
      <c r="U233" s="17"/>
      <c r="V233" s="17"/>
      <c r="X233" s="17"/>
      <c r="Y233" s="17"/>
      <c r="Z233" s="20"/>
    </row>
    <row r="234" spans="15:26" ht="14.25" hidden="1" outlineLevel="1" x14ac:dyDescent="0.25">
      <c r="O234" s="17"/>
      <c r="P234" s="17"/>
      <c r="Q234" s="21" t="s">
        <v>99</v>
      </c>
      <c r="R234" s="21"/>
      <c r="S234" s="74"/>
      <c r="T234" s="74"/>
      <c r="U234" s="37">
        <f>'M1 Härtekammern'!T233</f>
        <v>0</v>
      </c>
      <c r="V234" s="21"/>
      <c r="X234" s="74">
        <f>S234+T234</f>
        <v>0</v>
      </c>
      <c r="Y234" s="74">
        <f>SUM(S234:U234)</f>
        <v>0</v>
      </c>
      <c r="Z234" s="21" t="s">
        <v>183</v>
      </c>
    </row>
    <row r="235" spans="15:26" ht="14.25" hidden="1" outlineLevel="1" x14ac:dyDescent="0.25">
      <c r="O235" s="17"/>
      <c r="P235" s="17"/>
      <c r="Q235" s="21" t="s">
        <v>62</v>
      </c>
      <c r="R235" s="21"/>
      <c r="S235" s="75"/>
      <c r="T235" s="75"/>
      <c r="U235" s="37">
        <f>'M1 Härtekammern'!T234</f>
        <v>0.54400000000000004</v>
      </c>
      <c r="V235" s="21"/>
      <c r="X235" s="74">
        <f>S235+T235</f>
        <v>0</v>
      </c>
      <c r="Y235" s="74">
        <f>SUM(S235:U235)</f>
        <v>0.54400000000000004</v>
      </c>
      <c r="Z235" s="21" t="s">
        <v>183</v>
      </c>
    </row>
    <row r="236" spans="15:26" hidden="1" outlineLevel="1" x14ac:dyDescent="0.2">
      <c r="O236" s="17"/>
      <c r="P236" s="17"/>
      <c r="Q236" s="17"/>
      <c r="R236" s="17"/>
      <c r="S236" s="17"/>
      <c r="T236" s="17"/>
      <c r="U236" s="17"/>
      <c r="V236" s="17"/>
      <c r="X236" s="17"/>
      <c r="Y236" s="17"/>
      <c r="Z236" s="20"/>
    </row>
    <row r="237" spans="15:26" ht="14.25" hidden="1" outlineLevel="1" x14ac:dyDescent="0.25">
      <c r="O237" s="69"/>
      <c r="P237" s="69" t="s">
        <v>168</v>
      </c>
      <c r="Q237" s="70"/>
      <c r="R237" s="70"/>
      <c r="S237" s="71"/>
      <c r="T237" s="71"/>
      <c r="U237" s="71">
        <f t="shared" ref="U237" si="74">SUM(U238:U240)</f>
        <v>0.16095999999999999</v>
      </c>
      <c r="V237" s="70"/>
      <c r="X237" s="71">
        <f t="shared" ref="X237" si="75">S237+T237</f>
        <v>0</v>
      </c>
      <c r="Y237" s="71">
        <f t="shared" ref="Y237" si="76">SUM(S237:U237)</f>
        <v>0.16095999999999999</v>
      </c>
      <c r="Z237" s="76" t="s">
        <v>183</v>
      </c>
    </row>
    <row r="238" spans="15:26" ht="15.75" hidden="1" outlineLevel="1" x14ac:dyDescent="0.3">
      <c r="O238" s="17"/>
      <c r="P238" s="17"/>
      <c r="Q238" s="17" t="s">
        <v>169</v>
      </c>
      <c r="R238" s="17"/>
      <c r="S238" s="37"/>
      <c r="T238" s="37"/>
      <c r="U238" s="37">
        <f>'M1 Härtekammern'!T237</f>
        <v>0</v>
      </c>
      <c r="V238" s="17"/>
      <c r="X238" s="37">
        <f>S238+T238</f>
        <v>0</v>
      </c>
      <c r="Y238" s="37">
        <f>SUM(S238:U238)</f>
        <v>0</v>
      </c>
      <c r="Z238" s="17" t="s">
        <v>184</v>
      </c>
    </row>
    <row r="239" spans="15:26" ht="15.75" hidden="1" outlineLevel="1" x14ac:dyDescent="0.3">
      <c r="O239" s="17"/>
      <c r="P239" s="17"/>
      <c r="Q239" s="17" t="s">
        <v>60</v>
      </c>
      <c r="R239" s="17"/>
      <c r="S239" s="37"/>
      <c r="T239" s="37"/>
      <c r="U239" s="37">
        <f>'M1 Härtekammern'!T238</f>
        <v>0.16095999999999999</v>
      </c>
      <c r="V239" s="17"/>
      <c r="X239" s="37">
        <f t="shared" ref="X239" si="77">S239+T239</f>
        <v>0</v>
      </c>
      <c r="Y239" s="37">
        <f t="shared" ref="Y239" si="78">SUM(S239:U239)</f>
        <v>0.16095999999999999</v>
      </c>
      <c r="Z239" s="17" t="s">
        <v>184</v>
      </c>
    </row>
    <row r="240" spans="15:26" ht="15.75" hidden="1" outlineLevel="1" x14ac:dyDescent="0.3">
      <c r="O240" s="17"/>
      <c r="P240" s="17"/>
      <c r="Q240" s="17" t="s">
        <v>170</v>
      </c>
      <c r="R240" s="17"/>
      <c r="S240" s="37"/>
      <c r="T240" s="37"/>
      <c r="U240" s="37">
        <f>'M1 Härtekammern'!T239</f>
        <v>0</v>
      </c>
      <c r="V240" s="17"/>
      <c r="X240" s="37">
        <f>S240+T240</f>
        <v>0</v>
      </c>
      <c r="Y240" s="37">
        <f>SUM(S240:U240)</f>
        <v>0</v>
      </c>
      <c r="Z240" s="17" t="s">
        <v>184</v>
      </c>
    </row>
    <row r="241" spans="15:26" hidden="1" outlineLevel="1" x14ac:dyDescent="0.2">
      <c r="O241" s="17"/>
      <c r="P241" s="17"/>
      <c r="Q241" s="17"/>
      <c r="R241" s="17"/>
      <c r="S241" s="17"/>
      <c r="T241" s="17"/>
      <c r="U241" s="17"/>
      <c r="V241" s="17"/>
      <c r="X241" s="17"/>
      <c r="Y241" s="17"/>
      <c r="Z241" s="20"/>
    </row>
    <row r="242" spans="15:26" ht="14.25" hidden="1" outlineLevel="1" x14ac:dyDescent="0.25">
      <c r="O242" s="69"/>
      <c r="P242" s="69" t="s">
        <v>171</v>
      </c>
      <c r="Q242" s="70"/>
      <c r="R242" s="70"/>
      <c r="S242" s="71"/>
      <c r="T242" s="71"/>
      <c r="U242" s="71">
        <f t="shared" ref="U242" si="79">SUM(U243:U245)</f>
        <v>60</v>
      </c>
      <c r="V242" s="70"/>
      <c r="X242" s="71">
        <f t="shared" ref="X242" si="80">S242+T242</f>
        <v>0</v>
      </c>
      <c r="Y242" s="71">
        <f t="shared" ref="Y242" si="81">SUM(S242:U242)</f>
        <v>60</v>
      </c>
      <c r="Z242" s="76" t="s">
        <v>183</v>
      </c>
    </row>
    <row r="243" spans="15:26" ht="15.75" hidden="1" outlineLevel="1" x14ac:dyDescent="0.3">
      <c r="O243" s="17"/>
      <c r="P243" s="17"/>
      <c r="Q243" s="17" t="s">
        <v>64</v>
      </c>
      <c r="R243" s="17"/>
      <c r="S243" s="43"/>
      <c r="T243" s="43"/>
      <c r="U243" s="37">
        <f>'M1 Härtekammern'!T242</f>
        <v>60</v>
      </c>
      <c r="V243" s="17"/>
      <c r="X243" s="37">
        <f>S243+T243</f>
        <v>0</v>
      </c>
      <c r="Y243" s="37">
        <f>SUM(S243:U243)</f>
        <v>60</v>
      </c>
      <c r="Z243" s="17" t="s">
        <v>184</v>
      </c>
    </row>
    <row r="244" spans="15:26" ht="15.75" hidden="1" outlineLevel="1" x14ac:dyDescent="0.3">
      <c r="O244" s="17"/>
      <c r="P244" s="17"/>
      <c r="Q244" s="17" t="s">
        <v>173</v>
      </c>
      <c r="R244" s="17"/>
      <c r="S244" s="43"/>
      <c r="T244" s="43"/>
      <c r="U244" s="37">
        <f>'M1 Härtekammern'!T243</f>
        <v>0</v>
      </c>
      <c r="V244" s="17"/>
      <c r="X244" s="37">
        <f t="shared" ref="X244:X245" si="82">S244+T244</f>
        <v>0</v>
      </c>
      <c r="Y244" s="37">
        <f t="shared" ref="Y244:Y245" si="83">SUM(S244:U244)</f>
        <v>0</v>
      </c>
      <c r="Z244" s="17" t="s">
        <v>184</v>
      </c>
    </row>
    <row r="245" spans="15:26" ht="15.75" hidden="1" outlineLevel="1" x14ac:dyDescent="0.3">
      <c r="O245" s="17"/>
      <c r="P245" s="17"/>
      <c r="Q245" s="17" t="s">
        <v>172</v>
      </c>
      <c r="R245" s="17"/>
      <c r="S245" s="43"/>
      <c r="T245" s="43"/>
      <c r="U245" s="37">
        <f>'M1 Härtekammern'!T244</f>
        <v>0</v>
      </c>
      <c r="V245" s="17"/>
      <c r="X245" s="37">
        <f t="shared" si="82"/>
        <v>0</v>
      </c>
      <c r="Y245" s="37">
        <f t="shared" si="83"/>
        <v>0</v>
      </c>
      <c r="Z245" s="17" t="s">
        <v>184</v>
      </c>
    </row>
    <row r="246" spans="15:26" hidden="1" outlineLevel="1" x14ac:dyDescent="0.2">
      <c r="O246" s="17"/>
      <c r="P246" s="17"/>
      <c r="Q246" s="17"/>
      <c r="R246" s="17"/>
      <c r="S246" s="17"/>
      <c r="T246" s="17"/>
      <c r="U246" s="17"/>
      <c r="V246" s="17"/>
      <c r="X246" s="17"/>
      <c r="Y246" s="17"/>
      <c r="Z246" s="20"/>
    </row>
    <row r="247" spans="15:26" ht="14.25" hidden="1" outlineLevel="1" x14ac:dyDescent="0.25">
      <c r="O247" s="17"/>
      <c r="P247" s="17"/>
      <c r="Q247" s="21" t="s">
        <v>61</v>
      </c>
      <c r="R247" s="21"/>
      <c r="S247" s="75"/>
      <c r="T247" s="75"/>
      <c r="U247" s="37">
        <f>'M1 Härtekammern'!T246</f>
        <v>64.48</v>
      </c>
      <c r="V247" s="21"/>
      <c r="X247" s="74">
        <f t="shared" ref="X247" si="84">S247+T247</f>
        <v>0</v>
      </c>
      <c r="Y247" s="74">
        <f t="shared" ref="Y247" si="85">SUM(S247:U247)</f>
        <v>64.48</v>
      </c>
      <c r="Z247" s="21" t="s">
        <v>183</v>
      </c>
    </row>
    <row r="248" spans="15:26" hidden="1" outlineLevel="1" x14ac:dyDescent="0.2">
      <c r="O248" s="17"/>
      <c r="P248" s="17"/>
      <c r="Q248" s="17"/>
      <c r="R248" s="17"/>
      <c r="S248" s="20"/>
      <c r="T248" s="20"/>
      <c r="U248" s="20"/>
      <c r="V248" s="17"/>
      <c r="X248" s="17"/>
      <c r="Y248" s="20"/>
      <c r="Z248" s="20"/>
    </row>
    <row r="249" spans="15:26" ht="15" hidden="1" outlineLevel="1" thickBot="1" x14ac:dyDescent="0.3">
      <c r="O249" s="17"/>
      <c r="P249" s="17"/>
      <c r="Q249" s="67" t="s">
        <v>67</v>
      </c>
      <c r="R249" s="67"/>
      <c r="S249" s="68">
        <f>SUM(S188:S247)-S202-S206-S212-S221-S228-S237-S242</f>
        <v>92.008460943999992</v>
      </c>
      <c r="T249" s="68">
        <f>SUM(T188:T247)-T202-T206-T212-T221-T228-T237-T242</f>
        <v>61.552554846110553</v>
      </c>
      <c r="U249" s="68">
        <f>SUM(U188:U247)-U202-U206-U212-U221-U228-U237-U242</f>
        <v>5734.5174076351468</v>
      </c>
      <c r="V249" s="21"/>
      <c r="X249" s="68">
        <f>SUM(X188:X247)-X202-X206-X212-X221-X228-X237-X242</f>
        <v>153.56101579011056</v>
      </c>
      <c r="Y249" s="68">
        <f>SUM(Y188:Y247)-Y202-Y206-Y212-Y221-Y228-Y237-Y242</f>
        <v>5888.0784234252569</v>
      </c>
      <c r="Z249" s="68" t="s">
        <v>183</v>
      </c>
    </row>
    <row r="250" spans="15:26" ht="13.5" hidden="1" outlineLevel="1" thickTop="1" x14ac:dyDescent="0.2">
      <c r="O250" s="17"/>
      <c r="P250" s="17"/>
      <c r="Q250" s="17"/>
      <c r="R250" s="17"/>
      <c r="S250" s="20"/>
      <c r="T250" s="20"/>
      <c r="U250" s="20"/>
      <c r="V250" s="17"/>
      <c r="X250" s="17"/>
      <c r="Y250" s="20"/>
      <c r="Z250" s="20"/>
    </row>
    <row r="251" spans="15:26" hidden="1" outlineLevel="1" x14ac:dyDescent="0.2"/>
    <row r="252" spans="15:26" hidden="1" outlineLevel="1" x14ac:dyDescent="0.2"/>
    <row r="253" spans="15:26" hidden="1" outlineLevel="1" x14ac:dyDescent="0.2"/>
    <row r="254" spans="15:26" hidden="1" outlineLevel="1" x14ac:dyDescent="0.2"/>
    <row r="255" spans="15:26" hidden="1" outlineLevel="1" x14ac:dyDescent="0.2"/>
    <row r="256" spans="15:26"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x14ac:dyDescent="0.2"/>
    <row r="282" hidden="1" outlineLevel="1" collapsed="1" x14ac:dyDescent="0.2"/>
    <row r="283" hidden="1" outlineLevel="1" x14ac:dyDescent="0.2"/>
    <row r="284" hidden="1" outlineLevel="1" x14ac:dyDescent="0.2"/>
    <row r="285" collapsed="1" x14ac:dyDescent="0.2"/>
  </sheetData>
  <sheetProtection algorithmName="SHA-512" hashValue="ibibZoTREgmA7RLQtrBvaZpopvYtxj2s8fmeo1KTu7hpdNUYfg3Gt9RM/+FfPXoPqqyi8O2SvwLTahlAgj2tlQ==" saltValue="PlH+b+KZ+NQLV3ODsAGzzA==" spinCount="100000" sheet="1" selectLockedCells="1"/>
  <mergeCells count="7">
    <mergeCell ref="AH40:AH41"/>
    <mergeCell ref="Y49:Y50"/>
    <mergeCell ref="D6:L6"/>
    <mergeCell ref="E13:G13"/>
    <mergeCell ref="E20:G20"/>
    <mergeCell ref="I20:K20"/>
    <mergeCell ref="P40:P41"/>
  </mergeCells>
  <hyperlinks>
    <hyperlink ref="A1" location="Cockpit!A1" display="zurück zu Cockpit" xr:uid="{A4932DEF-7FAE-415A-9FE1-4BC1415EE706}"/>
  </hyperlinks>
  <printOptions horizontalCentered="1"/>
  <pageMargins left="0.39370078740157483" right="0.39370078740157483" top="0.39370078740157483" bottom="0.59055118110236227" header="0.19685039370078741" footer="0.19685039370078741"/>
  <pageSetup paperSize="9" scale="42" fitToWidth="4" orientation="portrait" verticalDpi="601" r:id="rId1"/>
  <colBreaks count="3" manualBreakCount="3">
    <brk id="13" max="73" man="1"/>
    <brk id="23" max="73" man="1"/>
    <brk id="31" max="73" man="1"/>
  </colBreaks>
  <drawing r:id="rId2"/>
  <legacyDrawing r:id="rId3"/>
  <mc:AlternateContent xmlns:mc="http://schemas.openxmlformats.org/markup-compatibility/2006">
    <mc:Choice Requires="x14">
      <controls>
        <mc:AlternateContent xmlns:mc="http://schemas.openxmlformats.org/markup-compatibility/2006">
          <mc:Choice Requires="x14">
            <control shapeId="104449" r:id="rId4" name="Check Box 1">
              <controlPr defaultSize="0" autoFill="0" autoLine="0" autoPict="0">
                <anchor moveWithCells="1">
                  <from>
                    <xdr:col>15</xdr:col>
                    <xdr:colOff>523875</xdr:colOff>
                    <xdr:row>41</xdr:row>
                    <xdr:rowOff>28575</xdr:rowOff>
                  </from>
                  <to>
                    <xdr:col>15</xdr:col>
                    <xdr:colOff>695325</xdr:colOff>
                    <xdr:row>42</xdr:row>
                    <xdr:rowOff>0</xdr:rowOff>
                  </to>
                </anchor>
              </controlPr>
            </control>
          </mc:Choice>
        </mc:AlternateContent>
        <mc:AlternateContent xmlns:mc="http://schemas.openxmlformats.org/markup-compatibility/2006">
          <mc:Choice Requires="x14">
            <control shapeId="104450" r:id="rId5" name="Check Box 2">
              <controlPr defaultSize="0" autoFill="0" autoLine="0" autoPict="0">
                <anchor moveWithCells="1">
                  <from>
                    <xdr:col>15</xdr:col>
                    <xdr:colOff>523875</xdr:colOff>
                    <xdr:row>42</xdr:row>
                    <xdr:rowOff>28575</xdr:rowOff>
                  </from>
                  <to>
                    <xdr:col>15</xdr:col>
                    <xdr:colOff>695325</xdr:colOff>
                    <xdr:row>42</xdr:row>
                    <xdr:rowOff>190500</xdr:rowOff>
                  </to>
                </anchor>
              </controlPr>
            </control>
          </mc:Choice>
        </mc:AlternateContent>
        <mc:AlternateContent xmlns:mc="http://schemas.openxmlformats.org/markup-compatibility/2006">
          <mc:Choice Requires="x14">
            <control shapeId="104451" r:id="rId6" name="Check Box 3">
              <controlPr defaultSize="0" autoFill="0" autoLine="0" autoPict="0">
                <anchor moveWithCells="1">
                  <from>
                    <xdr:col>15</xdr:col>
                    <xdr:colOff>523875</xdr:colOff>
                    <xdr:row>43</xdr:row>
                    <xdr:rowOff>28575</xdr:rowOff>
                  </from>
                  <to>
                    <xdr:col>15</xdr:col>
                    <xdr:colOff>695325</xdr:colOff>
                    <xdr:row>43</xdr:row>
                    <xdr:rowOff>171450</xdr:rowOff>
                  </to>
                </anchor>
              </controlPr>
            </control>
          </mc:Choice>
        </mc:AlternateContent>
        <mc:AlternateContent xmlns:mc="http://schemas.openxmlformats.org/markup-compatibility/2006">
          <mc:Choice Requires="x14">
            <control shapeId="104452" r:id="rId7" name="Check Box 4">
              <controlPr defaultSize="0" autoFill="0" autoLine="0" autoPict="0">
                <anchor moveWithCells="1">
                  <from>
                    <xdr:col>15</xdr:col>
                    <xdr:colOff>523875</xdr:colOff>
                    <xdr:row>44</xdr:row>
                    <xdr:rowOff>19050</xdr:rowOff>
                  </from>
                  <to>
                    <xdr:col>15</xdr:col>
                    <xdr:colOff>695325</xdr:colOff>
                    <xdr:row>44</xdr:row>
                    <xdr:rowOff>190500</xdr:rowOff>
                  </to>
                </anchor>
              </controlPr>
            </control>
          </mc:Choice>
        </mc:AlternateContent>
        <mc:AlternateContent xmlns:mc="http://schemas.openxmlformats.org/markup-compatibility/2006">
          <mc:Choice Requires="x14">
            <control shapeId="104453" r:id="rId8" name="Check Box 5">
              <controlPr defaultSize="0" autoFill="0" autoLine="0" autoPict="0">
                <anchor moveWithCells="1">
                  <from>
                    <xdr:col>15</xdr:col>
                    <xdr:colOff>523875</xdr:colOff>
                    <xdr:row>45</xdr:row>
                    <xdr:rowOff>19050</xdr:rowOff>
                  </from>
                  <to>
                    <xdr:col>15</xdr:col>
                    <xdr:colOff>695325</xdr:colOff>
                    <xdr:row>45</xdr:row>
                    <xdr:rowOff>171450</xdr:rowOff>
                  </to>
                </anchor>
              </controlPr>
            </control>
          </mc:Choice>
        </mc:AlternateContent>
        <mc:AlternateContent xmlns:mc="http://schemas.openxmlformats.org/markup-compatibility/2006">
          <mc:Choice Requires="x14">
            <control shapeId="104454" r:id="rId9" name="Check Box 6">
              <controlPr defaultSize="0" autoFill="0" autoLine="0" autoPict="0">
                <anchor moveWithCells="1">
                  <from>
                    <xdr:col>15</xdr:col>
                    <xdr:colOff>523875</xdr:colOff>
                    <xdr:row>46</xdr:row>
                    <xdr:rowOff>0</xdr:rowOff>
                  </from>
                  <to>
                    <xdr:col>15</xdr:col>
                    <xdr:colOff>695325</xdr:colOff>
                    <xdr:row>46</xdr:row>
                    <xdr:rowOff>171450</xdr:rowOff>
                  </to>
                </anchor>
              </controlPr>
            </control>
          </mc:Choice>
        </mc:AlternateContent>
        <mc:AlternateContent xmlns:mc="http://schemas.openxmlformats.org/markup-compatibility/2006">
          <mc:Choice Requires="x14">
            <control shapeId="104455" r:id="rId10" name="Check Box 7">
              <controlPr defaultSize="0" autoFill="0" autoLine="0" autoPict="0">
                <anchor moveWithCells="1">
                  <from>
                    <xdr:col>15</xdr:col>
                    <xdr:colOff>523875</xdr:colOff>
                    <xdr:row>47</xdr:row>
                    <xdr:rowOff>9525</xdr:rowOff>
                  </from>
                  <to>
                    <xdr:col>15</xdr:col>
                    <xdr:colOff>695325</xdr:colOff>
                    <xdr:row>47</xdr:row>
                    <xdr:rowOff>190500</xdr:rowOff>
                  </to>
                </anchor>
              </controlPr>
            </control>
          </mc:Choice>
        </mc:AlternateContent>
        <mc:AlternateContent xmlns:mc="http://schemas.openxmlformats.org/markup-compatibility/2006">
          <mc:Choice Requires="x14">
            <control shapeId="104456" r:id="rId11" name="Check Box 8">
              <controlPr defaultSize="0" autoFill="0" autoLine="0" autoPict="0">
                <anchor moveWithCells="1">
                  <from>
                    <xdr:col>33</xdr:col>
                    <xdr:colOff>457200</xdr:colOff>
                    <xdr:row>52</xdr:row>
                    <xdr:rowOff>0</xdr:rowOff>
                  </from>
                  <to>
                    <xdr:col>33</xdr:col>
                    <xdr:colOff>685800</xdr:colOff>
                    <xdr:row>52</xdr:row>
                    <xdr:rowOff>171450</xdr:rowOff>
                  </to>
                </anchor>
              </controlPr>
            </control>
          </mc:Choice>
        </mc:AlternateContent>
        <mc:AlternateContent xmlns:mc="http://schemas.openxmlformats.org/markup-compatibility/2006">
          <mc:Choice Requires="x14">
            <control shapeId="104457" r:id="rId12" name="Check Box 9">
              <controlPr defaultSize="0" autoFill="0" autoLine="0" autoPict="0">
                <anchor moveWithCells="1">
                  <from>
                    <xdr:col>33</xdr:col>
                    <xdr:colOff>571500</xdr:colOff>
                    <xdr:row>53</xdr:row>
                    <xdr:rowOff>19050</xdr:rowOff>
                  </from>
                  <to>
                    <xdr:col>34</xdr:col>
                    <xdr:colOff>0</xdr:colOff>
                    <xdr:row>54</xdr:row>
                    <xdr:rowOff>0</xdr:rowOff>
                  </to>
                </anchor>
              </controlPr>
            </control>
          </mc:Choice>
        </mc:AlternateContent>
        <mc:AlternateContent xmlns:mc="http://schemas.openxmlformats.org/markup-compatibility/2006">
          <mc:Choice Requires="x14">
            <control shapeId="104458" r:id="rId13" name="Check Box 10">
              <controlPr defaultSize="0" autoFill="0" autoLine="0" autoPict="0">
                <anchor moveWithCells="1">
                  <from>
                    <xdr:col>33</xdr:col>
                    <xdr:colOff>571500</xdr:colOff>
                    <xdr:row>54</xdr:row>
                    <xdr:rowOff>19050</xdr:rowOff>
                  </from>
                  <to>
                    <xdr:col>34</xdr:col>
                    <xdr:colOff>0</xdr:colOff>
                    <xdr:row>55</xdr:row>
                    <xdr:rowOff>0</xdr:rowOff>
                  </to>
                </anchor>
              </controlPr>
            </control>
          </mc:Choice>
        </mc:AlternateContent>
        <mc:AlternateContent xmlns:mc="http://schemas.openxmlformats.org/markup-compatibility/2006">
          <mc:Choice Requires="x14">
            <control shapeId="104459" r:id="rId14" name="Check Box 11">
              <controlPr defaultSize="0" autoFill="0" autoLine="0" autoPict="0">
                <anchor moveWithCells="1">
                  <from>
                    <xdr:col>33</xdr:col>
                    <xdr:colOff>571500</xdr:colOff>
                    <xdr:row>55</xdr:row>
                    <xdr:rowOff>9525</xdr:rowOff>
                  </from>
                  <to>
                    <xdr:col>34</xdr:col>
                    <xdr:colOff>0</xdr:colOff>
                    <xdr:row>55</xdr:row>
                    <xdr:rowOff>190500</xdr:rowOff>
                  </to>
                </anchor>
              </controlPr>
            </control>
          </mc:Choice>
        </mc:AlternateContent>
        <mc:AlternateContent xmlns:mc="http://schemas.openxmlformats.org/markup-compatibility/2006">
          <mc:Choice Requires="x14">
            <control shapeId="104460" r:id="rId15" name="Check Box 12">
              <controlPr defaultSize="0" autoFill="0" autoLine="0" autoPict="0">
                <anchor moveWithCells="1">
                  <from>
                    <xdr:col>33</xdr:col>
                    <xdr:colOff>457200</xdr:colOff>
                    <xdr:row>50</xdr:row>
                    <xdr:rowOff>9525</xdr:rowOff>
                  </from>
                  <to>
                    <xdr:col>33</xdr:col>
                    <xdr:colOff>685800</xdr:colOff>
                    <xdr:row>51</xdr:row>
                    <xdr:rowOff>19050</xdr:rowOff>
                  </to>
                </anchor>
              </controlPr>
            </control>
          </mc:Choice>
        </mc:AlternateContent>
        <mc:AlternateContent xmlns:mc="http://schemas.openxmlformats.org/markup-compatibility/2006">
          <mc:Choice Requires="x14">
            <control shapeId="104461" r:id="rId16" name="Check Box 13">
              <controlPr defaultSize="0" autoFill="0" autoLine="0" autoPict="0">
                <anchor moveWithCells="1">
                  <from>
                    <xdr:col>33</xdr:col>
                    <xdr:colOff>457200</xdr:colOff>
                    <xdr:row>49</xdr:row>
                    <xdr:rowOff>0</xdr:rowOff>
                  </from>
                  <to>
                    <xdr:col>33</xdr:col>
                    <xdr:colOff>685800</xdr:colOff>
                    <xdr:row>50</xdr:row>
                    <xdr:rowOff>19050</xdr:rowOff>
                  </to>
                </anchor>
              </controlPr>
            </control>
          </mc:Choice>
        </mc:AlternateContent>
        <mc:AlternateContent xmlns:mc="http://schemas.openxmlformats.org/markup-compatibility/2006">
          <mc:Choice Requires="x14">
            <control shapeId="104462" r:id="rId17" name="Check Box 14">
              <controlPr defaultSize="0" autoFill="0" autoLine="0" autoPict="0">
                <anchor moveWithCells="1">
                  <from>
                    <xdr:col>33</xdr:col>
                    <xdr:colOff>457200</xdr:colOff>
                    <xdr:row>51</xdr:row>
                    <xdr:rowOff>9525</xdr:rowOff>
                  </from>
                  <to>
                    <xdr:col>33</xdr:col>
                    <xdr:colOff>685800</xdr:colOff>
                    <xdr:row>52</xdr:row>
                    <xdr:rowOff>0</xdr:rowOff>
                  </to>
                </anchor>
              </controlPr>
            </control>
          </mc:Choice>
        </mc:AlternateContent>
        <mc:AlternateContent xmlns:mc="http://schemas.openxmlformats.org/markup-compatibility/2006">
          <mc:Choice Requires="x14">
            <control shapeId="104463" r:id="rId18" name="Check Box 15">
              <controlPr defaultSize="0" autoFill="0" autoLine="0" autoPict="0">
                <anchor moveWithCells="1">
                  <from>
                    <xdr:col>24</xdr:col>
                    <xdr:colOff>514350</xdr:colOff>
                    <xdr:row>49</xdr:row>
                    <xdr:rowOff>152400</xdr:rowOff>
                  </from>
                  <to>
                    <xdr:col>24</xdr:col>
                    <xdr:colOff>733425</xdr:colOff>
                    <xdr:row>51</xdr:row>
                    <xdr:rowOff>0</xdr:rowOff>
                  </to>
                </anchor>
              </controlPr>
            </control>
          </mc:Choice>
        </mc:AlternateContent>
        <mc:AlternateContent xmlns:mc="http://schemas.openxmlformats.org/markup-compatibility/2006">
          <mc:Choice Requires="x14">
            <control shapeId="104464" r:id="rId19" name="Check Box 16">
              <controlPr defaultSize="0" autoFill="0" autoLine="0" autoPict="0">
                <anchor moveWithCells="1">
                  <from>
                    <xdr:col>24</xdr:col>
                    <xdr:colOff>514350</xdr:colOff>
                    <xdr:row>50</xdr:row>
                    <xdr:rowOff>171450</xdr:rowOff>
                  </from>
                  <to>
                    <xdr:col>24</xdr:col>
                    <xdr:colOff>733425</xdr:colOff>
                    <xdr:row>51</xdr:row>
                    <xdr:rowOff>190500</xdr:rowOff>
                  </to>
                </anchor>
              </controlPr>
            </control>
          </mc:Choice>
        </mc:AlternateContent>
        <mc:AlternateContent xmlns:mc="http://schemas.openxmlformats.org/markup-compatibility/2006">
          <mc:Choice Requires="x14">
            <control shapeId="104465" r:id="rId20" name="Check Box 17">
              <controlPr defaultSize="0" autoFill="0" autoLine="0" autoPict="0">
                <anchor moveWithCells="1">
                  <from>
                    <xdr:col>24</xdr:col>
                    <xdr:colOff>514350</xdr:colOff>
                    <xdr:row>51</xdr:row>
                    <xdr:rowOff>180975</xdr:rowOff>
                  </from>
                  <to>
                    <xdr:col>24</xdr:col>
                    <xdr:colOff>733425</xdr:colOff>
                    <xdr:row>52</xdr:row>
                    <xdr:rowOff>190500</xdr:rowOff>
                  </to>
                </anchor>
              </controlPr>
            </control>
          </mc:Choice>
        </mc:AlternateContent>
        <mc:AlternateContent xmlns:mc="http://schemas.openxmlformats.org/markup-compatibility/2006">
          <mc:Choice Requires="x14">
            <control shapeId="104466" r:id="rId21" name="Check Box 18">
              <controlPr defaultSize="0" autoFill="0" autoLine="0" autoPict="0">
                <anchor moveWithCells="1">
                  <from>
                    <xdr:col>24</xdr:col>
                    <xdr:colOff>514350</xdr:colOff>
                    <xdr:row>52</xdr:row>
                    <xdr:rowOff>180975</xdr:rowOff>
                  </from>
                  <to>
                    <xdr:col>24</xdr:col>
                    <xdr:colOff>733425</xdr:colOff>
                    <xdr:row>54</xdr:row>
                    <xdr:rowOff>0</xdr:rowOff>
                  </to>
                </anchor>
              </controlPr>
            </control>
          </mc:Choice>
        </mc:AlternateContent>
        <mc:AlternateContent xmlns:mc="http://schemas.openxmlformats.org/markup-compatibility/2006">
          <mc:Choice Requires="x14">
            <control shapeId="104467" r:id="rId22" name="Check Box 19">
              <controlPr defaultSize="0" autoFill="0" autoLine="0" autoPict="0">
                <anchor moveWithCells="1">
                  <from>
                    <xdr:col>24</xdr:col>
                    <xdr:colOff>514350</xdr:colOff>
                    <xdr:row>53</xdr:row>
                    <xdr:rowOff>180975</xdr:rowOff>
                  </from>
                  <to>
                    <xdr:col>24</xdr:col>
                    <xdr:colOff>733425</xdr:colOff>
                    <xdr:row>55</xdr:row>
                    <xdr:rowOff>0</xdr:rowOff>
                  </to>
                </anchor>
              </controlPr>
            </control>
          </mc:Choice>
        </mc:AlternateContent>
        <mc:AlternateContent xmlns:mc="http://schemas.openxmlformats.org/markup-compatibility/2006">
          <mc:Choice Requires="x14">
            <control shapeId="104468" r:id="rId23" name="Check Box 20">
              <controlPr defaultSize="0" autoFill="0" autoLine="0" autoPict="0">
                <anchor moveWithCells="1">
                  <from>
                    <xdr:col>24</xdr:col>
                    <xdr:colOff>514350</xdr:colOff>
                    <xdr:row>54</xdr:row>
                    <xdr:rowOff>180975</xdr:rowOff>
                  </from>
                  <to>
                    <xdr:col>24</xdr:col>
                    <xdr:colOff>733425</xdr:colOff>
                    <xdr:row>56</xdr:row>
                    <xdr:rowOff>0</xdr:rowOff>
                  </to>
                </anchor>
              </controlPr>
            </control>
          </mc:Choice>
        </mc:AlternateContent>
        <mc:AlternateContent xmlns:mc="http://schemas.openxmlformats.org/markup-compatibility/2006">
          <mc:Choice Requires="x14">
            <control shapeId="104469" r:id="rId24" name="Check Box 21">
              <controlPr defaultSize="0" autoFill="0" autoLine="0" autoPict="0">
                <anchor moveWithCells="1">
                  <from>
                    <xdr:col>24</xdr:col>
                    <xdr:colOff>514350</xdr:colOff>
                    <xdr:row>55</xdr:row>
                    <xdr:rowOff>180975</xdr:rowOff>
                  </from>
                  <to>
                    <xdr:col>24</xdr:col>
                    <xdr:colOff>733425</xdr:colOff>
                    <xdr:row>57</xdr:row>
                    <xdr:rowOff>0</xdr:rowOff>
                  </to>
                </anchor>
              </controlPr>
            </control>
          </mc:Choice>
        </mc:AlternateContent>
        <mc:AlternateContent xmlns:mc="http://schemas.openxmlformats.org/markup-compatibility/2006">
          <mc:Choice Requires="x14">
            <control shapeId="104470" r:id="rId25" name="Check Box 22">
              <controlPr defaultSize="0" autoFill="0" autoLine="0" autoPict="0">
                <anchor moveWithCells="1">
                  <from>
                    <xdr:col>24</xdr:col>
                    <xdr:colOff>514350</xdr:colOff>
                    <xdr:row>56</xdr:row>
                    <xdr:rowOff>190500</xdr:rowOff>
                  </from>
                  <to>
                    <xdr:col>24</xdr:col>
                    <xdr:colOff>733425</xdr:colOff>
                    <xdr:row>57</xdr:row>
                    <xdr:rowOff>190500</xdr:rowOff>
                  </to>
                </anchor>
              </controlPr>
            </control>
          </mc:Choice>
        </mc:AlternateContent>
        <mc:AlternateContent xmlns:mc="http://schemas.openxmlformats.org/markup-compatibility/2006">
          <mc:Choice Requires="x14">
            <control shapeId="104471" r:id="rId26" name="Check Box 23">
              <controlPr defaultSize="0" autoFill="0" autoLine="0" autoPict="0">
                <anchor moveWithCells="1">
                  <from>
                    <xdr:col>24</xdr:col>
                    <xdr:colOff>514350</xdr:colOff>
                    <xdr:row>57</xdr:row>
                    <xdr:rowOff>180975</xdr:rowOff>
                  </from>
                  <to>
                    <xdr:col>24</xdr:col>
                    <xdr:colOff>733425</xdr:colOff>
                    <xdr:row>58</xdr:row>
                    <xdr:rowOff>190500</xdr:rowOff>
                  </to>
                </anchor>
              </controlPr>
            </control>
          </mc:Choice>
        </mc:AlternateContent>
        <mc:AlternateContent xmlns:mc="http://schemas.openxmlformats.org/markup-compatibility/2006">
          <mc:Choice Requires="x14">
            <control shapeId="104472" r:id="rId27" name="Check Box 24">
              <controlPr defaultSize="0" autoFill="0" autoLine="0" autoPict="0">
                <anchor moveWithCells="1">
                  <from>
                    <xdr:col>24</xdr:col>
                    <xdr:colOff>514350</xdr:colOff>
                    <xdr:row>58</xdr:row>
                    <xdr:rowOff>171450</xdr:rowOff>
                  </from>
                  <to>
                    <xdr:col>24</xdr:col>
                    <xdr:colOff>733425</xdr:colOff>
                    <xdr:row>59</xdr:row>
                    <xdr:rowOff>171450</xdr:rowOff>
                  </to>
                </anchor>
              </controlPr>
            </control>
          </mc:Choice>
        </mc:AlternateContent>
        <mc:AlternateContent xmlns:mc="http://schemas.openxmlformats.org/markup-compatibility/2006">
          <mc:Choice Requires="x14">
            <control shapeId="104473" r:id="rId28" name="Check Box 25">
              <controlPr defaultSize="0" autoFill="0" autoLine="0" autoPict="0">
                <anchor moveWithCells="1">
                  <from>
                    <xdr:col>24</xdr:col>
                    <xdr:colOff>514350</xdr:colOff>
                    <xdr:row>59</xdr:row>
                    <xdr:rowOff>171450</xdr:rowOff>
                  </from>
                  <to>
                    <xdr:col>24</xdr:col>
                    <xdr:colOff>733425</xdr:colOff>
                    <xdr:row>60</xdr:row>
                    <xdr:rowOff>171450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583B8-0E4C-444E-9898-3B59A642B0D8}">
  <dimension ref="A1:AO2348"/>
  <sheetViews>
    <sheetView workbookViewId="0"/>
  </sheetViews>
  <sheetFormatPr baseColWidth="10" defaultColWidth="9" defaultRowHeight="12.75" outlineLevelRow="1" x14ac:dyDescent="0.2"/>
  <cols>
    <col min="1" max="1" width="2.125" style="6" customWidth="1"/>
    <col min="2" max="2" width="2.25" style="6" customWidth="1"/>
    <col min="3" max="3" width="9.875" style="6" customWidth="1"/>
    <col min="4" max="4" width="39.5" style="6" customWidth="1"/>
    <col min="5" max="5" width="11" style="6" customWidth="1"/>
    <col min="6" max="7" width="10.375" style="6" customWidth="1"/>
    <col min="8" max="9" width="9" style="6" customWidth="1"/>
    <col min="10" max="11" width="10.75" style="6" customWidth="1"/>
    <col min="12" max="12" width="43" style="6" customWidth="1"/>
    <col min="13" max="13" width="10.75" style="6" customWidth="1"/>
    <col min="14" max="14" width="3.75" style="2" customWidth="1"/>
    <col min="15" max="15" width="2.25" style="6" customWidth="1"/>
    <col min="16" max="16" width="9.875" style="6" customWidth="1"/>
    <col min="17" max="17" width="39.5" style="6" customWidth="1"/>
    <col min="18" max="18" width="9" style="6"/>
    <col min="19" max="19" width="10.375" style="6" customWidth="1"/>
    <col min="20" max="20" width="10.125" style="6" customWidth="1"/>
    <col min="21" max="21" width="10.875" style="6" bestFit="1" customWidth="1"/>
    <col min="22" max="22" width="9" style="6"/>
    <col min="23" max="23" width="3.75" style="2" customWidth="1"/>
    <col min="24" max="24" width="4.375" style="6" customWidth="1"/>
    <col min="25" max="25" width="10.5" style="6" customWidth="1"/>
    <col min="26" max="26" width="43" style="6" bestFit="1" customWidth="1"/>
    <col min="27" max="29" width="9" style="6"/>
    <col min="30" max="30" width="13.125" style="6" customWidth="1"/>
    <col min="31" max="31" width="3.75" style="2" customWidth="1"/>
    <col min="32" max="32" width="3.75" style="3" customWidth="1"/>
    <col min="33" max="33" width="10.375" style="6" customWidth="1"/>
    <col min="34" max="34" width="31.5" style="6" bestFit="1" customWidth="1"/>
    <col min="35" max="35" width="9" style="6"/>
    <col min="36" max="36" width="11.75" style="6" bestFit="1" customWidth="1"/>
    <col min="37" max="37" width="10" style="6" bestFit="1" customWidth="1"/>
    <col min="38" max="38" width="9" style="6"/>
    <col min="39" max="39" width="9" style="6" customWidth="1"/>
    <col min="40" max="16384" width="9" style="6"/>
  </cols>
  <sheetData>
    <row r="1" spans="1:41" s="2" customFormat="1" x14ac:dyDescent="0.2">
      <c r="A1" s="428" t="s">
        <v>467</v>
      </c>
      <c r="B1" s="418"/>
    </row>
    <row r="2" spans="1:41" x14ac:dyDescent="0.2">
      <c r="B2" s="3"/>
      <c r="C2" s="89"/>
      <c r="D2" s="89"/>
      <c r="E2" s="89"/>
      <c r="F2" s="89"/>
      <c r="G2" s="89"/>
      <c r="H2" s="89"/>
      <c r="I2" s="89"/>
      <c r="J2" s="89"/>
      <c r="K2" s="89"/>
      <c r="L2" s="89"/>
      <c r="M2" s="3"/>
      <c r="O2" s="3"/>
      <c r="P2" s="3"/>
      <c r="Q2" s="14"/>
      <c r="R2" s="3"/>
      <c r="S2" s="3"/>
      <c r="T2" s="3"/>
      <c r="U2" s="3"/>
      <c r="V2" s="3"/>
      <c r="X2" s="3"/>
      <c r="Y2" s="3"/>
      <c r="Z2" s="3"/>
      <c r="AA2" s="3"/>
      <c r="AB2" s="3"/>
      <c r="AC2" s="3"/>
      <c r="AD2" s="3"/>
      <c r="AG2" s="3"/>
      <c r="AH2" s="3"/>
      <c r="AI2" s="3"/>
      <c r="AJ2" s="3"/>
      <c r="AK2" s="3"/>
      <c r="AL2" s="3"/>
      <c r="AM2" s="3"/>
      <c r="AN2" s="3"/>
      <c r="AO2" s="3"/>
    </row>
    <row r="3" spans="1:41" ht="18" x14ac:dyDescent="0.25">
      <c r="B3" s="3"/>
      <c r="C3" s="89"/>
      <c r="D3" s="90" t="s">
        <v>216</v>
      </c>
      <c r="E3" s="89"/>
      <c r="F3" s="89"/>
      <c r="G3" s="89"/>
      <c r="H3" s="89"/>
      <c r="I3" s="89"/>
      <c r="J3" s="89"/>
      <c r="K3" s="89"/>
      <c r="L3" s="89"/>
      <c r="M3" s="3"/>
      <c r="O3" s="3"/>
      <c r="P3" s="96" t="s">
        <v>217</v>
      </c>
      <c r="Q3" s="14"/>
      <c r="R3" s="3"/>
      <c r="S3" s="3"/>
      <c r="T3" s="3"/>
      <c r="U3" s="3"/>
      <c r="V3" s="3"/>
      <c r="X3" s="3"/>
      <c r="Y3" s="96" t="s">
        <v>217</v>
      </c>
      <c r="Z3" s="3"/>
      <c r="AA3" s="3"/>
      <c r="AB3" s="3"/>
      <c r="AC3" s="3"/>
      <c r="AD3" s="3"/>
      <c r="AG3" s="96" t="s">
        <v>217</v>
      </c>
      <c r="AH3" s="3"/>
      <c r="AI3" s="3"/>
      <c r="AJ3" s="3"/>
      <c r="AK3" s="3"/>
      <c r="AL3" s="3"/>
      <c r="AM3" s="3"/>
      <c r="AN3" s="3"/>
      <c r="AO3" s="3"/>
    </row>
    <row r="4" spans="1:41" x14ac:dyDescent="0.2">
      <c r="B4" s="3"/>
      <c r="C4" s="89"/>
      <c r="D4" s="3"/>
      <c r="E4" s="3"/>
      <c r="F4" s="3"/>
      <c r="G4" s="3"/>
      <c r="H4" s="3"/>
      <c r="I4" s="3"/>
      <c r="J4" s="3"/>
      <c r="K4" s="3"/>
      <c r="L4" s="3"/>
      <c r="M4" s="3"/>
      <c r="O4" s="3"/>
      <c r="P4" s="3"/>
      <c r="Q4" s="14"/>
      <c r="R4" s="3"/>
      <c r="S4" s="3"/>
      <c r="T4" s="3"/>
      <c r="U4" s="3"/>
      <c r="V4" s="3"/>
      <c r="X4" s="3"/>
      <c r="Y4" s="3"/>
      <c r="Z4" s="3"/>
      <c r="AA4" s="3"/>
      <c r="AB4" s="3"/>
      <c r="AC4" s="3"/>
      <c r="AD4" s="3"/>
      <c r="AG4" s="3"/>
      <c r="AH4" s="3"/>
      <c r="AI4" s="3"/>
      <c r="AJ4" s="3"/>
      <c r="AK4" s="3"/>
      <c r="AL4" s="3"/>
      <c r="AM4" s="3"/>
      <c r="AN4" s="3"/>
      <c r="AO4" s="3"/>
    </row>
    <row r="5" spans="1:41" ht="18.75" customHeight="1" x14ac:dyDescent="0.25">
      <c r="B5" s="3"/>
      <c r="C5" s="89"/>
      <c r="D5" s="103" t="s">
        <v>294</v>
      </c>
      <c r="E5" s="103"/>
      <c r="F5" s="103"/>
      <c r="G5" s="103"/>
      <c r="H5" s="103"/>
      <c r="I5" s="103"/>
      <c r="J5" s="103"/>
      <c r="K5" s="103"/>
      <c r="L5" s="103"/>
      <c r="M5" s="3"/>
      <c r="O5" s="3"/>
      <c r="P5" s="91" t="s">
        <v>101</v>
      </c>
      <c r="Q5" s="3"/>
      <c r="R5" s="3"/>
      <c r="S5" s="3"/>
      <c r="T5" s="3"/>
      <c r="U5" s="3"/>
      <c r="V5" s="3"/>
      <c r="X5" s="3"/>
      <c r="Y5" s="91" t="s">
        <v>105</v>
      </c>
      <c r="Z5" s="3"/>
      <c r="AA5" s="3"/>
      <c r="AB5" s="3"/>
      <c r="AC5" s="3"/>
      <c r="AD5" s="3"/>
      <c r="AG5" s="92" t="s">
        <v>79</v>
      </c>
      <c r="AH5" s="3"/>
      <c r="AI5" s="3"/>
      <c r="AJ5" s="3"/>
      <c r="AK5" s="3"/>
      <c r="AL5" s="3"/>
      <c r="AM5" s="3"/>
      <c r="AN5" s="3"/>
      <c r="AO5" s="3"/>
    </row>
    <row r="6" spans="1:41" ht="128.25" customHeight="1" x14ac:dyDescent="0.2">
      <c r="B6" s="3"/>
      <c r="C6" s="277"/>
      <c r="D6" s="481" t="s">
        <v>525</v>
      </c>
      <c r="E6" s="481"/>
      <c r="F6" s="481"/>
      <c r="G6" s="481"/>
      <c r="H6" s="481"/>
      <c r="I6" s="481"/>
      <c r="J6" s="481"/>
      <c r="K6" s="481"/>
      <c r="L6" s="481"/>
      <c r="M6" s="3"/>
      <c r="O6" s="3"/>
      <c r="P6" s="3"/>
      <c r="Q6" s="14"/>
      <c r="R6" s="3"/>
      <c r="S6" s="3"/>
      <c r="T6" s="3"/>
      <c r="U6" s="3"/>
      <c r="V6" s="3"/>
      <c r="X6" s="3"/>
      <c r="Y6" s="3"/>
      <c r="Z6" s="3"/>
      <c r="AA6" s="3"/>
      <c r="AB6" s="3"/>
      <c r="AC6" s="3"/>
      <c r="AD6" s="3"/>
      <c r="AG6" s="3"/>
      <c r="AH6" s="3"/>
      <c r="AI6" s="3"/>
      <c r="AJ6" s="3"/>
      <c r="AK6" s="3"/>
      <c r="AL6" s="3"/>
      <c r="AM6" s="3"/>
      <c r="AN6" s="3"/>
      <c r="AO6" s="3"/>
    </row>
    <row r="7" spans="1:41" x14ac:dyDescent="0.2">
      <c r="B7" s="3"/>
      <c r="C7" s="89"/>
      <c r="D7" s="89"/>
      <c r="E7" s="89"/>
      <c r="F7" s="89"/>
      <c r="G7" s="89"/>
      <c r="H7" s="89"/>
      <c r="I7" s="89"/>
      <c r="J7" s="89"/>
      <c r="K7" s="89"/>
      <c r="L7" s="89"/>
      <c r="M7" s="3"/>
      <c r="O7" s="3"/>
      <c r="P7" s="3"/>
      <c r="Q7" s="3"/>
      <c r="R7" s="3"/>
      <c r="S7" s="3"/>
      <c r="T7" s="3"/>
      <c r="U7" s="3"/>
      <c r="V7" s="3"/>
      <c r="X7" s="3"/>
      <c r="Y7" s="3"/>
      <c r="Z7" s="3"/>
      <c r="AA7" s="3"/>
      <c r="AB7" s="3"/>
      <c r="AC7" s="3"/>
      <c r="AD7" s="3"/>
      <c r="AG7" s="3"/>
      <c r="AH7" s="3"/>
      <c r="AI7" s="3"/>
      <c r="AJ7" s="3"/>
      <c r="AK7" s="3"/>
      <c r="AL7" s="3"/>
      <c r="AM7" s="3"/>
      <c r="AN7" s="3"/>
      <c r="AO7" s="3"/>
    </row>
    <row r="8" spans="1:41" x14ac:dyDescent="0.2">
      <c r="O8" s="3"/>
      <c r="P8" s="3"/>
      <c r="Q8" s="3"/>
      <c r="R8" s="3"/>
      <c r="S8" s="3"/>
      <c r="T8" s="3"/>
      <c r="U8" s="3"/>
      <c r="V8" s="3"/>
      <c r="X8" s="3"/>
      <c r="Y8" s="3"/>
      <c r="Z8" s="3"/>
      <c r="AA8" s="3"/>
      <c r="AB8" s="3"/>
      <c r="AC8" s="3"/>
      <c r="AD8" s="3"/>
      <c r="AG8" s="3"/>
      <c r="AH8" s="3"/>
      <c r="AI8" s="3"/>
      <c r="AJ8" s="3"/>
      <c r="AK8" s="3"/>
      <c r="AL8" s="3"/>
      <c r="AM8" s="3"/>
      <c r="AN8" s="3"/>
      <c r="AO8" s="3"/>
    </row>
    <row r="9" spans="1:41" x14ac:dyDescent="0.2">
      <c r="B9" s="3"/>
      <c r="C9" s="3"/>
      <c r="D9" s="3"/>
      <c r="E9" s="3"/>
      <c r="F9" s="3"/>
      <c r="G9" s="3"/>
      <c r="H9" s="3"/>
      <c r="I9" s="3"/>
      <c r="J9" s="3"/>
      <c r="K9" s="3"/>
      <c r="L9" s="3"/>
      <c r="M9" s="3"/>
      <c r="O9" s="3"/>
      <c r="P9" s="3"/>
      <c r="Q9" s="3"/>
      <c r="R9" s="3"/>
      <c r="S9" s="3"/>
      <c r="T9" s="3"/>
      <c r="U9" s="3"/>
      <c r="V9" s="3"/>
      <c r="X9" s="3"/>
      <c r="Y9" s="3"/>
      <c r="Z9" s="3"/>
      <c r="AA9" s="3"/>
      <c r="AB9" s="3"/>
      <c r="AC9" s="3"/>
      <c r="AD9" s="3"/>
      <c r="AG9" s="3"/>
      <c r="AH9" s="3"/>
      <c r="AI9" s="3"/>
      <c r="AJ9" s="3"/>
      <c r="AK9" s="3"/>
      <c r="AL9" s="3"/>
      <c r="AM9" s="3"/>
      <c r="AN9" s="3"/>
      <c r="AO9" s="3"/>
    </row>
    <row r="10" spans="1:41" x14ac:dyDescent="0.2">
      <c r="B10" s="3"/>
      <c r="C10" s="3"/>
      <c r="D10" s="3"/>
      <c r="E10" s="3"/>
      <c r="F10" s="3"/>
      <c r="G10" s="3"/>
      <c r="H10" s="3"/>
      <c r="I10" s="3"/>
      <c r="J10" s="3"/>
      <c r="K10" s="3"/>
      <c r="L10" s="3"/>
      <c r="M10" s="3"/>
      <c r="O10" s="3"/>
      <c r="P10" s="3"/>
      <c r="Q10" s="3"/>
      <c r="R10" s="3"/>
      <c r="S10" s="3"/>
      <c r="T10" s="3"/>
      <c r="U10" s="3"/>
      <c r="V10" s="3"/>
      <c r="X10" s="3"/>
      <c r="Y10" s="3"/>
      <c r="Z10" s="3"/>
      <c r="AA10" s="3"/>
      <c r="AB10" s="3"/>
      <c r="AC10" s="3"/>
      <c r="AD10" s="3"/>
      <c r="AG10" s="3"/>
      <c r="AH10" s="3"/>
      <c r="AI10" s="3"/>
      <c r="AJ10" s="3"/>
      <c r="AK10" s="3"/>
      <c r="AL10" s="3"/>
      <c r="AM10" s="3"/>
      <c r="AN10" s="3"/>
      <c r="AO10" s="3"/>
    </row>
    <row r="11" spans="1:41" ht="18" x14ac:dyDescent="0.25">
      <c r="B11" s="3"/>
      <c r="C11" s="3"/>
      <c r="D11" s="85" t="s">
        <v>524</v>
      </c>
      <c r="E11" s="94"/>
      <c r="F11" s="95"/>
      <c r="G11" s="7"/>
      <c r="H11" s="7"/>
      <c r="I11" s="7"/>
      <c r="J11" s="7"/>
      <c r="K11" s="7"/>
      <c r="L11" s="3"/>
      <c r="M11" s="3"/>
      <c r="O11" s="3"/>
      <c r="P11" s="3"/>
      <c r="Q11" s="3"/>
      <c r="R11" s="3"/>
      <c r="S11" s="3"/>
      <c r="T11" s="3"/>
      <c r="U11" s="3"/>
      <c r="V11" s="3"/>
      <c r="X11" s="3"/>
      <c r="Y11" s="3"/>
      <c r="Z11" s="3"/>
      <c r="AA11" s="3"/>
      <c r="AB11" s="3"/>
      <c r="AC11" s="3"/>
      <c r="AD11" s="3"/>
      <c r="AG11" s="3"/>
      <c r="AH11" s="3"/>
      <c r="AI11" s="3"/>
      <c r="AJ11" s="3"/>
      <c r="AK11" s="3"/>
      <c r="AL11" s="3"/>
      <c r="AM11" s="3"/>
      <c r="AN11" s="3"/>
      <c r="AO11" s="3"/>
    </row>
    <row r="12" spans="1:41" ht="14.25" x14ac:dyDescent="0.2">
      <c r="B12" s="3"/>
      <c r="C12" s="3"/>
      <c r="D12" s="3"/>
      <c r="E12" s="3"/>
      <c r="F12" s="3"/>
      <c r="G12" s="3"/>
      <c r="H12" s="7"/>
      <c r="I12" s="7"/>
      <c r="J12" s="7"/>
      <c r="K12" s="7"/>
      <c r="L12" s="3"/>
      <c r="M12" s="3"/>
      <c r="O12" s="3"/>
      <c r="P12" s="3"/>
      <c r="Q12" s="3"/>
      <c r="R12" s="3"/>
      <c r="S12" s="3"/>
      <c r="T12" s="3"/>
      <c r="U12" s="3"/>
      <c r="V12" s="3"/>
      <c r="X12" s="3"/>
      <c r="Y12" s="3"/>
      <c r="Z12" s="3"/>
      <c r="AA12" s="3"/>
      <c r="AB12" s="3"/>
      <c r="AC12" s="3"/>
      <c r="AD12" s="3"/>
      <c r="AG12" s="3"/>
      <c r="AH12" s="3"/>
      <c r="AI12" s="3"/>
      <c r="AJ12" s="3"/>
      <c r="AK12" s="3"/>
      <c r="AL12" s="3"/>
      <c r="AM12" s="3"/>
      <c r="AN12" s="3"/>
      <c r="AO12" s="3"/>
    </row>
    <row r="13" spans="1:41" ht="14.25" customHeight="1" x14ac:dyDescent="0.2">
      <c r="B13" s="3"/>
      <c r="C13" s="3"/>
      <c r="D13" s="8"/>
      <c r="E13" s="13"/>
      <c r="F13" s="13"/>
      <c r="G13" s="13"/>
      <c r="H13" s="13"/>
      <c r="I13" s="13"/>
      <c r="J13" s="13"/>
      <c r="K13" s="13"/>
      <c r="L13" s="8"/>
      <c r="M13" s="3"/>
      <c r="O13" s="3"/>
      <c r="P13" s="3"/>
      <c r="Q13" s="3"/>
      <c r="R13" s="3"/>
      <c r="S13" s="3"/>
      <c r="T13" s="3"/>
      <c r="U13" s="3"/>
      <c r="V13" s="3"/>
      <c r="X13" s="3"/>
      <c r="Y13" s="3"/>
      <c r="Z13" s="3"/>
      <c r="AA13" s="3"/>
      <c r="AB13" s="3"/>
      <c r="AC13" s="3"/>
      <c r="AD13" s="3"/>
      <c r="AG13" s="3"/>
      <c r="AH13" s="3"/>
      <c r="AI13" s="3"/>
      <c r="AJ13" s="3"/>
      <c r="AK13" s="3"/>
      <c r="AL13" s="3"/>
      <c r="AM13" s="3"/>
      <c r="AN13" s="3"/>
      <c r="AO13" s="3"/>
    </row>
    <row r="14" spans="1:41" x14ac:dyDescent="0.2">
      <c r="B14" s="3"/>
      <c r="C14" s="3"/>
      <c r="D14" s="8"/>
      <c r="E14" s="13" t="s">
        <v>75</v>
      </c>
      <c r="F14" s="3"/>
      <c r="G14" s="115" t="s">
        <v>72</v>
      </c>
      <c r="H14" s="13"/>
      <c r="I14" s="13"/>
      <c r="J14" s="13"/>
      <c r="K14" s="13"/>
      <c r="L14" s="8"/>
      <c r="M14" s="3"/>
      <c r="O14" s="3"/>
      <c r="P14" s="3"/>
      <c r="Q14" s="3"/>
      <c r="R14" s="3"/>
      <c r="S14" s="3"/>
      <c r="T14" s="3"/>
      <c r="U14" s="3"/>
      <c r="V14" s="3"/>
      <c r="X14" s="3"/>
      <c r="Y14" s="3"/>
      <c r="Z14" s="3"/>
      <c r="AA14" s="3"/>
      <c r="AB14" s="3"/>
      <c r="AC14" s="3"/>
      <c r="AD14" s="3"/>
      <c r="AG14" s="3"/>
      <c r="AH14" s="3"/>
      <c r="AI14" s="3"/>
      <c r="AJ14" s="3"/>
      <c r="AK14" s="3"/>
      <c r="AL14" s="3"/>
      <c r="AM14" s="3"/>
      <c r="AN14" s="3"/>
      <c r="AO14" s="3"/>
    </row>
    <row r="15" spans="1:41" x14ac:dyDescent="0.2">
      <c r="B15" s="3"/>
      <c r="C15" s="3"/>
      <c r="D15" s="8"/>
      <c r="E15" s="3"/>
      <c r="F15" s="3"/>
      <c r="G15" s="3"/>
      <c r="H15" s="3"/>
      <c r="I15" s="3"/>
      <c r="J15" s="3"/>
      <c r="K15" s="13"/>
      <c r="L15" s="3"/>
      <c r="M15" s="3"/>
      <c r="O15" s="3"/>
      <c r="P15" s="3"/>
      <c r="Q15" s="3"/>
      <c r="R15" s="3"/>
      <c r="S15" s="3"/>
      <c r="T15" s="3"/>
      <c r="U15" s="3"/>
      <c r="V15" s="3"/>
      <c r="X15" s="3"/>
      <c r="Y15" s="3"/>
      <c r="Z15" s="3"/>
      <c r="AA15" s="3"/>
      <c r="AB15" s="3"/>
      <c r="AC15" s="3"/>
      <c r="AD15" s="3"/>
      <c r="AG15" s="3"/>
      <c r="AH15" s="3"/>
      <c r="AI15" s="3"/>
      <c r="AJ15" s="3"/>
      <c r="AK15" s="3"/>
      <c r="AL15" s="3"/>
      <c r="AM15" s="3"/>
      <c r="AN15" s="3"/>
      <c r="AO15" s="3"/>
    </row>
    <row r="16" spans="1:41" ht="28.5" customHeight="1" x14ac:dyDescent="0.2">
      <c r="B16" s="3"/>
      <c r="C16" s="3"/>
      <c r="D16" s="11" t="s">
        <v>520</v>
      </c>
      <c r="E16" s="79" t="s">
        <v>218</v>
      </c>
      <c r="F16" s="15"/>
      <c r="G16" s="113"/>
      <c r="H16" s="15"/>
      <c r="I16" s="79"/>
      <c r="J16" s="15"/>
      <c r="K16" s="13"/>
      <c r="L16" s="15"/>
      <c r="M16" s="3"/>
      <c r="O16" s="3"/>
      <c r="P16" s="3"/>
      <c r="Q16" s="3"/>
      <c r="R16" s="3"/>
      <c r="S16" s="3"/>
      <c r="T16" s="3"/>
      <c r="U16" s="3"/>
      <c r="V16" s="3"/>
      <c r="X16" s="3"/>
      <c r="Y16" s="3"/>
      <c r="Z16" s="3"/>
      <c r="AA16" s="3"/>
      <c r="AB16" s="3"/>
      <c r="AC16" s="3"/>
      <c r="AD16" s="3"/>
      <c r="AG16" s="3"/>
      <c r="AH16" s="3"/>
      <c r="AI16" s="3"/>
      <c r="AJ16" s="3"/>
      <c r="AK16" s="3"/>
      <c r="AL16" s="3"/>
      <c r="AM16" s="3"/>
      <c r="AN16" s="3"/>
      <c r="AO16" s="3"/>
    </row>
    <row r="17" spans="1:41" x14ac:dyDescent="0.2">
      <c r="B17" s="3"/>
      <c r="C17" s="3"/>
      <c r="D17" s="8"/>
      <c r="E17" s="79"/>
      <c r="F17" s="15"/>
      <c r="G17" s="15"/>
      <c r="H17" s="15"/>
      <c r="I17" s="79"/>
      <c r="J17" s="15"/>
      <c r="K17" s="13"/>
      <c r="L17" s="15"/>
      <c r="M17" s="3"/>
      <c r="O17" s="3"/>
      <c r="P17" s="3"/>
      <c r="Q17" s="3"/>
      <c r="R17" s="3"/>
      <c r="S17" s="3"/>
      <c r="T17" s="3"/>
      <c r="U17" s="3"/>
      <c r="V17" s="3"/>
      <c r="X17" s="3"/>
      <c r="Y17" s="3"/>
      <c r="Z17" s="3"/>
      <c r="AA17" s="3"/>
      <c r="AB17" s="3"/>
      <c r="AC17" s="3"/>
      <c r="AD17" s="3"/>
      <c r="AG17" s="3"/>
      <c r="AH17" s="3"/>
      <c r="AI17" s="3"/>
      <c r="AJ17" s="3"/>
      <c r="AK17" s="3"/>
      <c r="AL17" s="3"/>
      <c r="AM17" s="3"/>
      <c r="AN17" s="3"/>
      <c r="AO17" s="3"/>
    </row>
    <row r="18" spans="1:41" x14ac:dyDescent="0.2">
      <c r="B18" s="3"/>
      <c r="C18" s="3"/>
      <c r="D18" s="8"/>
      <c r="E18" s="79"/>
      <c r="F18" s="15"/>
      <c r="G18" s="15"/>
      <c r="H18" s="15"/>
      <c r="I18" s="79"/>
      <c r="J18" s="15"/>
      <c r="K18" s="13"/>
      <c r="L18" s="15"/>
      <c r="M18" s="3"/>
      <c r="O18" s="3"/>
      <c r="P18" s="3"/>
      <c r="Q18" s="3"/>
      <c r="R18" s="3"/>
      <c r="S18" s="3"/>
      <c r="T18" s="3"/>
      <c r="U18" s="3"/>
      <c r="V18" s="3"/>
      <c r="X18" s="3"/>
      <c r="Y18" s="3"/>
      <c r="Z18" s="3"/>
      <c r="AA18" s="3"/>
      <c r="AB18" s="3"/>
      <c r="AC18" s="3"/>
      <c r="AD18" s="3"/>
      <c r="AG18" s="3"/>
      <c r="AH18" s="3"/>
      <c r="AI18" s="3"/>
      <c r="AJ18" s="3"/>
      <c r="AK18" s="3"/>
      <c r="AL18" s="3"/>
      <c r="AM18" s="3"/>
      <c r="AN18" s="3"/>
      <c r="AO18" s="3"/>
    </row>
    <row r="19" spans="1:41" x14ac:dyDescent="0.2">
      <c r="B19" s="3"/>
      <c r="C19" s="3"/>
      <c r="D19" s="8"/>
      <c r="E19" s="80"/>
      <c r="F19" s="15"/>
      <c r="G19" s="15"/>
      <c r="H19" s="15"/>
      <c r="I19" s="80"/>
      <c r="J19" s="15"/>
      <c r="K19" s="13"/>
      <c r="L19" s="3"/>
      <c r="M19" s="3"/>
      <c r="O19" s="3"/>
      <c r="P19" s="3"/>
      <c r="Q19" s="3"/>
      <c r="R19" s="3"/>
      <c r="S19" s="3"/>
      <c r="T19" s="3"/>
      <c r="U19" s="3"/>
      <c r="V19" s="3"/>
      <c r="X19" s="3"/>
      <c r="Y19" s="3"/>
      <c r="Z19" s="3"/>
      <c r="AA19" s="3"/>
      <c r="AB19" s="3"/>
      <c r="AC19" s="3"/>
      <c r="AD19" s="3"/>
      <c r="AG19" s="3"/>
      <c r="AH19" s="3"/>
      <c r="AI19" s="3"/>
      <c r="AJ19" s="3"/>
      <c r="AK19" s="3"/>
      <c r="AL19" s="3"/>
      <c r="AM19" s="3"/>
      <c r="AN19" s="3"/>
      <c r="AO19" s="3"/>
    </row>
    <row r="20" spans="1:41" x14ac:dyDescent="0.2">
      <c r="B20" s="3"/>
      <c r="C20" s="3"/>
      <c r="D20" s="78" t="s">
        <v>219</v>
      </c>
      <c r="E20" s="80"/>
      <c r="F20" s="15"/>
      <c r="G20" s="15"/>
      <c r="H20" s="15"/>
      <c r="I20" s="80"/>
      <c r="J20" s="15"/>
      <c r="K20" s="13"/>
      <c r="L20" s="3"/>
      <c r="M20" s="3"/>
      <c r="O20" s="3"/>
      <c r="P20" s="3"/>
      <c r="Q20" s="3"/>
      <c r="R20" s="3"/>
      <c r="S20" s="3"/>
      <c r="T20" s="3"/>
      <c r="U20" s="3"/>
      <c r="V20" s="3"/>
      <c r="X20" s="3"/>
      <c r="Y20" s="3"/>
      <c r="Z20" s="3"/>
      <c r="AA20" s="3"/>
      <c r="AB20" s="3"/>
      <c r="AC20" s="3"/>
      <c r="AD20" s="3"/>
      <c r="AG20" s="3"/>
      <c r="AH20" s="3"/>
      <c r="AI20" s="3"/>
      <c r="AJ20" s="3"/>
      <c r="AK20" s="3"/>
      <c r="AL20" s="3"/>
      <c r="AM20" s="3"/>
      <c r="AN20" s="3"/>
      <c r="AO20" s="3"/>
    </row>
    <row r="21" spans="1:41" x14ac:dyDescent="0.2">
      <c r="B21" s="3"/>
      <c r="C21" s="3"/>
      <c r="D21" s="78"/>
      <c r="E21" s="80"/>
      <c r="F21" s="15"/>
      <c r="G21" s="15"/>
      <c r="H21" s="15"/>
      <c r="I21" s="80"/>
      <c r="J21" s="15"/>
      <c r="K21" s="13"/>
      <c r="L21" s="3"/>
      <c r="M21" s="3"/>
      <c r="O21" s="3"/>
      <c r="P21" s="3"/>
      <c r="Q21" s="3"/>
      <c r="R21" s="3"/>
      <c r="S21" s="3"/>
      <c r="T21" s="3"/>
      <c r="U21" s="3"/>
      <c r="V21" s="3"/>
      <c r="X21" s="3"/>
      <c r="Y21" s="3"/>
      <c r="Z21" s="3"/>
      <c r="AA21" s="3"/>
      <c r="AB21" s="3"/>
      <c r="AC21" s="3"/>
      <c r="AD21" s="3"/>
      <c r="AG21" s="3"/>
      <c r="AH21" s="3"/>
      <c r="AI21" s="3"/>
      <c r="AJ21" s="3"/>
      <c r="AK21" s="3"/>
      <c r="AL21" s="3"/>
      <c r="AM21" s="3"/>
      <c r="AN21" s="3"/>
      <c r="AO21" s="3"/>
    </row>
    <row r="22" spans="1:41" x14ac:dyDescent="0.2">
      <c r="B22" s="3"/>
      <c r="C22" s="3"/>
      <c r="D22" s="3" t="s">
        <v>489</v>
      </c>
      <c r="E22" s="80"/>
      <c r="F22" s="15"/>
      <c r="G22" s="15"/>
      <c r="H22" s="15"/>
      <c r="I22" s="80"/>
      <c r="J22" s="15"/>
      <c r="K22" s="13"/>
      <c r="L22" s="3"/>
      <c r="M22" s="3"/>
      <c r="O22" s="3"/>
      <c r="P22" s="3"/>
      <c r="Q22" s="3"/>
      <c r="R22" s="3"/>
      <c r="S22" s="3"/>
      <c r="T22" s="3"/>
      <c r="U22" s="3"/>
      <c r="V22" s="3"/>
      <c r="X22" s="3"/>
      <c r="Y22" s="3"/>
      <c r="Z22" s="3"/>
      <c r="AA22" s="3"/>
      <c r="AB22" s="3"/>
      <c r="AC22" s="3"/>
      <c r="AD22" s="3"/>
      <c r="AG22" s="3"/>
      <c r="AH22" s="3"/>
      <c r="AI22" s="3"/>
      <c r="AJ22" s="3"/>
      <c r="AK22" s="3"/>
      <c r="AL22" s="3"/>
      <c r="AM22" s="3"/>
      <c r="AN22" s="3"/>
      <c r="AO22" s="3"/>
    </row>
    <row r="23" spans="1:41" x14ac:dyDescent="0.2">
      <c r="A23" s="2"/>
      <c r="B23" s="3"/>
      <c r="C23" s="3"/>
      <c r="D23" s="78"/>
      <c r="E23" s="80"/>
      <c r="F23" s="15"/>
      <c r="G23" s="15"/>
      <c r="H23" s="15"/>
      <c r="I23" s="80"/>
      <c r="J23" s="15"/>
      <c r="K23" s="13"/>
      <c r="L23" s="3"/>
      <c r="M23" s="3"/>
      <c r="O23" s="3"/>
      <c r="P23" s="3"/>
      <c r="Q23" s="3"/>
      <c r="R23" s="3"/>
      <c r="S23" s="3"/>
      <c r="T23" s="3"/>
      <c r="U23" s="3"/>
      <c r="V23" s="3"/>
      <c r="X23" s="3"/>
      <c r="Y23" s="3"/>
      <c r="Z23" s="3"/>
      <c r="AA23" s="3"/>
      <c r="AB23" s="3"/>
      <c r="AC23" s="3"/>
      <c r="AD23" s="3"/>
      <c r="AG23" s="3"/>
      <c r="AH23" s="3"/>
      <c r="AI23" s="3"/>
      <c r="AJ23" s="3"/>
      <c r="AK23" s="3"/>
      <c r="AL23" s="3"/>
      <c r="AM23" s="3"/>
      <c r="AN23" s="3"/>
      <c r="AO23" s="3"/>
    </row>
    <row r="24" spans="1:41" x14ac:dyDescent="0.2">
      <c r="A24" s="2"/>
      <c r="B24" s="3"/>
      <c r="C24" s="3"/>
      <c r="D24" s="3" t="s">
        <v>468</v>
      </c>
      <c r="E24" s="3"/>
      <c r="F24" s="3"/>
      <c r="G24" s="3"/>
      <c r="H24" s="3"/>
      <c r="I24" s="3"/>
      <c r="J24" s="3"/>
      <c r="K24" s="3"/>
      <c r="L24" s="3"/>
      <c r="M24" s="3"/>
      <c r="O24" s="3"/>
      <c r="P24" s="3"/>
      <c r="Q24" s="3"/>
      <c r="R24" s="3"/>
      <c r="S24" s="3"/>
      <c r="T24" s="3"/>
      <c r="U24" s="3"/>
      <c r="V24" s="3"/>
      <c r="X24" s="3"/>
      <c r="Y24" s="3"/>
      <c r="Z24" s="3"/>
      <c r="AA24" s="3"/>
      <c r="AB24" s="3"/>
      <c r="AC24" s="3"/>
      <c r="AD24" s="3"/>
      <c r="AG24" s="3"/>
      <c r="AH24" s="3"/>
      <c r="AI24" s="3"/>
      <c r="AJ24" s="3"/>
      <c r="AK24" s="3"/>
      <c r="AL24" s="3"/>
      <c r="AM24" s="3"/>
      <c r="AN24" s="3"/>
      <c r="AO24" s="3"/>
    </row>
    <row r="25" spans="1:41" x14ac:dyDescent="0.2">
      <c r="A25" s="2"/>
      <c r="B25" s="3"/>
      <c r="C25" s="3"/>
      <c r="D25" s="3"/>
      <c r="E25" s="3"/>
      <c r="F25" s="3"/>
      <c r="G25" s="3"/>
      <c r="H25" s="3"/>
      <c r="I25" s="3"/>
      <c r="J25" s="3"/>
      <c r="K25" s="3"/>
      <c r="L25" s="3"/>
      <c r="M25" s="3"/>
      <c r="O25" s="3"/>
      <c r="P25" s="3"/>
      <c r="Q25" s="3"/>
      <c r="R25" s="3"/>
      <c r="S25" s="3"/>
      <c r="T25" s="3"/>
      <c r="U25" s="3"/>
      <c r="V25" s="3"/>
      <c r="X25" s="3"/>
      <c r="Y25" s="3"/>
      <c r="Z25" s="3"/>
      <c r="AA25" s="3"/>
      <c r="AB25" s="3"/>
      <c r="AC25" s="3"/>
      <c r="AD25" s="3"/>
      <c r="AG25" s="3"/>
      <c r="AH25" s="3"/>
      <c r="AI25" s="3"/>
      <c r="AJ25" s="3"/>
      <c r="AK25" s="3"/>
      <c r="AL25" s="3"/>
      <c r="AM25" s="3"/>
      <c r="AN25" s="3"/>
      <c r="AO25" s="3"/>
    </row>
    <row r="26" spans="1:41" x14ac:dyDescent="0.2">
      <c r="A26" s="2"/>
      <c r="B26" s="2"/>
      <c r="C26" s="2"/>
      <c r="D26" s="2"/>
      <c r="E26" s="2"/>
      <c r="F26" s="2"/>
      <c r="G26" s="2"/>
      <c r="H26" s="2"/>
      <c r="I26" s="2"/>
      <c r="J26" s="2"/>
      <c r="K26" s="2"/>
      <c r="L26" s="2"/>
      <c r="M26" s="2"/>
      <c r="O26" s="3"/>
      <c r="P26" s="3"/>
      <c r="Q26" s="3"/>
      <c r="R26" s="3"/>
      <c r="S26" s="3"/>
      <c r="T26" s="3"/>
      <c r="U26" s="3"/>
      <c r="V26" s="3"/>
      <c r="X26" s="3"/>
      <c r="Y26" s="3"/>
      <c r="Z26" s="3"/>
      <c r="AA26" s="3"/>
      <c r="AB26" s="3"/>
      <c r="AC26" s="3"/>
      <c r="AD26" s="3"/>
      <c r="AG26" s="3"/>
      <c r="AH26" s="3"/>
      <c r="AI26" s="3"/>
      <c r="AJ26" s="3"/>
      <c r="AK26" s="3"/>
      <c r="AL26" s="3"/>
      <c r="AM26" s="3"/>
      <c r="AN26" s="3"/>
      <c r="AO26" s="3"/>
    </row>
    <row r="27" spans="1:41" x14ac:dyDescent="0.2">
      <c r="A27" s="2"/>
      <c r="B27" s="2"/>
      <c r="C27" s="2"/>
      <c r="D27" s="2"/>
      <c r="E27" s="2"/>
      <c r="F27" s="2"/>
      <c r="G27" s="2"/>
      <c r="H27" s="2"/>
      <c r="I27" s="2"/>
      <c r="J27" s="2"/>
      <c r="K27" s="2"/>
      <c r="L27" s="2"/>
      <c r="M27" s="2"/>
      <c r="O27" s="3"/>
      <c r="P27" s="3"/>
      <c r="Q27" s="3"/>
      <c r="R27" s="3"/>
      <c r="S27" s="3"/>
      <c r="T27" s="3"/>
      <c r="U27" s="3"/>
      <c r="V27" s="3"/>
      <c r="X27" s="3"/>
      <c r="Y27" s="3"/>
      <c r="Z27" s="3"/>
      <c r="AA27" s="3"/>
      <c r="AB27" s="3"/>
      <c r="AC27" s="3"/>
      <c r="AD27" s="3"/>
      <c r="AG27" s="3"/>
      <c r="AH27" s="3"/>
      <c r="AI27" s="3"/>
      <c r="AJ27" s="3"/>
      <c r="AK27" s="3"/>
      <c r="AL27" s="3"/>
      <c r="AM27" s="3"/>
      <c r="AN27" s="3"/>
      <c r="AO27" s="3"/>
    </row>
    <row r="28" spans="1:41" x14ac:dyDescent="0.2">
      <c r="A28" s="2"/>
      <c r="B28" s="2"/>
      <c r="C28" s="2"/>
      <c r="D28" s="2"/>
      <c r="E28" s="2"/>
      <c r="F28" s="2"/>
      <c r="G28" s="2"/>
      <c r="H28" s="2"/>
      <c r="I28" s="2"/>
      <c r="J28" s="2"/>
      <c r="K28" s="2"/>
      <c r="L28" s="2"/>
      <c r="M28" s="2"/>
      <c r="O28" s="3"/>
      <c r="P28" s="3"/>
      <c r="Q28" s="3"/>
      <c r="R28" s="3"/>
      <c r="S28" s="3"/>
      <c r="T28" s="3"/>
      <c r="U28" s="3"/>
      <c r="V28" s="3"/>
      <c r="X28" s="3"/>
      <c r="Y28" s="3"/>
      <c r="Z28" s="3"/>
      <c r="AA28" s="3"/>
      <c r="AB28" s="3"/>
      <c r="AC28" s="3"/>
      <c r="AD28" s="3"/>
      <c r="AG28" s="3"/>
      <c r="AH28" s="3"/>
      <c r="AI28" s="3"/>
      <c r="AJ28" s="3"/>
      <c r="AK28" s="3"/>
      <c r="AL28" s="3"/>
      <c r="AM28" s="3"/>
      <c r="AN28" s="3"/>
      <c r="AO28" s="3"/>
    </row>
    <row r="29" spans="1:41" x14ac:dyDescent="0.2">
      <c r="A29" s="2"/>
      <c r="B29" s="2"/>
      <c r="C29" s="2"/>
      <c r="D29" s="2"/>
      <c r="E29" s="2"/>
      <c r="F29" s="2"/>
      <c r="G29" s="2"/>
      <c r="H29" s="2"/>
      <c r="I29" s="2"/>
      <c r="J29" s="2"/>
      <c r="K29" s="2"/>
      <c r="L29" s="2"/>
      <c r="M29" s="2"/>
      <c r="O29" s="3"/>
      <c r="P29" s="3"/>
      <c r="Q29" s="3"/>
      <c r="R29" s="3"/>
      <c r="S29" s="3"/>
      <c r="T29" s="3"/>
      <c r="U29" s="3"/>
      <c r="V29" s="3"/>
      <c r="X29" s="3"/>
      <c r="Y29" s="3"/>
      <c r="Z29" s="3"/>
      <c r="AA29" s="3"/>
      <c r="AB29" s="3"/>
      <c r="AC29" s="3"/>
      <c r="AD29" s="3"/>
      <c r="AG29" s="3"/>
      <c r="AH29" s="3"/>
      <c r="AI29" s="3"/>
      <c r="AJ29" s="3"/>
      <c r="AK29" s="3"/>
      <c r="AL29" s="3"/>
      <c r="AM29" s="3"/>
      <c r="AN29" s="3"/>
      <c r="AO29" s="3"/>
    </row>
    <row r="30" spans="1:41" x14ac:dyDescent="0.2">
      <c r="A30" s="2"/>
      <c r="B30" s="2"/>
      <c r="C30" s="131"/>
      <c r="D30" s="2"/>
      <c r="E30" s="2"/>
      <c r="F30" s="2"/>
      <c r="G30" s="2"/>
      <c r="H30" s="2"/>
      <c r="I30" s="2"/>
      <c r="J30" s="2"/>
      <c r="K30" s="2"/>
      <c r="L30" s="2"/>
      <c r="M30" s="2"/>
      <c r="O30" s="3"/>
      <c r="P30" s="3"/>
      <c r="Q30" s="3"/>
      <c r="R30" s="3"/>
      <c r="S30" s="3"/>
      <c r="T30" s="3"/>
      <c r="U30" s="3"/>
      <c r="V30" s="3"/>
      <c r="X30" s="3"/>
      <c r="Y30" s="3"/>
      <c r="Z30" s="3"/>
      <c r="AA30" s="3"/>
      <c r="AB30" s="3"/>
      <c r="AC30" s="3"/>
      <c r="AD30" s="3"/>
      <c r="AG30" s="3"/>
      <c r="AH30" s="3"/>
      <c r="AI30" s="3"/>
      <c r="AJ30" s="3"/>
      <c r="AK30" s="3"/>
      <c r="AL30" s="3"/>
      <c r="AM30" s="3"/>
      <c r="AN30" s="3"/>
      <c r="AO30" s="3"/>
    </row>
    <row r="31" spans="1:41" x14ac:dyDescent="0.2">
      <c r="A31" s="2"/>
      <c r="B31" s="2"/>
      <c r="C31" s="2"/>
      <c r="D31" s="2"/>
      <c r="E31" s="2"/>
      <c r="F31" s="2"/>
      <c r="G31" s="2"/>
      <c r="H31" s="2"/>
      <c r="I31" s="2"/>
      <c r="J31" s="2"/>
      <c r="K31" s="2"/>
      <c r="L31" s="2"/>
      <c r="M31" s="2"/>
      <c r="O31" s="3"/>
      <c r="P31" s="3"/>
      <c r="Q31" s="3"/>
      <c r="R31" s="3"/>
      <c r="S31" s="3"/>
      <c r="T31" s="3"/>
      <c r="U31" s="3"/>
      <c r="V31" s="3"/>
      <c r="X31" s="3"/>
      <c r="Y31" s="3"/>
      <c r="Z31" s="3"/>
      <c r="AA31" s="3"/>
      <c r="AB31" s="3"/>
      <c r="AC31" s="3"/>
      <c r="AD31" s="3"/>
      <c r="AG31" s="3"/>
      <c r="AH31" s="3"/>
      <c r="AI31" s="3"/>
      <c r="AJ31" s="3"/>
      <c r="AK31" s="3"/>
      <c r="AL31" s="3"/>
      <c r="AM31" s="3"/>
      <c r="AN31" s="3"/>
      <c r="AO31" s="3"/>
    </row>
    <row r="32" spans="1:41" x14ac:dyDescent="0.2">
      <c r="A32" s="2"/>
      <c r="B32" s="2"/>
      <c r="C32" s="2"/>
      <c r="D32" s="2"/>
      <c r="E32" s="2"/>
      <c r="F32" s="2"/>
      <c r="G32" s="2"/>
      <c r="H32" s="2"/>
      <c r="I32" s="2"/>
      <c r="J32" s="2"/>
      <c r="K32" s="2"/>
      <c r="L32" s="2"/>
      <c r="M32" s="2"/>
      <c r="O32" s="3"/>
      <c r="P32" s="3"/>
      <c r="Q32" s="3"/>
      <c r="R32" s="3"/>
      <c r="S32" s="3"/>
      <c r="T32" s="3"/>
      <c r="U32" s="3"/>
      <c r="V32" s="3"/>
      <c r="X32" s="3"/>
      <c r="Y32" s="3"/>
      <c r="Z32" s="3"/>
      <c r="AA32" s="3"/>
      <c r="AB32" s="3"/>
      <c r="AC32" s="3"/>
      <c r="AD32" s="3"/>
      <c r="AG32" s="3"/>
      <c r="AH32" s="3"/>
      <c r="AI32" s="3"/>
      <c r="AJ32" s="3"/>
      <c r="AK32" s="3"/>
      <c r="AL32" s="3"/>
      <c r="AM32" s="3"/>
      <c r="AN32" s="3"/>
      <c r="AO32" s="3"/>
    </row>
    <row r="33" spans="1:41" x14ac:dyDescent="0.2">
      <c r="A33" s="2"/>
      <c r="B33" s="2"/>
      <c r="C33" s="2"/>
      <c r="D33" s="131"/>
      <c r="E33" s="2"/>
      <c r="F33" s="2"/>
      <c r="G33" s="2"/>
      <c r="H33" s="2"/>
      <c r="I33" s="2"/>
      <c r="J33" s="2"/>
      <c r="K33" s="2"/>
      <c r="L33" s="2"/>
      <c r="M33" s="2"/>
      <c r="O33" s="3"/>
      <c r="P33" s="3"/>
      <c r="Q33" s="3"/>
      <c r="R33" s="3"/>
      <c r="S33" s="3"/>
      <c r="T33" s="3"/>
      <c r="U33" s="3"/>
      <c r="V33" s="3"/>
      <c r="X33" s="3"/>
      <c r="Y33" s="3"/>
      <c r="Z33" s="3"/>
      <c r="AA33" s="3"/>
      <c r="AB33" s="3"/>
      <c r="AC33" s="3"/>
      <c r="AD33" s="3"/>
      <c r="AG33" s="3"/>
      <c r="AH33" s="3"/>
      <c r="AI33" s="3"/>
      <c r="AJ33" s="3"/>
      <c r="AK33" s="3"/>
      <c r="AL33" s="3"/>
      <c r="AM33" s="3"/>
      <c r="AN33" s="3"/>
      <c r="AO33" s="3"/>
    </row>
    <row r="34" spans="1:41" x14ac:dyDescent="0.2">
      <c r="A34" s="2"/>
      <c r="B34" s="2"/>
      <c r="C34" s="2"/>
      <c r="D34" s="2"/>
      <c r="E34" s="2"/>
      <c r="F34" s="2"/>
      <c r="G34" s="2"/>
      <c r="H34" s="2"/>
      <c r="I34" s="2"/>
      <c r="J34" s="2"/>
      <c r="K34" s="2"/>
      <c r="L34" s="2"/>
      <c r="M34" s="2"/>
      <c r="O34" s="3"/>
      <c r="P34" s="3"/>
      <c r="Q34" s="3"/>
      <c r="R34" s="3"/>
      <c r="S34" s="3"/>
      <c r="T34" s="3"/>
      <c r="U34" s="3"/>
      <c r="V34" s="3"/>
      <c r="X34" s="3"/>
      <c r="Y34" s="3"/>
      <c r="Z34" s="3"/>
      <c r="AA34" s="3"/>
      <c r="AB34" s="3"/>
      <c r="AC34" s="3"/>
      <c r="AD34" s="3"/>
      <c r="AG34" s="3"/>
      <c r="AH34" s="3"/>
      <c r="AI34" s="3"/>
      <c r="AJ34" s="3"/>
      <c r="AK34" s="3"/>
      <c r="AL34" s="3"/>
      <c r="AM34" s="3"/>
      <c r="AN34" s="3"/>
      <c r="AO34" s="3"/>
    </row>
    <row r="35" spans="1:41" x14ac:dyDescent="0.2">
      <c r="A35" s="2"/>
      <c r="B35" s="2"/>
      <c r="C35" s="2"/>
      <c r="D35" s="2"/>
      <c r="E35" s="2"/>
      <c r="F35" s="2"/>
      <c r="G35" s="2"/>
      <c r="H35" s="2"/>
      <c r="I35" s="2"/>
      <c r="J35" s="2"/>
      <c r="K35" s="2"/>
      <c r="L35" s="2"/>
      <c r="M35" s="2"/>
      <c r="O35" s="3"/>
      <c r="P35" s="3"/>
      <c r="Q35" s="3"/>
      <c r="R35" s="3"/>
      <c r="S35" s="3"/>
      <c r="T35" s="3"/>
      <c r="U35" s="3"/>
      <c r="V35" s="3"/>
      <c r="X35" s="3"/>
      <c r="Y35" s="3"/>
      <c r="Z35" s="3"/>
      <c r="AA35" s="3"/>
      <c r="AB35" s="3"/>
      <c r="AC35" s="3"/>
      <c r="AD35" s="3"/>
      <c r="AG35" s="3"/>
      <c r="AH35" s="3"/>
      <c r="AI35" s="3"/>
      <c r="AJ35" s="3"/>
      <c r="AK35" s="3"/>
      <c r="AL35" s="3"/>
      <c r="AM35" s="3"/>
      <c r="AN35" s="3"/>
      <c r="AO35" s="3"/>
    </row>
    <row r="36" spans="1:41" x14ac:dyDescent="0.2">
      <c r="A36" s="2"/>
      <c r="B36" s="2"/>
      <c r="C36" s="2"/>
      <c r="D36" s="2"/>
      <c r="E36" s="2"/>
      <c r="F36" s="2"/>
      <c r="G36" s="2"/>
      <c r="H36" s="2"/>
      <c r="I36" s="2"/>
      <c r="J36" s="2"/>
      <c r="K36" s="2"/>
      <c r="L36" s="2"/>
      <c r="M36" s="2"/>
      <c r="O36" s="3"/>
      <c r="P36" s="3"/>
      <c r="Q36" s="3"/>
      <c r="R36" s="3"/>
      <c r="S36" s="3"/>
      <c r="T36" s="3"/>
      <c r="U36" s="3"/>
      <c r="V36" s="3"/>
      <c r="X36" s="3"/>
      <c r="Y36" s="3"/>
      <c r="Z36" s="3"/>
      <c r="AA36" s="3"/>
      <c r="AB36" s="3"/>
      <c r="AC36" s="3"/>
      <c r="AD36" s="3"/>
      <c r="AG36" s="3"/>
      <c r="AH36" s="3"/>
      <c r="AI36" s="3"/>
      <c r="AJ36" s="3"/>
      <c r="AK36" s="3"/>
      <c r="AL36" s="3"/>
      <c r="AM36" s="3"/>
      <c r="AN36" s="3"/>
      <c r="AO36" s="3"/>
    </row>
    <row r="37" spans="1:41" ht="18" x14ac:dyDescent="0.25">
      <c r="A37" s="2"/>
      <c r="B37" s="2"/>
      <c r="C37" s="2"/>
      <c r="D37" s="2"/>
      <c r="E37" s="2"/>
      <c r="F37" s="2"/>
      <c r="G37" s="2"/>
      <c r="H37" s="2"/>
      <c r="I37" s="2"/>
      <c r="J37" s="2"/>
      <c r="K37" s="2"/>
      <c r="L37" s="2"/>
      <c r="M37" s="2"/>
      <c r="O37" s="3"/>
      <c r="P37" s="96"/>
      <c r="Q37" s="61"/>
      <c r="R37" s="3"/>
      <c r="S37" s="3"/>
      <c r="T37" s="3"/>
      <c r="U37" s="3"/>
      <c r="V37" s="3"/>
      <c r="X37" s="3"/>
      <c r="Y37" s="3"/>
      <c r="Z37" s="3"/>
      <c r="AA37" s="3"/>
      <c r="AB37" s="3"/>
      <c r="AC37" s="3"/>
      <c r="AD37" s="3"/>
      <c r="AG37" s="3"/>
      <c r="AH37" s="3"/>
      <c r="AI37" s="3"/>
      <c r="AJ37" s="3"/>
      <c r="AK37" s="3"/>
      <c r="AL37" s="3"/>
      <c r="AM37" s="84"/>
      <c r="AN37" s="84"/>
      <c r="AO37" s="3"/>
    </row>
    <row r="38" spans="1:41" x14ac:dyDescent="0.2">
      <c r="A38" s="2"/>
      <c r="B38" s="2"/>
      <c r="C38" s="2"/>
      <c r="D38" s="2"/>
      <c r="E38" s="2"/>
      <c r="F38" s="2"/>
      <c r="G38" s="2"/>
      <c r="H38" s="2"/>
      <c r="I38" s="2"/>
      <c r="J38" s="2"/>
      <c r="K38" s="2"/>
      <c r="L38" s="2"/>
      <c r="M38" s="2"/>
      <c r="O38" s="3"/>
      <c r="P38" s="3"/>
      <c r="Q38" s="3"/>
      <c r="R38" s="3"/>
      <c r="S38" s="3"/>
      <c r="T38" s="3"/>
      <c r="U38" s="3"/>
      <c r="V38" s="3"/>
      <c r="X38" s="3"/>
      <c r="Y38" s="3"/>
      <c r="Z38" s="3"/>
      <c r="AA38" s="3"/>
      <c r="AB38" s="3"/>
      <c r="AC38" s="3"/>
      <c r="AD38" s="3"/>
      <c r="AG38" s="3"/>
      <c r="AH38" s="3"/>
      <c r="AI38" s="3"/>
      <c r="AJ38" s="3"/>
      <c r="AK38" s="3"/>
      <c r="AL38" s="3"/>
      <c r="AM38" s="83"/>
      <c r="AN38" s="83"/>
      <c r="AO38" s="3"/>
    </row>
    <row r="39" spans="1:41" x14ac:dyDescent="0.2">
      <c r="A39" s="2"/>
      <c r="B39" s="2"/>
      <c r="C39" s="2"/>
      <c r="D39" s="2"/>
      <c r="E39" s="2"/>
      <c r="F39" s="2"/>
      <c r="G39" s="2"/>
      <c r="H39" s="2"/>
      <c r="I39" s="2"/>
      <c r="J39" s="2"/>
      <c r="K39" s="2"/>
      <c r="L39" s="2"/>
      <c r="M39" s="2"/>
      <c r="O39" s="3"/>
      <c r="P39" s="3"/>
      <c r="Q39" s="3"/>
      <c r="R39" s="3"/>
      <c r="S39" s="3"/>
      <c r="T39" s="3"/>
      <c r="U39" s="3"/>
      <c r="V39" s="3"/>
      <c r="X39" s="3"/>
      <c r="Y39" s="3"/>
      <c r="Z39" s="3"/>
      <c r="AA39" s="3"/>
      <c r="AB39" s="3"/>
      <c r="AC39" s="3"/>
      <c r="AD39" s="3"/>
      <c r="AG39" s="3"/>
      <c r="AH39" s="3"/>
      <c r="AI39" s="3"/>
      <c r="AJ39" s="3"/>
      <c r="AK39" s="3"/>
      <c r="AL39" s="3"/>
      <c r="AM39" s="83"/>
      <c r="AN39" s="83"/>
      <c r="AO39" s="3"/>
    </row>
    <row r="40" spans="1:41" ht="15" x14ac:dyDescent="0.25">
      <c r="A40" s="2"/>
      <c r="B40" s="2"/>
      <c r="C40" s="2"/>
      <c r="D40" s="2"/>
      <c r="E40" s="2"/>
      <c r="F40" s="2"/>
      <c r="G40" s="2"/>
      <c r="H40" s="2"/>
      <c r="I40" s="2"/>
      <c r="J40" s="2"/>
      <c r="K40" s="2"/>
      <c r="L40" s="2"/>
      <c r="M40" s="2"/>
      <c r="O40" s="3"/>
      <c r="P40" s="3"/>
      <c r="Q40" s="23" t="s">
        <v>102</v>
      </c>
      <c r="R40" s="24"/>
      <c r="S40" s="24"/>
      <c r="T40" s="24"/>
      <c r="U40" s="24"/>
      <c r="V40" s="3"/>
      <c r="X40" s="3"/>
      <c r="Y40" s="3"/>
      <c r="Z40" s="23" t="s">
        <v>180</v>
      </c>
      <c r="AA40" s="24"/>
      <c r="AB40" s="24"/>
      <c r="AC40" s="24"/>
      <c r="AD40" s="24"/>
      <c r="AG40" s="3"/>
      <c r="AH40" s="23" t="s">
        <v>185</v>
      </c>
      <c r="AI40" s="24"/>
      <c r="AJ40" s="24"/>
      <c r="AK40" s="24"/>
      <c r="AL40" s="3"/>
      <c r="AM40" s="83"/>
      <c r="AN40" s="83"/>
      <c r="AO40" s="3"/>
    </row>
    <row r="41" spans="1:41" ht="15" x14ac:dyDescent="0.25">
      <c r="A41" s="2"/>
      <c r="B41" s="2"/>
      <c r="C41" s="2"/>
      <c r="D41" s="2"/>
      <c r="E41" s="2"/>
      <c r="F41" s="2"/>
      <c r="G41" s="2"/>
      <c r="H41" s="2"/>
      <c r="I41" s="2"/>
      <c r="J41" s="2"/>
      <c r="K41" s="2"/>
      <c r="L41" s="2"/>
      <c r="M41" s="2"/>
      <c r="O41" s="3"/>
      <c r="P41" s="483" t="s">
        <v>131</v>
      </c>
      <c r="Q41" s="45"/>
      <c r="R41" s="45">
        <f>'Referenz Plattenfertiger'!D9</f>
        <v>0</v>
      </c>
      <c r="S41" s="46">
        <f>R41+5</f>
        <v>5</v>
      </c>
      <c r="T41" s="46">
        <f>R41+10</f>
        <v>10</v>
      </c>
      <c r="U41" s="34"/>
      <c r="V41" s="3"/>
      <c r="X41" s="3"/>
      <c r="Y41" s="3"/>
      <c r="Z41" s="34"/>
      <c r="AA41" s="45">
        <f>R$41</f>
        <v>0</v>
      </c>
      <c r="AB41" s="45">
        <f>S$41</f>
        <v>5</v>
      </c>
      <c r="AC41" s="45">
        <f>T$41</f>
        <v>10</v>
      </c>
      <c r="AD41" s="34"/>
      <c r="AG41" s="483" t="s">
        <v>131</v>
      </c>
      <c r="AH41" s="34"/>
      <c r="AI41" s="46">
        <f>AA41</f>
        <v>0</v>
      </c>
      <c r="AJ41" s="46">
        <f>AB41</f>
        <v>5</v>
      </c>
      <c r="AK41" s="46">
        <f>AC41</f>
        <v>10</v>
      </c>
      <c r="AL41" s="3"/>
      <c r="AM41" s="3"/>
      <c r="AN41" s="3"/>
      <c r="AO41" s="62"/>
    </row>
    <row r="42" spans="1:41" x14ac:dyDescent="0.2">
      <c r="A42" s="2"/>
      <c r="B42" s="2"/>
      <c r="C42" s="2"/>
      <c r="D42" s="2"/>
      <c r="E42" s="2"/>
      <c r="F42" s="2"/>
      <c r="G42" s="2"/>
      <c r="H42" s="2"/>
      <c r="I42" s="2"/>
      <c r="J42" s="2"/>
      <c r="K42" s="2"/>
      <c r="L42" s="2"/>
      <c r="M42" s="2"/>
      <c r="O42" s="3"/>
      <c r="P42" s="483"/>
      <c r="Q42" s="24"/>
      <c r="R42" s="47" t="s">
        <v>81</v>
      </c>
      <c r="S42" s="48"/>
      <c r="T42" s="48"/>
      <c r="U42" s="24"/>
      <c r="V42" s="3"/>
      <c r="X42" s="3"/>
      <c r="Y42" s="3"/>
      <c r="Z42" s="24"/>
      <c r="AA42" s="47" t="s">
        <v>81</v>
      </c>
      <c r="AB42" s="48"/>
      <c r="AC42" s="48"/>
      <c r="AD42" s="24"/>
      <c r="AG42" s="483"/>
      <c r="AH42" s="24"/>
      <c r="AI42" s="49" t="s">
        <v>81</v>
      </c>
      <c r="AJ42" s="49"/>
      <c r="AK42" s="58"/>
      <c r="AL42" s="3"/>
      <c r="AM42" s="83"/>
      <c r="AN42" s="83"/>
      <c r="AO42" s="62"/>
    </row>
    <row r="43" spans="1:41" ht="15.75" x14ac:dyDescent="0.3">
      <c r="A43" s="2"/>
      <c r="B43" s="2"/>
      <c r="C43" s="2"/>
      <c r="D43" s="2"/>
      <c r="E43" s="2"/>
      <c r="F43" s="2"/>
      <c r="G43" s="2"/>
      <c r="H43" s="2"/>
      <c r="I43" s="2"/>
      <c r="J43" s="2"/>
      <c r="K43" s="2"/>
      <c r="L43" s="2"/>
      <c r="M43" s="2"/>
      <c r="O43" s="3"/>
      <c r="P43" s="3"/>
      <c r="Q43" s="29" t="s">
        <v>29</v>
      </c>
      <c r="R43" s="32">
        <f>'Referenz Plattenfertiger'!$W$16+'Referenz Plattenfertiger'!W21</f>
        <v>43.0426</v>
      </c>
      <c r="S43" s="32">
        <f>X119+X124</f>
        <v>43.0426</v>
      </c>
      <c r="T43" s="32">
        <f>X196+X201</f>
        <v>43.0426</v>
      </c>
      <c r="U43" s="25" t="s">
        <v>148</v>
      </c>
      <c r="V43" s="3"/>
      <c r="X43" s="3"/>
      <c r="Y43" s="3"/>
      <c r="Z43" s="29" t="s">
        <v>104</v>
      </c>
      <c r="AA43" s="26">
        <f>'Referenz Plattenfertiger'!S78</f>
        <v>94.932355060000006</v>
      </c>
      <c r="AB43" s="26">
        <f>S180</f>
        <v>94.932355060000006</v>
      </c>
      <c r="AC43" s="26">
        <f>S257</f>
        <v>94.932355060000006</v>
      </c>
      <c r="AD43" s="25" t="s">
        <v>148</v>
      </c>
      <c r="AG43" s="3"/>
      <c r="AH43" s="56" t="s">
        <v>144</v>
      </c>
      <c r="AI43" s="57">
        <f>SUM(AI44:AI50)</f>
        <v>109669</v>
      </c>
      <c r="AJ43" s="57">
        <f t="shared" ref="AJ43:AK43" si="0">SUM(AJ44:AJ50)</f>
        <v>110794</v>
      </c>
      <c r="AK43" s="57">
        <f t="shared" si="0"/>
        <v>110794</v>
      </c>
      <c r="AL43" s="3"/>
      <c r="AM43" s="112"/>
      <c r="AN43" s="112"/>
      <c r="AO43" s="62"/>
    </row>
    <row r="44" spans="1:41" ht="15.75" x14ac:dyDescent="0.3">
      <c r="A44" s="2"/>
      <c r="B44" s="2"/>
      <c r="C44" s="2"/>
      <c r="D44" s="2"/>
      <c r="E44" s="2"/>
      <c r="F44" s="2"/>
      <c r="G44" s="2"/>
      <c r="H44" s="2"/>
      <c r="I44" s="2"/>
      <c r="J44" s="2"/>
      <c r="K44" s="2"/>
      <c r="L44" s="2"/>
      <c r="M44" s="2"/>
      <c r="O44" s="3"/>
      <c r="P44" s="3"/>
      <c r="Q44" s="8" t="s">
        <v>30</v>
      </c>
      <c r="R44" s="10">
        <f>'Referenz Plattenfertiger'!$W$17+'Referenz Plattenfertiger'!W22</f>
        <v>16.005600000000001</v>
      </c>
      <c r="S44" s="10">
        <f>X120+X125</f>
        <v>16.005600000000001</v>
      </c>
      <c r="T44" s="10">
        <f>X197+X202</f>
        <v>16.005600000000001</v>
      </c>
      <c r="U44" s="3" t="s">
        <v>148</v>
      </c>
      <c r="V44" s="3"/>
      <c r="X44" s="3"/>
      <c r="Y44" s="3"/>
      <c r="Z44" s="8" t="s">
        <v>26</v>
      </c>
      <c r="AA44" s="9">
        <f>'Referenz Plattenfertiger'!T78</f>
        <v>171.9</v>
      </c>
      <c r="AB44" s="9">
        <f>T180</f>
        <v>0</v>
      </c>
      <c r="AC44" s="9">
        <f>T257</f>
        <v>0</v>
      </c>
      <c r="AD44" s="3" t="s">
        <v>148</v>
      </c>
      <c r="AG44" s="3"/>
      <c r="AH44" s="31" t="s">
        <v>29</v>
      </c>
      <c r="AI44" s="51">
        <f>'Referenz Plattenfertiger'!AD16</f>
        <v>14335</v>
      </c>
      <c r="AJ44" s="51">
        <f>AG119+AG124</f>
        <v>14335</v>
      </c>
      <c r="AK44" s="51">
        <f>AG192+AG197</f>
        <v>14335</v>
      </c>
      <c r="AL44" s="3"/>
      <c r="AM44" s="112"/>
      <c r="AN44" s="112"/>
      <c r="AO44" s="62"/>
    </row>
    <row r="45" spans="1:41" ht="15.75" x14ac:dyDescent="0.3">
      <c r="A45" s="2"/>
      <c r="B45" s="2"/>
      <c r="C45" s="2"/>
      <c r="D45" s="2"/>
      <c r="E45" s="2"/>
      <c r="F45" s="2"/>
      <c r="G45" s="2"/>
      <c r="H45" s="2"/>
      <c r="I45" s="2"/>
      <c r="J45" s="2"/>
      <c r="K45" s="2"/>
      <c r="L45" s="2"/>
      <c r="M45" s="2"/>
      <c r="O45" s="3"/>
      <c r="P45" s="3"/>
      <c r="Q45" s="29" t="s">
        <v>31</v>
      </c>
      <c r="R45" s="32">
        <f>'Referenz Plattenfertiger'!$W$18+'Referenz Plattenfertiger'!T24</f>
        <v>171.9</v>
      </c>
      <c r="S45" s="32">
        <f>X121+X127</f>
        <v>0</v>
      </c>
      <c r="T45" s="32">
        <f>X198+X204</f>
        <v>0</v>
      </c>
      <c r="U45" s="25" t="s">
        <v>148</v>
      </c>
      <c r="V45" s="3"/>
      <c r="X45" s="3"/>
      <c r="Y45" s="3"/>
      <c r="Z45" s="29" t="s">
        <v>27</v>
      </c>
      <c r="AA45" s="26">
        <f>'Referenz Plattenfertiger'!U78</f>
        <v>5831.5296228095176</v>
      </c>
      <c r="AB45" s="26">
        <f>U180</f>
        <v>5744.366082809518</v>
      </c>
      <c r="AC45" s="26">
        <f>U257</f>
        <v>5744.366082809518</v>
      </c>
      <c r="AD45" s="25" t="s">
        <v>148</v>
      </c>
      <c r="AG45" s="3"/>
      <c r="AH45" s="31" t="s">
        <v>30</v>
      </c>
      <c r="AI45" s="51">
        <f>'Referenz Plattenfertiger'!AD17</f>
        <v>2760</v>
      </c>
      <c r="AJ45" s="51">
        <f>AG120+AG125</f>
        <v>2760</v>
      </c>
      <c r="AK45" s="51">
        <f>AG193+AG198</f>
        <v>2760</v>
      </c>
      <c r="AL45" s="3"/>
      <c r="AM45" s="112"/>
      <c r="AN45" s="112"/>
      <c r="AO45" s="62"/>
    </row>
    <row r="46" spans="1:41" ht="16.5" thickBot="1" x14ac:dyDescent="0.35">
      <c r="A46" s="2"/>
      <c r="B46" s="2"/>
      <c r="C46" s="2"/>
      <c r="D46" s="2"/>
      <c r="E46" s="2"/>
      <c r="F46" s="2"/>
      <c r="G46" s="2"/>
      <c r="H46" s="2"/>
      <c r="I46" s="2"/>
      <c r="J46" s="2"/>
      <c r="K46" s="2"/>
      <c r="L46" s="2"/>
      <c r="M46" s="2"/>
      <c r="O46" s="3"/>
      <c r="P46" s="3"/>
      <c r="Q46" s="8" t="s">
        <v>115</v>
      </c>
      <c r="R46" s="10">
        <f>'Referenz Plattenfertiger'!$W$19</f>
        <v>0</v>
      </c>
      <c r="S46" s="10">
        <f>X122</f>
        <v>0</v>
      </c>
      <c r="T46" s="10">
        <f>X199</f>
        <v>0</v>
      </c>
      <c r="U46" s="3" t="s">
        <v>148</v>
      </c>
      <c r="V46" s="3"/>
      <c r="X46" s="3"/>
      <c r="Y46" s="3"/>
      <c r="Z46" s="27" t="s">
        <v>67</v>
      </c>
      <c r="AA46" s="28">
        <f>SUM(AA43:AA45)</f>
        <v>6098.3619778695174</v>
      </c>
      <c r="AB46" s="28">
        <f t="shared" ref="AB46:AC46" si="1">SUM(AB43:AB45)</f>
        <v>5839.2984378695182</v>
      </c>
      <c r="AC46" s="28">
        <f t="shared" si="1"/>
        <v>5839.2984378695182</v>
      </c>
      <c r="AD46" s="27" t="s">
        <v>149</v>
      </c>
      <c r="AG46" s="3"/>
      <c r="AH46" s="31" t="s">
        <v>31</v>
      </c>
      <c r="AI46" s="51">
        <f>'Referenz Plattenfertiger'!AD18</f>
        <v>77400</v>
      </c>
      <c r="AJ46" s="51">
        <f>AG121+AG127</f>
        <v>78525</v>
      </c>
      <c r="AK46" s="51">
        <f>AG194+AG200</f>
        <v>78525</v>
      </c>
      <c r="AL46" s="3"/>
      <c r="AM46" s="112"/>
      <c r="AN46" s="112"/>
      <c r="AO46" s="62"/>
    </row>
    <row r="47" spans="1:41" ht="16.5" thickTop="1" x14ac:dyDescent="0.3">
      <c r="A47" s="2"/>
      <c r="B47" s="2"/>
      <c r="C47" s="2"/>
      <c r="D47" s="2"/>
      <c r="E47" s="2"/>
      <c r="F47" s="2"/>
      <c r="G47" s="2"/>
      <c r="H47" s="2"/>
      <c r="I47" s="2"/>
      <c r="J47" s="2"/>
      <c r="K47" s="2"/>
      <c r="L47" s="2"/>
      <c r="M47" s="2"/>
      <c r="O47" s="3"/>
      <c r="P47" s="3"/>
      <c r="Q47" s="29" t="s">
        <v>111</v>
      </c>
      <c r="R47" s="32">
        <f>'Referenz Plattenfertiger'!$W$25</f>
        <v>0</v>
      </c>
      <c r="S47" s="32">
        <f>X128</f>
        <v>0</v>
      </c>
      <c r="T47" s="32">
        <f>X205</f>
        <v>0</v>
      </c>
      <c r="U47" s="25" t="s">
        <v>148</v>
      </c>
      <c r="V47" s="3"/>
      <c r="X47" s="3"/>
      <c r="Y47" s="3"/>
      <c r="Z47" s="3"/>
      <c r="AA47" s="3"/>
      <c r="AB47" s="3"/>
      <c r="AC47" s="3"/>
      <c r="AD47" s="3"/>
      <c r="AG47" s="3"/>
      <c r="AH47" s="31" t="s">
        <v>111</v>
      </c>
      <c r="AI47" s="51">
        <f>'Referenz Plattenfertiger'!AD19</f>
        <v>0</v>
      </c>
      <c r="AJ47" s="51">
        <f>AG128</f>
        <v>0</v>
      </c>
      <c r="AK47" s="51">
        <f>AG201</f>
        <v>0</v>
      </c>
      <c r="AL47" s="3"/>
      <c r="AM47" s="112"/>
      <c r="AN47" s="112"/>
      <c r="AO47" s="62"/>
    </row>
    <row r="48" spans="1:41" ht="15.75" x14ac:dyDescent="0.3">
      <c r="A48" s="2"/>
      <c r="B48" s="2"/>
      <c r="C48" s="2"/>
      <c r="D48" s="2"/>
      <c r="E48" s="2"/>
      <c r="F48" s="2"/>
      <c r="G48" s="2"/>
      <c r="H48" s="2"/>
      <c r="I48" s="2"/>
      <c r="J48" s="2"/>
      <c r="K48" s="2"/>
      <c r="L48" s="2"/>
      <c r="M48" s="2"/>
      <c r="O48" s="3"/>
      <c r="P48" s="3"/>
      <c r="Q48" s="8" t="s">
        <v>135</v>
      </c>
      <c r="R48" s="10">
        <f>'Referenz Plattenfertiger'!$W$26</f>
        <v>0</v>
      </c>
      <c r="S48" s="10">
        <f>X129</f>
        <v>0</v>
      </c>
      <c r="T48" s="10">
        <f>X206</f>
        <v>0</v>
      </c>
      <c r="U48" s="3" t="s">
        <v>148</v>
      </c>
      <c r="V48" s="3"/>
      <c r="X48" s="3"/>
      <c r="Y48" s="3"/>
      <c r="Z48" s="3"/>
      <c r="AA48" s="3"/>
      <c r="AB48" s="3"/>
      <c r="AC48" s="3"/>
      <c r="AD48" s="3"/>
      <c r="AG48" s="3"/>
      <c r="AH48" s="31" t="s">
        <v>112</v>
      </c>
      <c r="AI48" s="51">
        <f>'Referenz Plattenfertiger'!AD20</f>
        <v>0</v>
      </c>
      <c r="AJ48" s="51">
        <f>AG122</f>
        <v>0</v>
      </c>
      <c r="AK48" s="51">
        <f>AG195</f>
        <v>0</v>
      </c>
      <c r="AL48" s="3"/>
      <c r="AM48" s="112"/>
      <c r="AN48" s="112"/>
      <c r="AO48" s="62"/>
    </row>
    <row r="49" spans="1:41" ht="15.75" x14ac:dyDescent="0.3">
      <c r="A49" s="2"/>
      <c r="B49" s="2"/>
      <c r="C49" s="2"/>
      <c r="D49" s="2"/>
      <c r="E49" s="2"/>
      <c r="F49" s="2"/>
      <c r="G49" s="2"/>
      <c r="H49" s="2"/>
      <c r="I49" s="2"/>
      <c r="J49" s="2"/>
      <c r="K49" s="2"/>
      <c r="L49" s="2"/>
      <c r="M49" s="2"/>
      <c r="O49" s="3"/>
      <c r="P49" s="3"/>
      <c r="Q49" s="29" t="s">
        <v>32</v>
      </c>
      <c r="R49" s="32">
        <f>'Referenz Plattenfertiger'!$W$28+'Referenz Plattenfertiger'!$W$29</f>
        <v>35.884155059999998</v>
      </c>
      <c r="S49" s="32">
        <f>X131+X132</f>
        <v>35.884155059999998</v>
      </c>
      <c r="T49" s="32">
        <f>X208+X209</f>
        <v>35.884155059999998</v>
      </c>
      <c r="U49" s="25" t="s">
        <v>148</v>
      </c>
      <c r="V49" s="3"/>
      <c r="X49" s="3"/>
      <c r="Y49" s="3"/>
      <c r="Z49" s="23" t="s">
        <v>178</v>
      </c>
      <c r="AA49" s="24"/>
      <c r="AB49" s="24"/>
      <c r="AC49" s="24"/>
      <c r="AD49" s="24"/>
      <c r="AG49" s="3"/>
      <c r="AH49" s="31" t="s">
        <v>410</v>
      </c>
      <c r="AI49" s="51">
        <f>'Referenz Plattenfertiger'!AD21</f>
        <v>0</v>
      </c>
      <c r="AJ49" s="51">
        <f>AG129</f>
        <v>0</v>
      </c>
      <c r="AK49" s="51">
        <f>AG202</f>
        <v>0</v>
      </c>
      <c r="AL49" s="3"/>
      <c r="AM49" s="112"/>
      <c r="AN49" s="112"/>
      <c r="AO49" s="62"/>
    </row>
    <row r="50" spans="1:41" ht="15.75" thickBot="1" x14ac:dyDescent="0.3">
      <c r="A50" s="2"/>
      <c r="B50" s="2"/>
      <c r="C50" s="2"/>
      <c r="D50" s="2"/>
      <c r="E50" s="2"/>
      <c r="F50" s="2"/>
      <c r="G50" s="2"/>
      <c r="H50" s="2"/>
      <c r="I50" s="2"/>
      <c r="J50" s="2"/>
      <c r="K50" s="2"/>
      <c r="L50" s="2"/>
      <c r="M50" s="2"/>
      <c r="O50" s="3"/>
      <c r="P50" s="3"/>
      <c r="Q50" s="27" t="s">
        <v>67</v>
      </c>
      <c r="R50" s="33">
        <f>SUM(R43:R49)</f>
        <v>266.83235506</v>
      </c>
      <c r="S50" s="33">
        <f>SUM(S43:S49)</f>
        <v>94.932355059999992</v>
      </c>
      <c r="T50" s="33">
        <f>SUM(T43:T49)</f>
        <v>94.932355059999992</v>
      </c>
      <c r="U50" s="27" t="s">
        <v>149</v>
      </c>
      <c r="V50" s="3"/>
      <c r="X50" s="3"/>
      <c r="Y50" s="483" t="s">
        <v>131</v>
      </c>
      <c r="Z50" s="34"/>
      <c r="AA50" s="45">
        <f>R$41</f>
        <v>0</v>
      </c>
      <c r="AB50" s="45">
        <f>S$41</f>
        <v>5</v>
      </c>
      <c r="AC50" s="45">
        <f>T$41</f>
        <v>10</v>
      </c>
      <c r="AD50" s="34"/>
      <c r="AG50" s="3"/>
      <c r="AH50" s="50" t="s">
        <v>32</v>
      </c>
      <c r="AI50" s="52">
        <f>'Referenz Plattenfertiger'!AD22</f>
        <v>15174.000000000002</v>
      </c>
      <c r="AJ50" s="53">
        <f>AG131+AG132</f>
        <v>15174.000000000002</v>
      </c>
      <c r="AK50" s="53">
        <f>AG204+AG205</f>
        <v>15174.000000000002</v>
      </c>
      <c r="AL50" s="3"/>
      <c r="AM50" s="112"/>
      <c r="AN50" s="112"/>
      <c r="AO50" s="62"/>
    </row>
    <row r="51" spans="1:41" ht="13.5" thickTop="1" x14ac:dyDescent="0.2">
      <c r="A51" s="2"/>
      <c r="B51" s="2"/>
      <c r="C51" s="2"/>
      <c r="D51" s="2"/>
      <c r="E51" s="2"/>
      <c r="F51" s="2"/>
      <c r="G51" s="2"/>
      <c r="H51" s="2"/>
      <c r="I51" s="2"/>
      <c r="J51" s="2"/>
      <c r="K51" s="2"/>
      <c r="L51" s="2"/>
      <c r="M51" s="2"/>
      <c r="O51" s="3"/>
      <c r="P51" s="3"/>
      <c r="Q51" s="3"/>
      <c r="R51" s="3"/>
      <c r="S51" s="3"/>
      <c r="T51" s="3"/>
      <c r="U51" s="3"/>
      <c r="V51" s="3"/>
      <c r="X51" s="3"/>
      <c r="Y51" s="483"/>
      <c r="Z51" s="24"/>
      <c r="AA51" s="47" t="s">
        <v>81</v>
      </c>
      <c r="AB51" s="48"/>
      <c r="AC51" s="48"/>
      <c r="AD51" s="24"/>
      <c r="AG51" s="3"/>
      <c r="AH51" s="8" t="s">
        <v>28</v>
      </c>
      <c r="AI51" s="54">
        <v>0</v>
      </c>
      <c r="AJ51" s="54">
        <f>AG135</f>
        <v>0</v>
      </c>
      <c r="AK51" s="54">
        <f>AG208</f>
        <v>0</v>
      </c>
      <c r="AL51" s="3"/>
      <c r="AM51" s="112"/>
      <c r="AN51" s="112"/>
      <c r="AO51" s="62"/>
    </row>
    <row r="52" spans="1:41" ht="15.75" x14ac:dyDescent="0.3">
      <c r="A52" s="2"/>
      <c r="B52" s="2"/>
      <c r="C52" s="2"/>
      <c r="D52" s="2"/>
      <c r="E52" s="2"/>
      <c r="F52" s="2"/>
      <c r="G52" s="2"/>
      <c r="H52" s="2"/>
      <c r="I52" s="2"/>
      <c r="J52" s="2"/>
      <c r="K52" s="2"/>
      <c r="L52" s="2"/>
      <c r="M52" s="2"/>
      <c r="O52" s="3"/>
      <c r="P52" s="3"/>
      <c r="Q52" s="3"/>
      <c r="R52" s="3"/>
      <c r="S52" s="3"/>
      <c r="T52" s="3"/>
      <c r="U52" s="3"/>
      <c r="V52" s="3"/>
      <c r="X52" s="3"/>
      <c r="Y52" s="3"/>
      <c r="Z52" s="29" t="str">
        <f>P117</f>
        <v>Energieträger gesamt</v>
      </c>
      <c r="AA52" s="26">
        <f>SUM('Referenz Plattenfertiger'!U16:U29)</f>
        <v>41.281733459999998</v>
      </c>
      <c r="AB52" s="26">
        <f>U117</f>
        <v>34.437233460000002</v>
      </c>
      <c r="AC52" s="26">
        <f>U194</f>
        <v>34.437233460000002</v>
      </c>
      <c r="AD52" s="25" t="s">
        <v>148</v>
      </c>
      <c r="AG52" s="3"/>
      <c r="AH52" s="8" t="s">
        <v>139</v>
      </c>
      <c r="AI52" s="54">
        <v>0</v>
      </c>
      <c r="AJ52" s="54">
        <f>AG136</f>
        <v>0</v>
      </c>
      <c r="AK52" s="54">
        <f>AG209</f>
        <v>0</v>
      </c>
      <c r="AL52" s="3"/>
      <c r="AM52" s="112"/>
      <c r="AN52" s="112"/>
      <c r="AO52" s="62"/>
    </row>
    <row r="53" spans="1:41" ht="15.75" x14ac:dyDescent="0.3">
      <c r="A53" s="2"/>
      <c r="B53" s="2"/>
      <c r="C53" s="2"/>
      <c r="D53" s="2"/>
      <c r="E53" s="2"/>
      <c r="F53" s="2"/>
      <c r="G53" s="2"/>
      <c r="H53" s="2"/>
      <c r="I53" s="2"/>
      <c r="J53" s="2"/>
      <c r="K53" s="2"/>
      <c r="L53" s="2"/>
      <c r="M53" s="2"/>
      <c r="O53" s="3"/>
      <c r="P53" s="3"/>
      <c r="Q53" s="3"/>
      <c r="R53" s="3"/>
      <c r="S53" s="3"/>
      <c r="T53" s="3"/>
      <c r="U53" s="3"/>
      <c r="V53" s="3"/>
      <c r="X53" s="3"/>
      <c r="Y53" s="3"/>
      <c r="Z53" s="8" t="str">
        <f>P133</f>
        <v>Transport gesamt</v>
      </c>
      <c r="AA53" s="9">
        <f>'Referenz Plattenfertiger'!U32+'Referenz Plattenfertiger'!U33</f>
        <v>469.15642799999995</v>
      </c>
      <c r="AB53" s="9">
        <f>U133</f>
        <v>469.15642799999995</v>
      </c>
      <c r="AC53" s="9">
        <f>U210</f>
        <v>469.15642799999995</v>
      </c>
      <c r="AD53" s="3" t="s">
        <v>148</v>
      </c>
      <c r="AG53" s="3"/>
      <c r="AH53" s="58" t="s">
        <v>146</v>
      </c>
      <c r="AI53" s="60">
        <v>0</v>
      </c>
      <c r="AJ53" s="60">
        <f>AG137</f>
        <v>0</v>
      </c>
      <c r="AK53" s="60">
        <f>AG210</f>
        <v>0</v>
      </c>
      <c r="AL53" s="3"/>
      <c r="AM53" s="112"/>
      <c r="AN53" s="112"/>
      <c r="AO53" s="62"/>
    </row>
    <row r="54" spans="1:41" ht="15.75" x14ac:dyDescent="0.3">
      <c r="A54" s="2"/>
      <c r="B54" s="2"/>
      <c r="C54" s="2"/>
      <c r="D54" s="2"/>
      <c r="E54" s="2"/>
      <c r="F54" s="2"/>
      <c r="G54" s="2"/>
      <c r="H54" s="2"/>
      <c r="I54" s="2"/>
      <c r="J54" s="2"/>
      <c r="K54" s="2"/>
      <c r="L54" s="2"/>
      <c r="M54" s="2"/>
      <c r="O54" s="3"/>
      <c r="P54" s="3"/>
      <c r="Q54" s="3"/>
      <c r="R54" s="3"/>
      <c r="S54" s="3"/>
      <c r="T54" s="3"/>
      <c r="U54" s="3"/>
      <c r="V54" s="3"/>
      <c r="X54" s="3"/>
      <c r="Y54" s="3"/>
      <c r="Z54" s="29" t="str">
        <f>P137</f>
        <v>Zement</v>
      </c>
      <c r="AA54" s="26">
        <f>'Referenz Plattenfertiger'!U35</f>
        <v>4548.5439999999999</v>
      </c>
      <c r="AB54" s="26">
        <f>U137</f>
        <v>4548.5439999999999</v>
      </c>
      <c r="AC54" s="26">
        <f>U214</f>
        <v>4548.5439999999999</v>
      </c>
      <c r="AD54" s="25" t="s">
        <v>148</v>
      </c>
      <c r="AG54" s="3"/>
      <c r="AH54" s="56" t="s">
        <v>140</v>
      </c>
      <c r="AI54" s="57">
        <f>SUM(AI55:AI57)</f>
        <v>152459.04944673795</v>
      </c>
      <c r="AJ54" s="57">
        <f t="shared" ref="AJ54:AK54" si="2">SUM(AJ55:AJ57)</f>
        <v>262768.4297041283</v>
      </c>
      <c r="AK54" s="57">
        <f t="shared" si="2"/>
        <v>467143.8750295614</v>
      </c>
      <c r="AL54" s="3"/>
      <c r="AM54" s="112"/>
      <c r="AN54" s="112"/>
      <c r="AO54" s="62"/>
    </row>
    <row r="55" spans="1:41" ht="15.75" x14ac:dyDescent="0.3">
      <c r="A55" s="2"/>
      <c r="B55" s="2"/>
      <c r="C55" s="2"/>
      <c r="D55" s="2"/>
      <c r="E55" s="2"/>
      <c r="F55" s="2"/>
      <c r="G55" s="2"/>
      <c r="H55" s="2"/>
      <c r="I55" s="2"/>
      <c r="J55" s="2"/>
      <c r="K55" s="2"/>
      <c r="L55" s="2"/>
      <c r="M55" s="2"/>
      <c r="O55" s="3"/>
      <c r="P55" s="3"/>
      <c r="Q55" s="3"/>
      <c r="R55" s="3"/>
      <c r="S55" s="3"/>
      <c r="T55" s="3"/>
      <c r="U55" s="3"/>
      <c r="V55" s="3"/>
      <c r="X55" s="3"/>
      <c r="Y55" s="3"/>
      <c r="Z55" s="8" t="str">
        <f>P143</f>
        <v>Gesteinskörnungen (Zuschlagsstoffe)</v>
      </c>
      <c r="AA55" s="9">
        <f>'Referenz Plattenfertiger'!U41</f>
        <v>129.59200000000001</v>
      </c>
      <c r="AB55" s="9">
        <f>U143</f>
        <v>129.59200000000001</v>
      </c>
      <c r="AC55" s="9">
        <f>U220</f>
        <v>129.59200000000001</v>
      </c>
      <c r="AD55" s="3" t="s">
        <v>148</v>
      </c>
      <c r="AG55" s="3"/>
      <c r="AH55" s="31" t="s">
        <v>141</v>
      </c>
      <c r="AI55" s="51">
        <f>'Referenz Plattenfertiger'!AD26</f>
        <v>2373.3088765000002</v>
      </c>
      <c r="AJ55" s="51">
        <f>AG140</f>
        <v>4271.9559777000004</v>
      </c>
      <c r="AK55" s="51">
        <f>AG213</f>
        <v>7594.5884048000007</v>
      </c>
      <c r="AL55" s="3"/>
      <c r="AM55" s="112"/>
      <c r="AN55" s="112"/>
      <c r="AO55" s="62"/>
    </row>
    <row r="56" spans="1:41" ht="15.75" x14ac:dyDescent="0.3">
      <c r="A56" s="2"/>
      <c r="B56" s="2"/>
      <c r="C56" s="2"/>
      <c r="D56" s="2"/>
      <c r="E56" s="2"/>
      <c r="F56" s="2"/>
      <c r="G56" s="2"/>
      <c r="H56" s="2"/>
      <c r="I56" s="2"/>
      <c r="J56" s="2"/>
      <c r="K56" s="2"/>
      <c r="L56" s="2"/>
      <c r="M56" s="2"/>
      <c r="O56" s="3"/>
      <c r="P56" s="3"/>
      <c r="Q56" s="3"/>
      <c r="R56" s="3"/>
      <c r="S56" s="3"/>
      <c r="T56" s="3"/>
      <c r="U56" s="3"/>
      <c r="V56" s="3"/>
      <c r="X56" s="3"/>
      <c r="Y56" s="3"/>
      <c r="Z56" s="29" t="str">
        <f>Q150</f>
        <v>Farben</v>
      </c>
      <c r="AA56" s="26">
        <f>'Referenz Plattenfertiger'!U48</f>
        <v>208</v>
      </c>
      <c r="AB56" s="26">
        <f>U150</f>
        <v>208</v>
      </c>
      <c r="AC56" s="26">
        <f>U227</f>
        <v>208</v>
      </c>
      <c r="AD56" s="25" t="s">
        <v>148</v>
      </c>
      <c r="AG56" s="3"/>
      <c r="AH56" s="31" t="s">
        <v>142</v>
      </c>
      <c r="AI56" s="51">
        <f>'Referenz Plattenfertiger'!AD27</f>
        <v>4297.5</v>
      </c>
      <c r="AJ56" s="51">
        <f>AG141</f>
        <v>0</v>
      </c>
      <c r="AK56" s="51">
        <f>AG214</f>
        <v>0</v>
      </c>
      <c r="AL56" s="3"/>
      <c r="AM56" s="112"/>
      <c r="AN56" s="112"/>
      <c r="AO56" s="62"/>
    </row>
    <row r="57" spans="1:41" ht="15.75" x14ac:dyDescent="0.3">
      <c r="A57" s="2"/>
      <c r="B57" s="2"/>
      <c r="C57" s="2"/>
      <c r="D57" s="2"/>
      <c r="E57" s="2"/>
      <c r="F57" s="2"/>
      <c r="G57" s="2"/>
      <c r="H57" s="2"/>
      <c r="I57" s="2"/>
      <c r="J57" s="2"/>
      <c r="K57" s="2"/>
      <c r="L57" s="2"/>
      <c r="M57" s="2"/>
      <c r="O57" s="3"/>
      <c r="P57" s="3"/>
      <c r="Q57" s="3"/>
      <c r="R57" s="3"/>
      <c r="S57" s="3"/>
      <c r="T57" s="3"/>
      <c r="U57" s="3"/>
      <c r="V57" s="3"/>
      <c r="X57" s="3"/>
      <c r="Y57" s="3"/>
      <c r="Z57" s="8" t="str">
        <f>P152</f>
        <v>Zusatzstoffe (Füllstoffe)</v>
      </c>
      <c r="AA57" s="9">
        <f>'Referenz Plattenfertiger'!U50</f>
        <v>81.003999999999991</v>
      </c>
      <c r="AB57" s="9">
        <f>U152</f>
        <v>81.003999999999991</v>
      </c>
      <c r="AC57" s="9">
        <f>U229</f>
        <v>81.003999999999991</v>
      </c>
      <c r="AD57" s="3" t="s">
        <v>148</v>
      </c>
      <c r="AG57" s="3"/>
      <c r="AH57" s="31" t="s">
        <v>143</v>
      </c>
      <c r="AI57" s="51">
        <f>'Referenz Plattenfertiger'!AD28</f>
        <v>145788.24057023795</v>
      </c>
      <c r="AJ57" s="51">
        <f>AG142</f>
        <v>258496.47372642832</v>
      </c>
      <c r="AK57" s="51">
        <f>AG215</f>
        <v>459549.28662476141</v>
      </c>
      <c r="AL57" s="3"/>
      <c r="AM57" s="112"/>
      <c r="AN57" s="112"/>
      <c r="AO57" s="62"/>
    </row>
    <row r="58" spans="1:41" ht="16.5" thickBot="1" x14ac:dyDescent="0.35">
      <c r="A58" s="2"/>
      <c r="B58" s="2"/>
      <c r="C58" s="2"/>
      <c r="D58" s="2"/>
      <c r="E58" s="2"/>
      <c r="F58" s="2"/>
      <c r="G58" s="2"/>
      <c r="H58" s="2"/>
      <c r="I58" s="2"/>
      <c r="J58" s="2"/>
      <c r="K58" s="2"/>
      <c r="L58" s="2"/>
      <c r="M58" s="2"/>
      <c r="O58" s="3"/>
      <c r="P58" s="3"/>
      <c r="Q58" s="3"/>
      <c r="R58" s="3"/>
      <c r="S58" s="3"/>
      <c r="T58" s="3"/>
      <c r="U58" s="3"/>
      <c r="V58" s="3"/>
      <c r="X58" s="3"/>
      <c r="Y58" s="3"/>
      <c r="Z58" s="29" t="str">
        <f>P159</f>
        <v>Zusatzmittel</v>
      </c>
      <c r="AA58" s="26">
        <f>'Referenz Plattenfertiger'!U57</f>
        <v>148.44746134951595</v>
      </c>
      <c r="AB58" s="26">
        <f>U159</f>
        <v>148.44746134951595</v>
      </c>
      <c r="AC58" s="26">
        <f>U236</f>
        <v>148.44746134951595</v>
      </c>
      <c r="AD58" s="25" t="s">
        <v>148</v>
      </c>
      <c r="AG58" s="3"/>
      <c r="AH58" s="27" t="s">
        <v>67</v>
      </c>
      <c r="AI58" s="55">
        <f>AI54+AI53+AI52+AI51+AI43</f>
        <v>262128.04944673795</v>
      </c>
      <c r="AJ58" s="55">
        <f t="shared" ref="AJ58:AK58" si="3">AJ54+AJ53+AJ52+AJ51+AJ43</f>
        <v>373562.4297041283</v>
      </c>
      <c r="AK58" s="55">
        <f t="shared" si="3"/>
        <v>577937.87502956134</v>
      </c>
      <c r="AL58" s="3"/>
      <c r="AM58" s="112"/>
      <c r="AN58" s="112"/>
      <c r="AO58" s="62"/>
    </row>
    <row r="59" spans="1:41" ht="16.5" thickTop="1" x14ac:dyDescent="0.3">
      <c r="A59" s="2"/>
      <c r="B59" s="2"/>
      <c r="C59" s="2"/>
      <c r="D59" s="2"/>
      <c r="E59" s="2"/>
      <c r="F59" s="2"/>
      <c r="G59" s="2"/>
      <c r="H59" s="2"/>
      <c r="I59" s="2"/>
      <c r="J59" s="2"/>
      <c r="K59" s="2"/>
      <c r="L59" s="2"/>
      <c r="M59" s="2"/>
      <c r="O59" s="3"/>
      <c r="P59" s="3"/>
      <c r="Q59" s="3"/>
      <c r="R59" s="3"/>
      <c r="S59" s="3"/>
      <c r="T59" s="3"/>
      <c r="U59" s="3"/>
      <c r="V59" s="3"/>
      <c r="X59" s="3"/>
      <c r="Y59" s="3"/>
      <c r="Z59" s="8" t="s">
        <v>179</v>
      </c>
      <c r="AA59" s="9">
        <f>'Referenz Plattenfertiger'!U63+'Referenz Plattenfertiger'!U64</f>
        <v>0.54400000000000004</v>
      </c>
      <c r="AB59" s="9">
        <f>U165+U166</f>
        <v>0.54400000000000004</v>
      </c>
      <c r="AC59" s="9">
        <f>U242+U243</f>
        <v>0.54400000000000004</v>
      </c>
      <c r="AD59" s="3" t="s">
        <v>148</v>
      </c>
      <c r="AG59" s="3"/>
      <c r="AH59" s="3"/>
      <c r="AI59" s="3"/>
      <c r="AJ59" s="3"/>
      <c r="AK59" s="3"/>
      <c r="AL59" s="3"/>
      <c r="AM59" s="62"/>
      <c r="AN59" s="62"/>
      <c r="AO59" s="62"/>
    </row>
    <row r="60" spans="1:41" ht="15" customHeight="1" thickBot="1" x14ac:dyDescent="0.35">
      <c r="A60" s="2"/>
      <c r="B60" s="2"/>
      <c r="C60" s="2"/>
      <c r="D60" s="2"/>
      <c r="E60" s="2"/>
      <c r="F60" s="2"/>
      <c r="G60" s="2"/>
      <c r="H60" s="2"/>
      <c r="I60" s="2"/>
      <c r="J60" s="2"/>
      <c r="K60" s="2"/>
      <c r="L60" s="2"/>
      <c r="M60" s="2"/>
      <c r="O60" s="3"/>
      <c r="P60" s="3"/>
      <c r="Q60" s="3"/>
      <c r="R60" s="3"/>
      <c r="S60" s="3"/>
      <c r="T60" s="3"/>
      <c r="U60" s="3"/>
      <c r="V60" s="3"/>
      <c r="X60" s="3"/>
      <c r="Y60" s="3"/>
      <c r="Z60" s="29" t="str">
        <f>P168</f>
        <v>Oberflächenschutzsysteme</v>
      </c>
      <c r="AA60" s="26">
        <f>'Referenz Plattenfertiger'!U66</f>
        <v>80.47999999999999</v>
      </c>
      <c r="AB60" s="26">
        <f>U168</f>
        <v>0.16095999999999999</v>
      </c>
      <c r="AC60" s="26">
        <f>U245</f>
        <v>0.16095999999999999</v>
      </c>
      <c r="AD60" s="25" t="s">
        <v>148</v>
      </c>
      <c r="AG60" s="3"/>
      <c r="AH60" s="104" t="s">
        <v>196</v>
      </c>
      <c r="AI60" s="105">
        <f>AI58-AI57</f>
        <v>116339.8088765</v>
      </c>
      <c r="AJ60" s="105">
        <f>AJ58-AJ57</f>
        <v>115065.95597769998</v>
      </c>
      <c r="AK60" s="105">
        <f>AK58-AK57</f>
        <v>118388.58840479993</v>
      </c>
      <c r="AL60" s="3"/>
      <c r="AM60" s="3"/>
      <c r="AN60" s="3"/>
      <c r="AO60" s="3"/>
    </row>
    <row r="61" spans="1:41" ht="16.5" thickBot="1" x14ac:dyDescent="0.35">
      <c r="A61" s="2"/>
      <c r="B61" s="2"/>
      <c r="C61" s="2"/>
      <c r="D61" s="2"/>
      <c r="E61" s="2"/>
      <c r="F61" s="2"/>
      <c r="G61" s="2"/>
      <c r="H61" s="2"/>
      <c r="I61" s="2"/>
      <c r="J61" s="2"/>
      <c r="K61" s="2"/>
      <c r="L61" s="2"/>
      <c r="M61" s="2"/>
      <c r="O61" s="3"/>
      <c r="P61" s="3"/>
      <c r="Q61" s="3"/>
      <c r="R61" s="3"/>
      <c r="S61" s="3"/>
      <c r="T61" s="3"/>
      <c r="U61" s="3"/>
      <c r="V61" s="3"/>
      <c r="X61" s="3"/>
      <c r="Y61" s="3"/>
      <c r="Z61" s="8" t="str">
        <f>P173</f>
        <v>Oberflächenbearbeitung (vor/nach Erhärtung)</v>
      </c>
      <c r="AA61" s="9">
        <f>'Referenz Plattenfertiger'!U71</f>
        <v>60</v>
      </c>
      <c r="AB61" s="9">
        <f>U173</f>
        <v>60</v>
      </c>
      <c r="AC61" s="9">
        <f>U250</f>
        <v>60</v>
      </c>
      <c r="AD61" s="3" t="s">
        <v>148</v>
      </c>
      <c r="AG61" s="3"/>
      <c r="AH61" s="106" t="s">
        <v>145</v>
      </c>
      <c r="AI61" s="107">
        <f>AI58-AI54</f>
        <v>109669</v>
      </c>
      <c r="AJ61" s="107">
        <f>AJ58-AJ54</f>
        <v>110794</v>
      </c>
      <c r="AK61" s="107">
        <f>AK58-AK54</f>
        <v>110793.99999999994</v>
      </c>
      <c r="AL61" s="3"/>
      <c r="AM61" s="3"/>
      <c r="AN61" s="3"/>
      <c r="AO61" s="3"/>
    </row>
    <row r="62" spans="1:41" ht="15.75" x14ac:dyDescent="0.3">
      <c r="A62" s="2"/>
      <c r="B62" s="2"/>
      <c r="C62" s="2"/>
      <c r="D62" s="2"/>
      <c r="E62" s="2"/>
      <c r="F62" s="2"/>
      <c r="G62" s="2"/>
      <c r="H62" s="2"/>
      <c r="I62" s="2"/>
      <c r="J62" s="2"/>
      <c r="K62" s="2"/>
      <c r="L62" s="2"/>
      <c r="M62" s="2"/>
      <c r="O62" s="3"/>
      <c r="P62" s="3"/>
      <c r="Q62" s="3"/>
      <c r="R62" s="3"/>
      <c r="S62" s="3"/>
      <c r="T62" s="3"/>
      <c r="U62" s="3"/>
      <c r="V62" s="3"/>
      <c r="X62" s="3"/>
      <c r="Y62" s="3"/>
      <c r="Z62" s="29" t="str">
        <f>Q178</f>
        <v>Verpackungsmaterial</v>
      </c>
      <c r="AA62" s="26">
        <f>'Referenz Plattenfertiger'!U76</f>
        <v>64.48</v>
      </c>
      <c r="AB62" s="26">
        <f>U178</f>
        <v>64.48</v>
      </c>
      <c r="AC62" s="26">
        <f>U255</f>
        <v>64.48</v>
      </c>
      <c r="AD62" s="25" t="s">
        <v>148</v>
      </c>
      <c r="AG62" s="3"/>
      <c r="AH62" s="3"/>
      <c r="AI62" s="3"/>
      <c r="AJ62" s="3"/>
      <c r="AK62" s="3"/>
      <c r="AL62" s="3"/>
      <c r="AM62" s="3"/>
      <c r="AN62" s="3"/>
      <c r="AO62" s="3"/>
    </row>
    <row r="63" spans="1:41" ht="15" customHeight="1" thickBot="1" x14ac:dyDescent="0.3">
      <c r="A63" s="2"/>
      <c r="B63" s="2"/>
      <c r="C63" s="2"/>
      <c r="D63" s="2"/>
      <c r="E63" s="2"/>
      <c r="F63" s="2"/>
      <c r="G63" s="2"/>
      <c r="H63" s="2"/>
      <c r="I63" s="2"/>
      <c r="J63" s="2"/>
      <c r="K63" s="2"/>
      <c r="L63" s="2"/>
      <c r="M63" s="2"/>
      <c r="O63" s="3"/>
      <c r="P63" s="3"/>
      <c r="Q63" s="3"/>
      <c r="R63" s="3"/>
      <c r="S63" s="3"/>
      <c r="T63" s="3"/>
      <c r="U63" s="3"/>
      <c r="V63" s="3"/>
      <c r="X63" s="3"/>
      <c r="Y63" s="3"/>
      <c r="Z63" s="27" t="s">
        <v>67</v>
      </c>
      <c r="AA63" s="28">
        <f>SUM(AA52:AA62)</f>
        <v>5831.529622809514</v>
      </c>
      <c r="AB63" s="28">
        <f t="shared" ref="AB63" si="4">SUM(AB52:AB62)</f>
        <v>5744.3660828095144</v>
      </c>
      <c r="AC63" s="28">
        <f>SUM(AC52:AC62)</f>
        <v>5744.3660828095144</v>
      </c>
      <c r="AD63" s="27" t="s">
        <v>149</v>
      </c>
      <c r="AG63" s="3"/>
      <c r="AH63" s="3"/>
      <c r="AI63" s="3"/>
      <c r="AJ63" s="3"/>
      <c r="AK63" s="3"/>
      <c r="AL63" s="3"/>
      <c r="AM63" s="3"/>
      <c r="AN63" s="3"/>
      <c r="AO63" s="3"/>
    </row>
    <row r="64" spans="1:41" ht="15" customHeight="1" thickTop="1" x14ac:dyDescent="0.2">
      <c r="A64" s="2"/>
      <c r="B64" s="2"/>
      <c r="C64" s="2"/>
      <c r="D64" s="2"/>
      <c r="E64" s="2"/>
      <c r="F64" s="2"/>
      <c r="G64" s="2"/>
      <c r="H64" s="2"/>
      <c r="I64" s="2"/>
      <c r="J64" s="2"/>
      <c r="K64" s="2"/>
      <c r="L64" s="2"/>
      <c r="M64" s="2"/>
      <c r="O64" s="3"/>
      <c r="P64" s="3"/>
      <c r="Q64" s="3"/>
      <c r="R64" s="3"/>
      <c r="S64" s="3"/>
      <c r="T64" s="3"/>
      <c r="U64" s="3"/>
      <c r="V64" s="3"/>
      <c r="X64" s="3"/>
      <c r="Y64" s="3"/>
      <c r="Z64" s="8"/>
      <c r="AA64" s="82"/>
      <c r="AB64" s="82"/>
      <c r="AC64" s="82"/>
      <c r="AD64" s="8"/>
      <c r="AG64" s="3"/>
      <c r="AH64" s="3"/>
      <c r="AI64" s="3"/>
      <c r="AJ64" s="3"/>
      <c r="AK64" s="3"/>
      <c r="AL64" s="3"/>
      <c r="AM64" s="3"/>
      <c r="AN64" s="3"/>
      <c r="AO64" s="3"/>
    </row>
    <row r="65" spans="1:41" x14ac:dyDescent="0.2">
      <c r="A65" s="2"/>
      <c r="B65" s="2"/>
      <c r="C65" s="2"/>
      <c r="D65" s="2"/>
      <c r="E65" s="2"/>
      <c r="F65" s="2"/>
      <c r="G65" s="2"/>
      <c r="H65" s="2"/>
      <c r="I65" s="2"/>
      <c r="J65" s="2"/>
      <c r="K65" s="2"/>
      <c r="L65" s="2"/>
      <c r="M65" s="2"/>
      <c r="O65" s="3"/>
      <c r="P65" s="3"/>
      <c r="Q65" s="3"/>
      <c r="R65" s="3"/>
      <c r="S65" s="3"/>
      <c r="T65" s="3"/>
      <c r="U65" s="3"/>
      <c r="V65" s="3"/>
      <c r="X65" s="3"/>
      <c r="Y65" s="3"/>
      <c r="Z65" s="8"/>
      <c r="AA65" s="82"/>
      <c r="AB65" s="82"/>
      <c r="AC65" s="82"/>
      <c r="AD65" s="8"/>
      <c r="AG65" s="3"/>
      <c r="AH65" s="3"/>
      <c r="AI65" s="3"/>
      <c r="AJ65" s="3"/>
      <c r="AK65" s="3"/>
      <c r="AL65" s="3"/>
      <c r="AM65" s="3"/>
      <c r="AN65" s="3"/>
      <c r="AO65" s="3"/>
    </row>
    <row r="66" spans="1:41" ht="15" x14ac:dyDescent="0.25">
      <c r="A66" s="2"/>
      <c r="B66" s="2"/>
      <c r="C66" s="2"/>
      <c r="D66" s="2"/>
      <c r="E66" s="2"/>
      <c r="F66" s="2"/>
      <c r="G66" s="2"/>
      <c r="H66" s="2"/>
      <c r="I66" s="2"/>
      <c r="J66" s="2"/>
      <c r="K66" s="2"/>
      <c r="L66" s="2"/>
      <c r="M66" s="2"/>
      <c r="O66" s="3"/>
      <c r="P66" s="3"/>
      <c r="Q66" s="3"/>
      <c r="R66" s="3"/>
      <c r="S66" s="3"/>
      <c r="T66" s="3"/>
      <c r="U66" s="3"/>
      <c r="V66" s="3"/>
      <c r="X66" s="3"/>
      <c r="Y66" s="3"/>
      <c r="Z66" s="23" t="s">
        <v>194</v>
      </c>
      <c r="AA66" s="3"/>
      <c r="AB66" s="3"/>
      <c r="AC66" s="3"/>
      <c r="AD66" s="3"/>
      <c r="AG66" s="3"/>
      <c r="AH66" s="3"/>
      <c r="AI66" s="3"/>
      <c r="AJ66" s="3"/>
      <c r="AK66" s="3"/>
      <c r="AL66" s="3"/>
      <c r="AM66" s="3"/>
      <c r="AN66" s="3"/>
      <c r="AO66" s="3"/>
    </row>
    <row r="67" spans="1:41" ht="15" x14ac:dyDescent="0.25">
      <c r="A67" s="2"/>
      <c r="B67" s="2"/>
      <c r="C67" s="2"/>
      <c r="D67" s="2"/>
      <c r="E67" s="2"/>
      <c r="F67" s="2"/>
      <c r="G67" s="2"/>
      <c r="H67" s="2"/>
      <c r="I67" s="2"/>
      <c r="J67" s="2"/>
      <c r="K67" s="2"/>
      <c r="L67" s="2"/>
      <c r="M67" s="2"/>
      <c r="O67" s="3"/>
      <c r="P67" s="3"/>
      <c r="Q67" s="3"/>
      <c r="R67" s="3"/>
      <c r="S67" s="3"/>
      <c r="T67" s="3"/>
      <c r="U67" s="3"/>
      <c r="V67" s="3"/>
      <c r="X67" s="3"/>
      <c r="Y67" s="3"/>
      <c r="Z67" s="34"/>
      <c r="AA67" s="45">
        <f>R$41</f>
        <v>0</v>
      </c>
      <c r="AB67" s="45">
        <f>S$41</f>
        <v>5</v>
      </c>
      <c r="AC67" s="45">
        <f>T$41</f>
        <v>10</v>
      </c>
      <c r="AD67" s="34"/>
      <c r="AG67" s="3"/>
      <c r="AH67" s="3"/>
      <c r="AI67" s="3"/>
      <c r="AJ67" s="3"/>
      <c r="AK67" s="3"/>
      <c r="AL67" s="3"/>
      <c r="AM67" s="3"/>
      <c r="AN67" s="3"/>
      <c r="AO67" s="3"/>
    </row>
    <row r="68" spans="1:41" x14ac:dyDescent="0.2">
      <c r="A68" s="2"/>
      <c r="B68" s="2"/>
      <c r="C68" s="2"/>
      <c r="D68" s="2"/>
      <c r="E68" s="2"/>
      <c r="F68" s="2"/>
      <c r="G68" s="2"/>
      <c r="H68" s="2"/>
      <c r="I68" s="2"/>
      <c r="J68" s="2"/>
      <c r="K68" s="2"/>
      <c r="L68" s="2"/>
      <c r="M68" s="2"/>
      <c r="O68" s="3"/>
      <c r="P68" s="3"/>
      <c r="Q68" s="3"/>
      <c r="R68" s="3"/>
      <c r="S68" s="3"/>
      <c r="T68" s="3"/>
      <c r="U68" s="3"/>
      <c r="V68" s="3"/>
      <c r="X68" s="3"/>
      <c r="Y68" s="3"/>
      <c r="Z68" s="24"/>
      <c r="AA68" s="47" t="s">
        <v>81</v>
      </c>
      <c r="AB68" s="48"/>
      <c r="AC68" s="48"/>
      <c r="AD68" s="24"/>
      <c r="AG68" s="3"/>
      <c r="AH68" s="3"/>
      <c r="AI68" s="3"/>
      <c r="AJ68" s="3"/>
      <c r="AK68" s="3"/>
      <c r="AL68" s="3"/>
      <c r="AM68" s="3"/>
      <c r="AN68" s="3"/>
      <c r="AO68" s="3"/>
    </row>
    <row r="69" spans="1:41" ht="15.75" x14ac:dyDescent="0.3">
      <c r="A69" s="2"/>
      <c r="B69" s="2"/>
      <c r="C69" s="2"/>
      <c r="D69" s="2"/>
      <c r="E69" s="2"/>
      <c r="F69" s="2"/>
      <c r="G69" s="2"/>
      <c r="H69" s="2"/>
      <c r="I69" s="2"/>
      <c r="J69" s="2"/>
      <c r="K69" s="2"/>
      <c r="L69" s="2"/>
      <c r="M69" s="2"/>
      <c r="O69" s="3"/>
      <c r="P69" s="3"/>
      <c r="Q69" s="3"/>
      <c r="R69" s="3"/>
      <c r="S69" s="3"/>
      <c r="T69" s="3"/>
      <c r="U69" s="3"/>
      <c r="V69" s="3"/>
      <c r="X69" s="3"/>
      <c r="Y69" s="3"/>
      <c r="Z69" s="29" t="s">
        <v>104</v>
      </c>
      <c r="AA69" s="97">
        <f>AA43/IF(NOT(ISBLANK('Referenz Plattenfertiger'!$I$12)),'Referenz Plattenfertiger'!$I$12,'Referenz Plattenfertiger'!$F$12)</f>
        <v>2.3733088764999999E-3</v>
      </c>
      <c r="AB69" s="97">
        <f>AB43/IF(NOT(ISBLANK('Referenz Plattenfertiger'!$I$12)),'Referenz Plattenfertiger'!$I$12,'Referenz Plattenfertiger'!$F$12)</f>
        <v>2.3733088764999999E-3</v>
      </c>
      <c r="AC69" s="97">
        <f>AC43/IF(NOT(ISBLANK('Referenz Plattenfertiger'!$I$12)),'Referenz Plattenfertiger'!$I$12,'Referenz Plattenfertiger'!$F$12)</f>
        <v>2.3733088764999999E-3</v>
      </c>
      <c r="AD69" s="25" t="s">
        <v>193</v>
      </c>
      <c r="AG69" s="3"/>
      <c r="AH69" s="3"/>
      <c r="AI69" s="3"/>
      <c r="AJ69" s="3"/>
      <c r="AK69" s="3"/>
      <c r="AL69" s="3"/>
      <c r="AM69" s="3"/>
      <c r="AN69" s="3"/>
      <c r="AO69" s="3"/>
    </row>
    <row r="70" spans="1:41" ht="15.75" x14ac:dyDescent="0.3">
      <c r="A70" s="2"/>
      <c r="B70" s="2"/>
      <c r="C70" s="2"/>
      <c r="D70" s="2"/>
      <c r="E70" s="2"/>
      <c r="F70" s="2"/>
      <c r="G70" s="2"/>
      <c r="H70" s="2"/>
      <c r="I70" s="2"/>
      <c r="J70" s="2"/>
      <c r="K70" s="2"/>
      <c r="L70" s="2"/>
      <c r="M70" s="2"/>
      <c r="O70" s="3"/>
      <c r="P70" s="3"/>
      <c r="Q70" s="3"/>
      <c r="R70" s="3"/>
      <c r="S70" s="3"/>
      <c r="T70" s="3"/>
      <c r="U70" s="3"/>
      <c r="V70" s="3"/>
      <c r="X70" s="3"/>
      <c r="Y70" s="3"/>
      <c r="Z70" s="8" t="s">
        <v>26</v>
      </c>
      <c r="AA70" s="98">
        <f>AA44/IF(NOT(ISBLANK('Referenz Plattenfertiger'!$I$12)),'Referenz Plattenfertiger'!$I$12,'Referenz Plattenfertiger'!$F$12)</f>
        <v>4.2975000000000001E-3</v>
      </c>
      <c r="AB70" s="98">
        <f>AB44/IF(NOT(ISBLANK('Referenz Plattenfertiger'!$I$12)),'Referenz Plattenfertiger'!$I$12,'Referenz Plattenfertiger'!$F$12)</f>
        <v>0</v>
      </c>
      <c r="AC70" s="98">
        <f>AC44/IF(NOT(ISBLANK('Referenz Plattenfertiger'!$I$12)),'Referenz Plattenfertiger'!$I$12,'Referenz Plattenfertiger'!$F$12)</f>
        <v>0</v>
      </c>
      <c r="AD70" s="3" t="s">
        <v>193</v>
      </c>
      <c r="AG70" s="3"/>
      <c r="AH70" s="3"/>
      <c r="AI70" s="3"/>
      <c r="AJ70" s="3"/>
      <c r="AK70" s="3"/>
      <c r="AL70" s="3"/>
      <c r="AM70" s="3"/>
      <c r="AN70" s="3"/>
      <c r="AO70" s="3"/>
    </row>
    <row r="71" spans="1:41" ht="15.75" x14ac:dyDescent="0.3">
      <c r="A71" s="2"/>
      <c r="B71" s="2"/>
      <c r="C71" s="2"/>
      <c r="D71" s="2"/>
      <c r="E71" s="2"/>
      <c r="F71" s="2"/>
      <c r="G71" s="2"/>
      <c r="H71" s="2"/>
      <c r="I71" s="2"/>
      <c r="J71" s="2"/>
      <c r="K71" s="2"/>
      <c r="L71" s="2"/>
      <c r="M71" s="2"/>
      <c r="O71" s="3"/>
      <c r="P71" s="3"/>
      <c r="Q71" s="3"/>
      <c r="R71" s="3"/>
      <c r="S71" s="3"/>
      <c r="T71" s="3"/>
      <c r="U71" s="3"/>
      <c r="V71" s="3"/>
      <c r="X71" s="3"/>
      <c r="Y71" s="3"/>
      <c r="Z71" s="29" t="s">
        <v>27</v>
      </c>
      <c r="AA71" s="97">
        <f>AA45/IF(NOT(ISBLANK('Referenz Plattenfertiger'!$I$12)),'Referenz Plattenfertiger'!$I$12,'Referenz Plattenfertiger'!$F$12)</f>
        <v>0.14578824057023795</v>
      </c>
      <c r="AB71" s="97">
        <f>AB45/IF(NOT(ISBLANK('Referenz Plattenfertiger'!$I$12)),'Referenz Plattenfertiger'!$I$12,'Referenz Plattenfertiger'!$F$12)</f>
        <v>0.14360915207023794</v>
      </c>
      <c r="AC71" s="97">
        <f>AC45/IF(NOT(ISBLANK('Referenz Plattenfertiger'!$I$12)),'Referenz Plattenfertiger'!$I$12,'Referenz Plattenfertiger'!$F$12)</f>
        <v>0.14360915207023794</v>
      </c>
      <c r="AD71" s="25" t="s">
        <v>193</v>
      </c>
      <c r="AG71" s="3"/>
      <c r="AH71" s="3"/>
      <c r="AI71" s="3"/>
      <c r="AJ71" s="3"/>
      <c r="AK71" s="3"/>
      <c r="AL71" s="3"/>
      <c r="AM71" s="3"/>
      <c r="AN71" s="3"/>
      <c r="AO71" s="3"/>
    </row>
    <row r="72" spans="1:41" ht="15" thickBot="1" x14ac:dyDescent="0.3">
      <c r="A72" s="2"/>
      <c r="B72" s="2"/>
      <c r="C72" s="2"/>
      <c r="D72" s="2"/>
      <c r="E72" s="2"/>
      <c r="F72" s="2"/>
      <c r="G72" s="2"/>
      <c r="H72" s="2"/>
      <c r="I72" s="2"/>
      <c r="J72" s="2"/>
      <c r="K72" s="2"/>
      <c r="L72" s="2"/>
      <c r="M72" s="2"/>
      <c r="O72" s="3"/>
      <c r="P72" s="3"/>
      <c r="Q72" s="3"/>
      <c r="R72" s="3"/>
      <c r="S72" s="3"/>
      <c r="T72" s="3"/>
      <c r="U72" s="3"/>
      <c r="V72" s="3"/>
      <c r="X72" s="3"/>
      <c r="Y72" s="3"/>
      <c r="Z72" s="27" t="s">
        <v>67</v>
      </c>
      <c r="AA72" s="99">
        <f>AA46/IF(NOT(ISBLANK('Referenz Plattenfertiger'!$I$12)),'Referenz Plattenfertiger'!$I$12,'Referenz Plattenfertiger'!$F$12)</f>
        <v>0.15245904944673794</v>
      </c>
      <c r="AB72" s="99">
        <f>AB46/IF(NOT(ISBLANK('Referenz Plattenfertiger'!$I$12)),'Referenz Plattenfertiger'!$I$12,'Referenz Plattenfertiger'!$F$12)</f>
        <v>0.14598246094673795</v>
      </c>
      <c r="AC72" s="99">
        <f>AC46/IF(NOT(ISBLANK('Referenz Plattenfertiger'!$I$12)),'Referenz Plattenfertiger'!$I$12,'Referenz Plattenfertiger'!$F$12)</f>
        <v>0.14598246094673795</v>
      </c>
      <c r="AD72" s="27" t="s">
        <v>195</v>
      </c>
      <c r="AG72" s="3"/>
      <c r="AH72" s="3"/>
      <c r="AI72" s="3"/>
      <c r="AJ72" s="3"/>
      <c r="AK72" s="3"/>
      <c r="AL72" s="3"/>
      <c r="AM72" s="3"/>
      <c r="AN72" s="3"/>
      <c r="AO72" s="3"/>
    </row>
    <row r="73" spans="1:41" ht="13.5" thickTop="1" x14ac:dyDescent="0.2">
      <c r="A73" s="2"/>
      <c r="B73" s="2"/>
      <c r="C73" s="2"/>
      <c r="D73" s="2"/>
      <c r="E73" s="2"/>
      <c r="F73" s="2"/>
      <c r="G73" s="2"/>
      <c r="H73" s="2"/>
      <c r="I73" s="2"/>
      <c r="J73" s="2"/>
      <c r="K73" s="2"/>
      <c r="L73" s="2"/>
      <c r="M73" s="2"/>
      <c r="O73" s="3"/>
      <c r="P73" s="3"/>
      <c r="Q73" s="3"/>
      <c r="R73" s="3"/>
      <c r="S73" s="3"/>
      <c r="T73" s="3"/>
      <c r="U73" s="3"/>
      <c r="V73" s="3"/>
      <c r="X73" s="3"/>
      <c r="Y73" s="3"/>
      <c r="Z73" s="3"/>
      <c r="AA73" s="3"/>
      <c r="AB73" s="3"/>
      <c r="AC73" s="3"/>
      <c r="AD73" s="3"/>
      <c r="AG73" s="3"/>
      <c r="AH73" s="3"/>
      <c r="AI73" s="3"/>
      <c r="AJ73" s="3"/>
      <c r="AK73" s="3"/>
      <c r="AL73" s="3"/>
      <c r="AM73" s="3"/>
      <c r="AN73" s="3"/>
      <c r="AO73" s="3"/>
    </row>
    <row r="74" spans="1:41" x14ac:dyDescent="0.2">
      <c r="A74" s="2"/>
      <c r="B74" s="2"/>
      <c r="C74" s="2"/>
      <c r="D74" s="2"/>
      <c r="E74" s="2"/>
      <c r="F74" s="2"/>
      <c r="G74" s="2"/>
      <c r="H74" s="2"/>
      <c r="I74" s="2"/>
      <c r="J74" s="2"/>
      <c r="K74" s="2"/>
      <c r="L74" s="2"/>
      <c r="M74" s="2"/>
      <c r="O74" s="3"/>
      <c r="P74" s="3"/>
      <c r="Q74" s="3"/>
      <c r="R74" s="3"/>
      <c r="S74" s="3"/>
      <c r="T74" s="3"/>
      <c r="U74" s="3"/>
      <c r="V74" s="3"/>
      <c r="X74" s="3"/>
      <c r="Y74" s="3"/>
      <c r="Z74" s="3"/>
      <c r="AA74" s="3"/>
      <c r="AB74" s="3"/>
      <c r="AC74" s="3"/>
      <c r="AD74" s="3"/>
      <c r="AG74" s="3"/>
      <c r="AH74" s="3"/>
      <c r="AI74" s="3"/>
      <c r="AJ74" s="3"/>
      <c r="AK74" s="3"/>
      <c r="AL74" s="3"/>
      <c r="AM74" s="3"/>
      <c r="AN74" s="3"/>
      <c r="AO74" s="3"/>
    </row>
    <row r="75" spans="1:41" x14ac:dyDescent="0.2">
      <c r="A75" s="2"/>
      <c r="B75" s="2"/>
      <c r="C75" s="2"/>
      <c r="D75" s="2"/>
      <c r="E75" s="2"/>
      <c r="F75" s="2"/>
      <c r="G75" s="2"/>
      <c r="H75" s="2"/>
      <c r="I75" s="2"/>
      <c r="J75" s="2"/>
      <c r="K75" s="2"/>
      <c r="L75" s="2"/>
      <c r="M75" s="2"/>
      <c r="O75" s="3"/>
      <c r="P75" s="3"/>
      <c r="Q75" s="3"/>
      <c r="R75" s="3"/>
      <c r="S75" s="3"/>
      <c r="T75" s="3"/>
      <c r="U75" s="3"/>
      <c r="V75" s="3"/>
      <c r="X75" s="3"/>
      <c r="Y75" s="3"/>
      <c r="Z75" s="3"/>
      <c r="AA75" s="3"/>
      <c r="AB75" s="3"/>
      <c r="AC75" s="3"/>
      <c r="AD75" s="3"/>
      <c r="AG75" s="3"/>
      <c r="AH75" s="3"/>
      <c r="AI75" s="3"/>
      <c r="AJ75" s="3"/>
      <c r="AK75" s="3"/>
      <c r="AL75" s="3"/>
      <c r="AM75" s="3"/>
      <c r="AN75" s="3"/>
      <c r="AO75" s="3"/>
    </row>
    <row r="76" spans="1:41" x14ac:dyDescent="0.2">
      <c r="B76" s="6" t="str">
        <f>IF(AND($F$16&gt;0,J16&lt;F16),"Bitte den Handeingabewert 'Reduktion' für 'Bilanzjahr +10 Jahre' auch anpassen. Dieser muss dem Werte Ihrer Handeingabe  'Bilanzjahr + 5 Jahre' entsprechen, sollte nur eine Maßnahme im  'Bilanzjahr + 5 Jahre' umgesetzt werden.","")</f>
        <v/>
      </c>
      <c r="AF76" s="6"/>
    </row>
    <row r="77" spans="1:41" x14ac:dyDescent="0.2">
      <c r="AE77" s="6"/>
      <c r="AF77" s="6"/>
    </row>
    <row r="78" spans="1:41" hidden="1" outlineLevel="1" x14ac:dyDescent="0.2">
      <c r="B78" s="6"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O78" s="3"/>
      <c r="P78" s="3"/>
      <c r="Q78" s="3"/>
      <c r="R78" s="3"/>
      <c r="S78" s="3"/>
      <c r="T78" s="3"/>
      <c r="U78" s="3"/>
      <c r="V78" s="3"/>
      <c r="X78" s="3"/>
      <c r="Y78" s="3"/>
      <c r="Z78" s="3"/>
      <c r="AA78" s="3"/>
      <c r="AB78" s="3"/>
      <c r="AC78" s="3"/>
      <c r="AD78" s="3"/>
      <c r="AE78" s="6"/>
      <c r="AF78" s="6"/>
      <c r="AG78" s="3"/>
      <c r="AH78" s="3"/>
      <c r="AI78" s="3"/>
      <c r="AJ78" s="3"/>
      <c r="AK78" s="3"/>
      <c r="AL78" s="3"/>
      <c r="AM78" s="3"/>
    </row>
    <row r="79" spans="1:41" ht="15.75" hidden="1" outlineLevel="1" x14ac:dyDescent="0.25">
      <c r="B79"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79" s="3"/>
      <c r="P79" s="3"/>
      <c r="Q79" s="61" t="s">
        <v>130</v>
      </c>
      <c r="R79" s="3"/>
      <c r="S79" s="3"/>
      <c r="T79" s="3"/>
      <c r="U79" s="3"/>
      <c r="V79" s="3"/>
      <c r="X79" s="3"/>
      <c r="Y79" s="3"/>
      <c r="Z79" s="61" t="s">
        <v>130</v>
      </c>
      <c r="AA79" s="3" t="s">
        <v>475</v>
      </c>
      <c r="AB79" s="3" t="s">
        <v>474</v>
      </c>
      <c r="AC79" s="3" t="s">
        <v>474</v>
      </c>
      <c r="AD79" s="3"/>
      <c r="AE79" s="6"/>
      <c r="AF79" s="6"/>
      <c r="AG79" s="61" t="s">
        <v>130</v>
      </c>
      <c r="AH79" s="24"/>
      <c r="AI79" s="24"/>
      <c r="AJ79" s="24"/>
      <c r="AK79" s="24"/>
      <c r="AL79" s="3"/>
      <c r="AM79" s="3"/>
    </row>
    <row r="80" spans="1:41" ht="15" hidden="1" outlineLevel="1" x14ac:dyDescent="0.25">
      <c r="O80" s="3"/>
      <c r="P80" s="3"/>
      <c r="Q80" s="35" t="s">
        <v>102</v>
      </c>
      <c r="R80" s="45">
        <f>R41</f>
        <v>0</v>
      </c>
      <c r="S80" s="45">
        <f>R80+5</f>
        <v>5</v>
      </c>
      <c r="T80" s="45">
        <f>S80+5</f>
        <v>10</v>
      </c>
      <c r="U80" s="34"/>
      <c r="V80" s="3"/>
      <c r="X80" s="3"/>
      <c r="Y80" s="3"/>
      <c r="Z80" s="35" t="s">
        <v>239</v>
      </c>
      <c r="AA80" s="35">
        <v>2020</v>
      </c>
      <c r="AB80" s="35" t="s">
        <v>475</v>
      </c>
      <c r="AC80" s="35" t="s">
        <v>474</v>
      </c>
      <c r="AD80" s="34"/>
      <c r="AE80" s="6"/>
      <c r="AF80" s="6"/>
      <c r="AG80" s="3"/>
      <c r="AH80" s="45" t="s">
        <v>185</v>
      </c>
      <c r="AI80" s="46">
        <f>R80</f>
        <v>0</v>
      </c>
      <c r="AJ80" s="46">
        <f>S80</f>
        <v>5</v>
      </c>
      <c r="AK80" s="46">
        <f>T80</f>
        <v>10</v>
      </c>
      <c r="AL80" s="3"/>
      <c r="AM80" s="3"/>
    </row>
    <row r="81" spans="15:39" hidden="1" outlineLevel="1" x14ac:dyDescent="0.2">
      <c r="O81" s="3"/>
      <c r="P81" s="3"/>
      <c r="Q81" s="24"/>
      <c r="R81" s="59" t="s">
        <v>81</v>
      </c>
      <c r="S81" s="58"/>
      <c r="T81" s="58"/>
      <c r="U81" s="24"/>
      <c r="V81" s="3"/>
      <c r="X81" s="3"/>
      <c r="Y81" s="3"/>
      <c r="Z81" s="24"/>
      <c r="AA81" s="59" t="s">
        <v>81</v>
      </c>
      <c r="AB81" s="58"/>
      <c r="AC81" s="58"/>
      <c r="AD81" s="24"/>
      <c r="AE81" s="6"/>
      <c r="AF81" s="6"/>
      <c r="AG81" s="3"/>
      <c r="AH81" s="24"/>
      <c r="AI81" s="49" t="s">
        <v>81</v>
      </c>
      <c r="AJ81" s="49"/>
      <c r="AK81" s="58"/>
      <c r="AL81" s="3"/>
      <c r="AM81" s="3"/>
    </row>
    <row r="82" spans="15:39" ht="15.75" hidden="1" outlineLevel="1" x14ac:dyDescent="0.3">
      <c r="O82" s="3"/>
      <c r="P82" s="3"/>
      <c r="Q82" s="3" t="str">
        <f t="shared" ref="Q82:Q88" si="5">IF($V82,Q43,"")</f>
        <v>Erdgas</v>
      </c>
      <c r="R82" s="10">
        <f t="shared" ref="R82:T88" si="6">IF($V82,R43,NA())</f>
        <v>43.0426</v>
      </c>
      <c r="S82" s="10">
        <f t="shared" si="6"/>
        <v>43.0426</v>
      </c>
      <c r="T82" s="10">
        <f t="shared" si="6"/>
        <v>43.0426</v>
      </c>
      <c r="U82" s="3" t="s">
        <v>148</v>
      </c>
      <c r="V82" s="374" t="b">
        <v>1</v>
      </c>
      <c r="X82" s="3"/>
      <c r="Y82" s="3"/>
      <c r="Z82" s="3" t="str">
        <f t="shared" ref="Z82:Z92" si="7">IF($AE82,Z52,"")</f>
        <v>Energieträger gesamt</v>
      </c>
      <c r="AA82" s="9">
        <f>IF($AE82,AA52,NA())</f>
        <v>41.281733459999998</v>
      </c>
      <c r="AB82" s="9">
        <f>IF($AE82,AB52,NA())</f>
        <v>34.437233460000002</v>
      </c>
      <c r="AC82" s="9">
        <f t="shared" ref="AC82" si="8">IF($AE82,AC52,NA())</f>
        <v>34.437233460000002</v>
      </c>
      <c r="AD82" s="3" t="s">
        <v>148</v>
      </c>
      <c r="AE82" s="6" t="b">
        <v>1</v>
      </c>
      <c r="AF82" s="6"/>
      <c r="AG82" s="3"/>
      <c r="AH82" s="56" t="s">
        <v>144</v>
      </c>
      <c r="AI82" s="57">
        <f>SUM(AI83:AI89)</f>
        <v>109669</v>
      </c>
      <c r="AJ82" s="57">
        <f t="shared" ref="AJ82:AK82" si="9">SUM(AJ83:AJ89)</f>
        <v>110794</v>
      </c>
      <c r="AK82" s="57">
        <f t="shared" si="9"/>
        <v>110794</v>
      </c>
      <c r="AL82" s="3"/>
      <c r="AM82" s="3"/>
    </row>
    <row r="83" spans="15:39" ht="15.75" hidden="1" outlineLevel="1" x14ac:dyDescent="0.3">
      <c r="O83" s="3"/>
      <c r="P83" s="3"/>
      <c r="Q83" s="3" t="str">
        <f t="shared" si="5"/>
        <v>Heizöl</v>
      </c>
      <c r="R83" s="10">
        <f t="shared" si="6"/>
        <v>16.005600000000001</v>
      </c>
      <c r="S83" s="10">
        <f t="shared" si="6"/>
        <v>16.005600000000001</v>
      </c>
      <c r="T83" s="10">
        <f t="shared" si="6"/>
        <v>16.005600000000001</v>
      </c>
      <c r="U83" s="3" t="s">
        <v>148</v>
      </c>
      <c r="V83" s="374" t="b">
        <v>1</v>
      </c>
      <c r="X83" s="3"/>
      <c r="Y83" s="3"/>
      <c r="Z83" s="3" t="str">
        <f t="shared" si="7"/>
        <v>Transport gesamt</v>
      </c>
      <c r="AA83" s="9">
        <f t="shared" ref="AA83:AC92" si="10">IF($AE83,AA53,NA())</f>
        <v>469.15642799999995</v>
      </c>
      <c r="AB83" s="9">
        <f t="shared" si="10"/>
        <v>469.15642799999995</v>
      </c>
      <c r="AC83" s="9">
        <f t="shared" si="10"/>
        <v>469.15642799999995</v>
      </c>
      <c r="AD83" s="3" t="s">
        <v>148</v>
      </c>
      <c r="AE83" s="6" t="b">
        <v>1</v>
      </c>
      <c r="AF83" s="6"/>
      <c r="AG83" s="3"/>
      <c r="AH83" s="31" t="s">
        <v>29</v>
      </c>
      <c r="AI83" s="51">
        <f>AI44</f>
        <v>14335</v>
      </c>
      <c r="AJ83" s="51">
        <f t="shared" ref="AJ83:AK83" si="11">AJ44</f>
        <v>14335</v>
      </c>
      <c r="AK83" s="51">
        <f t="shared" si="11"/>
        <v>14335</v>
      </c>
      <c r="AL83" s="3"/>
      <c r="AM83" s="3"/>
    </row>
    <row r="84" spans="15:39" ht="15.75" hidden="1" outlineLevel="1" x14ac:dyDescent="0.3">
      <c r="O84" s="3"/>
      <c r="P84" s="3"/>
      <c r="Q84" s="3" t="str">
        <f t="shared" si="5"/>
        <v>Strom</v>
      </c>
      <c r="R84" s="10">
        <f t="shared" si="6"/>
        <v>171.9</v>
      </c>
      <c r="S84" s="10">
        <f t="shared" si="6"/>
        <v>0</v>
      </c>
      <c r="T84" s="10">
        <f t="shared" si="6"/>
        <v>0</v>
      </c>
      <c r="U84" s="3" t="s">
        <v>148</v>
      </c>
      <c r="V84" s="374" t="b">
        <v>1</v>
      </c>
      <c r="X84" s="3"/>
      <c r="Y84" s="3"/>
      <c r="Z84" s="3" t="str">
        <f t="shared" si="7"/>
        <v>Zement</v>
      </c>
      <c r="AA84" s="9">
        <f t="shared" si="10"/>
        <v>4548.5439999999999</v>
      </c>
      <c r="AB84" s="9">
        <f t="shared" si="10"/>
        <v>4548.5439999999999</v>
      </c>
      <c r="AC84" s="9">
        <f t="shared" si="10"/>
        <v>4548.5439999999999</v>
      </c>
      <c r="AD84" s="3" t="s">
        <v>148</v>
      </c>
      <c r="AE84" s="6" t="b">
        <v>1</v>
      </c>
      <c r="AF84" s="6"/>
      <c r="AG84" s="3"/>
      <c r="AH84" s="31" t="s">
        <v>30</v>
      </c>
      <c r="AI84" s="51">
        <f t="shared" ref="AI84:AK89" si="12">AI45</f>
        <v>2760</v>
      </c>
      <c r="AJ84" s="51">
        <f t="shared" si="12"/>
        <v>2760</v>
      </c>
      <c r="AK84" s="51">
        <f t="shared" si="12"/>
        <v>2760</v>
      </c>
      <c r="AL84" s="3"/>
      <c r="AM84" s="3"/>
    </row>
    <row r="85" spans="15:39" ht="15.75" hidden="1" outlineLevel="1" x14ac:dyDescent="0.3">
      <c r="O85" s="3"/>
      <c r="P85" s="3"/>
      <c r="Q85" s="3" t="str">
        <f t="shared" si="5"/>
        <v>Alternativer Energieträger Härtekammer</v>
      </c>
      <c r="R85" s="10">
        <f t="shared" si="6"/>
        <v>0</v>
      </c>
      <c r="S85" s="10">
        <f t="shared" si="6"/>
        <v>0</v>
      </c>
      <c r="T85" s="10">
        <f t="shared" si="6"/>
        <v>0</v>
      </c>
      <c r="U85" s="3" t="s">
        <v>148</v>
      </c>
      <c r="V85" s="374" t="b">
        <v>1</v>
      </c>
      <c r="X85" s="3"/>
      <c r="Y85" s="3"/>
      <c r="Z85" s="3" t="str">
        <f t="shared" si="7"/>
        <v>Gesteinskörnungen (Zuschlagsstoffe)</v>
      </c>
      <c r="AA85" s="9">
        <f t="shared" si="10"/>
        <v>129.59200000000001</v>
      </c>
      <c r="AB85" s="9">
        <f t="shared" si="10"/>
        <v>129.59200000000001</v>
      </c>
      <c r="AC85" s="9">
        <f t="shared" si="10"/>
        <v>129.59200000000001</v>
      </c>
      <c r="AD85" s="3" t="s">
        <v>148</v>
      </c>
      <c r="AE85" s="6" t="b">
        <v>1</v>
      </c>
      <c r="AF85" s="6"/>
      <c r="AG85" s="3"/>
      <c r="AH85" s="31" t="s">
        <v>31</v>
      </c>
      <c r="AI85" s="51">
        <f t="shared" si="12"/>
        <v>77400</v>
      </c>
      <c r="AJ85" s="51">
        <f t="shared" si="12"/>
        <v>78525</v>
      </c>
      <c r="AK85" s="51">
        <f t="shared" si="12"/>
        <v>78525</v>
      </c>
      <c r="AL85" s="3"/>
      <c r="AM85" s="3"/>
    </row>
    <row r="86" spans="15:39" ht="15.75" hidden="1" outlineLevel="1" x14ac:dyDescent="0.3">
      <c r="O86" s="3"/>
      <c r="P86" s="3"/>
      <c r="Q86" s="3" t="str">
        <f t="shared" si="5"/>
        <v>Flüssiggas</v>
      </c>
      <c r="R86" s="10">
        <f t="shared" si="6"/>
        <v>0</v>
      </c>
      <c r="S86" s="10">
        <f t="shared" si="6"/>
        <v>0</v>
      </c>
      <c r="T86" s="10">
        <f t="shared" si="6"/>
        <v>0</v>
      </c>
      <c r="U86" s="3" t="s">
        <v>148</v>
      </c>
      <c r="V86" s="374" t="b">
        <v>1</v>
      </c>
      <c r="X86" s="3"/>
      <c r="Y86" s="3"/>
      <c r="Z86" s="3" t="str">
        <f t="shared" si="7"/>
        <v>Farben</v>
      </c>
      <c r="AA86" s="9">
        <f t="shared" si="10"/>
        <v>208</v>
      </c>
      <c r="AB86" s="9">
        <f t="shared" si="10"/>
        <v>208</v>
      </c>
      <c r="AC86" s="9">
        <f t="shared" si="10"/>
        <v>208</v>
      </c>
      <c r="AD86" s="3" t="s">
        <v>148</v>
      </c>
      <c r="AE86" s="6" t="b">
        <v>1</v>
      </c>
      <c r="AF86" s="6"/>
      <c r="AG86" s="3"/>
      <c r="AH86" s="31" t="s">
        <v>111</v>
      </c>
      <c r="AI86" s="51">
        <f t="shared" si="12"/>
        <v>0</v>
      </c>
      <c r="AJ86" s="51">
        <f t="shared" si="12"/>
        <v>0</v>
      </c>
      <c r="AK86" s="51">
        <f t="shared" si="12"/>
        <v>0</v>
      </c>
      <c r="AL86" s="3"/>
      <c r="AM86" s="3"/>
    </row>
    <row r="87" spans="15:39" ht="15.75" hidden="1" outlineLevel="1" x14ac:dyDescent="0.3">
      <c r="O87" s="3"/>
      <c r="P87" s="3"/>
      <c r="Q87" s="3" t="str">
        <f t="shared" si="5"/>
        <v>Alternativer Energieträger restliches Werk</v>
      </c>
      <c r="R87" s="10">
        <f t="shared" si="6"/>
        <v>0</v>
      </c>
      <c r="S87" s="10">
        <f t="shared" si="6"/>
        <v>0</v>
      </c>
      <c r="T87" s="10">
        <f t="shared" si="6"/>
        <v>0</v>
      </c>
      <c r="U87" s="3" t="s">
        <v>148</v>
      </c>
      <c r="V87" s="374" t="b">
        <v>1</v>
      </c>
      <c r="X87" s="3"/>
      <c r="Y87" s="3"/>
      <c r="Z87" s="3" t="str">
        <f t="shared" si="7"/>
        <v>Zusatzstoffe (Füllstoffe)</v>
      </c>
      <c r="AA87" s="9">
        <f t="shared" si="10"/>
        <v>81.003999999999991</v>
      </c>
      <c r="AB87" s="9">
        <f t="shared" si="10"/>
        <v>81.003999999999991</v>
      </c>
      <c r="AC87" s="9">
        <f t="shared" si="10"/>
        <v>81.003999999999991</v>
      </c>
      <c r="AD87" s="3" t="s">
        <v>148</v>
      </c>
      <c r="AE87" s="6" t="b">
        <v>1</v>
      </c>
      <c r="AF87" s="6"/>
      <c r="AG87" s="3"/>
      <c r="AH87" s="31" t="s">
        <v>112</v>
      </c>
      <c r="AI87" s="51">
        <f t="shared" si="12"/>
        <v>0</v>
      </c>
      <c r="AJ87" s="51">
        <f t="shared" si="12"/>
        <v>0</v>
      </c>
      <c r="AK87" s="51">
        <f t="shared" si="12"/>
        <v>0</v>
      </c>
      <c r="AL87" s="3"/>
      <c r="AM87" s="3"/>
    </row>
    <row r="88" spans="15:39" ht="15.75" hidden="1" outlineLevel="1" x14ac:dyDescent="0.3">
      <c r="O88" s="3"/>
      <c r="P88" s="3"/>
      <c r="Q88" s="3" t="str">
        <f t="shared" si="5"/>
        <v>Diesel</v>
      </c>
      <c r="R88" s="10">
        <f t="shared" si="6"/>
        <v>35.884155059999998</v>
      </c>
      <c r="S88" s="10">
        <f t="shared" si="6"/>
        <v>35.884155059999998</v>
      </c>
      <c r="T88" s="10">
        <f t="shared" si="6"/>
        <v>35.884155059999998</v>
      </c>
      <c r="U88" s="3" t="s">
        <v>148</v>
      </c>
      <c r="V88" s="374" t="b">
        <v>1</v>
      </c>
      <c r="X88" s="3"/>
      <c r="Y88" s="3"/>
      <c r="Z88" s="3" t="str">
        <f t="shared" si="7"/>
        <v>Zusatzmittel</v>
      </c>
      <c r="AA88" s="9">
        <f t="shared" si="10"/>
        <v>148.44746134951595</v>
      </c>
      <c r="AB88" s="9">
        <f t="shared" si="10"/>
        <v>148.44746134951595</v>
      </c>
      <c r="AC88" s="9">
        <f t="shared" si="10"/>
        <v>148.44746134951595</v>
      </c>
      <c r="AD88" s="3" t="s">
        <v>148</v>
      </c>
      <c r="AE88" s="6" t="b">
        <v>1</v>
      </c>
      <c r="AF88" s="6"/>
      <c r="AG88" s="3"/>
      <c r="AH88" s="31" t="s">
        <v>113</v>
      </c>
      <c r="AI88" s="51">
        <f t="shared" si="12"/>
        <v>0</v>
      </c>
      <c r="AJ88" s="51">
        <f t="shared" si="12"/>
        <v>0</v>
      </c>
      <c r="AK88" s="51">
        <f t="shared" si="12"/>
        <v>0</v>
      </c>
      <c r="AL88" s="3"/>
      <c r="AM88" s="3"/>
    </row>
    <row r="89" spans="15:39" ht="16.5" hidden="1" outlineLevel="1" thickBot="1" x14ac:dyDescent="0.35">
      <c r="O89" s="3"/>
      <c r="P89" s="3"/>
      <c r="Q89" s="27" t="s">
        <v>67</v>
      </c>
      <c r="R89" s="33">
        <f>SUMIF($V$82:$V$88,TRUE,R82:R88)</f>
        <v>266.83235506</v>
      </c>
      <c r="S89" s="33">
        <f>SUMIF($V$82:$V$88,TRUE,S82:S88)</f>
        <v>94.932355059999992</v>
      </c>
      <c r="T89" s="33">
        <f>SUMIF($V$82:$V$88,TRUE,T82:T88)</f>
        <v>94.932355059999992</v>
      </c>
      <c r="U89" s="27" t="s">
        <v>149</v>
      </c>
      <c r="V89" s="3"/>
      <c r="X89" s="3"/>
      <c r="Y89" s="3"/>
      <c r="Z89" s="3" t="str">
        <f t="shared" si="7"/>
        <v/>
      </c>
      <c r="AA89" s="9" t="e">
        <f t="shared" si="10"/>
        <v>#N/A</v>
      </c>
      <c r="AB89" s="9" t="e">
        <f t="shared" si="10"/>
        <v>#N/A</v>
      </c>
      <c r="AC89" s="9" t="e">
        <f t="shared" si="10"/>
        <v>#N/A</v>
      </c>
      <c r="AD89" s="3" t="s">
        <v>148</v>
      </c>
      <c r="AE89" s="6" t="b">
        <v>0</v>
      </c>
      <c r="AF89" s="6"/>
      <c r="AG89" s="3"/>
      <c r="AH89" s="50" t="s">
        <v>32</v>
      </c>
      <c r="AI89" s="52">
        <f t="shared" si="12"/>
        <v>15174.000000000002</v>
      </c>
      <c r="AJ89" s="53">
        <f t="shared" si="12"/>
        <v>15174.000000000002</v>
      </c>
      <c r="AK89" s="53">
        <f t="shared" si="12"/>
        <v>15174.000000000002</v>
      </c>
      <c r="AL89" s="3"/>
      <c r="AM89" s="3"/>
    </row>
    <row r="90" spans="15:39" ht="16.5" hidden="1" outlineLevel="1" thickTop="1" x14ac:dyDescent="0.3">
      <c r="O90" s="3"/>
      <c r="P90" s="3"/>
      <c r="Q90" s="3"/>
      <c r="R90" s="3"/>
      <c r="S90" s="3"/>
      <c r="T90" s="3"/>
      <c r="U90" s="3"/>
      <c r="V90" s="3"/>
      <c r="X90" s="3"/>
      <c r="Y90" s="3"/>
      <c r="Z90" s="3" t="str">
        <f t="shared" si="7"/>
        <v/>
      </c>
      <c r="AA90" s="9" t="e">
        <f t="shared" si="10"/>
        <v>#N/A</v>
      </c>
      <c r="AB90" s="9" t="e">
        <f t="shared" si="10"/>
        <v>#N/A</v>
      </c>
      <c r="AC90" s="9" t="e">
        <f t="shared" si="10"/>
        <v>#N/A</v>
      </c>
      <c r="AD90" s="3" t="s">
        <v>148</v>
      </c>
      <c r="AE90" s="6" t="b">
        <v>0</v>
      </c>
      <c r="AF90" s="6"/>
      <c r="AG90" s="3"/>
      <c r="AH90" s="8" t="str">
        <f>IF(AL90,"CAPEX","")</f>
        <v>CAPEX</v>
      </c>
      <c r="AI90" s="54">
        <f>IF($AL90,AI51,NA())</f>
        <v>0</v>
      </c>
      <c r="AJ90" s="54">
        <f t="shared" ref="AJ90:AK92" si="13">IF($AL90,AJ51,NA())</f>
        <v>0</v>
      </c>
      <c r="AK90" s="54">
        <f t="shared" si="13"/>
        <v>0</v>
      </c>
      <c r="AL90" s="374" t="b">
        <v>1</v>
      </c>
      <c r="AM90" s="3"/>
    </row>
    <row r="91" spans="15:39" ht="15.75" hidden="1" outlineLevel="1" x14ac:dyDescent="0.3">
      <c r="O91" s="3"/>
      <c r="P91" s="3"/>
      <c r="Q91" s="3"/>
      <c r="R91" s="3"/>
      <c r="S91" s="3"/>
      <c r="T91" s="3"/>
      <c r="U91" s="3"/>
      <c r="V91" s="3"/>
      <c r="X91" s="3"/>
      <c r="Y91" s="3"/>
      <c r="Z91" s="3" t="str">
        <f t="shared" si="7"/>
        <v/>
      </c>
      <c r="AA91" s="9" t="e">
        <f t="shared" si="10"/>
        <v>#N/A</v>
      </c>
      <c r="AB91" s="9" t="e">
        <f t="shared" si="10"/>
        <v>#N/A</v>
      </c>
      <c r="AC91" s="9" t="e">
        <f t="shared" si="10"/>
        <v>#N/A</v>
      </c>
      <c r="AD91" s="3" t="s">
        <v>148</v>
      </c>
      <c r="AE91" s="6" t="b">
        <v>0</v>
      </c>
      <c r="AF91" s="6"/>
      <c r="AG91" s="3"/>
      <c r="AH91" s="8" t="str">
        <f>IF(AL91,"Zusätzliche jährliche Kosten","")</f>
        <v>Zusätzliche jährliche Kosten</v>
      </c>
      <c r="AI91" s="54">
        <f>IF($AL91,AI52,NA())</f>
        <v>0</v>
      </c>
      <c r="AJ91" s="54">
        <f t="shared" si="13"/>
        <v>0</v>
      </c>
      <c r="AK91" s="54">
        <f t="shared" si="13"/>
        <v>0</v>
      </c>
      <c r="AL91" s="374" t="b">
        <v>1</v>
      </c>
      <c r="AM91" s="3"/>
    </row>
    <row r="92" spans="15:39" ht="15.75" hidden="1" outlineLevel="1" x14ac:dyDescent="0.3">
      <c r="O92" s="3"/>
      <c r="P92" s="3"/>
      <c r="Q92" s="3"/>
      <c r="R92" s="3"/>
      <c r="S92" s="3"/>
      <c r="T92" s="3"/>
      <c r="U92" s="3"/>
      <c r="V92" s="3"/>
      <c r="X92" s="3"/>
      <c r="Y92" s="3"/>
      <c r="Z92" s="3" t="str">
        <f t="shared" si="7"/>
        <v>Verpackungsmaterial</v>
      </c>
      <c r="AA92" s="9">
        <f t="shared" si="10"/>
        <v>64.48</v>
      </c>
      <c r="AB92" s="9">
        <f t="shared" si="10"/>
        <v>64.48</v>
      </c>
      <c r="AC92" s="9">
        <f t="shared" si="10"/>
        <v>64.48</v>
      </c>
      <c r="AD92" s="3" t="s">
        <v>148</v>
      </c>
      <c r="AE92" s="6" t="b">
        <v>1</v>
      </c>
      <c r="AF92" s="6"/>
      <c r="AG92" s="3"/>
      <c r="AH92" s="58" t="str">
        <f>IF(AL92,"Einmalige Kosten","")</f>
        <v>Einmalige Kosten</v>
      </c>
      <c r="AI92" s="54">
        <f>IF($AL92,AI53,NA())</f>
        <v>0</v>
      </c>
      <c r="AJ92" s="54">
        <f t="shared" si="13"/>
        <v>0</v>
      </c>
      <c r="AK92" s="54">
        <f t="shared" si="13"/>
        <v>0</v>
      </c>
      <c r="AL92" s="374" t="b">
        <v>1</v>
      </c>
      <c r="AM92" s="3"/>
    </row>
    <row r="93" spans="15:39" ht="15" hidden="1" outlineLevel="1" thickBot="1" x14ac:dyDescent="0.3">
      <c r="O93" s="3"/>
      <c r="P93" s="3"/>
      <c r="Q93" s="3"/>
      <c r="R93" s="3"/>
      <c r="S93" s="3"/>
      <c r="T93" s="3"/>
      <c r="U93" s="3"/>
      <c r="V93" s="3"/>
      <c r="X93" s="3"/>
      <c r="Y93" s="3"/>
      <c r="Z93" s="27" t="s">
        <v>67</v>
      </c>
      <c r="AA93" s="28">
        <f>SUMIF($AE$82:$AE$92,TRUE,AA82:AA92)</f>
        <v>5690.5056228095145</v>
      </c>
      <c r="AB93" s="28">
        <f>SUMIF($AE$82:$AE$92,TRUE,AB82:AB92)</f>
        <v>5683.6611228095144</v>
      </c>
      <c r="AC93" s="28">
        <f>SUMIF($AE$82:$AE$92,TRUE,AC82:AC92)</f>
        <v>5683.6611228095144</v>
      </c>
      <c r="AD93" s="27" t="s">
        <v>149</v>
      </c>
      <c r="AE93" s="6"/>
      <c r="AF93" s="6"/>
      <c r="AG93" s="3"/>
      <c r="AH93" s="56" t="str">
        <f>IF(AL93,"CO2-Kosten","")</f>
        <v>CO2-Kosten</v>
      </c>
      <c r="AI93" s="57">
        <f>IF($AL$93,SUMIF($AL$94:$AL$96,TRUE,AI94:AI96),NA())</f>
        <v>152459.04944673795</v>
      </c>
      <c r="AJ93" s="57">
        <f>IF($AL$93,SUMIF($AL$94:$AL$96,TRUE,AJ94:AJ96),NA())</f>
        <v>262768.4297041283</v>
      </c>
      <c r="AK93" s="57">
        <f>IF($AL$93,SUMIF($AL$94:$AL$96,TRUE,AK94:AK96),NA())</f>
        <v>467143.8750295614</v>
      </c>
      <c r="AL93" s="374" t="b">
        <v>1</v>
      </c>
      <c r="AM93" s="3"/>
    </row>
    <row r="94" spans="15:39" ht="16.5" hidden="1" outlineLevel="1" thickTop="1" x14ac:dyDescent="0.3">
      <c r="O94" s="3"/>
      <c r="P94" s="3"/>
      <c r="Q94" s="3"/>
      <c r="R94" s="3"/>
      <c r="S94" s="3"/>
      <c r="T94" s="3"/>
      <c r="U94" s="3"/>
      <c r="V94" s="3"/>
      <c r="X94" s="3"/>
      <c r="Y94" s="3"/>
      <c r="Z94" s="3"/>
      <c r="AA94" s="3"/>
      <c r="AB94" s="3"/>
      <c r="AC94" s="3"/>
      <c r="AD94" s="3"/>
      <c r="AE94" s="6"/>
      <c r="AF94" s="6"/>
      <c r="AG94" s="3"/>
      <c r="AH94" s="31" t="s">
        <v>141</v>
      </c>
      <c r="AI94" s="51">
        <f>IF($AL94,AI55,NA())</f>
        <v>2373.3088765000002</v>
      </c>
      <c r="AJ94" s="51">
        <f t="shared" ref="AJ94:AK94" si="14">IF($AL94,AJ55,NA())</f>
        <v>4271.9559777000004</v>
      </c>
      <c r="AK94" s="51">
        <f t="shared" si="14"/>
        <v>7594.5884048000007</v>
      </c>
      <c r="AL94" s="374" t="b">
        <v>1</v>
      </c>
      <c r="AM94" s="3"/>
    </row>
    <row r="95" spans="15:39" ht="15.75" hidden="1" outlineLevel="1" x14ac:dyDescent="0.3">
      <c r="O95" s="3"/>
      <c r="P95" s="3"/>
      <c r="Q95" s="3"/>
      <c r="R95" s="3"/>
      <c r="S95" s="3"/>
      <c r="T95" s="3"/>
      <c r="U95" s="3"/>
      <c r="V95" s="3"/>
      <c r="X95" s="3"/>
      <c r="Y95" s="3"/>
      <c r="Z95" s="3"/>
      <c r="AA95" s="3"/>
      <c r="AB95" s="3"/>
      <c r="AC95" s="3"/>
      <c r="AD95" s="3"/>
      <c r="AE95" s="6"/>
      <c r="AF95" s="6"/>
      <c r="AG95" s="3"/>
      <c r="AH95" s="31" t="s">
        <v>142</v>
      </c>
      <c r="AI95" s="51">
        <f t="shared" ref="AI95:AK96" si="15">IF($AL95,AI56,NA())</f>
        <v>4297.5</v>
      </c>
      <c r="AJ95" s="51">
        <f t="shared" si="15"/>
        <v>0</v>
      </c>
      <c r="AK95" s="51">
        <f t="shared" si="15"/>
        <v>0</v>
      </c>
      <c r="AL95" s="374" t="b">
        <v>1</v>
      </c>
      <c r="AM95" s="3"/>
    </row>
    <row r="96" spans="15:39" ht="15.75" hidden="1" outlineLevel="1" x14ac:dyDescent="0.3">
      <c r="O96" s="3"/>
      <c r="P96" s="3"/>
      <c r="Q96" s="3"/>
      <c r="R96" s="3"/>
      <c r="S96" s="3"/>
      <c r="T96" s="3"/>
      <c r="U96" s="3"/>
      <c r="V96" s="3"/>
      <c r="X96" s="3"/>
      <c r="Y96" s="3"/>
      <c r="Z96" s="3"/>
      <c r="AA96" s="3"/>
      <c r="AB96" s="3"/>
      <c r="AC96" s="3"/>
      <c r="AD96" s="3"/>
      <c r="AE96" s="6"/>
      <c r="AF96" s="6"/>
      <c r="AG96" s="3"/>
      <c r="AH96" s="31" t="s">
        <v>143</v>
      </c>
      <c r="AI96" s="51">
        <f t="shared" si="15"/>
        <v>145788.24057023795</v>
      </c>
      <c r="AJ96" s="51">
        <f t="shared" si="15"/>
        <v>258496.47372642832</v>
      </c>
      <c r="AK96" s="51">
        <f t="shared" si="15"/>
        <v>459549.28662476141</v>
      </c>
      <c r="AL96" s="374" t="b">
        <v>1</v>
      </c>
      <c r="AM96" s="3"/>
    </row>
    <row r="97" spans="2:39" ht="13.5" hidden="1" outlineLevel="1" thickBot="1" x14ac:dyDescent="0.25">
      <c r="O97" s="3"/>
      <c r="P97" s="3"/>
      <c r="Q97" s="3"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X97" s="3"/>
      <c r="Y97" s="3"/>
      <c r="Z97" s="3"/>
      <c r="AA97" s="3"/>
      <c r="AB97" s="3"/>
      <c r="AC97" s="3"/>
      <c r="AD97" s="3"/>
      <c r="AE97" s="6"/>
      <c r="AF97" s="6"/>
      <c r="AG97" s="3"/>
      <c r="AH97" s="27" t="s">
        <v>67</v>
      </c>
      <c r="AI97" s="55">
        <f>IF($AL$93,AI93,0)+IF($AL$92,AI92,0)+IF($AL$91,AI91,0)+IF($AL$90,AI90,0)+AI82</f>
        <v>262128.04944673795</v>
      </c>
      <c r="AJ97" s="55">
        <f t="shared" ref="AJ97:AK97" si="16">IF($AL$93,AJ93,0)+IF($AL$92,AJ92,0)+IF($AL$91,AJ91,0)+IF($AL$90,AJ90,0)+AJ82</f>
        <v>373562.4297041283</v>
      </c>
      <c r="AK97" s="55">
        <f t="shared" si="16"/>
        <v>577937.87502956134</v>
      </c>
      <c r="AL97" s="3"/>
      <c r="AM97" s="3"/>
    </row>
    <row r="98" spans="2:39" ht="13.5" hidden="1" outlineLevel="1" thickTop="1" x14ac:dyDescent="0.2">
      <c r="O98" s="3"/>
      <c r="P98" s="3"/>
      <c r="Q98" s="3"/>
      <c r="R98" s="3"/>
      <c r="S98" s="3"/>
      <c r="T98" s="3"/>
      <c r="U98" s="3"/>
      <c r="V98" s="3"/>
      <c r="X98" s="3"/>
      <c r="Y98" s="3"/>
      <c r="Z98" s="3"/>
      <c r="AA98" s="3"/>
      <c r="AB98" s="3"/>
      <c r="AC98" s="3"/>
      <c r="AD98" s="3"/>
      <c r="AE98" s="6"/>
      <c r="AF98" s="6"/>
      <c r="AG98" s="3"/>
      <c r="AH98" s="3"/>
      <c r="AI98" s="3"/>
      <c r="AJ98" s="3"/>
      <c r="AK98" s="3"/>
      <c r="AL98" s="3"/>
      <c r="AM98" s="3"/>
    </row>
    <row r="99" spans="2:39" hidden="1" outlineLevel="1" x14ac:dyDescent="0.2">
      <c r="O99" s="3"/>
      <c r="P99" s="3"/>
      <c r="Q99" s="3"/>
      <c r="R99" s="3"/>
      <c r="S99" s="3"/>
      <c r="T99" s="3"/>
      <c r="U99" s="3"/>
      <c r="V99" s="3"/>
      <c r="X99" s="3"/>
      <c r="Y99" s="3"/>
      <c r="Z99" s="3"/>
      <c r="AA99" s="3"/>
      <c r="AB99" s="3"/>
      <c r="AC99" s="3"/>
      <c r="AD99" s="3"/>
      <c r="AE99" s="6"/>
      <c r="AF99" s="6"/>
      <c r="AG99" s="3"/>
      <c r="AH99" s="3"/>
      <c r="AI99" s="3"/>
      <c r="AJ99" s="3"/>
      <c r="AK99" s="3"/>
      <c r="AL99" s="3"/>
      <c r="AM99" s="3"/>
    </row>
    <row r="100" spans="2:39" hidden="1" outlineLevel="1" x14ac:dyDescent="0.2">
      <c r="O100" s="3"/>
      <c r="P100" s="3"/>
      <c r="Q100" s="3"/>
      <c r="R100" s="3"/>
      <c r="S100" s="3"/>
      <c r="T100" s="3"/>
      <c r="U100" s="3"/>
      <c r="V100" s="3"/>
      <c r="X100" s="3"/>
      <c r="Y100" s="3"/>
      <c r="Z100" s="3"/>
      <c r="AA100" s="3"/>
      <c r="AB100" s="3"/>
      <c r="AC100" s="3"/>
      <c r="AD100" s="3"/>
      <c r="AE100" s="6"/>
      <c r="AF100" s="6"/>
      <c r="AG100" s="3"/>
      <c r="AH100" s="3"/>
      <c r="AI100" s="3"/>
      <c r="AJ100" s="3"/>
      <c r="AK100" s="3"/>
      <c r="AL100" s="3"/>
      <c r="AM100" s="3"/>
    </row>
    <row r="101" spans="2:39" hidden="1" outlineLevel="1" x14ac:dyDescent="0.2">
      <c r="O101" s="3"/>
      <c r="P101" s="3"/>
      <c r="Q101" s="3"/>
      <c r="R101" s="3"/>
      <c r="S101" s="3"/>
      <c r="T101" s="3"/>
      <c r="U101" s="3"/>
      <c r="V101" s="3"/>
      <c r="X101" s="3"/>
      <c r="Y101" s="3"/>
      <c r="Z101" s="3"/>
      <c r="AA101" s="3"/>
      <c r="AB101" s="3"/>
      <c r="AC101" s="3"/>
      <c r="AD101" s="3"/>
      <c r="AE101" s="6"/>
      <c r="AF101" s="6"/>
      <c r="AG101" s="3"/>
      <c r="AH101" s="3"/>
      <c r="AI101" s="3"/>
      <c r="AJ101" s="3"/>
      <c r="AK101" s="3"/>
      <c r="AL101" s="3"/>
      <c r="AM101" s="3"/>
    </row>
    <row r="102" spans="2:39" hidden="1" outlineLevel="1" x14ac:dyDescent="0.2">
      <c r="O102" s="3"/>
      <c r="P102" s="3"/>
      <c r="Q102" s="3"/>
      <c r="R102" s="3"/>
      <c r="S102" s="3"/>
      <c r="T102" s="3"/>
      <c r="U102" s="3"/>
      <c r="V102" s="3"/>
      <c r="X102" s="3"/>
      <c r="Y102" s="3"/>
      <c r="Z102" s="3"/>
      <c r="AA102" s="3"/>
      <c r="AB102" s="3"/>
      <c r="AC102" s="3"/>
      <c r="AD102" s="3"/>
      <c r="AE102" s="6"/>
      <c r="AF102" s="6"/>
      <c r="AG102" s="3"/>
      <c r="AH102" s="3"/>
      <c r="AI102" s="3"/>
      <c r="AJ102" s="3"/>
      <c r="AK102" s="3"/>
      <c r="AL102" s="3"/>
      <c r="AM102" s="3"/>
    </row>
    <row r="103" spans="2:39" hidden="1" outlineLevel="1" x14ac:dyDescent="0.2">
      <c r="O103" s="3"/>
      <c r="P103" s="3"/>
      <c r="Q103" s="3"/>
      <c r="R103" s="3"/>
      <c r="S103" s="3"/>
      <c r="T103" s="3"/>
      <c r="U103" s="3"/>
      <c r="V103" s="3"/>
      <c r="X103" s="3"/>
      <c r="Y103" s="3"/>
      <c r="Z103" s="3"/>
      <c r="AA103" s="3"/>
      <c r="AB103" s="3"/>
      <c r="AC103" s="3"/>
      <c r="AD103" s="3"/>
      <c r="AE103" s="6"/>
      <c r="AF103" s="6"/>
      <c r="AG103" s="3"/>
      <c r="AH103" s="3"/>
      <c r="AI103" s="3"/>
      <c r="AJ103" s="3"/>
      <c r="AK103" s="3"/>
      <c r="AL103" s="3"/>
      <c r="AM103" s="3"/>
    </row>
    <row r="104" spans="2:39" hidden="1" outlineLevel="1" x14ac:dyDescent="0.2">
      <c r="O104" s="3"/>
      <c r="P104" s="3"/>
      <c r="Q104" s="3"/>
      <c r="R104" s="3"/>
      <c r="S104" s="3"/>
      <c r="T104" s="3"/>
      <c r="U104" s="3"/>
      <c r="V104" s="3"/>
      <c r="X104" s="3"/>
      <c r="Y104" s="3"/>
      <c r="Z104" s="3"/>
      <c r="AA104" s="3"/>
      <c r="AB104" s="3"/>
      <c r="AC104" s="3"/>
      <c r="AD104" s="3"/>
      <c r="AE104" s="6"/>
      <c r="AF104" s="6"/>
      <c r="AG104" s="3"/>
      <c r="AH104" s="3"/>
      <c r="AI104" s="3"/>
      <c r="AJ104" s="3"/>
      <c r="AK104" s="3"/>
      <c r="AL104" s="3"/>
      <c r="AM104" s="3"/>
    </row>
    <row r="105" spans="2:39" hidden="1" outlineLevel="1" x14ac:dyDescent="0.2">
      <c r="O105" s="3"/>
      <c r="P105" s="3"/>
      <c r="Q105" s="3"/>
      <c r="R105" s="3"/>
      <c r="S105" s="3"/>
      <c r="T105" s="3"/>
      <c r="U105" s="3"/>
      <c r="V105" s="3"/>
      <c r="X105" s="3"/>
      <c r="Y105" s="3"/>
      <c r="Z105" s="3"/>
      <c r="AA105" s="3"/>
      <c r="AB105" s="3"/>
      <c r="AC105" s="3"/>
      <c r="AD105" s="3"/>
      <c r="AE105" s="6"/>
      <c r="AF105" s="6"/>
      <c r="AG105" s="3"/>
      <c r="AH105" s="3"/>
      <c r="AI105" s="3"/>
      <c r="AJ105" s="3"/>
      <c r="AK105" s="3"/>
      <c r="AL105" s="3"/>
      <c r="AM105" s="3"/>
    </row>
    <row r="106" spans="2:39" hidden="1" outlineLevel="1" x14ac:dyDescent="0.2">
      <c r="AE106" s="6"/>
      <c r="AF106" s="6"/>
    </row>
    <row r="107" spans="2:39" hidden="1" outlineLevel="1" x14ac:dyDescent="0.2">
      <c r="B107" s="6" t="str">
        <f>IF(AND($G$16&gt;0,K16&lt;G16),"Bitte den Handeingabewert 'selbsterzeugte Strommenge' für 'Bilanzjahr +10 Jahre' auch anpassen. Dieser muss dem Werte Ihrer Handeingabe 'Bilanzjahr +5 Jahre' entsprechen, sollte nur eine Maßnahme in 'Bilanzjahr +5 Jahre' umgesetzt werden.","")</f>
        <v/>
      </c>
      <c r="AE107" s="6"/>
      <c r="AF107" s="6"/>
    </row>
    <row r="108" spans="2:39" ht="15.75" hidden="1" outlineLevel="1" x14ac:dyDescent="0.25">
      <c r="O108" s="22"/>
      <c r="P108" s="22" t="s">
        <v>103</v>
      </c>
      <c r="Q108" s="17"/>
      <c r="R108" s="17"/>
      <c r="S108" s="17"/>
      <c r="T108" s="17"/>
      <c r="U108" s="17"/>
      <c r="V108" s="17"/>
      <c r="X108" s="17"/>
      <c r="Y108" s="17"/>
      <c r="Z108" s="17"/>
      <c r="AB108" s="22" t="s">
        <v>488</v>
      </c>
      <c r="AC108" s="17"/>
      <c r="AD108" s="17"/>
      <c r="AE108" s="6"/>
      <c r="AF108" s="6"/>
      <c r="AG108" s="17"/>
      <c r="AH108" s="17"/>
    </row>
    <row r="109" spans="2:39" ht="15" hidden="1" outlineLevel="1" x14ac:dyDescent="0.25">
      <c r="O109" s="64"/>
      <c r="P109" s="64">
        <f>S80</f>
        <v>5</v>
      </c>
      <c r="Q109" s="17"/>
      <c r="R109" s="17"/>
      <c r="S109" s="36" t="s">
        <v>25</v>
      </c>
      <c r="T109" s="36" t="s">
        <v>77</v>
      </c>
      <c r="U109" s="36" t="s">
        <v>27</v>
      </c>
      <c r="V109" s="17"/>
      <c r="X109" s="17"/>
      <c r="Y109" s="17"/>
      <c r="Z109" s="17"/>
      <c r="AB109" s="64">
        <f>P109</f>
        <v>5</v>
      </c>
      <c r="AC109" s="17"/>
      <c r="AD109" s="17"/>
      <c r="AE109" s="6"/>
      <c r="AF109" s="6"/>
      <c r="AG109" s="17"/>
      <c r="AH109" s="17"/>
    </row>
    <row r="110" spans="2:39" hidden="1" outlineLevel="1" x14ac:dyDescent="0.2">
      <c r="O110" s="17"/>
      <c r="P110" s="17"/>
      <c r="Q110" s="17" t="s">
        <v>221</v>
      </c>
      <c r="R110" s="278" t="str">
        <f>IF(NOT(ISBLANK($G$16)),$G$16,$E$16)</f>
        <v>Grünstrommix</v>
      </c>
      <c r="S110" s="279">
        <f>VLOOKUP(R110,Q111:U114,3,FALSE)</f>
        <v>0</v>
      </c>
      <c r="T110" s="280">
        <f>VLOOKUP(R110,Q111:U114,4,FALSE)</f>
        <v>0</v>
      </c>
      <c r="U110" s="280">
        <f>VLOOKUP(R110,Q111:U114,5,FALSE)</f>
        <v>4.0790000000000001E-5</v>
      </c>
      <c r="V110" s="17"/>
      <c r="X110" s="17"/>
      <c r="Y110" s="17"/>
      <c r="Z110" s="17"/>
      <c r="AB110" s="21"/>
      <c r="AC110" s="17"/>
      <c r="AD110" s="17"/>
      <c r="AE110" s="6"/>
      <c r="AF110" s="6"/>
      <c r="AG110" s="17"/>
      <c r="AH110" s="17"/>
    </row>
    <row r="111" spans="2:39" hidden="1" outlineLevel="1" x14ac:dyDescent="0.2">
      <c r="O111" s="17"/>
      <c r="P111" s="17" t="s">
        <v>220</v>
      </c>
      <c r="Q111" s="17" t="s">
        <v>218</v>
      </c>
      <c r="R111" s="30"/>
      <c r="S111" s="281">
        <v>0</v>
      </c>
      <c r="T111" s="282">
        <f>IF(NOT(ISBLANK('Eingabe EF'!AE64)),'Eingabe EF'!AE64,'Eingabe EF'!AC64)</f>
        <v>0</v>
      </c>
      <c r="U111" s="282">
        <f>IF(NOT(ISBLANK('Eingabe EF'!AI64)),'Eingabe EF'!AI64,'Eingabe EF'!AG64)</f>
        <v>4.0790000000000001E-5</v>
      </c>
      <c r="V111" s="17"/>
      <c r="X111" s="17"/>
      <c r="Y111" s="17"/>
      <c r="Z111" s="17"/>
      <c r="AB111" s="21"/>
      <c r="AC111" s="17"/>
      <c r="AD111" s="17"/>
      <c r="AE111" s="6"/>
      <c r="AF111" s="6"/>
      <c r="AG111" s="17"/>
      <c r="AH111" s="17"/>
    </row>
    <row r="112" spans="2:39" hidden="1" outlineLevel="1" x14ac:dyDescent="0.2">
      <c r="O112" s="17"/>
      <c r="P112" s="17" t="s">
        <v>220</v>
      </c>
      <c r="Q112" s="17" t="s">
        <v>97</v>
      </c>
      <c r="R112" s="30"/>
      <c r="S112" s="281">
        <v>0</v>
      </c>
      <c r="T112" s="281">
        <f>IF(NOT(ISBLANK('Eingabe EF'!AE65)),'Eingabe EF'!AE65,'Eingabe EF'!AC65)</f>
        <v>0</v>
      </c>
      <c r="U112" s="282">
        <f>IF(NOT(ISBLANK('Eingabe EF'!AI65)),'Eingabe EF'!AI65,'Eingabe EF'!AG65)</f>
        <v>5.5713999999999995E-5</v>
      </c>
      <c r="V112" s="17"/>
      <c r="X112" s="17"/>
      <c r="Y112" s="17"/>
      <c r="Z112" s="17"/>
      <c r="AB112" s="21"/>
      <c r="AC112" s="17"/>
      <c r="AD112" s="17"/>
      <c r="AE112" s="6"/>
      <c r="AF112" s="6"/>
      <c r="AG112" s="17"/>
      <c r="AH112" s="17"/>
    </row>
    <row r="113" spans="2:34" hidden="1" outlineLevel="1" x14ac:dyDescent="0.2">
      <c r="B113" s="6" t="str">
        <f>IF(AND($G$21&gt;0,K21&lt;G21),"Bitte den Handeingabewert 'Reduktion' für 'Bilanzjahr +10 Jahre' auch anpassen. Dieser muss dem Werte Ihrer Handeingabe 'Bilanzjahr +5 Jahre' entsprechen, sollte nur eine Maßnahme in 'Bilanzjahr +5 Jahre' umgesetzt werden.","")</f>
        <v/>
      </c>
      <c r="O113" s="17"/>
      <c r="P113" s="17" t="s">
        <v>220</v>
      </c>
      <c r="Q113" s="17" t="s">
        <v>98</v>
      </c>
      <c r="R113" s="30"/>
      <c r="S113" s="281">
        <v>0</v>
      </c>
      <c r="T113" s="281">
        <f>IF(NOT(ISBLANK('Eingabe EF'!AE66)),'Eingabe EF'!AE66,'Eingabe EF'!AC66)</f>
        <v>0</v>
      </c>
      <c r="U113" s="282">
        <f>IF(NOT(ISBLANK('Eingabe EF'!AI66)),'Eingabe EF'!AI66,'Eingabe EF'!AG66)</f>
        <v>1.5335600000000003E-5</v>
      </c>
      <c r="V113" s="17"/>
      <c r="X113" s="17"/>
      <c r="Y113" s="17"/>
      <c r="Z113" s="17"/>
      <c r="AB113" s="21"/>
      <c r="AC113" s="17"/>
      <c r="AD113" s="17"/>
      <c r="AE113" s="6"/>
      <c r="AF113" s="6"/>
      <c r="AG113" s="17"/>
      <c r="AH113" s="17"/>
    </row>
    <row r="114" spans="2:34" hidden="1" outlineLevel="1" x14ac:dyDescent="0.2">
      <c r="O114" s="17"/>
      <c r="P114" s="17" t="s">
        <v>220</v>
      </c>
      <c r="Q114" s="17" t="s">
        <v>99</v>
      </c>
      <c r="R114" s="17"/>
      <c r="S114" s="37">
        <v>0</v>
      </c>
      <c r="T114" s="281">
        <f>IF(NOT(ISBLANK('Eingabe EF'!AE67)),'Eingabe EF'!AE67,'Eingabe EF'!AC67)</f>
        <v>0</v>
      </c>
      <c r="U114" s="282">
        <f>IF(NOT(ISBLANK('Eingabe EF'!AI67)),'Eingabe EF'!AI67,'Eingabe EF'!AG67)</f>
        <v>2.65E-6</v>
      </c>
      <c r="V114" s="17"/>
      <c r="X114" s="17"/>
      <c r="Y114" s="17"/>
      <c r="Z114" s="17"/>
      <c r="AB114" s="17"/>
      <c r="AC114" s="17"/>
      <c r="AD114" s="17"/>
      <c r="AE114" s="6"/>
      <c r="AF114" s="6"/>
      <c r="AG114" s="17"/>
      <c r="AH114" s="17"/>
    </row>
    <row r="115" spans="2:34" hidden="1" outlineLevel="1" x14ac:dyDescent="0.2">
      <c r="O115" s="17"/>
      <c r="P115" s="17"/>
      <c r="Q115" s="17"/>
      <c r="R115" s="17"/>
      <c r="S115" s="20"/>
      <c r="T115" s="20"/>
      <c r="U115" s="20"/>
      <c r="V115" s="17"/>
      <c r="X115" s="17"/>
      <c r="Y115" s="17"/>
      <c r="Z115" s="17"/>
      <c r="AB115" s="17"/>
      <c r="AC115" s="17"/>
      <c r="AD115" s="17"/>
      <c r="AE115" s="6"/>
      <c r="AF115" s="6"/>
      <c r="AG115" s="17"/>
      <c r="AH115" s="17"/>
    </row>
    <row r="116" spans="2:34" ht="63.75" hidden="1" outlineLevel="1" x14ac:dyDescent="0.2">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116" s="17"/>
      <c r="P116" s="17"/>
      <c r="Q116" s="17"/>
      <c r="R116" s="17"/>
      <c r="S116" s="36" t="s">
        <v>25</v>
      </c>
      <c r="T116" s="36" t="s">
        <v>77</v>
      </c>
      <c r="U116" s="36" t="s">
        <v>27</v>
      </c>
      <c r="V116" s="17"/>
      <c r="X116" s="39" t="s">
        <v>100</v>
      </c>
      <c r="Y116" s="40" t="s">
        <v>37</v>
      </c>
      <c r="Z116" s="17"/>
      <c r="AB116" s="17"/>
      <c r="AC116" s="17"/>
      <c r="AD116" s="17"/>
      <c r="AE116" s="6"/>
      <c r="AF116" s="6"/>
      <c r="AG116" s="18"/>
      <c r="AH116" s="18"/>
    </row>
    <row r="117" spans="2:34" ht="14.25" hidden="1" outlineLevel="1" x14ac:dyDescent="0.25">
      <c r="O117" s="76"/>
      <c r="P117" s="76" t="s">
        <v>176</v>
      </c>
      <c r="Q117" s="76"/>
      <c r="R117" s="76"/>
      <c r="S117" s="77">
        <f>SUM(S119:S132)</f>
        <v>94.932355060000006</v>
      </c>
      <c r="T117" s="77">
        <f t="shared" ref="T117:U117" si="17">SUM(T119:T132)</f>
        <v>0</v>
      </c>
      <c r="U117" s="77">
        <f t="shared" si="17"/>
        <v>34.437233460000002</v>
      </c>
      <c r="V117" s="76"/>
      <c r="X117" s="77">
        <f>S117+T117</f>
        <v>94.932355060000006</v>
      </c>
      <c r="Y117" s="77">
        <f>SUM(S117:U117)</f>
        <v>129.36958852000001</v>
      </c>
      <c r="Z117" s="76" t="s">
        <v>183</v>
      </c>
      <c r="AB117" s="17"/>
      <c r="AC117" s="17"/>
      <c r="AD117" s="17"/>
      <c r="AE117" s="6"/>
      <c r="AF117" s="6"/>
      <c r="AG117" s="18"/>
      <c r="AH117" s="18"/>
    </row>
    <row r="118" spans="2:34" hidden="1" outlineLevel="1" x14ac:dyDescent="0.2">
      <c r="O118" s="17"/>
      <c r="P118" s="17" t="s">
        <v>132</v>
      </c>
      <c r="Q118" s="17"/>
      <c r="R118" s="17"/>
      <c r="S118" s="17"/>
      <c r="T118" s="17"/>
      <c r="U118" s="17"/>
      <c r="V118" s="17"/>
      <c r="X118" s="17"/>
      <c r="Y118" s="17"/>
      <c r="Z118" s="17"/>
      <c r="AB118" s="17" t="s">
        <v>132</v>
      </c>
      <c r="AC118" s="17"/>
      <c r="AD118" s="17"/>
      <c r="AE118" s="6"/>
      <c r="AF118" s="6"/>
      <c r="AG118" s="18"/>
      <c r="AH118" s="18"/>
    </row>
    <row r="119" spans="2:34" ht="15.75" hidden="1" outlineLevel="1" x14ac:dyDescent="0.3">
      <c r="O119" s="274"/>
      <c r="P119" s="17"/>
      <c r="Q119" s="17" t="s">
        <v>114</v>
      </c>
      <c r="R119" s="17"/>
      <c r="S119" s="37">
        <f>IF(NOT(ISBLANK('Referenz Plattenfertiger'!$I16)),'Referenz Plattenfertiger'!$I16,'Referenz Plattenfertiger'!$F16)*IF(NOT(ISBLANK('Eingabe EF'!$AA9)),'Eingabe EF'!$AA9,'Eingabe EF'!$Y9)</f>
        <v>34.434080000000002</v>
      </c>
      <c r="T119" s="37">
        <f>IF(NOT(ISBLANK('Referenz Plattenfertiger'!$I16)),'Referenz Plattenfertiger'!$I16,'Referenz Plattenfertiger'!$F16)*IF(NOT(ISBLANK('Eingabe EF'!$AE9)),'Eingabe EF'!$AE9,'Eingabe EF'!$AC9)</f>
        <v>0</v>
      </c>
      <c r="U119" s="37">
        <f>IF(NOT(ISBLANK('Referenz Plattenfertiger'!$I16)),'Referenz Plattenfertiger'!$I16,'Referenz Plattenfertiger'!$F16)*IF(NOT(ISBLANK('Eingabe EF'!$AI9)),'Eingabe EF'!$AI9,'Eingabe EF'!$AG9)</f>
        <v>5.8938000000000006</v>
      </c>
      <c r="V119" s="17"/>
      <c r="X119" s="37">
        <f>S119+T119</f>
        <v>34.434080000000002</v>
      </c>
      <c r="Y119" s="37">
        <f>SUM(S119:U119)</f>
        <v>40.32788</v>
      </c>
      <c r="Z119" s="17" t="s">
        <v>184</v>
      </c>
      <c r="AB119" s="17"/>
      <c r="AC119" s="17" t="s">
        <v>114</v>
      </c>
      <c r="AD119" s="17"/>
      <c r="AE119" s="6"/>
      <c r="AF119" s="6"/>
      <c r="AG119" s="41">
        <f>IF(NOT(ISBLANK('Referenz Plattenfertiger'!$I16)),'Referenz Plattenfertiger'!$I16,'Referenz Plattenfertiger'!$F16)/1000*IF(NOT(ISBLANK('Eingabe Preise'!$K10)),'Eingabe Preise'!$K10,'Eingabe Preise'!$I10)</f>
        <v>11468</v>
      </c>
      <c r="AH119" s="20" t="s">
        <v>96</v>
      </c>
    </row>
    <row r="120" spans="2:34" ht="15.75" hidden="1" outlineLevel="1" x14ac:dyDescent="0.3">
      <c r="B120" s="6"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
      </c>
      <c r="O120" s="274"/>
      <c r="P120" s="17"/>
      <c r="Q120" s="17" t="s">
        <v>151</v>
      </c>
      <c r="R120" s="17"/>
      <c r="S120" s="37">
        <f>IF(NOT(ISBLANK('Referenz Plattenfertiger'!$I17)),'Referenz Plattenfertiger'!$I17,'Referenz Plattenfertiger'!$F17)*IF(NOT(ISBLANK('Eingabe EF'!$AA10)),'Eingabe EF'!$AA10,'Eingabe EF'!$Y10)</f>
        <v>6.4022399999999999</v>
      </c>
      <c r="T120" s="37">
        <f>IF(NOT(ISBLANK('Referenz Plattenfertiger'!$I17)),'Referenz Plattenfertiger'!$I17,'Referenz Plattenfertiger'!$F17)*IF(NOT(ISBLANK('Eingabe EF'!$AE10)),'Eingabe EF'!$AE10,'Eingabe EF'!$AC10)</f>
        <v>0</v>
      </c>
      <c r="U120" s="37">
        <f>IF(NOT(ISBLANK('Referenz Plattenfertiger'!$I17)),'Referenz Plattenfertiger'!$I17,'Referenz Plattenfertiger'!$F17)*IF(NOT(ISBLANK('Eingabe EF'!$AI10)),'Eingabe EF'!$AI10,'Eingabe EF'!$AG10)</f>
        <v>0.949824</v>
      </c>
      <c r="V120" s="17"/>
      <c r="X120" s="37">
        <f>S120+T120</f>
        <v>6.4022399999999999</v>
      </c>
      <c r="Y120" s="37">
        <f>SUM(S120:U120)</f>
        <v>7.3520640000000004</v>
      </c>
      <c r="Z120" s="17" t="s">
        <v>184</v>
      </c>
      <c r="AB120" s="17"/>
      <c r="AC120" s="17" t="s">
        <v>151</v>
      </c>
      <c r="AD120" s="17"/>
      <c r="AE120" s="6"/>
      <c r="AF120" s="6"/>
      <c r="AG120" s="41">
        <f>IF(NOT(ISBLANK('Referenz Plattenfertiger'!$I17)),'Referenz Plattenfertiger'!$I17,'Referenz Plattenfertiger'!$F17)/1000*IF(NOT(ISBLANK('Eingabe Preise'!$K11)),'Eingabe Preise'!$K11,'Eingabe Preise'!$I11)</f>
        <v>1104</v>
      </c>
      <c r="AH120" s="20" t="s">
        <v>96</v>
      </c>
    </row>
    <row r="121" spans="2:34" ht="15.75" hidden="1" outlineLevel="1" x14ac:dyDescent="0.3">
      <c r="O121" s="274"/>
      <c r="P121" s="17"/>
      <c r="Q121" s="17" t="s">
        <v>152</v>
      </c>
      <c r="R121" s="17"/>
      <c r="S121" s="37">
        <f>IF(NOT(ISBLANK('Referenz Plattenfertiger'!$I18)),'Referenz Plattenfertiger'!$I18,'Referenz Plattenfertiger'!$F18)*S110</f>
        <v>0</v>
      </c>
      <c r="T121" s="37">
        <f>IF(NOT(ISBLANK('Referenz Plattenfertiger'!$I18)),'Referenz Plattenfertiger'!$I18,'Referenz Plattenfertiger'!$F18)*T110</f>
        <v>0</v>
      </c>
      <c r="U121" s="37">
        <f>IF(NOT(ISBLANK('Referenz Plattenfertiger'!$I18)),'Referenz Plattenfertiger'!$I18,'Referenz Plattenfertiger'!$F18)*U110</f>
        <v>1.83555</v>
      </c>
      <c r="V121" s="17"/>
      <c r="X121" s="37">
        <f>S121+T121</f>
        <v>0</v>
      </c>
      <c r="Y121" s="37">
        <f>SUM(S121:U121)</f>
        <v>1.83555</v>
      </c>
      <c r="Z121" s="17" t="s">
        <v>184</v>
      </c>
      <c r="AB121" s="17"/>
      <c r="AC121" s="17" t="s">
        <v>152</v>
      </c>
      <c r="AD121" s="17"/>
      <c r="AE121" s="6"/>
      <c r="AF121" s="6"/>
      <c r="AG121" s="41">
        <f>IF(NOT(ISBLANK('Referenz Plattenfertiger'!$I18)),'Referenz Plattenfertiger'!$I18,'Referenz Plattenfertiger'!$F18)/1000*IF(NOT(ISBLANK('Eingabe Preise'!$K15)),'Eingabe Preise'!$K15,'Eingabe Preise'!$I15)</f>
        <v>7852.5</v>
      </c>
      <c r="AH121" s="20" t="s">
        <v>96</v>
      </c>
    </row>
    <row r="122" spans="2:34" ht="15.75" hidden="1" outlineLevel="1" x14ac:dyDescent="0.3">
      <c r="O122" s="274"/>
      <c r="P122" s="17"/>
      <c r="Q122" s="17" t="s">
        <v>115</v>
      </c>
      <c r="R122" s="17"/>
      <c r="S122" s="43">
        <f>IF(NOT(ISBLANK('Referenz Plattenfertiger'!$I19)),'Referenz Plattenfertiger'!$I19,'Referenz Plattenfertiger'!$F19)*IF(NOT(ISBLANK('Eingabe EF'!$AA12)),'Eingabe EF'!$AA12,0)</f>
        <v>0</v>
      </c>
      <c r="T122" s="43">
        <f>IF(NOT(ISBLANK('Referenz Plattenfertiger'!$I19)),'Referenz Plattenfertiger'!$I19,'Referenz Plattenfertiger'!$F19)*IF(NOT(ISBLANK('Eingabe EF'!$AE12)),'Eingabe EF'!$AE12,0)</f>
        <v>0</v>
      </c>
      <c r="U122" s="43">
        <f>IF(NOT(ISBLANK('Referenz Plattenfertiger'!$I19)),'Referenz Plattenfertiger'!$I19,'Referenz Plattenfertiger'!$F19)*IF(NOT(ISBLANK('Eingabe EF'!$AI12)),'Eingabe EF'!$AI12,0)</f>
        <v>0</v>
      </c>
      <c r="V122" s="17"/>
      <c r="X122" s="37">
        <f>S122+T122</f>
        <v>0</v>
      </c>
      <c r="Y122" s="37">
        <f>SUM(S122:U122)</f>
        <v>0</v>
      </c>
      <c r="Z122" s="17" t="s">
        <v>184</v>
      </c>
      <c r="AB122" s="17"/>
      <c r="AC122" s="17" t="s">
        <v>115</v>
      </c>
      <c r="AD122" s="17"/>
      <c r="AE122" s="6"/>
      <c r="AF122" s="6"/>
      <c r="AG122" s="41">
        <f>IF(NOT(ISBLANK('Referenz Plattenfertiger'!$I19)),'Referenz Plattenfertiger'!$I19,'Referenz Plattenfertiger'!$F19)/1000*IF(NOT(ISBLANK('Eingabe Preise'!$K16)),'Eingabe Preise'!$K16,0)</f>
        <v>0</v>
      </c>
      <c r="AH122" s="20" t="s">
        <v>96</v>
      </c>
    </row>
    <row r="123" spans="2:34" hidden="1" outlineLevel="1" x14ac:dyDescent="0.2">
      <c r="O123" s="17"/>
      <c r="P123" s="17" t="s">
        <v>133</v>
      </c>
      <c r="Q123" s="17"/>
      <c r="R123" s="17"/>
      <c r="S123" s="20"/>
      <c r="T123" s="20"/>
      <c r="U123" s="20"/>
      <c r="V123" s="17"/>
      <c r="X123" s="17"/>
      <c r="Y123" s="17"/>
      <c r="Z123" s="17"/>
      <c r="AB123" s="17" t="s">
        <v>133</v>
      </c>
      <c r="AC123" s="17"/>
      <c r="AD123" s="17"/>
      <c r="AE123" s="6"/>
      <c r="AF123" s="6"/>
      <c r="AG123" s="20"/>
      <c r="AH123" s="20"/>
    </row>
    <row r="124" spans="2:34"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O124" s="17"/>
      <c r="P124" s="17"/>
      <c r="Q124" s="17" t="s">
        <v>29</v>
      </c>
      <c r="R124" s="17"/>
      <c r="S124" s="37">
        <f>IF(NOT(ISBLANK('Referenz Plattenfertiger'!$I21)),'Referenz Plattenfertiger'!$I21,'Referenz Plattenfertiger'!$F21)*IF(NOT(ISBLANK('Eingabe EF'!$AA9)),'Eingabe EF'!$AA9,'Eingabe EF'!$Y9)</f>
        <v>8.6085200000000004</v>
      </c>
      <c r="T124" s="37">
        <f>IF(NOT(ISBLANK('Referenz Plattenfertiger'!$I21)),'Referenz Plattenfertiger'!$I21,'Referenz Plattenfertiger'!$F21)*IF(NOT(ISBLANK('Eingabe EF'!$AE9)),'Eingabe EF'!$AE9,'Eingabe EF'!$AC9)</f>
        <v>0</v>
      </c>
      <c r="U124" s="37">
        <f>IF(NOT(ISBLANK('Referenz Plattenfertiger'!$I21)),'Referenz Plattenfertiger'!$I21,'Referenz Plattenfertiger'!$F21)*IF(NOT(ISBLANK('Eingabe EF'!$AG9)),'Eingabe EF'!$AG9,'Eingabe EF'!$AIC9)</f>
        <v>1.4734500000000001</v>
      </c>
      <c r="V124" s="17"/>
      <c r="X124" s="37">
        <f t="shared" ref="X124:X125" si="18">S124+T124</f>
        <v>8.6085200000000004</v>
      </c>
      <c r="Y124" s="37">
        <f t="shared" ref="Y124:Y135" si="19">SUM(S124:U124)</f>
        <v>10.08197</v>
      </c>
      <c r="Z124" s="17" t="s">
        <v>184</v>
      </c>
      <c r="AA124" s="42"/>
      <c r="AB124" s="17"/>
      <c r="AC124" s="17" t="s">
        <v>29</v>
      </c>
      <c r="AD124" s="17"/>
      <c r="AE124" s="6"/>
      <c r="AF124" s="6"/>
      <c r="AG124" s="41">
        <f>IF(NOT(ISBLANK('Referenz Plattenfertiger'!$I21)),'Referenz Plattenfertiger'!$I21,'Referenz Plattenfertiger'!$F21)/1000*IF(NOT(ISBLANK('Eingabe Preise'!$K10)),'Eingabe Preise'!$K10,'Eingabe Preise'!$I10)</f>
        <v>2867</v>
      </c>
      <c r="AH124" s="20" t="s">
        <v>96</v>
      </c>
    </row>
    <row r="125" spans="2:34" ht="15.75" hidden="1" outlineLevel="1" x14ac:dyDescent="0.3">
      <c r="O125" s="17"/>
      <c r="P125" s="17"/>
      <c r="Q125" s="17" t="s">
        <v>30</v>
      </c>
      <c r="R125" s="17"/>
      <c r="S125" s="37">
        <f>IF(NOT(ISBLANK('Referenz Plattenfertiger'!$I22)),'Referenz Plattenfertiger'!$I22,'Referenz Plattenfertiger'!$F22)*IF(NOT(ISBLANK('Eingabe EF'!$AA10)),'Eingabe EF'!$AA10,'Eingabe EF'!$Y10)</f>
        <v>9.6033600000000003</v>
      </c>
      <c r="T125" s="37">
        <f>IF(NOT(ISBLANK('Referenz Plattenfertiger'!$I22)),'Referenz Plattenfertiger'!$I22,'Referenz Plattenfertiger'!$F22)*IF(NOT(ISBLANK('Eingabe EF'!$AE10)),'Eingabe EF'!$AE10,'Eingabe EF'!$AC10)</f>
        <v>0</v>
      </c>
      <c r="U125" s="37">
        <f>IF(NOT(ISBLANK('Referenz Plattenfertiger'!$I22)),'Referenz Plattenfertiger'!$I22,'Referenz Plattenfertiger'!$F22)*IF(NOT(ISBLANK('Eingabe EF'!$AG10)),'Eingabe EF'!$AG10,'Eingabe EF'!$AIC10)</f>
        <v>1.424736</v>
      </c>
      <c r="V125" s="17"/>
      <c r="X125" s="37">
        <f t="shared" si="18"/>
        <v>9.6033600000000003</v>
      </c>
      <c r="Y125" s="37">
        <f t="shared" si="19"/>
        <v>11.028096</v>
      </c>
      <c r="Z125" s="17" t="s">
        <v>184</v>
      </c>
      <c r="AA125" s="42"/>
      <c r="AB125" s="17"/>
      <c r="AC125" s="17" t="s">
        <v>30</v>
      </c>
      <c r="AD125" s="17"/>
      <c r="AE125" s="6"/>
      <c r="AF125" s="6"/>
      <c r="AG125" s="41">
        <f>IF(NOT(ISBLANK('Referenz Plattenfertiger'!$I22)),'Referenz Plattenfertiger'!$I22,'Referenz Plattenfertiger'!$F22)/1000*IF(NOT(ISBLANK('Eingabe Preise'!$K11)),'Eingabe Preise'!$K11,'Eingabe Preise'!$I11)</f>
        <v>1656</v>
      </c>
      <c r="AH125" s="20" t="s">
        <v>96</v>
      </c>
    </row>
    <row r="126" spans="2:34" hidden="1" outlineLevel="1" x14ac:dyDescent="0.2">
      <c r="O126" s="17"/>
      <c r="P126" s="17" t="s">
        <v>134</v>
      </c>
      <c r="Q126" s="17"/>
      <c r="R126" s="17"/>
      <c r="S126" s="20"/>
      <c r="T126" s="20"/>
      <c r="U126" s="20"/>
      <c r="V126" s="17"/>
      <c r="X126" s="17"/>
      <c r="Y126" s="17"/>
      <c r="Z126" s="17"/>
      <c r="AB126" s="17" t="s">
        <v>134</v>
      </c>
      <c r="AC126" s="17"/>
      <c r="AD126" s="17"/>
      <c r="AE126" s="6"/>
      <c r="AF126" s="6"/>
      <c r="AG126" s="20"/>
      <c r="AH126" s="20"/>
    </row>
    <row r="127" spans="2:34" ht="15.75" hidden="1" outlineLevel="1" x14ac:dyDescent="0.3">
      <c r="O127" s="274"/>
      <c r="P127" s="17"/>
      <c r="Q127" s="17" t="s">
        <v>136</v>
      </c>
      <c r="R127" s="17"/>
      <c r="S127" s="37">
        <f>IF(NOT(ISBLANK('Referenz Plattenfertiger'!$I24)),'Referenz Plattenfertiger'!$I24,'Referenz Plattenfertiger'!$F24)*S110</f>
        <v>0</v>
      </c>
      <c r="T127" s="37">
        <f>IF(NOT(ISBLANK('Referenz Plattenfertiger'!$I24)),'Referenz Plattenfertiger'!$I24,'Referenz Plattenfertiger'!$F24)*T110</f>
        <v>0</v>
      </c>
      <c r="U127" s="37">
        <f>IF(NOT(ISBLANK('Referenz Plattenfertiger'!$I24)),'Referenz Plattenfertiger'!$I24,'Referenz Plattenfertiger'!$F24)*U110</f>
        <v>16.519950000000001</v>
      </c>
      <c r="V127" s="17"/>
      <c r="X127" s="37">
        <f t="shared" ref="X127:X135" si="20">S127+T127</f>
        <v>0</v>
      </c>
      <c r="Y127" s="37">
        <f t="shared" si="19"/>
        <v>16.519950000000001</v>
      </c>
      <c r="Z127" s="17" t="s">
        <v>184</v>
      </c>
      <c r="AA127" s="42"/>
      <c r="AB127" s="17"/>
      <c r="AC127" s="17" t="s">
        <v>153</v>
      </c>
      <c r="AD127" s="17"/>
      <c r="AE127" s="6"/>
      <c r="AF127" s="6"/>
      <c r="AG127" s="41">
        <f>IF(NOT(ISBLANK('Referenz Plattenfertiger'!$I24)),'Referenz Plattenfertiger'!$I24,'Referenz Plattenfertiger'!$F24)/1000*IF(NOT(ISBLANK('Eingabe Preise'!$K15)),'Eingabe Preise'!$K15,'Eingabe Preise'!$I15)</f>
        <v>70672.5</v>
      </c>
      <c r="AH127" s="20" t="s">
        <v>96</v>
      </c>
    </row>
    <row r="128" spans="2:34" ht="15.75" hidden="1" outlineLevel="1" x14ac:dyDescent="0.3">
      <c r="O128" s="17"/>
      <c r="P128" s="17"/>
      <c r="Q128" s="17" t="s">
        <v>111</v>
      </c>
      <c r="R128" s="17"/>
      <c r="S128" s="37">
        <f>IF(NOT(ISBLANK('Referenz Plattenfertiger'!$I25)),'Referenz Plattenfertiger'!$I25,'Referenz Plattenfertiger'!$F25)*IF(NOT(ISBLANK('Eingabe EF'!$AA13)),'Eingabe EF'!$AA13,'Eingabe EF'!$Y13)</f>
        <v>0</v>
      </c>
      <c r="T128" s="37">
        <f>IF(NOT(ISBLANK('Referenz Plattenfertiger'!$I25)),'Referenz Plattenfertiger'!$I25,'Referenz Plattenfertiger'!$F25)*IF(NOT(ISBLANK('Eingabe EF'!$AE13)),'Eingabe EF'!$AE13,'Eingabe EF'!$AC13)</f>
        <v>0</v>
      </c>
      <c r="U128" s="37">
        <f>IF(NOT(ISBLANK('Referenz Plattenfertiger'!$I25)),'Referenz Plattenfertiger'!$I25,'Referenz Plattenfertiger'!$F25)*IF(NOT(ISBLANK('Eingabe EF'!$AI13)),'Eingabe EF'!$AI13,'Eingabe EF'!$AG13)</f>
        <v>0</v>
      </c>
      <c r="V128" s="17"/>
      <c r="X128" s="37">
        <f t="shared" si="20"/>
        <v>0</v>
      </c>
      <c r="Y128" s="37">
        <f t="shared" si="19"/>
        <v>0</v>
      </c>
      <c r="Z128" s="17" t="s">
        <v>184</v>
      </c>
      <c r="AA128" s="42"/>
      <c r="AB128" s="17"/>
      <c r="AC128" s="17" t="s">
        <v>111</v>
      </c>
      <c r="AD128" s="17"/>
      <c r="AE128" s="6"/>
      <c r="AF128" s="6"/>
      <c r="AG128" s="41">
        <f>IF(NOT(ISBLANK('Referenz Plattenfertiger'!$I25)),'Referenz Plattenfertiger'!$I25,'Referenz Plattenfertiger'!$F25)/1000*IF(NOT(ISBLANK('Eingabe Preise'!$K13)),'Eingabe Preise'!$K13,'Eingabe Preise'!$I13)</f>
        <v>0</v>
      </c>
      <c r="AH128" s="20" t="s">
        <v>96</v>
      </c>
    </row>
    <row r="129" spans="15:41" ht="15.75" hidden="1" outlineLevel="1" collapsed="1" x14ac:dyDescent="0.3">
      <c r="O129" s="17"/>
      <c r="P129" s="17"/>
      <c r="Q129" s="17" t="s">
        <v>135</v>
      </c>
      <c r="R129" s="17"/>
      <c r="S129" s="37">
        <f>IF(NOT(ISBLANK('Referenz Plattenfertiger'!$I26)),'Referenz Plattenfertiger'!$I26,'Referenz Plattenfertiger'!$F26)*IF(NOT(ISBLANK('Eingabe EF'!$AA14)),'Eingabe EF'!$AA14,0)</f>
        <v>0</v>
      </c>
      <c r="T129" s="37">
        <f>IF(NOT(ISBLANK('Referenz Plattenfertiger'!$I26)),'Referenz Plattenfertiger'!$I26,'Referenz Plattenfertiger'!$F26)*IF(NOT(ISBLANK('Eingabe EF'!$AE14)),'Eingabe EF'!$AE14,0)</f>
        <v>0</v>
      </c>
      <c r="U129" s="37">
        <f>IF(NOT(ISBLANK('Referenz Plattenfertiger'!$I26)),'Referenz Plattenfertiger'!$I26,'Referenz Plattenfertiger'!$F26)*IF(NOT(ISBLANK('Eingabe EF'!$AI14)),'Eingabe EF'!$AI14,0)</f>
        <v>0</v>
      </c>
      <c r="V129" s="17"/>
      <c r="X129" s="37">
        <f t="shared" si="20"/>
        <v>0</v>
      </c>
      <c r="Y129" s="37">
        <f t="shared" si="19"/>
        <v>0</v>
      </c>
      <c r="Z129" s="17" t="s">
        <v>184</v>
      </c>
      <c r="AA129" s="42"/>
      <c r="AB129" s="17"/>
      <c r="AC129" s="17" t="s">
        <v>135</v>
      </c>
      <c r="AD129" s="17"/>
      <c r="AE129" s="6"/>
      <c r="AF129" s="6"/>
      <c r="AG129" s="41">
        <f>IF(NOT(ISBLANK('Referenz Plattenfertiger'!$I26)),'Referenz Plattenfertiger'!$I26,'Referenz Plattenfertiger'!$F26)/1000*IF(NOT(ISBLANK('Eingabe Preise'!$K17)),'Eingabe Preise'!$K17,0)</f>
        <v>0</v>
      </c>
      <c r="AH129" s="20" t="s">
        <v>96</v>
      </c>
    </row>
    <row r="130" spans="15:41" hidden="1" outlineLevel="1" x14ac:dyDescent="0.2">
      <c r="O130" s="17"/>
      <c r="P130" s="17"/>
      <c r="Q130" s="17"/>
      <c r="R130" s="17"/>
      <c r="S130" s="20"/>
      <c r="T130" s="20"/>
      <c r="U130" s="20"/>
      <c r="V130" s="17"/>
      <c r="X130" s="17"/>
      <c r="Y130" s="17"/>
      <c r="Z130" s="17"/>
      <c r="AB130" s="17"/>
      <c r="AC130" s="17"/>
      <c r="AD130" s="17"/>
      <c r="AE130" s="6"/>
      <c r="AF130" s="6"/>
      <c r="AG130" s="17"/>
      <c r="AH130" s="17"/>
    </row>
    <row r="131" spans="15:41" ht="15.75" hidden="1" outlineLevel="1" x14ac:dyDescent="0.3">
      <c r="O131" s="17"/>
      <c r="P131" s="17" t="s">
        <v>408</v>
      </c>
      <c r="Q131" s="17" t="s">
        <v>32</v>
      </c>
      <c r="R131" s="17"/>
      <c r="S131" s="37">
        <f>IF(NOT(ISBLANK('Referenz Plattenfertiger'!$I28)),'Referenz Plattenfertiger'!$I28,'Referenz Plattenfertiger'!$F28)*IF(NOT(ISBLANK('Eingabe EF'!$AA15)),'Eingabe EF'!$AA15,'Eingabe EF'!$Y15)</f>
        <v>29.238941159999996</v>
      </c>
      <c r="T131" s="37">
        <f>IF(NOT(ISBLANK('Referenz Plattenfertiger'!$I28)),'Referenz Plattenfertiger'!$I28,'Referenz Plattenfertiger'!$F28)*IF(NOT(ISBLANK('Eingabe EF'!$AE15)),'Eingabe EF'!$AE15,'Eingabe EF'!$AC15)</f>
        <v>0</v>
      </c>
      <c r="U131" s="37">
        <f>IF(NOT(ISBLANK('Referenz Plattenfertiger'!$I28)),'Referenz Plattenfertiger'!$I28,'Referenz Plattenfertiger'!$F28)*IF(NOT(ISBLANK('Eingabe EF'!$AI15)),'Eingabe EF'!$AI15,'Eingabe EF'!$AG15)</f>
        <v>5.1658635600000009</v>
      </c>
      <c r="V131" s="17"/>
      <c r="X131" s="37">
        <f t="shared" si="20"/>
        <v>29.238941159999996</v>
      </c>
      <c r="Y131" s="37">
        <f t="shared" si="19"/>
        <v>34.404804719999994</v>
      </c>
      <c r="Z131" s="17" t="s">
        <v>184</v>
      </c>
      <c r="AA131" s="42"/>
      <c r="AB131" s="17"/>
      <c r="AC131" s="17" t="s">
        <v>32</v>
      </c>
      <c r="AD131" s="17" t="s">
        <v>408</v>
      </c>
      <c r="AE131" s="6"/>
      <c r="AF131" s="6"/>
      <c r="AG131" s="41">
        <f>IF(NOT(ISBLANK('Referenz Plattenfertiger'!$I28)),'Referenz Plattenfertiger'!$I28,'Referenz Plattenfertiger'!$F28)*IF(NOT(ISBLANK('Eingabe Preise'!$K14)),'Eingabe Preise'!$K14,'Eingabe Preise'!$I14)</f>
        <v>12364.000000000002</v>
      </c>
      <c r="AH131" s="20" t="s">
        <v>96</v>
      </c>
    </row>
    <row r="132" spans="15:41" ht="15.75" hidden="1" outlineLevel="1" x14ac:dyDescent="0.3">
      <c r="O132" s="17"/>
      <c r="P132" s="17" t="s">
        <v>70</v>
      </c>
      <c r="Q132" s="17" t="s">
        <v>32</v>
      </c>
      <c r="R132" s="17"/>
      <c r="S132" s="37">
        <f>IF(NOT(ISBLANK('Referenz Plattenfertiger'!$I29)),'Referenz Plattenfertiger'!$I29,'Referenz Plattenfertiger'!$F29)*IF(NOT(ISBLANK('Eingabe EF'!$AA15)),'Eingabe EF'!$AA15,'Eingabe EF'!$Y15)</f>
        <v>6.645213899999999</v>
      </c>
      <c r="T132" s="37">
        <f>IF(NOT(ISBLANK('Referenz Plattenfertiger'!$I29)),'Referenz Plattenfertiger'!$I29,'Referenz Plattenfertiger'!$F29)*IF(NOT(ISBLANK('Eingabe EF'!$AE15)),'Eingabe EF'!$AE15,'Eingabe EF'!$AC15)</f>
        <v>0</v>
      </c>
      <c r="U132" s="37">
        <f>IF(NOT(ISBLANK('Referenz Plattenfertiger'!$I29)),'Referenz Plattenfertiger'!$I29,'Referenz Plattenfertiger'!$F29)*IF(NOT(ISBLANK('Eingabe EF'!$AI15)),'Eingabe EF'!$AI15,'Eingabe EF'!$AG15)</f>
        <v>1.1740599000000003</v>
      </c>
      <c r="V132" s="17"/>
      <c r="X132" s="37">
        <f t="shared" si="20"/>
        <v>6.645213899999999</v>
      </c>
      <c r="Y132" s="37">
        <f t="shared" si="19"/>
        <v>7.8192737999999995</v>
      </c>
      <c r="Z132" s="17" t="s">
        <v>184</v>
      </c>
      <c r="AA132" s="42"/>
      <c r="AB132" s="17"/>
      <c r="AC132" s="17" t="s">
        <v>32</v>
      </c>
      <c r="AD132" s="17" t="s">
        <v>70</v>
      </c>
      <c r="AE132" s="6"/>
      <c r="AF132" s="6"/>
      <c r="AG132" s="41">
        <f>IF(NOT(ISBLANK('Referenz Plattenfertiger'!$I29)),'Referenz Plattenfertiger'!$I29,'Referenz Plattenfertiger'!$F29)*IF(NOT(ISBLANK('Eingabe Preise'!$K14)),'Eingabe Preise'!$K14,'Eingabe Preise'!$I14)</f>
        <v>2810.0000000000005</v>
      </c>
      <c r="AH132" s="20" t="s">
        <v>96</v>
      </c>
    </row>
    <row r="133" spans="15:41" ht="14.25" hidden="1" outlineLevel="1" x14ac:dyDescent="0.25">
      <c r="O133" s="69"/>
      <c r="P133" s="69" t="s">
        <v>175</v>
      </c>
      <c r="Q133" s="69"/>
      <c r="R133" s="69"/>
      <c r="S133" s="71"/>
      <c r="T133" s="71"/>
      <c r="U133" s="71">
        <f t="shared" ref="U133" si="21">U134+U135</f>
        <v>469.15642799999995</v>
      </c>
      <c r="V133" s="69"/>
      <c r="X133" s="71">
        <f t="shared" si="20"/>
        <v>0</v>
      </c>
      <c r="Y133" s="71">
        <f t="shared" si="19"/>
        <v>469.15642799999995</v>
      </c>
      <c r="Z133" s="76" t="s">
        <v>183</v>
      </c>
      <c r="AA133" s="72"/>
      <c r="AB133" s="21"/>
      <c r="AC133" s="21"/>
      <c r="AD133" s="21"/>
      <c r="AE133" s="6"/>
      <c r="AF133" s="6"/>
      <c r="AG133" s="21"/>
      <c r="AH133" s="21"/>
      <c r="AJ133" s="72"/>
      <c r="AK133" s="72"/>
      <c r="AL133" s="72"/>
      <c r="AM133" s="72"/>
      <c r="AN133" s="72"/>
      <c r="AO133" s="72"/>
    </row>
    <row r="134" spans="15:41" ht="15.75" hidden="1" outlineLevel="1" x14ac:dyDescent="0.3">
      <c r="O134" s="17"/>
      <c r="P134" s="17"/>
      <c r="Q134" s="17" t="s">
        <v>43</v>
      </c>
      <c r="R134" s="17"/>
      <c r="S134" s="37"/>
      <c r="T134" s="37"/>
      <c r="U134" s="37">
        <f>IF(NOT(ISBLANK('Referenz Plattenfertiger'!$I32)),'Referenz Plattenfertiger'!$I32,'Referenz Plattenfertiger'!$F32)*IF(NOT(ISBLANK('Eingabe EF'!$AI17)),'Eingabe EF'!$AI17,'Eingabe EF'!$AG17)</f>
        <v>109.4698332</v>
      </c>
      <c r="V134" s="17"/>
      <c r="X134" s="37">
        <f t="shared" si="20"/>
        <v>0</v>
      </c>
      <c r="Y134" s="37">
        <f t="shared" si="19"/>
        <v>109.4698332</v>
      </c>
      <c r="Z134" s="17" t="s">
        <v>184</v>
      </c>
      <c r="AA134" s="42"/>
      <c r="AB134" s="17"/>
      <c r="AC134" s="17"/>
      <c r="AD134" s="17"/>
      <c r="AE134" s="6"/>
      <c r="AF134" s="6"/>
      <c r="AG134" s="17"/>
      <c r="AH134" s="17"/>
    </row>
    <row r="135" spans="15:41" ht="15.75" hidden="1" outlineLevel="1" x14ac:dyDescent="0.3">
      <c r="O135" s="17"/>
      <c r="P135" s="17"/>
      <c r="Q135" s="17" t="s">
        <v>44</v>
      </c>
      <c r="R135" s="17"/>
      <c r="S135" s="37"/>
      <c r="T135" s="37"/>
      <c r="U135" s="37">
        <f>IF(NOT(ISBLANK('Referenz Plattenfertiger'!$I33)),'Referenz Plattenfertiger'!$I33,'Referenz Plattenfertiger'!$F33)*IF(NOT(ISBLANK('Eingabe EF'!$AI18)),'Eingabe EF'!$AI18,'Eingabe EF'!$AG18)</f>
        <v>359.68659479999997</v>
      </c>
      <c r="V135" s="17"/>
      <c r="X135" s="37">
        <f t="shared" si="20"/>
        <v>0</v>
      </c>
      <c r="Y135" s="37">
        <f t="shared" si="19"/>
        <v>359.68659479999997</v>
      </c>
      <c r="Z135" s="17" t="s">
        <v>184</v>
      </c>
      <c r="AA135" s="42"/>
      <c r="AB135" s="17"/>
      <c r="AC135" s="17" t="s">
        <v>28</v>
      </c>
      <c r="AD135" s="17"/>
      <c r="AE135" s="6"/>
      <c r="AF135" s="6"/>
      <c r="AG135" s="41">
        <v>0</v>
      </c>
      <c r="AH135" s="20" t="s">
        <v>96</v>
      </c>
    </row>
    <row r="136" spans="15:41" hidden="1" outlineLevel="1" x14ac:dyDescent="0.2">
      <c r="O136" s="17"/>
      <c r="P136" s="17"/>
      <c r="Q136" s="17"/>
      <c r="R136" s="17"/>
      <c r="S136" s="20"/>
      <c r="T136" s="20"/>
      <c r="U136" s="20"/>
      <c r="V136" s="17"/>
      <c r="X136" s="20"/>
      <c r="Y136" s="20"/>
      <c r="Z136" s="17"/>
      <c r="AB136" s="17"/>
      <c r="AC136" s="44" t="s">
        <v>139</v>
      </c>
      <c r="AD136" s="17"/>
      <c r="AE136" s="6"/>
      <c r="AF136" s="6"/>
      <c r="AG136" s="41">
        <v>0</v>
      </c>
      <c r="AH136" s="20" t="s">
        <v>96</v>
      </c>
    </row>
    <row r="137" spans="15:41" ht="14.25" hidden="1" outlineLevel="1" x14ac:dyDescent="0.25">
      <c r="O137" s="69"/>
      <c r="P137" s="69" t="s">
        <v>66</v>
      </c>
      <c r="Q137" s="70"/>
      <c r="R137" s="70"/>
      <c r="S137" s="71"/>
      <c r="T137" s="71"/>
      <c r="U137" s="71">
        <f>SUM(U138:U141)</f>
        <v>4548.5439999999999</v>
      </c>
      <c r="V137" s="70"/>
      <c r="X137" s="71">
        <f t="shared" ref="X137:X141" si="22">S137+T137</f>
        <v>0</v>
      </c>
      <c r="Y137" s="71">
        <f t="shared" ref="Y137:Y140" si="23">SUM(S137:U137)</f>
        <v>4548.5439999999999</v>
      </c>
      <c r="Z137" s="76" t="s">
        <v>183</v>
      </c>
      <c r="AB137" s="17"/>
      <c r="AC137" s="44" t="s">
        <v>146</v>
      </c>
      <c r="AD137" s="17"/>
      <c r="AE137" s="6"/>
      <c r="AF137" s="6"/>
      <c r="AG137" s="41">
        <v>0</v>
      </c>
      <c r="AH137" s="20" t="s">
        <v>96</v>
      </c>
    </row>
    <row r="138" spans="15:41" ht="15.75" hidden="1" outlineLevel="1" x14ac:dyDescent="0.3">
      <c r="O138" s="17"/>
      <c r="P138" s="17"/>
      <c r="Q138" s="17" t="s">
        <v>45</v>
      </c>
      <c r="R138" s="17"/>
      <c r="S138" s="37"/>
      <c r="T138" s="37"/>
      <c r="U138" s="37">
        <f>'M1 Härtekammern'!T134</f>
        <v>1210.3</v>
      </c>
      <c r="V138" s="17"/>
      <c r="X138" s="37">
        <f t="shared" si="22"/>
        <v>0</v>
      </c>
      <c r="Y138" s="37">
        <f t="shared" si="23"/>
        <v>1210.3</v>
      </c>
      <c r="Z138" s="17" t="s">
        <v>184</v>
      </c>
      <c r="AA138" s="42"/>
      <c r="AB138" s="17"/>
      <c r="AC138" s="17"/>
      <c r="AD138" s="17"/>
      <c r="AE138" s="6"/>
      <c r="AF138" s="6"/>
      <c r="AG138" s="17"/>
      <c r="AH138" s="17"/>
    </row>
    <row r="139" spans="15:41" ht="15.75" hidden="1" outlineLevel="1" x14ac:dyDescent="0.3">
      <c r="O139" s="17"/>
      <c r="P139" s="17"/>
      <c r="Q139" s="17" t="s">
        <v>47</v>
      </c>
      <c r="R139" s="17"/>
      <c r="S139" s="37"/>
      <c r="T139" s="37"/>
      <c r="U139" s="37">
        <f>'M1 Härtekammern'!T135</f>
        <v>2415.5039999999999</v>
      </c>
      <c r="V139" s="17"/>
      <c r="X139" s="37">
        <f t="shared" si="22"/>
        <v>0</v>
      </c>
      <c r="Y139" s="37">
        <f t="shared" si="23"/>
        <v>2415.5039999999999</v>
      </c>
      <c r="Z139" s="17" t="s">
        <v>184</v>
      </c>
      <c r="AA139" s="42"/>
      <c r="AB139" s="17"/>
      <c r="AC139" s="17"/>
      <c r="AD139" s="17"/>
      <c r="AE139" s="6"/>
      <c r="AF139" s="6"/>
      <c r="AG139" s="17"/>
      <c r="AH139" s="17"/>
    </row>
    <row r="140" spans="15:41" ht="15.75" hidden="1" outlineLevel="1" x14ac:dyDescent="0.3">
      <c r="O140" s="17"/>
      <c r="P140" s="17"/>
      <c r="Q140" s="17" t="s">
        <v>48</v>
      </c>
      <c r="R140" s="17"/>
      <c r="S140" s="37"/>
      <c r="T140" s="37"/>
      <c r="U140" s="37">
        <f>'M1 Härtekammern'!T136</f>
        <v>922.7399999999999</v>
      </c>
      <c r="V140" s="17"/>
      <c r="X140" s="37">
        <f t="shared" si="22"/>
        <v>0</v>
      </c>
      <c r="Y140" s="37">
        <f t="shared" si="23"/>
        <v>922.7399999999999</v>
      </c>
      <c r="Z140" s="17" t="s">
        <v>184</v>
      </c>
      <c r="AA140" s="42"/>
      <c r="AB140" s="17"/>
      <c r="AC140" s="17" t="s">
        <v>186</v>
      </c>
      <c r="AD140" s="17"/>
      <c r="AE140" s="6"/>
      <c r="AF140" s="6"/>
      <c r="AG140" s="41">
        <f>S180*IF(NOT(ISBLANK('Eingabe Preise'!$K21)),'Eingabe Preise'!$K21,'Eingabe Preise'!$I21)</f>
        <v>4271.9559777000004</v>
      </c>
      <c r="AH140" s="20" t="s">
        <v>96</v>
      </c>
    </row>
    <row r="141" spans="15:41" ht="15.75" hidden="1" outlineLevel="1" x14ac:dyDescent="0.3">
      <c r="O141" s="17"/>
      <c r="P141" s="17"/>
      <c r="Q141" s="17" t="s">
        <v>147</v>
      </c>
      <c r="R141" s="17"/>
      <c r="S141" s="37"/>
      <c r="T141" s="37"/>
      <c r="U141" s="37">
        <f>'M1 Härtekammern'!T137</f>
        <v>0</v>
      </c>
      <c r="V141" s="17"/>
      <c r="X141" s="37">
        <f t="shared" si="22"/>
        <v>0</v>
      </c>
      <c r="Y141" s="37">
        <f t="shared" ref="Y141" si="24">SUM(S141:U141)</f>
        <v>0</v>
      </c>
      <c r="Z141" s="17" t="s">
        <v>184</v>
      </c>
      <c r="AA141" s="42"/>
      <c r="AB141" s="17"/>
      <c r="AC141" s="17" t="s">
        <v>187</v>
      </c>
      <c r="AD141" s="17"/>
      <c r="AE141" s="6"/>
      <c r="AF141" s="6"/>
      <c r="AG141" s="41">
        <f>T180*IF(NOT(ISBLANK('Eingabe Preise'!$K22)),'Eingabe Preise'!$K22,'Eingabe Preise'!$I22)</f>
        <v>0</v>
      </c>
      <c r="AH141" s="20" t="s">
        <v>96</v>
      </c>
    </row>
    <row r="142" spans="15:41" ht="15.75" hidden="1" outlineLevel="1" x14ac:dyDescent="0.3">
      <c r="O142" s="17"/>
      <c r="P142" s="17"/>
      <c r="Q142" s="17"/>
      <c r="R142" s="17"/>
      <c r="S142" s="20"/>
      <c r="T142" s="20"/>
      <c r="U142" s="20"/>
      <c r="V142" s="17"/>
      <c r="X142" s="17"/>
      <c r="Y142" s="20"/>
      <c r="Z142" s="20"/>
      <c r="AA142" s="42"/>
      <c r="AB142" s="17"/>
      <c r="AC142" s="17" t="s">
        <v>188</v>
      </c>
      <c r="AD142" s="17"/>
      <c r="AE142" s="6"/>
      <c r="AF142" s="6"/>
      <c r="AG142" s="41">
        <f>U180*IF(NOT(ISBLANK('Eingabe Preise'!$K23)),'Eingabe Preise'!$K23,'Eingabe Preise'!$I23)</f>
        <v>258496.47372642832</v>
      </c>
      <c r="AH142" s="20" t="s">
        <v>96</v>
      </c>
    </row>
    <row r="143" spans="15:41" ht="14.25" hidden="1" outlineLevel="1" x14ac:dyDescent="0.25">
      <c r="O143" s="69"/>
      <c r="P143" s="69" t="s">
        <v>163</v>
      </c>
      <c r="Q143" s="70"/>
      <c r="R143" s="70"/>
      <c r="S143" s="71"/>
      <c r="T143" s="71"/>
      <c r="U143" s="71">
        <f>SUM(U144:U148)</f>
        <v>129.59200000000001</v>
      </c>
      <c r="V143" s="70"/>
      <c r="X143" s="71">
        <f t="shared" ref="X143" si="25">S143+T143</f>
        <v>0</v>
      </c>
      <c r="Y143" s="71">
        <f t="shared" ref="Y143" si="26">SUM(S143:U143)</f>
        <v>129.59200000000001</v>
      </c>
      <c r="Z143" s="76" t="s">
        <v>183</v>
      </c>
      <c r="AA143" s="42"/>
      <c r="AB143" s="17"/>
      <c r="AC143" s="17"/>
      <c r="AD143" s="17"/>
      <c r="AE143" s="6"/>
      <c r="AF143" s="6"/>
      <c r="AG143" s="66"/>
      <c r="AH143" s="17"/>
    </row>
    <row r="144" spans="15:41" ht="15.75" hidden="1" outlineLevel="1" x14ac:dyDescent="0.3">
      <c r="O144" s="17"/>
      <c r="P144" s="17"/>
      <c r="Q144" s="17" t="s">
        <v>164</v>
      </c>
      <c r="R144" s="17"/>
      <c r="S144" s="37"/>
      <c r="T144" s="37"/>
      <c r="U144" s="37">
        <f>'M1 Härtekammern'!T140</f>
        <v>129.59200000000001</v>
      </c>
      <c r="V144" s="17"/>
      <c r="X144" s="37">
        <f>S144+T144</f>
        <v>0</v>
      </c>
      <c r="Y144" s="37">
        <f>SUM(S144:U144)</f>
        <v>129.59200000000001</v>
      </c>
      <c r="Z144" s="17" t="s">
        <v>184</v>
      </c>
      <c r="AA144" s="42"/>
      <c r="AB144" s="17"/>
      <c r="AC144" s="17"/>
      <c r="AD144" s="17"/>
      <c r="AE144" s="6"/>
      <c r="AF144" s="6"/>
      <c r="AG144" s="17"/>
      <c r="AH144" s="17"/>
    </row>
    <row r="145" spans="14:41" ht="15.75" hidden="1" outlineLevel="1" x14ac:dyDescent="0.3">
      <c r="O145" s="17"/>
      <c r="P145" s="17"/>
      <c r="Q145" s="17" t="s">
        <v>165</v>
      </c>
      <c r="R145" s="17"/>
      <c r="S145" s="37"/>
      <c r="T145" s="37"/>
      <c r="U145" s="37">
        <f>'M1 Härtekammern'!T141</f>
        <v>0</v>
      </c>
      <c r="V145" s="17"/>
      <c r="X145" s="37">
        <f t="shared" ref="X145:X146" si="27">S145+T145</f>
        <v>0</v>
      </c>
      <c r="Y145" s="37">
        <f t="shared" ref="Y145:Y146" si="28">SUM(S145:U145)</f>
        <v>0</v>
      </c>
      <c r="Z145" s="17" t="s">
        <v>184</v>
      </c>
      <c r="AA145" s="42"/>
      <c r="AB145" s="17"/>
      <c r="AC145" s="17"/>
      <c r="AD145" s="17"/>
      <c r="AE145" s="6"/>
      <c r="AF145" s="6"/>
      <c r="AG145" s="66"/>
      <c r="AH145" s="17"/>
    </row>
    <row r="146" spans="14:41" ht="15.75" hidden="1" outlineLevel="1" x14ac:dyDescent="0.3">
      <c r="O146" s="17"/>
      <c r="P146" s="17"/>
      <c r="Q146" s="17" t="s">
        <v>166</v>
      </c>
      <c r="R146" s="17"/>
      <c r="S146" s="37"/>
      <c r="T146" s="37"/>
      <c r="U146" s="37">
        <f>'M1 Härtekammern'!T142</f>
        <v>0</v>
      </c>
      <c r="V146" s="17"/>
      <c r="X146" s="37">
        <f t="shared" si="27"/>
        <v>0</v>
      </c>
      <c r="Y146" s="37">
        <f t="shared" si="28"/>
        <v>0</v>
      </c>
      <c r="Z146" s="17" t="s">
        <v>184</v>
      </c>
      <c r="AA146" s="42"/>
      <c r="AB146" s="42"/>
      <c r="AC146" s="42"/>
      <c r="AD146" s="42"/>
      <c r="AE146" s="6"/>
      <c r="AF146" s="6"/>
      <c r="AG146" s="42"/>
    </row>
    <row r="147" spans="14:41" ht="15.75" hidden="1" outlineLevel="1" x14ac:dyDescent="0.3">
      <c r="O147" s="17"/>
      <c r="P147" s="17"/>
      <c r="Q147" s="17" t="str">
        <f>'M1 Härtekammern'!P143</f>
        <v>Weiterer Zuschlagstoff 1</v>
      </c>
      <c r="R147" s="17"/>
      <c r="S147" s="37"/>
      <c r="T147" s="37"/>
      <c r="U147" s="37">
        <f>'M1 Härtekammern'!T143</f>
        <v>0</v>
      </c>
      <c r="V147" s="17"/>
      <c r="X147" s="37">
        <f t="shared" ref="X147:X148" si="29">S147+T147</f>
        <v>0</v>
      </c>
      <c r="Y147" s="37">
        <f t="shared" ref="Y147:Y148" si="30">SUM(S147:U147)</f>
        <v>0</v>
      </c>
      <c r="Z147" s="17" t="s">
        <v>184</v>
      </c>
      <c r="AA147" s="42"/>
      <c r="AB147" s="42"/>
      <c r="AC147" s="42"/>
      <c r="AD147" s="42"/>
      <c r="AE147" s="6"/>
      <c r="AF147" s="6"/>
      <c r="AG147" s="42"/>
    </row>
    <row r="148" spans="14:41" ht="15.75" hidden="1" outlineLevel="1" x14ac:dyDescent="0.3">
      <c r="O148" s="17"/>
      <c r="P148" s="17"/>
      <c r="Q148" s="17" t="str">
        <f>'M1 Härtekammern'!P144</f>
        <v>Weiterer Zuschlagstoff 2</v>
      </c>
      <c r="R148" s="17"/>
      <c r="S148" s="37"/>
      <c r="T148" s="37"/>
      <c r="U148" s="37">
        <f>'M1 Härtekammern'!T144</f>
        <v>0</v>
      </c>
      <c r="V148" s="17"/>
      <c r="X148" s="37">
        <f t="shared" si="29"/>
        <v>0</v>
      </c>
      <c r="Y148" s="37">
        <f t="shared" si="30"/>
        <v>0</v>
      </c>
      <c r="Z148" s="17" t="s">
        <v>184</v>
      </c>
      <c r="AA148" s="42"/>
      <c r="AE148" s="6"/>
      <c r="AF148" s="6"/>
      <c r="AG148" s="42"/>
    </row>
    <row r="149" spans="14:41" hidden="1" outlineLevel="1" x14ac:dyDescent="0.2">
      <c r="O149" s="17"/>
      <c r="P149" s="17"/>
      <c r="Q149" s="17"/>
      <c r="R149" s="17"/>
      <c r="S149" s="20"/>
      <c r="T149" s="20"/>
      <c r="U149" s="20"/>
      <c r="V149" s="17"/>
      <c r="X149" s="17"/>
      <c r="Y149" s="20"/>
      <c r="Z149" s="20"/>
      <c r="AA149" s="42"/>
      <c r="AE149" s="6"/>
      <c r="AF149" s="6"/>
      <c r="AG149" s="42"/>
    </row>
    <row r="150" spans="14:41" ht="14.25" hidden="1" outlineLevel="1" x14ac:dyDescent="0.25">
      <c r="O150" s="17"/>
      <c r="P150" s="17"/>
      <c r="Q150" s="21" t="s">
        <v>55</v>
      </c>
      <c r="R150" s="21"/>
      <c r="S150" s="74"/>
      <c r="T150" s="74"/>
      <c r="U150" s="37">
        <f>'M1 Härtekammern'!T146</f>
        <v>208</v>
      </c>
      <c r="V150" s="21"/>
      <c r="X150" s="74">
        <f>S150+T150</f>
        <v>0</v>
      </c>
      <c r="Y150" s="74">
        <f t="shared" ref="Y150" si="31">SUM(S150:U150)</f>
        <v>208</v>
      </c>
      <c r="Z150" s="21" t="s">
        <v>183</v>
      </c>
      <c r="AA150" s="42"/>
      <c r="AE150" s="6"/>
      <c r="AF150" s="6"/>
      <c r="AG150" s="42"/>
    </row>
    <row r="151" spans="14:41" hidden="1" outlineLevel="1" x14ac:dyDescent="0.2">
      <c r="O151" s="17"/>
      <c r="P151" s="17"/>
      <c r="Q151" s="17"/>
      <c r="R151" s="17"/>
      <c r="S151" s="20"/>
      <c r="T151" s="20"/>
      <c r="U151" s="20"/>
      <c r="V151" s="17"/>
      <c r="X151" s="17"/>
      <c r="Y151" s="20"/>
      <c r="Z151" s="20"/>
      <c r="AA151" s="42"/>
      <c r="AE151" s="6"/>
      <c r="AF151" s="6"/>
      <c r="AG151" s="42"/>
    </row>
    <row r="152" spans="14:41" ht="14.25" hidden="1" outlineLevel="1" x14ac:dyDescent="0.25">
      <c r="O152" s="69"/>
      <c r="P152" s="69" t="s">
        <v>167</v>
      </c>
      <c r="Q152" s="70"/>
      <c r="R152" s="70"/>
      <c r="S152" s="71"/>
      <c r="T152" s="71"/>
      <c r="U152" s="71">
        <f>SUM(U153:U157)</f>
        <v>81.003999999999991</v>
      </c>
      <c r="V152" s="70"/>
      <c r="X152" s="71">
        <f t="shared" ref="X152" si="32">S152+T152</f>
        <v>0</v>
      </c>
      <c r="Y152" s="71">
        <f t="shared" ref="Y152" si="33">SUM(S152:U152)</f>
        <v>81.003999999999991</v>
      </c>
      <c r="Z152" s="76" t="s">
        <v>183</v>
      </c>
      <c r="AA152" s="42"/>
      <c r="AE152" s="6"/>
      <c r="AF152" s="6"/>
      <c r="AG152" s="42"/>
    </row>
    <row r="153" spans="14:41" ht="15.75" hidden="1" outlineLevel="1" x14ac:dyDescent="0.3">
      <c r="O153" s="17"/>
      <c r="P153" s="17"/>
      <c r="Q153" s="17" t="s">
        <v>57</v>
      </c>
      <c r="R153" s="17"/>
      <c r="S153" s="37"/>
      <c r="T153" s="37"/>
      <c r="U153" s="37">
        <f>'M1 Härtekammern'!T149</f>
        <v>0</v>
      </c>
      <c r="V153" s="17"/>
      <c r="X153" s="37">
        <f>S153+T153</f>
        <v>0</v>
      </c>
      <c r="Y153" s="37">
        <f>SUM(S153:U153)</f>
        <v>0</v>
      </c>
      <c r="Z153" s="17" t="s">
        <v>184</v>
      </c>
      <c r="AA153" s="42"/>
      <c r="AE153" s="6"/>
      <c r="AF153" s="6"/>
      <c r="AG153" s="42"/>
    </row>
    <row r="154" spans="14:41" ht="15.75" hidden="1" outlineLevel="1" x14ac:dyDescent="0.3">
      <c r="O154" s="17"/>
      <c r="P154" s="17"/>
      <c r="Q154" s="17" t="s">
        <v>58</v>
      </c>
      <c r="R154" s="17"/>
      <c r="S154" s="37"/>
      <c r="T154" s="37"/>
      <c r="U154" s="37">
        <f>'M1 Härtekammern'!T150</f>
        <v>8.6840000000000011</v>
      </c>
      <c r="V154" s="17"/>
      <c r="X154" s="37">
        <f>S154+T154</f>
        <v>0</v>
      </c>
      <c r="Y154" s="37">
        <f>SUM(S154:U154)</f>
        <v>8.6840000000000011</v>
      </c>
      <c r="Z154" s="17" t="s">
        <v>184</v>
      </c>
      <c r="AA154" s="42"/>
      <c r="AB154" s="42"/>
      <c r="AC154" s="42"/>
      <c r="AD154" s="42"/>
      <c r="AE154" s="6"/>
      <c r="AF154" s="6"/>
      <c r="AG154" s="42"/>
    </row>
    <row r="155" spans="14:41" ht="15.75" hidden="1" outlineLevel="1" x14ac:dyDescent="0.3">
      <c r="O155" s="17"/>
      <c r="P155" s="17"/>
      <c r="Q155" s="17" t="s">
        <v>59</v>
      </c>
      <c r="R155" s="17"/>
      <c r="S155" s="37"/>
      <c r="T155" s="37"/>
      <c r="U155" s="37">
        <f>'M1 Härtekammern'!T151</f>
        <v>72.319999999999993</v>
      </c>
      <c r="V155" s="17"/>
      <c r="X155" s="37">
        <f>S155+T155</f>
        <v>0</v>
      </c>
      <c r="Y155" s="37">
        <f>SUM(S155:U155)</f>
        <v>72.319999999999993</v>
      </c>
      <c r="Z155" s="17" t="s">
        <v>184</v>
      </c>
      <c r="AA155" s="42"/>
      <c r="AB155" s="42"/>
      <c r="AC155" s="42"/>
      <c r="AD155" s="42"/>
      <c r="AE155" s="6"/>
      <c r="AF155" s="6"/>
      <c r="AG155" s="42"/>
    </row>
    <row r="156" spans="14:41" s="72" customFormat="1" ht="15.75" hidden="1" outlineLevel="1" x14ac:dyDescent="0.3">
      <c r="N156" s="131"/>
      <c r="O156" s="17"/>
      <c r="P156" s="17"/>
      <c r="Q156" s="17" t="str">
        <f>'M1 Härtekammern'!P152</f>
        <v>Weiterer Zusatzstoff 1</v>
      </c>
      <c r="R156" s="17"/>
      <c r="S156" s="37"/>
      <c r="T156" s="37"/>
      <c r="U156" s="37">
        <f>'M1 Härtekammern'!T152</f>
        <v>0</v>
      </c>
      <c r="V156" s="17"/>
      <c r="W156" s="2"/>
      <c r="X156" s="37">
        <f t="shared" ref="X156:X157" si="34">S156+T156</f>
        <v>0</v>
      </c>
      <c r="Y156" s="37">
        <f t="shared" ref="Y156:Y157" si="35">SUM(S156:U156)</f>
        <v>0</v>
      </c>
      <c r="Z156" s="17" t="s">
        <v>184</v>
      </c>
      <c r="AA156" s="42"/>
      <c r="AB156" s="42"/>
      <c r="AC156" s="42"/>
      <c r="AD156" s="42"/>
      <c r="AE156" s="6"/>
      <c r="AF156" s="6"/>
      <c r="AG156" s="42"/>
      <c r="AH156" s="6"/>
      <c r="AI156" s="6"/>
      <c r="AJ156" s="6"/>
      <c r="AK156" s="6"/>
      <c r="AL156" s="6"/>
      <c r="AM156" s="6"/>
      <c r="AN156" s="6"/>
      <c r="AO156" s="6"/>
    </row>
    <row r="157" spans="14:41" ht="15.75" hidden="1" outlineLevel="1" x14ac:dyDescent="0.3">
      <c r="O157" s="17"/>
      <c r="P157" s="17"/>
      <c r="Q157" s="17" t="str">
        <f>'M1 Härtekammern'!P153</f>
        <v>Weiterer Zusatzstoff 2</v>
      </c>
      <c r="R157" s="17"/>
      <c r="S157" s="37"/>
      <c r="T157" s="37"/>
      <c r="U157" s="37">
        <f>'M1 Härtekammern'!T153</f>
        <v>0</v>
      </c>
      <c r="V157" s="17"/>
      <c r="X157" s="37">
        <f t="shared" si="34"/>
        <v>0</v>
      </c>
      <c r="Y157" s="37">
        <f t="shared" si="35"/>
        <v>0</v>
      </c>
      <c r="Z157" s="17" t="s">
        <v>184</v>
      </c>
      <c r="AA157" s="42"/>
      <c r="AB157" s="42"/>
      <c r="AC157" s="42"/>
      <c r="AD157" s="42"/>
      <c r="AE157" s="6"/>
      <c r="AF157" s="6"/>
      <c r="AG157" s="42"/>
    </row>
    <row r="158" spans="14:41" hidden="1" outlineLevel="1" x14ac:dyDescent="0.2">
      <c r="O158" s="17"/>
      <c r="P158" s="17"/>
      <c r="Q158" s="17"/>
      <c r="R158" s="17"/>
      <c r="S158" s="20"/>
      <c r="T158" s="20"/>
      <c r="U158" s="20"/>
      <c r="V158" s="17"/>
      <c r="X158" s="17"/>
      <c r="Y158" s="20"/>
      <c r="Z158" s="20"/>
      <c r="AA158" s="42"/>
      <c r="AB158" s="42"/>
      <c r="AC158" s="42"/>
      <c r="AD158" s="42"/>
      <c r="AE158" s="6"/>
      <c r="AF158" s="6"/>
      <c r="AG158" s="42"/>
    </row>
    <row r="159" spans="14:41" ht="14.25" hidden="1" outlineLevel="1" x14ac:dyDescent="0.25">
      <c r="O159" s="69"/>
      <c r="P159" s="69" t="s">
        <v>49</v>
      </c>
      <c r="Q159" s="70"/>
      <c r="R159" s="70"/>
      <c r="S159" s="71"/>
      <c r="T159" s="71"/>
      <c r="U159" s="71">
        <f>SUM(U160:U163)</f>
        <v>148.44746134951595</v>
      </c>
      <c r="V159" s="70"/>
      <c r="X159" s="71">
        <f t="shared" ref="X159:X163" si="36">S159+T159</f>
        <v>0</v>
      </c>
      <c r="Y159" s="71">
        <f t="shared" ref="Y159" si="37">SUM(S159:U159)</f>
        <v>148.44746134951595</v>
      </c>
      <c r="Z159" s="76" t="s">
        <v>183</v>
      </c>
      <c r="AA159" s="42"/>
      <c r="AB159" s="42"/>
      <c r="AC159" s="42"/>
      <c r="AD159" s="42"/>
      <c r="AE159" s="6"/>
      <c r="AF159" s="6"/>
      <c r="AG159" s="42"/>
    </row>
    <row r="160" spans="14:41" ht="15.75" hidden="1" outlineLevel="1" x14ac:dyDescent="0.3">
      <c r="O160" s="17"/>
      <c r="P160" s="17"/>
      <c r="Q160" s="17" t="s">
        <v>50</v>
      </c>
      <c r="R160" s="17"/>
      <c r="S160" s="37"/>
      <c r="T160" s="37"/>
      <c r="U160" s="37">
        <f>'M1 Härtekammern'!T156</f>
        <v>47.997919375812742</v>
      </c>
      <c r="V160" s="17"/>
      <c r="W160" s="131"/>
      <c r="X160" s="37">
        <f t="shared" si="36"/>
        <v>0</v>
      </c>
      <c r="Y160" s="37">
        <f t="shared" ref="Y160:Y163" si="38">SUM(S160:U160)</f>
        <v>47.997919375812742</v>
      </c>
      <c r="Z160" s="17" t="s">
        <v>184</v>
      </c>
      <c r="AA160" s="42"/>
      <c r="AB160" s="42"/>
      <c r="AC160" s="42"/>
      <c r="AD160" s="42"/>
      <c r="AE160" s="6"/>
      <c r="AF160" s="6"/>
      <c r="AG160" s="42"/>
    </row>
    <row r="161" spans="15:33" ht="15.75" hidden="1" outlineLevel="1" x14ac:dyDescent="0.3">
      <c r="O161" s="17"/>
      <c r="P161" s="17"/>
      <c r="Q161" s="17" t="s">
        <v>52</v>
      </c>
      <c r="R161" s="17"/>
      <c r="S161" s="37"/>
      <c r="T161" s="37"/>
      <c r="U161" s="37">
        <f>'M1 Härtekammern'!T157</f>
        <v>5.7797543707556596</v>
      </c>
      <c r="V161" s="17"/>
      <c r="X161" s="37">
        <f t="shared" si="36"/>
        <v>0</v>
      </c>
      <c r="Y161" s="37">
        <f t="shared" si="38"/>
        <v>5.7797543707556596</v>
      </c>
      <c r="Z161" s="17" t="s">
        <v>184</v>
      </c>
      <c r="AA161" s="42"/>
      <c r="AB161" s="42"/>
      <c r="AC161" s="42"/>
      <c r="AD161" s="42"/>
      <c r="AE161" s="6"/>
      <c r="AF161" s="6"/>
      <c r="AG161" s="42"/>
    </row>
    <row r="162" spans="15:33" ht="15.75" hidden="1" outlineLevel="1" x14ac:dyDescent="0.3">
      <c r="O162" s="17"/>
      <c r="P162" s="17"/>
      <c r="Q162" s="17" t="s">
        <v>53</v>
      </c>
      <c r="R162" s="17"/>
      <c r="S162" s="37"/>
      <c r="T162" s="37"/>
      <c r="U162" s="37">
        <f>'M1 Härtekammern'!T158</f>
        <v>1.4217598612917211E-2</v>
      </c>
      <c r="V162" s="17"/>
      <c r="X162" s="37">
        <f t="shared" si="36"/>
        <v>0</v>
      </c>
      <c r="Y162" s="37">
        <f t="shared" si="38"/>
        <v>1.4217598612917211E-2</v>
      </c>
      <c r="Z162" s="17" t="s">
        <v>184</v>
      </c>
      <c r="AA162" s="42"/>
      <c r="AB162" s="42"/>
      <c r="AC162" s="42"/>
      <c r="AD162" s="42"/>
      <c r="AE162" s="6"/>
      <c r="AF162" s="6"/>
      <c r="AG162" s="42"/>
    </row>
    <row r="163" spans="15:33" ht="15.75" hidden="1" outlineLevel="1" x14ac:dyDescent="0.3">
      <c r="O163" s="17"/>
      <c r="P163" s="17"/>
      <c r="Q163" s="17" t="s">
        <v>54</v>
      </c>
      <c r="R163" s="17"/>
      <c r="S163" s="37"/>
      <c r="T163" s="37"/>
      <c r="U163" s="37">
        <f>'M1 Härtekammern'!T159</f>
        <v>94.655570004334635</v>
      </c>
      <c r="V163" s="17"/>
      <c r="X163" s="37">
        <f t="shared" si="36"/>
        <v>0</v>
      </c>
      <c r="Y163" s="37">
        <f t="shared" si="38"/>
        <v>94.655570004334635</v>
      </c>
      <c r="Z163" s="17" t="s">
        <v>184</v>
      </c>
      <c r="AA163" s="42"/>
      <c r="AB163" s="42"/>
      <c r="AC163" s="42"/>
      <c r="AD163" s="42"/>
      <c r="AE163" s="6"/>
      <c r="AF163" s="6"/>
      <c r="AG163" s="42"/>
    </row>
    <row r="164" spans="15:33" hidden="1" outlineLevel="1" x14ac:dyDescent="0.2">
      <c r="O164" s="17"/>
      <c r="P164" s="17"/>
      <c r="Q164" s="17"/>
      <c r="R164" s="17"/>
      <c r="S164" s="20"/>
      <c r="T164" s="20"/>
      <c r="U164" s="20"/>
      <c r="V164" s="17"/>
      <c r="X164" s="20"/>
      <c r="Y164" s="20"/>
      <c r="Z164" s="17"/>
      <c r="AA164" s="42"/>
      <c r="AB164" s="42"/>
      <c r="AC164" s="42"/>
      <c r="AD164" s="42"/>
      <c r="AE164" s="6"/>
      <c r="AF164" s="6"/>
      <c r="AG164" s="42"/>
    </row>
    <row r="165" spans="15:33" ht="14.25" hidden="1" outlineLevel="1" x14ac:dyDescent="0.25">
      <c r="O165" s="17"/>
      <c r="P165" s="17"/>
      <c r="Q165" s="21" t="s">
        <v>99</v>
      </c>
      <c r="R165" s="21"/>
      <c r="S165" s="74"/>
      <c r="T165" s="74"/>
      <c r="U165" s="37">
        <f>'M1 Härtekammern'!T161</f>
        <v>0</v>
      </c>
      <c r="V165" s="21"/>
      <c r="X165" s="74">
        <f>S165+T165</f>
        <v>0</v>
      </c>
      <c r="Y165" s="74">
        <f>SUM(S165:U165)</f>
        <v>0</v>
      </c>
      <c r="Z165" s="21" t="s">
        <v>183</v>
      </c>
      <c r="AA165" s="42"/>
      <c r="AB165" s="42"/>
      <c r="AC165" s="42"/>
      <c r="AD165" s="42"/>
      <c r="AE165" s="6"/>
      <c r="AF165" s="6"/>
      <c r="AG165" s="42"/>
    </row>
    <row r="166" spans="15:33" ht="14.25" hidden="1" outlineLevel="1" x14ac:dyDescent="0.25">
      <c r="O166" s="17"/>
      <c r="P166" s="17"/>
      <c r="Q166" s="21" t="s">
        <v>62</v>
      </c>
      <c r="R166" s="21"/>
      <c r="S166" s="74"/>
      <c r="T166" s="74"/>
      <c r="U166" s="37">
        <f>'M1 Härtekammern'!T162</f>
        <v>0.54400000000000004</v>
      </c>
      <c r="V166" s="21"/>
      <c r="X166" s="74">
        <f>S166+T166</f>
        <v>0</v>
      </c>
      <c r="Y166" s="74">
        <f>SUM(S166:U166)</f>
        <v>0.54400000000000004</v>
      </c>
      <c r="Z166" s="21" t="s">
        <v>183</v>
      </c>
      <c r="AA166" s="42"/>
      <c r="AB166" s="42"/>
      <c r="AC166" s="42"/>
      <c r="AD166" s="42"/>
      <c r="AE166" s="6"/>
      <c r="AF166" s="6"/>
      <c r="AG166" s="42"/>
    </row>
    <row r="167" spans="15:33" hidden="1" outlineLevel="1" x14ac:dyDescent="0.2">
      <c r="O167" s="17"/>
      <c r="P167" s="17"/>
      <c r="Q167" s="17"/>
      <c r="R167" s="17"/>
      <c r="S167" s="20"/>
      <c r="T167" s="20"/>
      <c r="U167" s="20"/>
      <c r="V167" s="17"/>
      <c r="X167" s="20"/>
      <c r="Y167" s="20"/>
      <c r="Z167" s="17"/>
      <c r="AA167" s="42"/>
      <c r="AB167" s="42"/>
      <c r="AC167" s="42"/>
      <c r="AD167" s="42"/>
      <c r="AE167" s="6"/>
      <c r="AF167" s="6"/>
      <c r="AG167" s="42"/>
    </row>
    <row r="168" spans="15:33" ht="14.25" hidden="1" outlineLevel="1" x14ac:dyDescent="0.25">
      <c r="O168" s="69"/>
      <c r="P168" s="69" t="s">
        <v>168</v>
      </c>
      <c r="Q168" s="70"/>
      <c r="R168" s="70"/>
      <c r="S168" s="71"/>
      <c r="T168" s="71"/>
      <c r="U168" s="71">
        <f>SUM(U169:U171)</f>
        <v>0.16095999999999999</v>
      </c>
      <c r="V168" s="70"/>
      <c r="X168" s="71">
        <f t="shared" ref="X168:X171" si="39">S168+T168</f>
        <v>0</v>
      </c>
      <c r="Y168" s="71">
        <f t="shared" ref="Y168" si="40">SUM(S168:U168)</f>
        <v>0.16095999999999999</v>
      </c>
      <c r="Z168" s="76" t="s">
        <v>183</v>
      </c>
      <c r="AA168" s="42"/>
      <c r="AB168" s="42"/>
      <c r="AC168" s="42"/>
      <c r="AD168" s="42"/>
      <c r="AE168" s="6"/>
      <c r="AF168" s="6"/>
      <c r="AG168" s="42"/>
    </row>
    <row r="169" spans="15:33" ht="15.75" hidden="1" outlineLevel="1" x14ac:dyDescent="0.3">
      <c r="O169" s="17"/>
      <c r="P169" s="17"/>
      <c r="Q169" s="17" t="s">
        <v>169</v>
      </c>
      <c r="R169" s="17"/>
      <c r="S169" s="37"/>
      <c r="T169" s="37"/>
      <c r="U169" s="37">
        <f>'M1 Härtekammern'!T165</f>
        <v>0</v>
      </c>
      <c r="V169" s="17"/>
      <c r="X169" s="37">
        <f t="shared" si="39"/>
        <v>0</v>
      </c>
      <c r="Y169" s="37">
        <f t="shared" ref="Y169:Y171" si="41">SUM(S169:U169)</f>
        <v>0</v>
      </c>
      <c r="Z169" s="17" t="s">
        <v>184</v>
      </c>
      <c r="AA169" s="42"/>
      <c r="AB169" s="42"/>
      <c r="AC169" s="42"/>
      <c r="AD169" s="42"/>
      <c r="AE169" s="6"/>
      <c r="AF169" s="6"/>
      <c r="AG169" s="42"/>
    </row>
    <row r="170" spans="15:33" ht="15.75" hidden="1" outlineLevel="1" x14ac:dyDescent="0.3">
      <c r="O170" s="17"/>
      <c r="P170" s="17"/>
      <c r="Q170" s="17" t="s">
        <v>60</v>
      </c>
      <c r="R170" s="17"/>
      <c r="S170" s="37"/>
      <c r="T170" s="37"/>
      <c r="U170" s="37">
        <f>'M1 Härtekammern'!T166</f>
        <v>0.16095999999999999</v>
      </c>
      <c r="V170" s="17"/>
      <c r="X170" s="37">
        <f t="shared" si="39"/>
        <v>0</v>
      </c>
      <c r="Y170" s="37">
        <f t="shared" si="41"/>
        <v>0.16095999999999999</v>
      </c>
      <c r="Z170" s="17" t="s">
        <v>184</v>
      </c>
      <c r="AA170" s="42"/>
      <c r="AB170" s="42"/>
      <c r="AC170" s="42"/>
      <c r="AD170" s="42"/>
      <c r="AE170" s="6"/>
      <c r="AF170" s="6"/>
      <c r="AG170" s="42"/>
    </row>
    <row r="171" spans="15:33" ht="15.75" hidden="1" outlineLevel="1" x14ac:dyDescent="0.3">
      <c r="O171" s="17"/>
      <c r="P171" s="17"/>
      <c r="Q171" s="17" t="s">
        <v>170</v>
      </c>
      <c r="R171" s="17"/>
      <c r="S171" s="37"/>
      <c r="T171" s="37"/>
      <c r="U171" s="37">
        <f>'M1 Härtekammern'!T167</f>
        <v>0</v>
      </c>
      <c r="V171" s="17"/>
      <c r="X171" s="37">
        <f t="shared" si="39"/>
        <v>0</v>
      </c>
      <c r="Y171" s="37">
        <f t="shared" si="41"/>
        <v>0</v>
      </c>
      <c r="Z171" s="17" t="s">
        <v>184</v>
      </c>
      <c r="AA171" s="42"/>
      <c r="AB171" s="42"/>
      <c r="AC171" s="42"/>
      <c r="AD171" s="42"/>
      <c r="AE171" s="6"/>
      <c r="AF171" s="6"/>
      <c r="AG171" s="42"/>
    </row>
    <row r="172" spans="15:33" hidden="1" outlineLevel="1" x14ac:dyDescent="0.2">
      <c r="O172" s="17"/>
      <c r="P172" s="17"/>
      <c r="Q172" s="17"/>
      <c r="R172" s="17"/>
      <c r="S172" s="20"/>
      <c r="T172" s="20"/>
      <c r="U172" s="20"/>
      <c r="V172" s="17"/>
      <c r="X172" s="17"/>
      <c r="Y172" s="17"/>
      <c r="Z172" s="20"/>
      <c r="AA172" s="42"/>
      <c r="AB172" s="42"/>
      <c r="AC172" s="42"/>
      <c r="AD172" s="42"/>
      <c r="AE172" s="6"/>
      <c r="AF172" s="6"/>
      <c r="AG172" s="42"/>
    </row>
    <row r="173" spans="15:33" ht="14.25" hidden="1" outlineLevel="1" x14ac:dyDescent="0.25">
      <c r="O173" s="69"/>
      <c r="P173" s="69" t="s">
        <v>171</v>
      </c>
      <c r="Q173" s="70"/>
      <c r="R173" s="70"/>
      <c r="S173" s="71"/>
      <c r="T173" s="71"/>
      <c r="U173" s="71">
        <f>SUM(U174:U176)</f>
        <v>60</v>
      </c>
      <c r="V173" s="70"/>
      <c r="X173" s="71">
        <f>S173+T173</f>
        <v>0</v>
      </c>
      <c r="Y173" s="71">
        <f t="shared" ref="Y173" si="42">SUM(S173:U173)</f>
        <v>60</v>
      </c>
      <c r="Z173" s="76" t="s">
        <v>183</v>
      </c>
      <c r="AA173" s="42"/>
      <c r="AB173" s="42"/>
      <c r="AC173" s="42"/>
      <c r="AD173" s="42"/>
      <c r="AE173" s="6"/>
      <c r="AF173" s="6"/>
      <c r="AG173" s="42"/>
    </row>
    <row r="174" spans="15:33" ht="15.75" hidden="1" outlineLevel="1" x14ac:dyDescent="0.3">
      <c r="O174" s="17"/>
      <c r="P174" s="17"/>
      <c r="Q174" s="17" t="s">
        <v>64</v>
      </c>
      <c r="R174" s="17"/>
      <c r="S174" s="37"/>
      <c r="T174" s="37"/>
      <c r="U174" s="37">
        <f>'M1 Härtekammern'!T170</f>
        <v>60</v>
      </c>
      <c r="V174" s="17"/>
      <c r="X174" s="37">
        <f>S174+T174</f>
        <v>0</v>
      </c>
      <c r="Y174" s="37">
        <f>SUM(S174:U174)</f>
        <v>60</v>
      </c>
      <c r="Z174" s="17" t="s">
        <v>184</v>
      </c>
      <c r="AA174" s="42"/>
      <c r="AB174" s="42"/>
      <c r="AC174" s="42"/>
      <c r="AD174" s="42"/>
      <c r="AE174" s="6"/>
      <c r="AF174" s="6"/>
      <c r="AG174" s="42"/>
    </row>
    <row r="175" spans="15:33" ht="15.75" hidden="1" outlineLevel="1" x14ac:dyDescent="0.3">
      <c r="O175" s="17"/>
      <c r="P175" s="17"/>
      <c r="Q175" s="17" t="s">
        <v>173</v>
      </c>
      <c r="R175" s="17"/>
      <c r="S175" s="37"/>
      <c r="T175" s="37"/>
      <c r="U175" s="37">
        <f>'M1 Härtekammern'!T171</f>
        <v>0</v>
      </c>
      <c r="V175" s="17"/>
      <c r="X175" s="37">
        <f t="shared" ref="X175:X176" si="43">S175+T175</f>
        <v>0</v>
      </c>
      <c r="Y175" s="37">
        <f t="shared" ref="Y175:Y176" si="44">SUM(S175:U175)</f>
        <v>0</v>
      </c>
      <c r="Z175" s="17" t="s">
        <v>184</v>
      </c>
      <c r="AA175" s="42"/>
      <c r="AB175" s="42"/>
      <c r="AC175" s="42"/>
      <c r="AD175" s="42"/>
      <c r="AE175" s="6"/>
      <c r="AF175" s="6"/>
      <c r="AG175" s="42"/>
    </row>
    <row r="176" spans="15:33" ht="15.75" hidden="1" outlineLevel="1" x14ac:dyDescent="0.3">
      <c r="O176" s="17"/>
      <c r="P176" s="17"/>
      <c r="Q176" s="17" t="s">
        <v>172</v>
      </c>
      <c r="R176" s="17"/>
      <c r="S176" s="37"/>
      <c r="T176" s="37"/>
      <c r="U176" s="37">
        <f>'M1 Härtekammern'!T172</f>
        <v>0</v>
      </c>
      <c r="V176" s="17"/>
      <c r="X176" s="37">
        <f t="shared" si="43"/>
        <v>0</v>
      </c>
      <c r="Y176" s="37">
        <f t="shared" si="44"/>
        <v>0</v>
      </c>
      <c r="Z176" s="17" t="s">
        <v>184</v>
      </c>
      <c r="AA176" s="42"/>
      <c r="AB176" s="42"/>
      <c r="AC176" s="42"/>
      <c r="AD176" s="42"/>
      <c r="AE176" s="6"/>
      <c r="AF176" s="6"/>
      <c r="AG176" s="42"/>
    </row>
    <row r="177" spans="15:34" hidden="1" outlineLevel="1" x14ac:dyDescent="0.2">
      <c r="O177" s="17"/>
      <c r="P177" s="17"/>
      <c r="Q177" s="17"/>
      <c r="R177" s="17"/>
      <c r="S177" s="20"/>
      <c r="T177" s="20"/>
      <c r="U177" s="20"/>
      <c r="V177" s="17"/>
      <c r="X177" s="17"/>
      <c r="Y177" s="17"/>
      <c r="Z177" s="20"/>
      <c r="AA177" s="42"/>
      <c r="AB177" s="42"/>
      <c r="AC177" s="42"/>
      <c r="AD177" s="42"/>
      <c r="AE177" s="6"/>
      <c r="AF177" s="6"/>
      <c r="AG177" s="42"/>
    </row>
    <row r="178" spans="15:34" ht="14.25" hidden="1" outlineLevel="1" x14ac:dyDescent="0.25">
      <c r="O178" s="17"/>
      <c r="P178" s="17"/>
      <c r="Q178" s="21" t="s">
        <v>61</v>
      </c>
      <c r="R178" s="21"/>
      <c r="S178" s="74"/>
      <c r="T178" s="74"/>
      <c r="U178" s="37">
        <f>'M1 Härtekammern'!T174</f>
        <v>64.48</v>
      </c>
      <c r="V178" s="21"/>
      <c r="X178" s="74">
        <f t="shared" ref="X178" si="45">S178+T178</f>
        <v>0</v>
      </c>
      <c r="Y178" s="74">
        <f t="shared" ref="Y178" si="46">SUM(S178:U178)</f>
        <v>64.48</v>
      </c>
      <c r="Z178" s="21" t="s">
        <v>183</v>
      </c>
      <c r="AE178" s="6"/>
      <c r="AF178" s="6"/>
    </row>
    <row r="179" spans="15:34" hidden="1" outlineLevel="1" x14ac:dyDescent="0.2">
      <c r="O179" s="17"/>
      <c r="P179" s="17"/>
      <c r="Q179" s="17"/>
      <c r="R179" s="17"/>
      <c r="S179" s="20"/>
      <c r="T179" s="20"/>
      <c r="U179" s="20"/>
      <c r="V179" s="17"/>
      <c r="X179" s="17"/>
      <c r="Y179" s="17"/>
      <c r="Z179" s="20"/>
      <c r="AE179" s="6"/>
      <c r="AF179" s="6"/>
    </row>
    <row r="180" spans="15:34" ht="16.5" hidden="1" outlineLevel="1" thickBot="1" x14ac:dyDescent="0.3">
      <c r="O180" s="17"/>
      <c r="P180" s="17"/>
      <c r="Q180" s="67" t="s">
        <v>67</v>
      </c>
      <c r="R180" s="67"/>
      <c r="S180" s="68">
        <f>SUM(S119:S178)-S133-S137-S143-S152-S159-S168-S173</f>
        <v>94.932355060000006</v>
      </c>
      <c r="T180" s="68">
        <f>SUM(T119:T178)-T133-T137-T143-T152-T159-T168-T173</f>
        <v>0</v>
      </c>
      <c r="U180" s="68">
        <f>SUM(U119:U178)-U133-U137-U143-U152-U159-U168-U173</f>
        <v>5744.366082809518</v>
      </c>
      <c r="V180" s="21"/>
      <c r="X180" s="68">
        <f>SUM(X119:X178)-X133-X137-X143-X152-X159-X168-X173</f>
        <v>94.932355060000006</v>
      </c>
      <c r="Y180" s="68">
        <f>SUM(Y119:Y178)-Y133-Y137-Y143-Y152-Y159-Y168-Y173</f>
        <v>5839.2984378695182</v>
      </c>
      <c r="Z180" s="68" t="s">
        <v>183</v>
      </c>
      <c r="AB180" s="22" t="s">
        <v>488</v>
      </c>
      <c r="AC180" s="17"/>
      <c r="AD180" s="17"/>
      <c r="AE180" s="6"/>
      <c r="AF180" s="6"/>
      <c r="AG180" s="17"/>
      <c r="AH180" s="17"/>
    </row>
    <row r="181" spans="15:34" ht="15.75" hidden="1" outlineLevel="1" thickTop="1" x14ac:dyDescent="0.25">
      <c r="O181" s="17"/>
      <c r="P181" s="17"/>
      <c r="Q181" s="17"/>
      <c r="R181" s="17"/>
      <c r="S181" s="20"/>
      <c r="T181" s="20"/>
      <c r="U181" s="20"/>
      <c r="V181" s="17"/>
      <c r="X181" s="17"/>
      <c r="Y181" s="17"/>
      <c r="Z181" s="20"/>
      <c r="AB181" s="64">
        <f>P185</f>
        <v>10</v>
      </c>
      <c r="AC181" s="17"/>
      <c r="AD181" s="17"/>
      <c r="AE181" s="6"/>
      <c r="AF181" s="6"/>
      <c r="AG181" s="17"/>
      <c r="AH181" s="17"/>
    </row>
    <row r="182" spans="15:34" hidden="1" outlineLevel="1" x14ac:dyDescent="0.2">
      <c r="AB182" s="17"/>
      <c r="AC182" s="17"/>
      <c r="AD182" s="17"/>
      <c r="AE182" s="6"/>
      <c r="AF182" s="6"/>
      <c r="AG182" s="17"/>
      <c r="AH182" s="17"/>
    </row>
    <row r="183" spans="15:34" hidden="1" outlineLevel="1" x14ac:dyDescent="0.2">
      <c r="AB183" s="17"/>
      <c r="AC183" s="17"/>
      <c r="AD183" s="17"/>
      <c r="AE183" s="6"/>
      <c r="AF183" s="6"/>
      <c r="AG183" s="17"/>
      <c r="AH183" s="17"/>
    </row>
    <row r="184" spans="15:34" ht="15.75" hidden="1" outlineLevel="1" x14ac:dyDescent="0.25">
      <c r="O184" s="22"/>
      <c r="P184" s="22" t="s">
        <v>103</v>
      </c>
      <c r="Q184" s="17"/>
      <c r="R184" s="17"/>
      <c r="S184" s="17"/>
      <c r="T184" s="17"/>
      <c r="U184" s="17"/>
      <c r="V184" s="17"/>
      <c r="X184" s="17"/>
      <c r="Y184" s="17"/>
      <c r="Z184" s="17"/>
      <c r="AB184" s="17"/>
      <c r="AC184" s="17"/>
      <c r="AD184" s="17"/>
      <c r="AE184" s="6"/>
      <c r="AF184" s="6"/>
      <c r="AG184" s="17"/>
      <c r="AH184" s="17"/>
    </row>
    <row r="185" spans="15:34" ht="15" hidden="1" outlineLevel="1" x14ac:dyDescent="0.25">
      <c r="O185" s="64"/>
      <c r="P185" s="64">
        <f>T41</f>
        <v>10</v>
      </c>
      <c r="Q185" s="25"/>
      <c r="R185" s="25"/>
      <c r="S185" s="36" t="s">
        <v>25</v>
      </c>
      <c r="T185" s="36" t="s">
        <v>77</v>
      </c>
      <c r="U185" s="36" t="s">
        <v>27</v>
      </c>
      <c r="V185" s="25"/>
      <c r="X185" s="25"/>
      <c r="Y185" s="25"/>
      <c r="Z185" s="25"/>
      <c r="AB185" s="17"/>
      <c r="AC185" s="17"/>
      <c r="AD185" s="17"/>
      <c r="AE185" s="6"/>
      <c r="AF185" s="6"/>
      <c r="AG185" s="17"/>
      <c r="AH185" s="17"/>
    </row>
    <row r="186" spans="15:34" hidden="1" outlineLevel="1" x14ac:dyDescent="0.2">
      <c r="O186" s="17"/>
      <c r="P186" s="17"/>
      <c r="Q186" s="17" t="s">
        <v>221</v>
      </c>
      <c r="R186" s="278" t="str">
        <f>IF(NOT(ISBLANK($G$16)),$G$16,$E$16)</f>
        <v>Grünstrommix</v>
      </c>
      <c r="S186" s="279">
        <f>VLOOKUP(R186,Q187:U190,3,FALSE)</f>
        <v>0</v>
      </c>
      <c r="T186" s="280">
        <f>VLOOKUP(R186,Q187:U190,4,FALSE)</f>
        <v>0</v>
      </c>
      <c r="U186" s="280">
        <f>VLOOKUP(R186,Q187:U190,5,FALSE)</f>
        <v>4.0790000000000001E-5</v>
      </c>
      <c r="V186" s="17"/>
      <c r="X186" s="17"/>
      <c r="Y186" s="17"/>
      <c r="Z186" s="17"/>
      <c r="AB186" s="17"/>
      <c r="AC186" s="17"/>
      <c r="AD186" s="17"/>
      <c r="AE186" s="6"/>
      <c r="AF186" s="6"/>
      <c r="AG186" s="17"/>
      <c r="AH186" s="17"/>
    </row>
    <row r="187" spans="15:34" hidden="1" outlineLevel="1" x14ac:dyDescent="0.2">
      <c r="O187" s="17"/>
      <c r="P187" s="17" t="s">
        <v>220</v>
      </c>
      <c r="Q187" s="17" t="s">
        <v>218</v>
      </c>
      <c r="R187" s="30"/>
      <c r="S187" s="281">
        <v>0</v>
      </c>
      <c r="T187" s="282">
        <f>IF(NOT(ISBLANK('Eingabe EF'!AW64)),'Eingabe EF'!AW64,'Eingabe EF'!AU64)</f>
        <v>0</v>
      </c>
      <c r="U187" s="282">
        <f>IF(NOT(ISBLANK('Eingabe EF'!BA64)),'Eingabe EF'!BA64,'Eingabe EF'!AY64)</f>
        <v>4.0790000000000001E-5</v>
      </c>
      <c r="V187" s="17"/>
      <c r="X187" s="17"/>
      <c r="Y187" s="17"/>
      <c r="Z187" s="17"/>
      <c r="AB187" s="17"/>
      <c r="AC187" s="17"/>
      <c r="AD187" s="17"/>
      <c r="AE187" s="6"/>
      <c r="AF187" s="6"/>
      <c r="AG187" s="17"/>
      <c r="AH187" s="17"/>
    </row>
    <row r="188" spans="15:34" hidden="1" outlineLevel="1" x14ac:dyDescent="0.2">
      <c r="O188" s="17"/>
      <c r="P188" s="17" t="s">
        <v>220</v>
      </c>
      <c r="Q188" s="17" t="s">
        <v>97</v>
      </c>
      <c r="R188" s="30"/>
      <c r="S188" s="281">
        <v>0</v>
      </c>
      <c r="T188" s="281">
        <f>IF(NOT(ISBLANK('Eingabe EF'!AW65)),'Eingabe EF'!AW65,'Eingabe EF'!AU65)</f>
        <v>0</v>
      </c>
      <c r="U188" s="282">
        <f>IF(NOT(ISBLANK('Eingabe EF'!BA65)),'Eingabe EF'!BA65,'Eingabe EF'!AY65)</f>
        <v>5.5713999999999995E-5</v>
      </c>
      <c r="V188" s="17"/>
      <c r="X188" s="17"/>
      <c r="Y188" s="17"/>
      <c r="Z188" s="17"/>
      <c r="AB188" s="17"/>
      <c r="AC188" s="17"/>
      <c r="AD188" s="17"/>
      <c r="AE188" s="6"/>
      <c r="AF188" s="6"/>
      <c r="AG188" s="17"/>
      <c r="AH188" s="17"/>
    </row>
    <row r="189" spans="15:34" hidden="1" outlineLevel="1" x14ac:dyDescent="0.2">
      <c r="O189" s="17"/>
      <c r="P189" s="17" t="s">
        <v>220</v>
      </c>
      <c r="Q189" s="17" t="s">
        <v>98</v>
      </c>
      <c r="R189" s="30"/>
      <c r="S189" s="281">
        <v>0</v>
      </c>
      <c r="T189" s="281">
        <f>IF(NOT(ISBLANK('Eingabe EF'!AW66)),'Eingabe EF'!AW66,'Eingabe EF'!AU66)</f>
        <v>0</v>
      </c>
      <c r="U189" s="282">
        <f>IF(NOT(ISBLANK('Eingabe EF'!BA66)),'Eingabe EF'!BA66,'Eingabe EF'!AY66)</f>
        <v>1.5335600000000003E-5</v>
      </c>
      <c r="V189" s="17"/>
      <c r="X189" s="17"/>
      <c r="Y189" s="17"/>
      <c r="Z189" s="17"/>
      <c r="AB189" s="17"/>
      <c r="AC189" s="17"/>
      <c r="AD189" s="17"/>
      <c r="AE189" s="6"/>
      <c r="AF189" s="6"/>
      <c r="AG189" s="18"/>
      <c r="AH189" s="18"/>
    </row>
    <row r="190" spans="15:34" hidden="1" outlineLevel="1" x14ac:dyDescent="0.2">
      <c r="O190" s="17"/>
      <c r="P190" s="17" t="s">
        <v>220</v>
      </c>
      <c r="Q190" s="17" t="s">
        <v>99</v>
      </c>
      <c r="R190" s="30"/>
      <c r="S190" s="37">
        <v>0</v>
      </c>
      <c r="T190" s="37">
        <f>IF(NOT(ISBLANK('Eingabe EF'!AW67)),'Eingabe EF'!AW67,'Eingabe EF'!AU67)</f>
        <v>0</v>
      </c>
      <c r="U190" s="282">
        <f>IF(NOT(ISBLANK('Eingabe EF'!BA67)),'Eingabe EF'!BA67,'Eingabe EF'!AY67)</f>
        <v>2.65E-6</v>
      </c>
      <c r="V190" s="17"/>
      <c r="X190" s="17"/>
      <c r="Y190" s="17"/>
      <c r="Z190" s="17"/>
      <c r="AB190" s="17"/>
      <c r="AC190" s="17"/>
      <c r="AD190" s="17"/>
      <c r="AE190" s="6"/>
      <c r="AF190" s="6"/>
      <c r="AG190" s="18"/>
      <c r="AH190" s="18"/>
    </row>
    <row r="191" spans="15:34" hidden="1" outlineLevel="1" x14ac:dyDescent="0.2">
      <c r="O191" s="17"/>
      <c r="P191" s="17"/>
      <c r="Q191" s="17"/>
      <c r="R191" s="30"/>
      <c r="S191" s="30"/>
      <c r="T191" s="30"/>
      <c r="U191" s="30"/>
      <c r="V191" s="17"/>
      <c r="X191" s="17"/>
      <c r="Y191" s="17"/>
      <c r="Z191" s="17"/>
      <c r="AB191" s="17" t="s">
        <v>132</v>
      </c>
      <c r="AC191" s="17"/>
      <c r="AD191" s="17"/>
      <c r="AE191" s="6"/>
      <c r="AF191" s="6"/>
      <c r="AG191" s="18"/>
      <c r="AH191" s="18"/>
    </row>
    <row r="192" spans="15:34" hidden="1" outlineLevel="1" x14ac:dyDescent="0.2">
      <c r="O192" s="17"/>
      <c r="P192" s="17"/>
      <c r="Q192" s="17"/>
      <c r="R192" s="17"/>
      <c r="S192" s="17"/>
      <c r="T192" s="17"/>
      <c r="U192" s="17"/>
      <c r="V192" s="17"/>
      <c r="X192" s="17"/>
      <c r="Y192" s="17"/>
      <c r="Z192" s="17"/>
      <c r="AB192" s="274"/>
      <c r="AC192" s="17" t="s">
        <v>114</v>
      </c>
      <c r="AD192" s="17"/>
      <c r="AE192" s="6"/>
      <c r="AF192" s="6"/>
      <c r="AG192" s="41">
        <f>IF(NOT(ISBLANK('Referenz Plattenfertiger'!$I16)),'Referenz Plattenfertiger'!$I16,'Referenz Plattenfertiger'!$F16)/1000*IF(NOT(ISBLANK('Eingabe Preise'!$O10)),'Eingabe Preise'!$O10,'Eingabe Preise'!$M10)</f>
        <v>11468</v>
      </c>
      <c r="AH192" s="20" t="s">
        <v>96</v>
      </c>
    </row>
    <row r="193" spans="15:34" ht="63.75" hidden="1" outlineLevel="1" x14ac:dyDescent="0.2">
      <c r="O193" s="17"/>
      <c r="P193" s="17"/>
      <c r="Q193" s="17"/>
      <c r="R193" s="17"/>
      <c r="S193" s="36" t="s">
        <v>25</v>
      </c>
      <c r="T193" s="36" t="s">
        <v>77</v>
      </c>
      <c r="U193" s="36" t="s">
        <v>27</v>
      </c>
      <c r="V193" s="17"/>
      <c r="X193" s="39" t="s">
        <v>100</v>
      </c>
      <c r="Y193" s="40" t="s">
        <v>37</v>
      </c>
      <c r="Z193" s="17"/>
      <c r="AB193" s="274"/>
      <c r="AC193" s="17" t="s">
        <v>151</v>
      </c>
      <c r="AD193" s="17"/>
      <c r="AE193" s="6"/>
      <c r="AF193" s="6"/>
      <c r="AG193" s="41">
        <f>IF(NOT(ISBLANK('Referenz Plattenfertiger'!$I17)),'Referenz Plattenfertiger'!$I17,'Referenz Plattenfertiger'!$F17)/1000*IF(NOT(ISBLANK('Eingabe Preise'!$O11)),'Eingabe Preise'!$O11,'Eingabe Preise'!$M11)</f>
        <v>1104</v>
      </c>
      <c r="AH193" s="20" t="s">
        <v>96</v>
      </c>
    </row>
    <row r="194" spans="15:34" ht="14.25" hidden="1" outlineLevel="1" x14ac:dyDescent="0.25">
      <c r="O194" s="76"/>
      <c r="P194" s="76" t="s">
        <v>176</v>
      </c>
      <c r="Q194" s="76"/>
      <c r="R194" s="76"/>
      <c r="S194" s="77">
        <f>SUM(S196:S209)</f>
        <v>94.932355060000006</v>
      </c>
      <c r="T194" s="77">
        <f>SUM(T196:T209)</f>
        <v>0</v>
      </c>
      <c r="U194" s="77">
        <f>SUM(U196:U209)</f>
        <v>34.437233460000002</v>
      </c>
      <c r="V194" s="76"/>
      <c r="X194" s="77">
        <f>S194+T194</f>
        <v>94.932355060000006</v>
      </c>
      <c r="Y194" s="77">
        <f>SUM(S194:U194)</f>
        <v>129.36958852000001</v>
      </c>
      <c r="Z194" s="76" t="s">
        <v>183</v>
      </c>
      <c r="AB194" s="274"/>
      <c r="AC194" s="17" t="s">
        <v>138</v>
      </c>
      <c r="AD194" s="17"/>
      <c r="AE194" s="6"/>
      <c r="AF194" s="6"/>
      <c r="AG194" s="41">
        <f>IF(NOT(ISBLANK('Referenz Plattenfertiger'!$I18)),'Referenz Plattenfertiger'!$I18,'Referenz Plattenfertiger'!$F18)/1000*IF(NOT(ISBLANK('Eingabe Preise'!$O15)),'Eingabe Preise'!$O15,'Eingabe Preise'!$M15)</f>
        <v>7852.5</v>
      </c>
      <c r="AH194" s="20" t="s">
        <v>96</v>
      </c>
    </row>
    <row r="195" spans="15:34" hidden="1" outlineLevel="1" x14ac:dyDescent="0.2">
      <c r="O195" s="17"/>
      <c r="P195" s="17" t="s">
        <v>132</v>
      </c>
      <c r="Q195" s="17"/>
      <c r="R195" s="17"/>
      <c r="S195" s="17"/>
      <c r="T195" s="17"/>
      <c r="U195" s="17"/>
      <c r="V195" s="17"/>
      <c r="X195" s="17"/>
      <c r="Y195" s="17"/>
      <c r="Z195" s="17"/>
      <c r="AB195" s="274"/>
      <c r="AC195" s="17" t="s">
        <v>115</v>
      </c>
      <c r="AD195" s="17"/>
      <c r="AE195" s="6"/>
      <c r="AF195" s="6"/>
      <c r="AG195" s="41">
        <f>IF(NOT(ISBLANK('Referenz Plattenfertiger'!$I19)),'Referenz Plattenfertiger'!$I19,'Referenz Plattenfertiger'!$F19)/1000*IF(NOT(ISBLANK('Eingabe Preise'!$O16)),'Eingabe Preise'!$O16,0)</f>
        <v>0</v>
      </c>
      <c r="AH195" s="20" t="s">
        <v>96</v>
      </c>
    </row>
    <row r="196" spans="15:34" ht="15.75" hidden="1" outlineLevel="1" x14ac:dyDescent="0.3">
      <c r="O196" s="274"/>
      <c r="P196" s="17"/>
      <c r="Q196" s="17" t="s">
        <v>114</v>
      </c>
      <c r="R196" s="17"/>
      <c r="S196" s="37">
        <f>IF(NOT(ISBLANK('Referenz Plattenfertiger'!$I16)),'Referenz Plattenfertiger'!$I16,'Referenz Plattenfertiger'!$F16)*IF(NOT(ISBLANK('Eingabe EF'!$AS9)),'Eingabe EF'!$AS9,'Eingabe EF'!$AQ9)</f>
        <v>34.434080000000002</v>
      </c>
      <c r="T196" s="37">
        <f>IF(NOT(ISBLANK('Referenz Plattenfertiger'!$I16)),'Referenz Plattenfertiger'!$I16,'Referenz Plattenfertiger'!$F16)*IF(NOT(ISBLANK('Eingabe EF'!$AW9)),'Eingabe EF'!$AW9,'Eingabe EF'!$AU9)</f>
        <v>0</v>
      </c>
      <c r="U196" s="37">
        <f>IF(NOT(ISBLANK('Referenz Plattenfertiger'!$I16)),'Referenz Plattenfertiger'!$I16,'Referenz Plattenfertiger'!$F16)*IF(NOT(ISBLANK('Eingabe EF'!$BA9)),'Eingabe EF'!$BA9,'Eingabe EF'!$AY9)</f>
        <v>5.8938000000000006</v>
      </c>
      <c r="V196" s="17"/>
      <c r="X196" s="37">
        <f>S196+T196</f>
        <v>34.434080000000002</v>
      </c>
      <c r="Y196" s="37">
        <f>SUM(S196:U196)</f>
        <v>40.32788</v>
      </c>
      <c r="Z196" s="17" t="s">
        <v>184</v>
      </c>
      <c r="AB196" s="17" t="s">
        <v>133</v>
      </c>
      <c r="AC196" s="17"/>
      <c r="AD196" s="17"/>
      <c r="AE196" s="6"/>
      <c r="AF196" s="6"/>
      <c r="AG196" s="20"/>
      <c r="AH196" s="20"/>
    </row>
    <row r="197" spans="15:34" ht="15.75" hidden="1" outlineLevel="1" x14ac:dyDescent="0.3">
      <c r="O197" s="274"/>
      <c r="P197" s="17"/>
      <c r="Q197" s="17" t="s">
        <v>151</v>
      </c>
      <c r="R197" s="17"/>
      <c r="S197" s="37">
        <f>IF(NOT(ISBLANK('Referenz Plattenfertiger'!$I17)),'Referenz Plattenfertiger'!$I17,'Referenz Plattenfertiger'!$F17)*IF(NOT(ISBLANK('Eingabe EF'!$AS10)),'Eingabe EF'!$AS10,'Eingabe EF'!$AQ10)</f>
        <v>6.4022399999999999</v>
      </c>
      <c r="T197" s="37">
        <f>IF(NOT(ISBLANK('Referenz Plattenfertiger'!$I17)),'Referenz Plattenfertiger'!$I17,'Referenz Plattenfertiger'!$F17)*IF(NOT(ISBLANK('Eingabe EF'!$AW10)),'Eingabe EF'!$AW10,'Eingabe EF'!$AU10)</f>
        <v>0</v>
      </c>
      <c r="U197" s="37">
        <f>IF(NOT(ISBLANK('Referenz Plattenfertiger'!$I17)),'Referenz Plattenfertiger'!$I17,'Referenz Plattenfertiger'!$F17)*IF(NOT(ISBLANK('Eingabe EF'!$BA10)),'Eingabe EF'!$BA10,'Eingabe EF'!$AY10)</f>
        <v>0.949824</v>
      </c>
      <c r="V197" s="17"/>
      <c r="X197" s="37">
        <f>S197+T197</f>
        <v>6.4022399999999999</v>
      </c>
      <c r="Y197" s="37">
        <f>SUM(S197:U197)</f>
        <v>7.3520640000000004</v>
      </c>
      <c r="Z197" s="17" t="s">
        <v>184</v>
      </c>
      <c r="AB197" s="17"/>
      <c r="AC197" s="17" t="s">
        <v>29</v>
      </c>
      <c r="AD197" s="17"/>
      <c r="AE197" s="6"/>
      <c r="AF197" s="6"/>
      <c r="AG197" s="41">
        <f>IF(NOT(ISBLANK('Referenz Plattenfertiger'!$I21)),'Referenz Plattenfertiger'!$I21,'Referenz Plattenfertiger'!$F21)/1000*IF(NOT(ISBLANK('Eingabe Preise'!$O10)),'Eingabe Preise'!$O10,'Eingabe Preise'!$M10)</f>
        <v>2867</v>
      </c>
      <c r="AH197" s="20" t="s">
        <v>96</v>
      </c>
    </row>
    <row r="198" spans="15:34" ht="15.75" hidden="1" outlineLevel="1" x14ac:dyDescent="0.3">
      <c r="O198" s="274"/>
      <c r="P198" s="17"/>
      <c r="Q198" s="17" t="s">
        <v>138</v>
      </c>
      <c r="R198" s="17"/>
      <c r="S198" s="37">
        <f>IF(NOT(ISBLANK('Referenz Plattenfertiger'!$I18)),'Referenz Plattenfertiger'!$I18,'Referenz Plattenfertiger'!$F18)*S186</f>
        <v>0</v>
      </c>
      <c r="T198" s="37">
        <f>IF(NOT(ISBLANK('Referenz Plattenfertiger'!$I18)),'Referenz Plattenfertiger'!$I18,'Referenz Plattenfertiger'!$F18)*T186</f>
        <v>0</v>
      </c>
      <c r="U198" s="37">
        <f>IF(NOT(ISBLANK('Referenz Plattenfertiger'!$I18)),'Referenz Plattenfertiger'!$I18,'Referenz Plattenfertiger'!$F18)*U186</f>
        <v>1.83555</v>
      </c>
      <c r="V198" s="17"/>
      <c r="X198" s="37">
        <f>S198+T198</f>
        <v>0</v>
      </c>
      <c r="Y198" s="37">
        <f>SUM(S198:U198)</f>
        <v>1.83555</v>
      </c>
      <c r="Z198" s="17" t="s">
        <v>184</v>
      </c>
      <c r="AB198" s="17"/>
      <c r="AC198" s="17" t="s">
        <v>30</v>
      </c>
      <c r="AD198" s="17"/>
      <c r="AE198" s="6"/>
      <c r="AF198" s="6"/>
      <c r="AG198" s="41">
        <f>IF(NOT(ISBLANK('Referenz Plattenfertiger'!$I22)),'Referenz Plattenfertiger'!$I22,'Referenz Plattenfertiger'!$F22)/1000*IF(NOT(ISBLANK('Eingabe Preise'!$O11)),'Eingabe Preise'!$O11,'Eingabe Preise'!$M11)</f>
        <v>1656</v>
      </c>
      <c r="AH198" s="20" t="s">
        <v>96</v>
      </c>
    </row>
    <row r="199" spans="15:34" ht="15.75" hidden="1" outlineLevel="1" x14ac:dyDescent="0.3">
      <c r="O199" s="274"/>
      <c r="P199" s="17"/>
      <c r="Q199" s="17" t="s">
        <v>115</v>
      </c>
      <c r="R199" s="17"/>
      <c r="S199" s="43">
        <f>IF(NOT(ISBLANK('Referenz Plattenfertiger'!$I19)),'Referenz Plattenfertiger'!$I19,'Referenz Plattenfertiger'!$F19)*IF(NOT(ISBLANK('Eingabe EF'!$AS12)),'Eingabe EF'!$AS12,0)</f>
        <v>0</v>
      </c>
      <c r="T199" s="43">
        <f>IF(NOT(ISBLANK('Referenz Plattenfertiger'!$I19)),'Referenz Plattenfertiger'!$I19,'Referenz Plattenfertiger'!$F19)*IF(NOT(ISBLANK('Eingabe EF'!$AW12)),'Eingabe EF'!$AW12,0)</f>
        <v>0</v>
      </c>
      <c r="U199" s="43">
        <f>IF(NOT(ISBLANK('Referenz Plattenfertiger'!$I19)),'Referenz Plattenfertiger'!$I19,'Referenz Plattenfertiger'!$F19)*IF(NOT(ISBLANK('Eingabe EF'!$BA12)),'Eingabe EF'!$BA12,0)</f>
        <v>0</v>
      </c>
      <c r="V199" s="17"/>
      <c r="X199" s="37">
        <f>S199+T199</f>
        <v>0</v>
      </c>
      <c r="Y199" s="37">
        <f>SUM(S199:U199)</f>
        <v>0</v>
      </c>
      <c r="Z199" s="17" t="s">
        <v>184</v>
      </c>
      <c r="AB199" s="17" t="s">
        <v>134</v>
      </c>
      <c r="AC199" s="17"/>
      <c r="AD199" s="17"/>
      <c r="AE199" s="6"/>
      <c r="AF199" s="6"/>
      <c r="AG199" s="20"/>
      <c r="AH199" s="20"/>
    </row>
    <row r="200" spans="15:34" hidden="1" outlineLevel="1" x14ac:dyDescent="0.2">
      <c r="O200" s="17"/>
      <c r="P200" s="17" t="s">
        <v>133</v>
      </c>
      <c r="Q200" s="17"/>
      <c r="R200" s="17"/>
      <c r="S200" s="17"/>
      <c r="T200" s="17"/>
      <c r="U200" s="17"/>
      <c r="V200" s="17"/>
      <c r="X200" s="17"/>
      <c r="Y200" s="17"/>
      <c r="Z200" s="17"/>
      <c r="AB200" s="274"/>
      <c r="AC200" s="17" t="s">
        <v>136</v>
      </c>
      <c r="AD200" s="17"/>
      <c r="AE200" s="6"/>
      <c r="AF200" s="6"/>
      <c r="AG200" s="41">
        <f>IF(NOT(ISBLANK('Referenz Plattenfertiger'!$I24)),'Referenz Plattenfertiger'!$I24,'Referenz Plattenfertiger'!$F24)/1000*IF(NOT(ISBLANK('Eingabe Preise'!$O15)),'Eingabe Preise'!$O15,'Eingabe Preise'!$M15)</f>
        <v>70672.5</v>
      </c>
      <c r="AH200" s="20" t="s">
        <v>96</v>
      </c>
    </row>
    <row r="201" spans="15:34" ht="15.75" hidden="1" outlineLevel="1" collapsed="1" x14ac:dyDescent="0.3">
      <c r="O201" s="17"/>
      <c r="P201" s="17"/>
      <c r="Q201" s="17" t="s">
        <v>29</v>
      </c>
      <c r="R201" s="17"/>
      <c r="S201" s="43">
        <f>IF(NOT(ISBLANK('Referenz Plattenfertiger'!$I21)),'Referenz Plattenfertiger'!$I21,'Referenz Plattenfertiger'!$F21)*IF(NOT(ISBLANK('Eingabe EF'!$AS9)),'Eingabe EF'!$AS9,'Eingabe EF'!$AQ9)</f>
        <v>8.6085200000000004</v>
      </c>
      <c r="T201" s="43">
        <f>IF(NOT(ISBLANK('Referenz Plattenfertiger'!$I21)),'Referenz Plattenfertiger'!$I21,'Referenz Plattenfertiger'!$F21)*IF(NOT(ISBLANK('Eingabe EF'!$AW9)),'Eingabe EF'!$AW9,'Eingabe EF'!$AU9)</f>
        <v>0</v>
      </c>
      <c r="U201" s="43">
        <f>IF(NOT(ISBLANK('Referenz Plattenfertiger'!$I21)),'Referenz Plattenfertiger'!$I21,'Referenz Plattenfertiger'!$F21)*IF(NOT(ISBLANK('Eingabe EF'!$BA9)),'Eingabe EF'!$BA9,'Eingabe EF'!$AY9)</f>
        <v>1.4734500000000001</v>
      </c>
      <c r="V201" s="17"/>
      <c r="X201" s="37">
        <f t="shared" ref="X201:X202" si="47">S201+T201</f>
        <v>8.6085200000000004</v>
      </c>
      <c r="Y201" s="37">
        <f t="shared" ref="Y201:Y202" si="48">SUM(S201:U201)</f>
        <v>10.08197</v>
      </c>
      <c r="Z201" s="17" t="s">
        <v>184</v>
      </c>
      <c r="AB201" s="17"/>
      <c r="AC201" s="17" t="s">
        <v>111</v>
      </c>
      <c r="AD201" s="17"/>
      <c r="AE201" s="6"/>
      <c r="AF201" s="6"/>
      <c r="AG201" s="41">
        <f>IF(NOT(ISBLANK('Referenz Plattenfertiger'!$I25)),'Referenz Plattenfertiger'!$I25,'Referenz Plattenfertiger'!$F25)/1000*IF(NOT(ISBLANK('Eingabe Preise'!$O13)),'Eingabe Preise'!$O13,'Eingabe Preise'!$M13)</f>
        <v>0</v>
      </c>
      <c r="AH201" s="20" t="s">
        <v>96</v>
      </c>
    </row>
    <row r="202" spans="15:34" ht="15.75" hidden="1" outlineLevel="1" x14ac:dyDescent="0.3">
      <c r="O202" s="17"/>
      <c r="P202" s="17"/>
      <c r="Q202" s="17" t="s">
        <v>30</v>
      </c>
      <c r="R202" s="17"/>
      <c r="S202" s="43">
        <f>IF(NOT(ISBLANK('Referenz Plattenfertiger'!$I22)),'Referenz Plattenfertiger'!$I22,'Referenz Plattenfertiger'!$F22)*IF(NOT(ISBLANK('Eingabe EF'!$AS10)),'Eingabe EF'!$AS10,'Eingabe EF'!$AQ10)</f>
        <v>9.6033600000000003</v>
      </c>
      <c r="T202" s="43">
        <f>IF(NOT(ISBLANK('Referenz Plattenfertiger'!$I22)),'Referenz Plattenfertiger'!$I22,'Referenz Plattenfertiger'!$F22)*IF(NOT(ISBLANK('Eingabe EF'!$AW10)),'Eingabe EF'!$AW10,'Eingabe EF'!$AU10)</f>
        <v>0</v>
      </c>
      <c r="U202" s="43">
        <f>IF(NOT(ISBLANK('Referenz Plattenfertiger'!$I22)),'Referenz Plattenfertiger'!$I22,'Referenz Plattenfertiger'!$F22)*IF(NOT(ISBLANK('Eingabe EF'!$BA10)),'Eingabe EF'!$BA10,'Eingabe EF'!$AY10)</f>
        <v>1.424736</v>
      </c>
      <c r="V202" s="17"/>
      <c r="X202" s="37">
        <f t="shared" si="47"/>
        <v>9.6033600000000003</v>
      </c>
      <c r="Y202" s="37">
        <f t="shared" si="48"/>
        <v>11.028096</v>
      </c>
      <c r="Z202" s="17" t="s">
        <v>184</v>
      </c>
      <c r="AB202" s="17"/>
      <c r="AC202" s="17" t="s">
        <v>135</v>
      </c>
      <c r="AD202" s="17"/>
      <c r="AE202" s="6"/>
      <c r="AF202" s="6"/>
      <c r="AG202" s="41">
        <f>IF(NOT(ISBLANK('Referenz Plattenfertiger'!$I26)),'Referenz Plattenfertiger'!$I26,'Referenz Plattenfertiger'!$F26)/1000*IF(NOT(ISBLANK('Eingabe Preise'!$O17)),'Eingabe Preise'!$O17,0)</f>
        <v>0</v>
      </c>
      <c r="AH202" s="20" t="s">
        <v>96</v>
      </c>
    </row>
    <row r="203" spans="15:34" hidden="1" outlineLevel="1" x14ac:dyDescent="0.2">
      <c r="O203" s="17"/>
      <c r="P203" s="17" t="s">
        <v>134</v>
      </c>
      <c r="Q203" s="17"/>
      <c r="R203" s="17"/>
      <c r="S203" s="17"/>
      <c r="T203" s="17"/>
      <c r="U203" s="17"/>
      <c r="V203" s="17"/>
      <c r="X203" s="17"/>
      <c r="Y203" s="17"/>
      <c r="Z203" s="17"/>
      <c r="AB203" s="17"/>
      <c r="AC203" s="17"/>
      <c r="AD203" s="17"/>
      <c r="AE203" s="6"/>
      <c r="AF203" s="6"/>
      <c r="AG203" s="17"/>
      <c r="AH203" s="17"/>
    </row>
    <row r="204" spans="15:34" ht="15.75" hidden="1" outlineLevel="1" x14ac:dyDescent="0.3">
      <c r="O204" s="274"/>
      <c r="P204" s="17"/>
      <c r="Q204" s="17" t="s">
        <v>136</v>
      </c>
      <c r="R204" s="17"/>
      <c r="S204" s="43">
        <f>IF(NOT(ISBLANK('Referenz Plattenfertiger'!$I24)),'Referenz Plattenfertiger'!$I24,'Referenz Plattenfertiger'!$F24)*S186</f>
        <v>0</v>
      </c>
      <c r="T204" s="43">
        <f>IF(NOT(ISBLANK('Referenz Plattenfertiger'!$I24)),'Referenz Plattenfertiger'!$I24,'Referenz Plattenfertiger'!$F24)*T186</f>
        <v>0</v>
      </c>
      <c r="U204" s="43">
        <f>IF(NOT(ISBLANK('Referenz Plattenfertiger'!$I24)),'Referenz Plattenfertiger'!$I24,'Referenz Plattenfertiger'!$F24)*U186</f>
        <v>16.519950000000001</v>
      </c>
      <c r="V204" s="17"/>
      <c r="X204" s="37">
        <f t="shared" ref="X204:X212" si="49">S204+T204</f>
        <v>0</v>
      </c>
      <c r="Y204" s="37">
        <f t="shared" ref="Y204:Y212" si="50">SUM(S204:U204)</f>
        <v>16.519950000000001</v>
      </c>
      <c r="Z204" s="17" t="s">
        <v>184</v>
      </c>
      <c r="AB204" s="17"/>
      <c r="AC204" s="17" t="s">
        <v>32</v>
      </c>
      <c r="AD204" s="17" t="s">
        <v>408</v>
      </c>
      <c r="AE204" s="6"/>
      <c r="AF204" s="6"/>
      <c r="AG204" s="41">
        <f>IF(NOT(ISBLANK('Referenz Plattenfertiger'!$I28)),'Referenz Plattenfertiger'!$I28,'Referenz Plattenfertiger'!$F28)*IF(NOT(ISBLANK('Eingabe Preise'!$O14)),'Eingabe Preise'!$O14,'Eingabe Preise'!$M14)</f>
        <v>12364.000000000002</v>
      </c>
      <c r="AH204" s="20" t="s">
        <v>96</v>
      </c>
    </row>
    <row r="205" spans="15:34" ht="15.75" hidden="1" outlineLevel="1" x14ac:dyDescent="0.3">
      <c r="O205" s="17"/>
      <c r="P205" s="17"/>
      <c r="Q205" s="17" t="s">
        <v>111</v>
      </c>
      <c r="R205" s="17"/>
      <c r="S205" s="43">
        <f>IF(NOT(ISBLANK('Referenz Plattenfertiger'!$I25)),'Referenz Plattenfertiger'!$I25,'Referenz Plattenfertiger'!$F25)*IF(NOT(ISBLANK('Eingabe EF'!$AS13)),'Eingabe EF'!$AS13,'Eingabe EF'!$AQ13)</f>
        <v>0</v>
      </c>
      <c r="T205" s="43">
        <f>IF(NOT(ISBLANK('Referenz Plattenfertiger'!$I25)),'Referenz Plattenfertiger'!$I25,'Referenz Plattenfertiger'!$F25)*IF(NOT(ISBLANK('Eingabe EF'!$AW13)),'Eingabe EF'!$AW13,'Eingabe EF'!$AU13)</f>
        <v>0</v>
      </c>
      <c r="U205" s="43">
        <f>IF(NOT(ISBLANK('Referenz Plattenfertiger'!$I25)),'Referenz Plattenfertiger'!$I25,'Referenz Plattenfertiger'!$F25)*IF(NOT(ISBLANK('Eingabe EF'!$BA13)),'Eingabe EF'!$BA13,'Eingabe EF'!$AY13)</f>
        <v>0</v>
      </c>
      <c r="V205" s="17"/>
      <c r="X205" s="37">
        <f t="shared" si="49"/>
        <v>0</v>
      </c>
      <c r="Y205" s="37">
        <f t="shared" si="50"/>
        <v>0</v>
      </c>
      <c r="Z205" s="17" t="s">
        <v>184</v>
      </c>
      <c r="AB205" s="17"/>
      <c r="AC205" s="17" t="s">
        <v>32</v>
      </c>
      <c r="AD205" s="17" t="s">
        <v>70</v>
      </c>
      <c r="AE205" s="6"/>
      <c r="AF205" s="6"/>
      <c r="AG205" s="41">
        <f>IF(NOT(ISBLANK('Referenz Plattenfertiger'!$I29)),'Referenz Plattenfertiger'!$I29,'Referenz Plattenfertiger'!$F29)*IF(NOT(ISBLANK('Eingabe Preise'!$O14)),'Eingabe Preise'!$O14,'Eingabe Preise'!$M14)</f>
        <v>2810.0000000000005</v>
      </c>
      <c r="AH205" s="20" t="s">
        <v>96</v>
      </c>
    </row>
    <row r="206" spans="15:34" ht="15.75" hidden="1" outlineLevel="1" x14ac:dyDescent="0.3">
      <c r="O206" s="17"/>
      <c r="P206" s="17"/>
      <c r="Q206" s="17" t="s">
        <v>135</v>
      </c>
      <c r="R206" s="17"/>
      <c r="S206" s="43">
        <f>IF(NOT(ISBLANK('Referenz Plattenfertiger'!$I26)),'Referenz Plattenfertiger'!$I26,'Referenz Plattenfertiger'!$F26)*IF(NOT(ISBLANK('Eingabe EF'!$AS14)),'Eingabe EF'!$AS14,0)</f>
        <v>0</v>
      </c>
      <c r="T206" s="43">
        <f>IF(NOT(ISBLANK('Referenz Plattenfertiger'!$I26)),'Referenz Plattenfertiger'!$I26,'Referenz Plattenfertiger'!$F26)*IF(NOT(ISBLANK('Eingabe EF'!$AW14)),'Eingabe EF'!$AW14,0)</f>
        <v>0</v>
      </c>
      <c r="U206" s="43">
        <f>IF(NOT(ISBLANK('Referenz Plattenfertiger'!$I26)),'Referenz Plattenfertiger'!$I26,'Referenz Plattenfertiger'!$F26)*IF(NOT(ISBLANK('Eingabe EF'!$BA14)),'Eingabe EF'!$BA14,0)</f>
        <v>0</v>
      </c>
      <c r="V206" s="17"/>
      <c r="X206" s="37">
        <f t="shared" si="49"/>
        <v>0</v>
      </c>
      <c r="Y206" s="37">
        <f t="shared" si="50"/>
        <v>0</v>
      </c>
      <c r="Z206" s="17" t="s">
        <v>184</v>
      </c>
      <c r="AB206" s="17"/>
      <c r="AC206" s="17"/>
      <c r="AD206" s="17"/>
      <c r="AE206" s="6"/>
      <c r="AF206" s="6"/>
      <c r="AG206" s="17"/>
      <c r="AH206" s="17"/>
    </row>
    <row r="207" spans="15:34" hidden="1" outlineLevel="1" x14ac:dyDescent="0.2">
      <c r="O207" s="17"/>
      <c r="P207" s="17"/>
      <c r="Q207" s="17"/>
      <c r="R207" s="17"/>
      <c r="S207" s="17"/>
      <c r="T207" s="17"/>
      <c r="U207" s="17"/>
      <c r="V207" s="17"/>
      <c r="X207" s="17"/>
      <c r="Y207" s="17"/>
      <c r="Z207" s="17"/>
      <c r="AB207" s="17"/>
      <c r="AC207" s="17"/>
      <c r="AD207" s="17"/>
      <c r="AE207" s="6"/>
      <c r="AF207" s="6"/>
      <c r="AG207" s="17"/>
      <c r="AH207" s="17"/>
    </row>
    <row r="208" spans="15:34" ht="15.75" hidden="1" outlineLevel="1" x14ac:dyDescent="0.3">
      <c r="O208" s="17"/>
      <c r="P208" s="17" t="s">
        <v>408</v>
      </c>
      <c r="Q208" s="17" t="s">
        <v>32</v>
      </c>
      <c r="R208" s="17"/>
      <c r="S208" s="43">
        <f>IF(NOT(ISBLANK('Referenz Plattenfertiger'!$I28)),'Referenz Plattenfertiger'!$I28,'Referenz Plattenfertiger'!$F28)*IF(NOT(ISBLANK('Eingabe EF'!$AS15)),'Eingabe EF'!$AS15,'Eingabe EF'!$AQ15)</f>
        <v>29.238941159999996</v>
      </c>
      <c r="T208" s="43">
        <f>IF(NOT(ISBLANK('Referenz Plattenfertiger'!$I28)),'Referenz Plattenfertiger'!$I28,'Referenz Plattenfertiger'!$F28)*IF(NOT(ISBLANK('Eingabe EF'!$AW15)),'Eingabe EF'!$AW15,'Eingabe EF'!$AU15)</f>
        <v>0</v>
      </c>
      <c r="U208" s="43">
        <f>IF(NOT(ISBLANK('Referenz Plattenfertiger'!$I28)),'Referenz Plattenfertiger'!$I28,'Referenz Plattenfertiger'!$F28)*IF(NOT(ISBLANK('Eingabe EF'!$BA15)),'Eingabe EF'!$BA15,'Eingabe EF'!$AY15)</f>
        <v>5.1658635600000009</v>
      </c>
      <c r="V208" s="17"/>
      <c r="X208" s="37">
        <f t="shared" ref="X208:X210" si="51">S208+T208</f>
        <v>29.238941159999996</v>
      </c>
      <c r="Y208" s="37">
        <f t="shared" ref="Y208:Y210" si="52">SUM(S208:U208)</f>
        <v>34.404804719999994</v>
      </c>
      <c r="Z208" s="17" t="s">
        <v>184</v>
      </c>
      <c r="AB208" s="274"/>
      <c r="AC208" s="17" t="s">
        <v>28</v>
      </c>
      <c r="AD208" s="17"/>
      <c r="AE208" s="6"/>
      <c r="AF208" s="6"/>
      <c r="AG208" s="41">
        <v>0</v>
      </c>
      <c r="AH208" s="20" t="s">
        <v>96</v>
      </c>
    </row>
    <row r="209" spans="15:34" ht="15.75" hidden="1" outlineLevel="1" x14ac:dyDescent="0.3">
      <c r="O209" s="17"/>
      <c r="P209" s="17" t="s">
        <v>70</v>
      </c>
      <c r="Q209" s="17" t="s">
        <v>32</v>
      </c>
      <c r="R209" s="17"/>
      <c r="S209" s="43">
        <f>IF(NOT(ISBLANK('Referenz Plattenfertiger'!$I29)),'Referenz Plattenfertiger'!$I29,'Referenz Plattenfertiger'!$F29)*IF(NOT(ISBLANK('Eingabe EF'!$AS15)),'Eingabe EF'!$AS15,'Eingabe EF'!$AQ15)</f>
        <v>6.645213899999999</v>
      </c>
      <c r="T209" s="43">
        <f>IF(NOT(ISBLANK('Referenz Plattenfertiger'!$I29)),'Referenz Plattenfertiger'!$I29,'Referenz Plattenfertiger'!$F29)*IF(NOT(ISBLANK('Eingabe EF'!$AW15)),'Eingabe EF'!$AW15,'Eingabe EF'!$AU15)</f>
        <v>0</v>
      </c>
      <c r="U209" s="43">
        <f>IF(NOT(ISBLANK('Referenz Plattenfertiger'!$I29)),'Referenz Plattenfertiger'!$I29,'Referenz Plattenfertiger'!$F29)*IF(NOT(ISBLANK('Eingabe EF'!$BA15)),'Eingabe EF'!$BA15,'Eingabe EF'!$AY15)</f>
        <v>1.1740599000000003</v>
      </c>
      <c r="V209" s="17"/>
      <c r="X209" s="37">
        <f t="shared" si="51"/>
        <v>6.645213899999999</v>
      </c>
      <c r="Y209" s="37">
        <f t="shared" si="52"/>
        <v>7.8192737999999995</v>
      </c>
      <c r="Z209" s="17" t="s">
        <v>184</v>
      </c>
      <c r="AB209" s="274"/>
      <c r="AC209" s="44" t="s">
        <v>139</v>
      </c>
      <c r="AD209" s="17"/>
      <c r="AE209" s="6"/>
      <c r="AF209" s="6"/>
      <c r="AG209" s="41">
        <v>0</v>
      </c>
      <c r="AH209" s="20" t="s">
        <v>96</v>
      </c>
    </row>
    <row r="210" spans="15:34" ht="14.25" hidden="1" outlineLevel="1" x14ac:dyDescent="0.25">
      <c r="O210" s="69"/>
      <c r="P210" s="69" t="s">
        <v>175</v>
      </c>
      <c r="Q210" s="69"/>
      <c r="R210" s="69"/>
      <c r="S210" s="71"/>
      <c r="T210" s="71"/>
      <c r="U210" s="71">
        <f t="shared" ref="U210" si="53">U211+U212</f>
        <v>469.15642799999995</v>
      </c>
      <c r="V210" s="69"/>
      <c r="X210" s="71">
        <f t="shared" si="51"/>
        <v>0</v>
      </c>
      <c r="Y210" s="71">
        <f t="shared" si="52"/>
        <v>469.15642799999995</v>
      </c>
      <c r="Z210" s="76" t="s">
        <v>183</v>
      </c>
      <c r="AB210" s="274"/>
      <c r="AC210" s="44" t="s">
        <v>146</v>
      </c>
      <c r="AD210" s="17"/>
      <c r="AE210" s="6"/>
      <c r="AF210" s="6"/>
      <c r="AG210" s="41">
        <v>0</v>
      </c>
      <c r="AH210" s="20" t="s">
        <v>96</v>
      </c>
    </row>
    <row r="211" spans="15:34" ht="15.75" hidden="1" outlineLevel="1" x14ac:dyDescent="0.3">
      <c r="O211" s="17"/>
      <c r="P211" s="17"/>
      <c r="Q211" s="17" t="s">
        <v>43</v>
      </c>
      <c r="R211" s="17"/>
      <c r="S211" s="43"/>
      <c r="T211" s="43"/>
      <c r="U211" s="43">
        <f>IF(NOT(ISBLANK('Referenz Plattenfertiger'!$I32)),'Referenz Plattenfertiger'!$I32,'Referenz Plattenfertiger'!$F32)*IF(NOT(ISBLANK('Eingabe EF'!$BA17)),'Eingabe EF'!$BA17,'Eingabe EF'!$AY17)</f>
        <v>109.4698332</v>
      </c>
      <c r="V211" s="17"/>
      <c r="X211" s="37">
        <f t="shared" si="49"/>
        <v>0</v>
      </c>
      <c r="Y211" s="37">
        <f t="shared" si="50"/>
        <v>109.4698332</v>
      </c>
      <c r="Z211" s="17" t="s">
        <v>184</v>
      </c>
      <c r="AB211" s="17"/>
      <c r="AC211" s="17"/>
      <c r="AD211" s="17"/>
      <c r="AE211" s="6"/>
      <c r="AF211" s="6"/>
      <c r="AG211" s="17"/>
      <c r="AH211" s="17"/>
    </row>
    <row r="212" spans="15:34" ht="15.75" hidden="1" outlineLevel="1" x14ac:dyDescent="0.3">
      <c r="O212" s="17"/>
      <c r="P212" s="17"/>
      <c r="Q212" s="17" t="s">
        <v>44</v>
      </c>
      <c r="R212" s="17"/>
      <c r="S212" s="43"/>
      <c r="T212" s="43"/>
      <c r="U212" s="43">
        <f>IF(NOT(ISBLANK('Referenz Plattenfertiger'!$I33)),'Referenz Plattenfertiger'!$I33,'Referenz Plattenfertiger'!$F33)*IF(NOT(ISBLANK('Eingabe EF'!$BA18)),'Eingabe EF'!$BA18,'Eingabe EF'!$AY18)</f>
        <v>359.68659479999997</v>
      </c>
      <c r="V212" s="17"/>
      <c r="X212" s="37">
        <f t="shared" si="49"/>
        <v>0</v>
      </c>
      <c r="Y212" s="37">
        <f t="shared" si="50"/>
        <v>359.68659479999997</v>
      </c>
      <c r="Z212" s="17" t="s">
        <v>184</v>
      </c>
      <c r="AB212" s="17"/>
      <c r="AC212" s="17"/>
      <c r="AD212" s="17"/>
      <c r="AE212" s="6"/>
      <c r="AF212" s="6"/>
      <c r="AG212" s="17"/>
      <c r="AH212" s="17"/>
    </row>
    <row r="213" spans="15:34" hidden="1" outlineLevel="1" x14ac:dyDescent="0.2">
      <c r="O213" s="17"/>
      <c r="P213" s="17"/>
      <c r="Q213" s="17"/>
      <c r="R213" s="17"/>
      <c r="S213" s="20"/>
      <c r="T213" s="20"/>
      <c r="U213" s="20"/>
      <c r="V213" s="17"/>
      <c r="X213" s="20"/>
      <c r="Y213" s="20"/>
      <c r="Z213" s="17"/>
      <c r="AB213" s="17"/>
      <c r="AC213" s="17" t="s">
        <v>490</v>
      </c>
      <c r="AD213" s="17"/>
      <c r="AE213" s="6"/>
      <c r="AF213" s="6"/>
      <c r="AG213" s="41">
        <f>S257*IF(NOT(ISBLANK('Eingabe Preise'!$O21)),'Eingabe Preise'!$O21,'Eingabe Preise'!$M21)</f>
        <v>7594.5884048000007</v>
      </c>
      <c r="AH213" s="20" t="s">
        <v>96</v>
      </c>
    </row>
    <row r="214" spans="15:34" ht="14.25" hidden="1" outlineLevel="1" x14ac:dyDescent="0.25">
      <c r="O214" s="69"/>
      <c r="P214" s="69" t="s">
        <v>66</v>
      </c>
      <c r="Q214" s="70"/>
      <c r="R214" s="70"/>
      <c r="S214" s="71"/>
      <c r="T214" s="71"/>
      <c r="U214" s="71">
        <f>SUM(U215:U218)</f>
        <v>4548.5439999999999</v>
      </c>
      <c r="V214" s="70"/>
      <c r="X214" s="71">
        <f t="shared" ref="X214:X218" si="54">S214+T214</f>
        <v>0</v>
      </c>
      <c r="Y214" s="71">
        <f t="shared" ref="Y214" si="55">SUM(S214:U214)</f>
        <v>4548.5439999999999</v>
      </c>
      <c r="Z214" s="76" t="s">
        <v>183</v>
      </c>
      <c r="AB214" s="17"/>
      <c r="AC214" s="17" t="s">
        <v>491</v>
      </c>
      <c r="AD214" s="17"/>
      <c r="AE214" s="6"/>
      <c r="AF214" s="6"/>
      <c r="AG214" s="41">
        <f>T257*IF(NOT(ISBLANK('Eingabe Preise'!$O22)),'Eingabe Preise'!$O22,'Eingabe Preise'!$M22)</f>
        <v>0</v>
      </c>
      <c r="AH214" s="20" t="s">
        <v>96</v>
      </c>
    </row>
    <row r="215" spans="15:34" ht="15.75" hidden="1" outlineLevel="1" x14ac:dyDescent="0.3">
      <c r="O215" s="17"/>
      <c r="P215" s="17"/>
      <c r="Q215" s="17" t="s">
        <v>45</v>
      </c>
      <c r="R215" s="17"/>
      <c r="S215" s="37"/>
      <c r="T215" s="37"/>
      <c r="U215" s="37">
        <f>'M1 Härtekammern'!T206</f>
        <v>1210.3</v>
      </c>
      <c r="V215" s="17"/>
      <c r="X215" s="37">
        <f t="shared" si="54"/>
        <v>0</v>
      </c>
      <c r="Y215" s="37">
        <f t="shared" ref="Y215:Y218" si="56">SUM(S215:U215)</f>
        <v>1210.3</v>
      </c>
      <c r="Z215" s="17" t="s">
        <v>184</v>
      </c>
      <c r="AB215" s="17"/>
      <c r="AC215" s="17" t="s">
        <v>492</v>
      </c>
      <c r="AD215" s="17"/>
      <c r="AE215" s="6"/>
      <c r="AF215" s="6"/>
      <c r="AG215" s="41">
        <f>U257*IF(NOT(ISBLANK('Eingabe Preise'!$O23)),'Eingabe Preise'!$O23,'Eingabe Preise'!$M23)</f>
        <v>459549.28662476141</v>
      </c>
      <c r="AH215" s="20" t="s">
        <v>96</v>
      </c>
    </row>
    <row r="216" spans="15:34" ht="15.75" hidden="1" outlineLevel="1" x14ac:dyDescent="0.3">
      <c r="O216" s="17"/>
      <c r="P216" s="17"/>
      <c r="Q216" s="17" t="s">
        <v>47</v>
      </c>
      <c r="R216" s="17"/>
      <c r="S216" s="37"/>
      <c r="T216" s="37"/>
      <c r="U216" s="37">
        <f>'M1 Härtekammern'!T207</f>
        <v>2415.5039999999999</v>
      </c>
      <c r="V216" s="17"/>
      <c r="X216" s="37">
        <f t="shared" si="54"/>
        <v>0</v>
      </c>
      <c r="Y216" s="37">
        <f t="shared" si="56"/>
        <v>2415.5039999999999</v>
      </c>
      <c r="Z216" s="17" t="s">
        <v>184</v>
      </c>
      <c r="AB216" s="17"/>
      <c r="AC216" s="17"/>
      <c r="AD216" s="17"/>
      <c r="AE216" s="6"/>
      <c r="AF216" s="6"/>
      <c r="AG216" s="17"/>
      <c r="AH216" s="17"/>
    </row>
    <row r="217" spans="15:34" ht="15.75" hidden="1" outlineLevel="1" x14ac:dyDescent="0.3">
      <c r="O217" s="17"/>
      <c r="P217" s="17"/>
      <c r="Q217" s="17" t="s">
        <v>48</v>
      </c>
      <c r="R217" s="17"/>
      <c r="S217" s="37"/>
      <c r="T217" s="37"/>
      <c r="U217" s="37">
        <f>'M1 Härtekammern'!T208</f>
        <v>922.7399999999999</v>
      </c>
      <c r="V217" s="17"/>
      <c r="X217" s="37">
        <f t="shared" si="54"/>
        <v>0</v>
      </c>
      <c r="Y217" s="37">
        <f t="shared" si="56"/>
        <v>922.7399999999999</v>
      </c>
      <c r="Z217" s="17" t="s">
        <v>184</v>
      </c>
      <c r="AB217" s="17"/>
      <c r="AC217" s="17"/>
      <c r="AD217" s="17"/>
      <c r="AE217" s="6"/>
      <c r="AF217" s="6"/>
      <c r="AG217" s="17"/>
      <c r="AH217" s="17"/>
    </row>
    <row r="218" spans="15:34" ht="15.75" hidden="1" outlineLevel="1" x14ac:dyDescent="0.3">
      <c r="O218" s="17"/>
      <c r="P218" s="17"/>
      <c r="Q218" s="17" t="s">
        <v>147</v>
      </c>
      <c r="R218" s="17"/>
      <c r="S218" s="37"/>
      <c r="T218" s="37"/>
      <c r="U218" s="37">
        <f>'M1 Härtekammern'!T209</f>
        <v>0</v>
      </c>
      <c r="V218" s="17"/>
      <c r="X218" s="37">
        <f t="shared" si="54"/>
        <v>0</v>
      </c>
      <c r="Y218" s="37">
        <f t="shared" si="56"/>
        <v>0</v>
      </c>
      <c r="Z218" s="17" t="s">
        <v>184</v>
      </c>
      <c r="AB218" s="17"/>
      <c r="AC218" s="17"/>
      <c r="AD218" s="17"/>
      <c r="AE218" s="6"/>
      <c r="AF218" s="6"/>
      <c r="AG218" s="18"/>
      <c r="AH218" s="18"/>
    </row>
    <row r="219" spans="15:34" hidden="1" outlineLevel="1" x14ac:dyDescent="0.2">
      <c r="O219" s="17"/>
      <c r="P219" s="17"/>
      <c r="Q219" s="17"/>
      <c r="R219" s="17"/>
      <c r="S219" s="17"/>
      <c r="T219" s="17"/>
      <c r="U219" s="17"/>
      <c r="V219" s="17"/>
      <c r="X219" s="20"/>
      <c r="Y219" s="20"/>
      <c r="Z219" s="17"/>
      <c r="AB219" s="21" t="s">
        <v>209</v>
      </c>
      <c r="AC219" s="17"/>
      <c r="AD219" s="17"/>
      <c r="AE219" s="6"/>
      <c r="AF219" s="6"/>
      <c r="AG219" s="17"/>
      <c r="AH219" s="17"/>
    </row>
    <row r="220" spans="15:34" ht="14.25" hidden="1" outlineLevel="1" x14ac:dyDescent="0.25">
      <c r="O220" s="69"/>
      <c r="P220" s="69" t="s">
        <v>163</v>
      </c>
      <c r="Q220" s="70"/>
      <c r="R220" s="70"/>
      <c r="S220" s="71"/>
      <c r="T220" s="71"/>
      <c r="U220" s="71">
        <f>SUM(U221:U225)</f>
        <v>129.59200000000001</v>
      </c>
      <c r="V220" s="70"/>
      <c r="X220" s="71">
        <f t="shared" ref="X220" si="57">S220+T220</f>
        <v>0</v>
      </c>
      <c r="Y220" s="71">
        <f t="shared" ref="Y220" si="58">SUM(S220:U220)</f>
        <v>129.59200000000001</v>
      </c>
      <c r="Z220" s="76" t="s">
        <v>183</v>
      </c>
      <c r="AB220" s="274"/>
      <c r="AC220" s="17" t="s">
        <v>443</v>
      </c>
      <c r="AD220" s="17"/>
      <c r="AE220" s="6">
        <f>S41</f>
        <v>5</v>
      </c>
      <c r="AF220" s="6"/>
      <c r="AG220" s="41">
        <v>0</v>
      </c>
      <c r="AH220" s="20" t="s">
        <v>96</v>
      </c>
    </row>
    <row r="221" spans="15:34" ht="15.75" hidden="1" outlineLevel="1" x14ac:dyDescent="0.3">
      <c r="O221" s="17"/>
      <c r="P221" s="17"/>
      <c r="Q221" s="17" t="s">
        <v>164</v>
      </c>
      <c r="R221" s="17"/>
      <c r="S221" s="37"/>
      <c r="T221" s="37"/>
      <c r="U221" s="37">
        <f>'M1 Härtekammern'!T212</f>
        <v>129.59200000000001</v>
      </c>
      <c r="V221" s="17"/>
      <c r="X221" s="37">
        <f>S221+T221</f>
        <v>0</v>
      </c>
      <c r="Y221" s="37">
        <f>SUM(S221:U221)</f>
        <v>129.59200000000001</v>
      </c>
      <c r="Z221" s="17" t="s">
        <v>184</v>
      </c>
      <c r="AB221" s="274"/>
      <c r="AC221" s="17" t="s">
        <v>444</v>
      </c>
      <c r="AD221" s="17"/>
      <c r="AE221" s="6">
        <f>T41</f>
        <v>10</v>
      </c>
      <c r="AF221" s="6"/>
      <c r="AG221" s="41">
        <v>0</v>
      </c>
      <c r="AH221" s="20" t="s">
        <v>96</v>
      </c>
    </row>
    <row r="222" spans="15:34" ht="15.75" hidden="1" outlineLevel="1" x14ac:dyDescent="0.3">
      <c r="O222" s="17"/>
      <c r="P222" s="17"/>
      <c r="Q222" s="17" t="s">
        <v>165</v>
      </c>
      <c r="R222" s="17"/>
      <c r="S222" s="37"/>
      <c r="T222" s="37"/>
      <c r="U222" s="37">
        <f>'M1 Härtekammern'!T213</f>
        <v>0</v>
      </c>
      <c r="V222" s="17"/>
      <c r="X222" s="37">
        <f>S222+T222</f>
        <v>0</v>
      </c>
      <c r="Y222" s="37">
        <f t="shared" ref="Y222:Y223" si="59">SUM(S222:U222)</f>
        <v>0</v>
      </c>
      <c r="Z222" s="17" t="s">
        <v>184</v>
      </c>
      <c r="AB222" s="17"/>
      <c r="AC222" s="17"/>
      <c r="AD222" s="17"/>
      <c r="AE222" s="6"/>
      <c r="AF222" s="6"/>
      <c r="AG222" s="18"/>
      <c r="AH222" s="18"/>
    </row>
    <row r="223" spans="15:34" ht="15.75" hidden="1" outlineLevel="1" x14ac:dyDescent="0.3">
      <c r="O223" s="17"/>
      <c r="P223" s="17"/>
      <c r="Q223" s="17" t="s">
        <v>166</v>
      </c>
      <c r="R223" s="17"/>
      <c r="S223" s="37"/>
      <c r="T223" s="37"/>
      <c r="U223" s="37">
        <f>'M1 Härtekammern'!T214</f>
        <v>0</v>
      </c>
      <c r="V223" s="17"/>
      <c r="X223" s="37">
        <f t="shared" ref="X223" si="60">S223+T223</f>
        <v>0</v>
      </c>
      <c r="Y223" s="37">
        <f t="shared" si="59"/>
        <v>0</v>
      </c>
      <c r="Z223" s="17" t="s">
        <v>184</v>
      </c>
      <c r="AB223" s="274"/>
      <c r="AC223" s="17" t="s">
        <v>442</v>
      </c>
      <c r="AD223" s="17"/>
      <c r="AE223" s="6">
        <f>AE220</f>
        <v>5</v>
      </c>
      <c r="AF223" s="6"/>
      <c r="AG223" s="41">
        <v>0</v>
      </c>
      <c r="AH223" s="20" t="s">
        <v>96</v>
      </c>
    </row>
    <row r="224" spans="15:34" ht="15.75" hidden="1" outlineLevel="1" x14ac:dyDescent="0.3">
      <c r="O224" s="17"/>
      <c r="P224" s="17"/>
      <c r="Q224" s="17" t="str">
        <f>'M1 Härtekammern'!P215</f>
        <v>Weiterer Zuschlagstoff 1</v>
      </c>
      <c r="R224" s="17"/>
      <c r="S224" s="37"/>
      <c r="T224" s="37"/>
      <c r="U224" s="37">
        <f>'M1 Härtekammern'!T215</f>
        <v>0</v>
      </c>
      <c r="V224" s="17"/>
      <c r="X224" s="37">
        <f t="shared" ref="X224:X225" si="61">S224+T224</f>
        <v>0</v>
      </c>
      <c r="Y224" s="37">
        <f t="shared" ref="Y224:Y225" si="62">SUM(S224:U224)</f>
        <v>0</v>
      </c>
      <c r="Z224" s="17" t="s">
        <v>184</v>
      </c>
      <c r="AB224" s="274"/>
      <c r="AC224" s="17" t="s">
        <v>441</v>
      </c>
      <c r="AD224" s="17"/>
      <c r="AE224" s="6">
        <f>AE221</f>
        <v>10</v>
      </c>
      <c r="AF224" s="6"/>
      <c r="AG224" s="41">
        <v>0</v>
      </c>
      <c r="AH224" s="20" t="s">
        <v>96</v>
      </c>
    </row>
    <row r="225" spans="15:34" ht="15.75" hidden="1" outlineLevel="1" x14ac:dyDescent="0.3">
      <c r="O225" s="17"/>
      <c r="P225" s="17"/>
      <c r="Q225" s="17" t="str">
        <f>'M1 Härtekammern'!P216</f>
        <v>Weiterer Zuschlagstoff 2</v>
      </c>
      <c r="R225" s="17"/>
      <c r="S225" s="37"/>
      <c r="T225" s="37"/>
      <c r="U225" s="37">
        <f>'M1 Härtekammern'!T216</f>
        <v>0</v>
      </c>
      <c r="V225" s="17"/>
      <c r="X225" s="37">
        <f t="shared" si="61"/>
        <v>0</v>
      </c>
      <c r="Y225" s="37">
        <f t="shared" si="62"/>
        <v>0</v>
      </c>
      <c r="Z225" s="17" t="s">
        <v>184</v>
      </c>
      <c r="AB225" s="17"/>
      <c r="AC225" s="17"/>
      <c r="AD225" s="17"/>
      <c r="AE225" s="6"/>
      <c r="AF225" s="6"/>
      <c r="AG225" s="18"/>
      <c r="AH225" s="18"/>
    </row>
    <row r="226" spans="15:34" hidden="1" outlineLevel="1" x14ac:dyDescent="0.2">
      <c r="O226" s="17"/>
      <c r="P226" s="17"/>
      <c r="Q226" s="17"/>
      <c r="R226" s="17"/>
      <c r="S226" s="17"/>
      <c r="T226" s="17"/>
      <c r="U226" s="17"/>
      <c r="V226" s="17"/>
      <c r="X226" s="20"/>
      <c r="Y226" s="20"/>
      <c r="Z226" s="17"/>
      <c r="AB226" s="17"/>
      <c r="AC226" s="17"/>
      <c r="AD226" s="17"/>
      <c r="AE226" s="6"/>
      <c r="AF226" s="6"/>
      <c r="AG226" s="17"/>
      <c r="AH226" s="17"/>
    </row>
    <row r="227" spans="15:34" ht="14.25" hidden="1" outlineLevel="1" x14ac:dyDescent="0.25">
      <c r="O227" s="17"/>
      <c r="P227" s="17"/>
      <c r="Q227" s="21" t="s">
        <v>55</v>
      </c>
      <c r="R227" s="21"/>
      <c r="S227" s="74"/>
      <c r="T227" s="74"/>
      <c r="U227" s="37">
        <f>'M1 Härtekammern'!T218</f>
        <v>208</v>
      </c>
      <c r="V227" s="21"/>
      <c r="X227" s="74">
        <f>S227+T227</f>
        <v>0</v>
      </c>
      <c r="Y227" s="74">
        <f t="shared" ref="Y227" si="63">SUM(S227:U227)</f>
        <v>208</v>
      </c>
      <c r="Z227" s="21" t="s">
        <v>183</v>
      </c>
      <c r="AB227" s="17"/>
      <c r="AC227" s="17"/>
      <c r="AD227" s="17"/>
      <c r="AE227" s="6"/>
      <c r="AF227" s="6"/>
      <c r="AG227" s="18"/>
      <c r="AH227" s="18"/>
    </row>
    <row r="228" spans="15:34" hidden="1" outlineLevel="1" x14ac:dyDescent="0.2">
      <c r="O228" s="17"/>
      <c r="P228" s="17"/>
      <c r="Q228" s="17"/>
      <c r="R228" s="17"/>
      <c r="S228" s="17"/>
      <c r="T228" s="17"/>
      <c r="U228" s="17"/>
      <c r="V228" s="17"/>
      <c r="X228" s="20"/>
      <c r="Y228" s="20"/>
      <c r="Z228" s="17"/>
      <c r="AE228" s="6"/>
      <c r="AF228" s="6"/>
    </row>
    <row r="229" spans="15:34" ht="14.25" hidden="1" outlineLevel="1" x14ac:dyDescent="0.25">
      <c r="O229" s="69"/>
      <c r="P229" s="69" t="s">
        <v>167</v>
      </c>
      <c r="Q229" s="70"/>
      <c r="R229" s="70"/>
      <c r="S229" s="71"/>
      <c r="T229" s="71"/>
      <c r="U229" s="71">
        <f>SUM(U230:U234)</f>
        <v>81.003999999999991</v>
      </c>
      <c r="V229" s="70"/>
      <c r="X229" s="71">
        <f t="shared" ref="X229" si="64">S229+T229</f>
        <v>0</v>
      </c>
      <c r="Y229" s="71">
        <f t="shared" ref="Y229" si="65">SUM(S229:U229)</f>
        <v>81.003999999999991</v>
      </c>
      <c r="Z229" s="76" t="s">
        <v>183</v>
      </c>
      <c r="AE229" s="6"/>
      <c r="AF229" s="6"/>
    </row>
    <row r="230" spans="15:34" ht="15.75" hidden="1" outlineLevel="1" x14ac:dyDescent="0.3">
      <c r="O230" s="17"/>
      <c r="P230" s="17"/>
      <c r="Q230" s="17" t="s">
        <v>57</v>
      </c>
      <c r="R230" s="17"/>
      <c r="S230" s="37"/>
      <c r="T230" s="37"/>
      <c r="U230" s="37">
        <f>'M1 Härtekammern'!T221</f>
        <v>0</v>
      </c>
      <c r="V230" s="17"/>
      <c r="X230" s="37">
        <f>S230+T230</f>
        <v>0</v>
      </c>
      <c r="Y230" s="37">
        <f>SUM(S230:U230)</f>
        <v>0</v>
      </c>
      <c r="Z230" s="17" t="s">
        <v>184</v>
      </c>
      <c r="AE230" s="6"/>
      <c r="AF230" s="6"/>
    </row>
    <row r="231" spans="15:34" ht="15.75" hidden="1" outlineLevel="1" x14ac:dyDescent="0.3">
      <c r="O231" s="17"/>
      <c r="P231" s="17"/>
      <c r="Q231" s="17" t="s">
        <v>58</v>
      </c>
      <c r="R231" s="17"/>
      <c r="S231" s="37"/>
      <c r="T231" s="37"/>
      <c r="U231" s="37">
        <f>'M1 Härtekammern'!T222</f>
        <v>8.6840000000000011</v>
      </c>
      <c r="V231" s="17"/>
      <c r="X231" s="37">
        <f>S231+T231</f>
        <v>0</v>
      </c>
      <c r="Y231" s="37">
        <f>SUM(S231:U231)</f>
        <v>8.6840000000000011</v>
      </c>
      <c r="Z231" s="17" t="s">
        <v>184</v>
      </c>
      <c r="AE231" s="6"/>
      <c r="AF231" s="6"/>
    </row>
    <row r="232" spans="15:34" ht="15.75" hidden="1" outlineLevel="1" x14ac:dyDescent="0.3">
      <c r="O232" s="17"/>
      <c r="P232" s="17"/>
      <c r="Q232" s="17" t="s">
        <v>59</v>
      </c>
      <c r="R232" s="17"/>
      <c r="S232" s="37"/>
      <c r="T232" s="37"/>
      <c r="U232" s="37">
        <f>'M1 Härtekammern'!T223</f>
        <v>72.319999999999993</v>
      </c>
      <c r="V232" s="17"/>
      <c r="X232" s="37">
        <f>S232+T232</f>
        <v>0</v>
      </c>
      <c r="Y232" s="37">
        <f>SUM(S232:U232)</f>
        <v>72.319999999999993</v>
      </c>
      <c r="Z232" s="17" t="s">
        <v>184</v>
      </c>
      <c r="AE232" s="6"/>
      <c r="AF232" s="6"/>
    </row>
    <row r="233" spans="15:34" ht="15.75" hidden="1" outlineLevel="1" x14ac:dyDescent="0.3">
      <c r="O233" s="17"/>
      <c r="P233" s="17"/>
      <c r="Q233" s="17" t="str">
        <f>'M1 Härtekammern'!P224</f>
        <v>Weiterer Zusatzstoff 1</v>
      </c>
      <c r="R233" s="17"/>
      <c r="S233" s="37"/>
      <c r="T233" s="37"/>
      <c r="U233" s="37">
        <f>'M1 Härtekammern'!T224</f>
        <v>0</v>
      </c>
      <c r="V233" s="17"/>
      <c r="X233" s="37">
        <f t="shared" ref="X233:X234" si="66">S233+T233</f>
        <v>0</v>
      </c>
      <c r="Y233" s="37">
        <f t="shared" ref="Y233:Y234" si="67">SUM(S233:U233)</f>
        <v>0</v>
      </c>
      <c r="Z233" s="17" t="s">
        <v>184</v>
      </c>
      <c r="AE233" s="6"/>
      <c r="AF233" s="6"/>
    </row>
    <row r="234" spans="15:34" ht="15.75" hidden="1" outlineLevel="1" x14ac:dyDescent="0.3">
      <c r="O234" s="17"/>
      <c r="P234" s="17"/>
      <c r="Q234" s="17" t="str">
        <f>'M1 Härtekammern'!P225</f>
        <v>Weiterer Zusatzstoff 2</v>
      </c>
      <c r="R234" s="17"/>
      <c r="S234" s="37"/>
      <c r="T234" s="37"/>
      <c r="U234" s="37">
        <f>'M1 Härtekammern'!T225</f>
        <v>0</v>
      </c>
      <c r="V234" s="17"/>
      <c r="X234" s="37">
        <f t="shared" si="66"/>
        <v>0</v>
      </c>
      <c r="Y234" s="37">
        <f t="shared" si="67"/>
        <v>0</v>
      </c>
      <c r="Z234" s="17" t="s">
        <v>184</v>
      </c>
      <c r="AE234" s="6"/>
      <c r="AF234" s="6"/>
    </row>
    <row r="235" spans="15:34" hidden="1" outlineLevel="1" x14ac:dyDescent="0.2">
      <c r="O235" s="17"/>
      <c r="P235" s="17"/>
      <c r="Q235" s="17"/>
      <c r="R235" s="17"/>
      <c r="S235" s="17"/>
      <c r="T235" s="17"/>
      <c r="U235" s="17"/>
      <c r="V235" s="17"/>
      <c r="X235" s="17"/>
      <c r="Y235" s="20"/>
      <c r="Z235" s="20"/>
      <c r="AE235" s="6"/>
      <c r="AF235" s="6"/>
    </row>
    <row r="236" spans="15:34" ht="14.25" hidden="1" outlineLevel="1" x14ac:dyDescent="0.25">
      <c r="O236" s="69"/>
      <c r="P236" s="69" t="s">
        <v>49</v>
      </c>
      <c r="Q236" s="70"/>
      <c r="R236" s="70"/>
      <c r="S236" s="71"/>
      <c r="T236" s="71"/>
      <c r="U236" s="71">
        <f t="shared" ref="U236" si="68">SUM(U237:U240)</f>
        <v>148.44746134951595</v>
      </c>
      <c r="V236" s="70"/>
      <c r="X236" s="71">
        <f t="shared" ref="X236:X240" si="69">S236+T236</f>
        <v>0</v>
      </c>
      <c r="Y236" s="71">
        <f t="shared" ref="Y236" si="70">SUM(S236:U236)</f>
        <v>148.44746134951595</v>
      </c>
      <c r="Z236" s="76" t="s">
        <v>183</v>
      </c>
      <c r="AE236" s="6"/>
      <c r="AF236" s="6"/>
    </row>
    <row r="237" spans="15:34" ht="15.75" hidden="1" outlineLevel="1" x14ac:dyDescent="0.3">
      <c r="O237" s="17"/>
      <c r="P237" s="17"/>
      <c r="Q237" s="17" t="s">
        <v>50</v>
      </c>
      <c r="R237" s="17"/>
      <c r="S237" s="37"/>
      <c r="T237" s="37"/>
      <c r="U237" s="37">
        <f>'M1 Härtekammern'!T228</f>
        <v>47.997919375812742</v>
      </c>
      <c r="V237" s="17"/>
      <c r="X237" s="37">
        <f t="shared" si="69"/>
        <v>0</v>
      </c>
      <c r="Y237" s="37">
        <f t="shared" ref="Y237:Y240" si="71">SUM(S237:U237)</f>
        <v>47.997919375812742</v>
      </c>
      <c r="Z237" s="17" t="s">
        <v>184</v>
      </c>
      <c r="AE237" s="6"/>
      <c r="AF237" s="6"/>
    </row>
    <row r="238" spans="15:34" ht="15.75" hidden="1" outlineLevel="1" x14ac:dyDescent="0.3">
      <c r="O238" s="17"/>
      <c r="P238" s="17"/>
      <c r="Q238" s="17" t="s">
        <v>52</v>
      </c>
      <c r="R238" s="17"/>
      <c r="S238" s="37"/>
      <c r="T238" s="37"/>
      <c r="U238" s="37">
        <f>'M1 Härtekammern'!T229</f>
        <v>5.7797543707556596</v>
      </c>
      <c r="V238" s="17"/>
      <c r="X238" s="37">
        <f t="shared" si="69"/>
        <v>0</v>
      </c>
      <c r="Y238" s="37">
        <f t="shared" si="71"/>
        <v>5.7797543707556596</v>
      </c>
      <c r="Z238" s="17" t="s">
        <v>184</v>
      </c>
      <c r="AE238" s="6"/>
      <c r="AF238" s="6"/>
    </row>
    <row r="239" spans="15:34" ht="15.75" hidden="1" outlineLevel="1" x14ac:dyDescent="0.3">
      <c r="O239" s="17"/>
      <c r="P239" s="17"/>
      <c r="Q239" s="17" t="s">
        <v>53</v>
      </c>
      <c r="R239" s="17"/>
      <c r="S239" s="37"/>
      <c r="T239" s="37"/>
      <c r="U239" s="37">
        <f>'M1 Härtekammern'!T230</f>
        <v>1.4217598612917211E-2</v>
      </c>
      <c r="V239" s="17"/>
      <c r="X239" s="37">
        <f t="shared" si="69"/>
        <v>0</v>
      </c>
      <c r="Y239" s="37">
        <f t="shared" si="71"/>
        <v>1.4217598612917211E-2</v>
      </c>
      <c r="Z239" s="17" t="s">
        <v>184</v>
      </c>
      <c r="AE239" s="6"/>
      <c r="AF239" s="6"/>
    </row>
    <row r="240" spans="15:34" ht="15.75" hidden="1" outlineLevel="1" x14ac:dyDescent="0.3">
      <c r="O240" s="17"/>
      <c r="P240" s="17"/>
      <c r="Q240" s="17" t="s">
        <v>54</v>
      </c>
      <c r="R240" s="17"/>
      <c r="S240" s="37"/>
      <c r="T240" s="37"/>
      <c r="U240" s="37">
        <f>'M1 Härtekammern'!T231</f>
        <v>94.655570004334635</v>
      </c>
      <c r="V240" s="17"/>
      <c r="X240" s="37">
        <f t="shared" si="69"/>
        <v>0</v>
      </c>
      <c r="Y240" s="37">
        <f t="shared" si="71"/>
        <v>94.655570004334635</v>
      </c>
      <c r="Z240" s="17" t="s">
        <v>184</v>
      </c>
      <c r="AE240" s="6"/>
      <c r="AF240" s="6"/>
    </row>
    <row r="241" spans="15:32" hidden="1" outlineLevel="1" x14ac:dyDescent="0.2">
      <c r="O241" s="17"/>
      <c r="P241" s="17"/>
      <c r="Q241" s="17"/>
      <c r="R241" s="17"/>
      <c r="S241" s="17"/>
      <c r="T241" s="17"/>
      <c r="U241" s="17"/>
      <c r="V241" s="17"/>
      <c r="X241" s="17"/>
      <c r="Y241" s="17"/>
      <c r="Z241" s="20"/>
      <c r="AE241" s="6"/>
      <c r="AF241" s="6"/>
    </row>
    <row r="242" spans="15:32" ht="14.25" hidden="1" outlineLevel="1" x14ac:dyDescent="0.25">
      <c r="O242" s="17"/>
      <c r="P242" s="17"/>
      <c r="Q242" s="21" t="s">
        <v>99</v>
      </c>
      <c r="R242" s="21"/>
      <c r="S242" s="74"/>
      <c r="T242" s="74"/>
      <c r="U242" s="37">
        <f>'M1 Härtekammern'!T233</f>
        <v>0</v>
      </c>
      <c r="V242" s="21"/>
      <c r="X242" s="74">
        <f>S242+T242</f>
        <v>0</v>
      </c>
      <c r="Y242" s="74">
        <f>SUM(S242:U242)</f>
        <v>0</v>
      </c>
      <c r="Z242" s="21" t="s">
        <v>183</v>
      </c>
      <c r="AE242" s="6"/>
      <c r="AF242" s="6"/>
    </row>
    <row r="243" spans="15:32" ht="14.25" hidden="1" outlineLevel="1" x14ac:dyDescent="0.25">
      <c r="O243" s="17"/>
      <c r="P243" s="17"/>
      <c r="Q243" s="21" t="s">
        <v>62</v>
      </c>
      <c r="R243" s="21"/>
      <c r="S243" s="75"/>
      <c r="T243" s="75"/>
      <c r="U243" s="37">
        <f>'M1 Härtekammern'!T234</f>
        <v>0.54400000000000004</v>
      </c>
      <c r="V243" s="21"/>
      <c r="X243" s="74">
        <f>S243+T243</f>
        <v>0</v>
      </c>
      <c r="Y243" s="74">
        <f>SUM(S243:U243)</f>
        <v>0.54400000000000004</v>
      </c>
      <c r="Z243" s="21" t="s">
        <v>183</v>
      </c>
      <c r="AE243" s="6"/>
      <c r="AF243" s="6"/>
    </row>
    <row r="244" spans="15:32" hidden="1" outlineLevel="1" x14ac:dyDescent="0.2">
      <c r="O244" s="17"/>
      <c r="P244" s="17"/>
      <c r="Q244" s="17"/>
      <c r="R244" s="17"/>
      <c r="S244" s="17"/>
      <c r="T244" s="17"/>
      <c r="U244" s="17"/>
      <c r="V244" s="17"/>
      <c r="X244" s="17"/>
      <c r="Y244" s="17"/>
      <c r="Z244" s="20"/>
      <c r="AE244" s="6"/>
      <c r="AF244" s="6"/>
    </row>
    <row r="245" spans="15:32" ht="14.25" hidden="1" outlineLevel="1" x14ac:dyDescent="0.25">
      <c r="O245" s="69"/>
      <c r="P245" s="69" t="s">
        <v>168</v>
      </c>
      <c r="Q245" s="70"/>
      <c r="R245" s="70"/>
      <c r="S245" s="71"/>
      <c r="T245" s="71"/>
      <c r="U245" s="71">
        <f t="shared" ref="U245" si="72">SUM(U246:U248)</f>
        <v>0.16095999999999999</v>
      </c>
      <c r="V245" s="70"/>
      <c r="X245" s="71">
        <f t="shared" ref="X245" si="73">S245+T245</f>
        <v>0</v>
      </c>
      <c r="Y245" s="71">
        <f t="shared" ref="Y245" si="74">SUM(S245:U245)</f>
        <v>0.16095999999999999</v>
      </c>
      <c r="Z245" s="76" t="s">
        <v>183</v>
      </c>
      <c r="AE245" s="6"/>
      <c r="AF245" s="6"/>
    </row>
    <row r="246" spans="15:32" ht="15.75" hidden="1" outlineLevel="1" x14ac:dyDescent="0.3">
      <c r="O246" s="17"/>
      <c r="P246" s="17"/>
      <c r="Q246" s="17" t="s">
        <v>169</v>
      </c>
      <c r="R246" s="17"/>
      <c r="S246" s="37"/>
      <c r="T246" s="37"/>
      <c r="U246" s="37">
        <f>'M1 Härtekammern'!T237</f>
        <v>0</v>
      </c>
      <c r="V246" s="17"/>
      <c r="X246" s="37">
        <f>S246+T246</f>
        <v>0</v>
      </c>
      <c r="Y246" s="37">
        <f>SUM(S246:U246)</f>
        <v>0</v>
      </c>
      <c r="Z246" s="17" t="s">
        <v>184</v>
      </c>
      <c r="AE246" s="6"/>
      <c r="AF246" s="6"/>
    </row>
    <row r="247" spans="15:32" ht="15.75" hidden="1" outlineLevel="1" x14ac:dyDescent="0.3">
      <c r="O247" s="17"/>
      <c r="P247" s="17"/>
      <c r="Q247" s="17" t="s">
        <v>60</v>
      </c>
      <c r="R247" s="17"/>
      <c r="S247" s="37"/>
      <c r="T247" s="37"/>
      <c r="U247" s="37">
        <f>'M1 Härtekammern'!T238</f>
        <v>0.16095999999999999</v>
      </c>
      <c r="V247" s="17"/>
      <c r="X247" s="37">
        <f t="shared" ref="X247" si="75">S247+T247</f>
        <v>0</v>
      </c>
      <c r="Y247" s="37">
        <f t="shared" ref="Y247" si="76">SUM(S247:U247)</f>
        <v>0.16095999999999999</v>
      </c>
      <c r="Z247" s="17" t="s">
        <v>184</v>
      </c>
      <c r="AE247" s="6"/>
      <c r="AF247" s="6"/>
    </row>
    <row r="248" spans="15:32" ht="15.75" hidden="1" outlineLevel="1" x14ac:dyDescent="0.3">
      <c r="O248" s="17"/>
      <c r="P248" s="17"/>
      <c r="Q248" s="17" t="s">
        <v>170</v>
      </c>
      <c r="R248" s="17"/>
      <c r="S248" s="37"/>
      <c r="T248" s="37"/>
      <c r="U248" s="37">
        <f>'M1 Härtekammern'!T239</f>
        <v>0</v>
      </c>
      <c r="V248" s="17"/>
      <c r="X248" s="37">
        <f>S248+T248</f>
        <v>0</v>
      </c>
      <c r="Y248" s="37">
        <f>SUM(S248:U248)</f>
        <v>0</v>
      </c>
      <c r="Z248" s="17" t="s">
        <v>184</v>
      </c>
      <c r="AE248" s="6"/>
      <c r="AF248" s="6"/>
    </row>
    <row r="249" spans="15:32" hidden="1" outlineLevel="1" x14ac:dyDescent="0.2">
      <c r="O249" s="17"/>
      <c r="P249" s="17"/>
      <c r="Q249" s="17"/>
      <c r="R249" s="17"/>
      <c r="S249" s="17"/>
      <c r="T249" s="17"/>
      <c r="U249" s="17"/>
      <c r="V249" s="17"/>
      <c r="X249" s="17"/>
      <c r="Y249" s="17"/>
      <c r="Z249" s="20"/>
      <c r="AE249" s="6"/>
      <c r="AF249" s="6"/>
    </row>
    <row r="250" spans="15:32" ht="14.25" hidden="1" outlineLevel="1" x14ac:dyDescent="0.25">
      <c r="O250" s="69"/>
      <c r="P250" s="69" t="s">
        <v>171</v>
      </c>
      <c r="Q250" s="70"/>
      <c r="R250" s="70"/>
      <c r="S250" s="71"/>
      <c r="T250" s="71"/>
      <c r="U250" s="71">
        <f t="shared" ref="U250" si="77">SUM(U251:U253)</f>
        <v>60</v>
      </c>
      <c r="V250" s="70"/>
      <c r="X250" s="71">
        <f t="shared" ref="X250" si="78">S250+T250</f>
        <v>0</v>
      </c>
      <c r="Y250" s="71">
        <f t="shared" ref="Y250" si="79">SUM(S250:U250)</f>
        <v>60</v>
      </c>
      <c r="Z250" s="76" t="s">
        <v>183</v>
      </c>
      <c r="AE250" s="6"/>
      <c r="AF250" s="6"/>
    </row>
    <row r="251" spans="15:32" ht="15.75" hidden="1" outlineLevel="1" x14ac:dyDescent="0.3">
      <c r="O251" s="17"/>
      <c r="P251" s="17"/>
      <c r="Q251" s="17" t="s">
        <v>64</v>
      </c>
      <c r="R251" s="17"/>
      <c r="S251" s="43"/>
      <c r="T251" s="43"/>
      <c r="U251" s="37">
        <f>'M1 Härtekammern'!T242</f>
        <v>60</v>
      </c>
      <c r="V251" s="17"/>
      <c r="X251" s="37">
        <f>S251+T251</f>
        <v>0</v>
      </c>
      <c r="Y251" s="37">
        <f>SUM(S251:U251)</f>
        <v>60</v>
      </c>
      <c r="Z251" s="17" t="s">
        <v>184</v>
      </c>
      <c r="AE251" s="6"/>
      <c r="AF251" s="6"/>
    </row>
    <row r="252" spans="15:32" ht="15.75" hidden="1" outlineLevel="1" x14ac:dyDescent="0.3">
      <c r="O252" s="17"/>
      <c r="P252" s="17"/>
      <c r="Q252" s="17" t="s">
        <v>173</v>
      </c>
      <c r="R252" s="17"/>
      <c r="S252" s="43"/>
      <c r="T252" s="43"/>
      <c r="U252" s="37">
        <f>'M1 Härtekammern'!T243</f>
        <v>0</v>
      </c>
      <c r="V252" s="17"/>
      <c r="X252" s="37">
        <f t="shared" ref="X252:X253" si="80">S252+T252</f>
        <v>0</v>
      </c>
      <c r="Y252" s="37">
        <f t="shared" ref="Y252:Y253" si="81">SUM(S252:U252)</f>
        <v>0</v>
      </c>
      <c r="Z252" s="17" t="s">
        <v>184</v>
      </c>
      <c r="AE252" s="6"/>
      <c r="AF252" s="6"/>
    </row>
    <row r="253" spans="15:32" ht="15.75" hidden="1" outlineLevel="1" x14ac:dyDescent="0.3">
      <c r="O253" s="17"/>
      <c r="P253" s="17"/>
      <c r="Q253" s="17" t="s">
        <v>172</v>
      </c>
      <c r="R253" s="17"/>
      <c r="S253" s="43"/>
      <c r="T253" s="43"/>
      <c r="U253" s="37">
        <f>'M1 Härtekammern'!T244</f>
        <v>0</v>
      </c>
      <c r="V253" s="17"/>
      <c r="X253" s="37">
        <f t="shared" si="80"/>
        <v>0</v>
      </c>
      <c r="Y253" s="37">
        <f t="shared" si="81"/>
        <v>0</v>
      </c>
      <c r="Z253" s="17" t="s">
        <v>184</v>
      </c>
      <c r="AE253" s="6"/>
      <c r="AF253" s="6"/>
    </row>
    <row r="254" spans="15:32" hidden="1" outlineLevel="1" x14ac:dyDescent="0.2">
      <c r="O254" s="17"/>
      <c r="P254" s="17"/>
      <c r="Q254" s="17"/>
      <c r="R254" s="17"/>
      <c r="S254" s="17"/>
      <c r="T254" s="17"/>
      <c r="U254" s="17"/>
      <c r="V254" s="17"/>
      <c r="X254" s="17"/>
      <c r="Y254" s="17"/>
      <c r="Z254" s="20"/>
      <c r="AE254" s="6"/>
      <c r="AF254" s="6"/>
    </row>
    <row r="255" spans="15:32" ht="14.25" hidden="1" outlineLevel="1" x14ac:dyDescent="0.25">
      <c r="O255" s="17"/>
      <c r="P255" s="17"/>
      <c r="Q255" s="21" t="s">
        <v>61</v>
      </c>
      <c r="R255" s="21"/>
      <c r="S255" s="75"/>
      <c r="T255" s="75"/>
      <c r="U255" s="37">
        <f>'M1 Härtekammern'!T246</f>
        <v>64.48</v>
      </c>
      <c r="V255" s="21"/>
      <c r="X255" s="74">
        <f t="shared" ref="X255" si="82">S255+T255</f>
        <v>0</v>
      </c>
      <c r="Y255" s="74">
        <f t="shared" ref="Y255" si="83">SUM(S255:U255)</f>
        <v>64.48</v>
      </c>
      <c r="Z255" s="21" t="s">
        <v>183</v>
      </c>
      <c r="AE255" s="6"/>
      <c r="AF255" s="6"/>
    </row>
    <row r="256" spans="15:32" hidden="1" outlineLevel="1" x14ac:dyDescent="0.2">
      <c r="O256" s="17"/>
      <c r="P256" s="17"/>
      <c r="Q256" s="17"/>
      <c r="R256" s="17"/>
      <c r="S256" s="20"/>
      <c r="T256" s="20"/>
      <c r="U256" s="20"/>
      <c r="V256" s="17"/>
      <c r="X256" s="17"/>
      <c r="Y256" s="20"/>
      <c r="Z256" s="20"/>
      <c r="AE256" s="6"/>
      <c r="AF256" s="6"/>
    </row>
    <row r="257" spans="15:32" ht="15" hidden="1" outlineLevel="1" thickBot="1" x14ac:dyDescent="0.3">
      <c r="O257" s="17"/>
      <c r="P257" s="17"/>
      <c r="Q257" s="67" t="s">
        <v>67</v>
      </c>
      <c r="R257" s="67"/>
      <c r="S257" s="68">
        <f>SUM(S196:S255)-S210-S214-S220-S229-S236-S245-S250</f>
        <v>94.932355060000006</v>
      </c>
      <c r="T257" s="68">
        <f>SUM(T196:T255)-T210-T214-T220-T229-T236-T245-T250</f>
        <v>0</v>
      </c>
      <c r="U257" s="68">
        <f>SUM(U196:U255)-U210-U214-U220-U229-U236-U245-U250</f>
        <v>5744.366082809518</v>
      </c>
      <c r="V257" s="21"/>
      <c r="X257" s="68">
        <f>SUM(X196:X255)-X210-X214-X220-X229-X236-X245-X250</f>
        <v>94.932355060000006</v>
      </c>
      <c r="Y257" s="68">
        <f>SUM(Y196:Y255)-Y210-Y214-Y220-Y229-Y236-Y245-Y250</f>
        <v>5839.2984378695182</v>
      </c>
      <c r="Z257" s="68" t="s">
        <v>183</v>
      </c>
      <c r="AE257" s="6"/>
      <c r="AF257" s="6"/>
    </row>
    <row r="258" spans="15:32" ht="13.5" hidden="1" outlineLevel="1" thickTop="1" x14ac:dyDescent="0.2">
      <c r="O258" s="17"/>
      <c r="P258" s="17"/>
      <c r="Q258" s="17"/>
      <c r="R258" s="17"/>
      <c r="S258" s="20"/>
      <c r="T258" s="20"/>
      <c r="U258" s="20"/>
      <c r="V258" s="17"/>
      <c r="X258" s="17"/>
      <c r="Y258" s="20"/>
      <c r="Z258" s="20"/>
      <c r="AE258" s="6"/>
      <c r="AF258" s="6"/>
    </row>
    <row r="259" spans="15:32" hidden="1" outlineLevel="1" x14ac:dyDescent="0.2">
      <c r="AE259" s="6"/>
      <c r="AF259" s="6"/>
    </row>
    <row r="260" spans="15:32" hidden="1" outlineLevel="1" x14ac:dyDescent="0.2">
      <c r="AE260" s="6"/>
      <c r="AF260" s="6"/>
    </row>
    <row r="261" spans="15:32" hidden="1" outlineLevel="1" x14ac:dyDescent="0.2">
      <c r="AE261" s="6"/>
      <c r="AF261" s="6"/>
    </row>
    <row r="262" spans="15:32" hidden="1" outlineLevel="1" x14ac:dyDescent="0.2">
      <c r="AE262" s="6"/>
      <c r="AF262" s="6"/>
    </row>
    <row r="263" spans="15:32" hidden="1" outlineLevel="1" x14ac:dyDescent="0.2">
      <c r="AE263" s="6"/>
      <c r="AF263" s="6"/>
    </row>
    <row r="264" spans="15:32" hidden="1" outlineLevel="1" x14ac:dyDescent="0.2">
      <c r="AE264" s="6"/>
      <c r="AF264" s="6"/>
    </row>
    <row r="265" spans="15:32" hidden="1" outlineLevel="1" x14ac:dyDescent="0.2">
      <c r="AE265" s="6"/>
      <c r="AF265" s="6"/>
    </row>
    <row r="266" spans="15:32" hidden="1" outlineLevel="1" x14ac:dyDescent="0.2">
      <c r="AE266" s="6"/>
      <c r="AF266" s="6"/>
    </row>
    <row r="267" spans="15:32" hidden="1" outlineLevel="1" x14ac:dyDescent="0.2">
      <c r="AE267" s="6"/>
      <c r="AF267" s="6"/>
    </row>
    <row r="268" spans="15:32" hidden="1" outlineLevel="1" x14ac:dyDescent="0.2">
      <c r="AE268" s="6"/>
      <c r="AF268" s="6"/>
    </row>
    <row r="269" spans="15:32" hidden="1" outlineLevel="1" x14ac:dyDescent="0.2">
      <c r="AE269" s="6"/>
      <c r="AF269" s="6"/>
    </row>
    <row r="270" spans="15:32" hidden="1" outlineLevel="1" x14ac:dyDescent="0.2">
      <c r="AE270" s="6"/>
      <c r="AF270" s="6"/>
    </row>
    <row r="271" spans="15:32" hidden="1" outlineLevel="1" x14ac:dyDescent="0.2">
      <c r="AE271" s="6"/>
      <c r="AF271" s="6"/>
    </row>
    <row r="272" spans="15:32" hidden="1" outlineLevel="1" x14ac:dyDescent="0.2">
      <c r="AE272" s="6"/>
      <c r="AF272" s="6"/>
    </row>
    <row r="273" spans="31:32" hidden="1" outlineLevel="1" x14ac:dyDescent="0.2">
      <c r="AE273" s="6"/>
      <c r="AF273" s="6"/>
    </row>
    <row r="274" spans="31:32" hidden="1" outlineLevel="1" collapsed="1" x14ac:dyDescent="0.2">
      <c r="AE274" s="6"/>
      <c r="AF274" s="6"/>
    </row>
    <row r="275" spans="31:32" hidden="1" outlineLevel="1" x14ac:dyDescent="0.2">
      <c r="AE275" s="6"/>
      <c r="AF275" s="6"/>
    </row>
    <row r="276" spans="31:32" collapsed="1" x14ac:dyDescent="0.2">
      <c r="AE276" s="6"/>
      <c r="AF276" s="6"/>
    </row>
    <row r="277" spans="31:32" x14ac:dyDescent="0.2">
      <c r="AE277" s="6"/>
      <c r="AF277" s="6"/>
    </row>
    <row r="278" spans="31:32" x14ac:dyDescent="0.2">
      <c r="AE278" s="6"/>
      <c r="AF278" s="6"/>
    </row>
    <row r="279" spans="31:32" x14ac:dyDescent="0.2">
      <c r="AE279" s="6"/>
      <c r="AF279" s="6"/>
    </row>
    <row r="280" spans="31:32" x14ac:dyDescent="0.2">
      <c r="AE280" s="6"/>
      <c r="AF280" s="6"/>
    </row>
    <row r="281" spans="31:32" x14ac:dyDescent="0.2">
      <c r="AE281" s="6"/>
      <c r="AF281" s="6"/>
    </row>
    <row r="282" spans="31:32" x14ac:dyDescent="0.2">
      <c r="AE282" s="6"/>
      <c r="AF282" s="6"/>
    </row>
    <row r="283" spans="31:32" x14ac:dyDescent="0.2">
      <c r="AE283" s="6"/>
      <c r="AF283" s="6"/>
    </row>
    <row r="284" spans="31:32" x14ac:dyDescent="0.2">
      <c r="AE284" s="6"/>
      <c r="AF284" s="6"/>
    </row>
    <row r="285" spans="31:32" x14ac:dyDescent="0.2">
      <c r="AE285" s="6"/>
      <c r="AF285" s="6"/>
    </row>
    <row r="286" spans="31:32" x14ac:dyDescent="0.2">
      <c r="AE286" s="6"/>
      <c r="AF286" s="6"/>
    </row>
    <row r="287" spans="31:32" x14ac:dyDescent="0.2">
      <c r="AE287" s="6"/>
      <c r="AF287" s="6"/>
    </row>
    <row r="288" spans="31:32" x14ac:dyDescent="0.2">
      <c r="AE288" s="6"/>
      <c r="AF288" s="6"/>
    </row>
    <row r="289" spans="31:32" x14ac:dyDescent="0.2">
      <c r="AE289" s="6"/>
      <c r="AF289" s="6"/>
    </row>
    <row r="290" spans="31:32" x14ac:dyDescent="0.2">
      <c r="AE290" s="6"/>
      <c r="AF290" s="6"/>
    </row>
    <row r="291" spans="31:32" x14ac:dyDescent="0.2">
      <c r="AE291" s="6"/>
      <c r="AF291" s="6"/>
    </row>
    <row r="292" spans="31:32" x14ac:dyDescent="0.2">
      <c r="AE292" s="6"/>
      <c r="AF292" s="6"/>
    </row>
    <row r="293" spans="31:32" x14ac:dyDescent="0.2">
      <c r="AE293" s="6"/>
      <c r="AF293" s="6"/>
    </row>
    <row r="294" spans="31:32" x14ac:dyDescent="0.2">
      <c r="AE294" s="6"/>
      <c r="AF294" s="6"/>
    </row>
    <row r="295" spans="31:32" x14ac:dyDescent="0.2">
      <c r="AE295" s="6"/>
      <c r="AF295" s="6"/>
    </row>
    <row r="296" spans="31:32" x14ac:dyDescent="0.2">
      <c r="AE296" s="6"/>
      <c r="AF296" s="6"/>
    </row>
    <row r="297" spans="31:32" x14ac:dyDescent="0.2">
      <c r="AE297" s="6"/>
      <c r="AF297" s="6"/>
    </row>
    <row r="298" spans="31:32" x14ac:dyDescent="0.2">
      <c r="AE298" s="6"/>
      <c r="AF298" s="6"/>
    </row>
    <row r="299" spans="31:32" x14ac:dyDescent="0.2">
      <c r="AE299" s="6"/>
      <c r="AF299" s="6"/>
    </row>
    <row r="300" spans="31:32" x14ac:dyDescent="0.2">
      <c r="AE300" s="6"/>
      <c r="AF300" s="6"/>
    </row>
    <row r="301" spans="31:32" x14ac:dyDescent="0.2">
      <c r="AE301" s="6"/>
      <c r="AF301" s="6"/>
    </row>
    <row r="302" spans="31:32" x14ac:dyDescent="0.2">
      <c r="AE302" s="6"/>
      <c r="AF302" s="6"/>
    </row>
    <row r="303" spans="31:32" x14ac:dyDescent="0.2">
      <c r="AE303" s="6"/>
      <c r="AF303" s="6"/>
    </row>
    <row r="304" spans="31:32" x14ac:dyDescent="0.2">
      <c r="AE304" s="6"/>
      <c r="AF304" s="6"/>
    </row>
    <row r="305" spans="31:32" x14ac:dyDescent="0.2">
      <c r="AE305" s="6"/>
      <c r="AF305" s="6"/>
    </row>
    <row r="306" spans="31:32" x14ac:dyDescent="0.2">
      <c r="AE306" s="6"/>
      <c r="AF306" s="6"/>
    </row>
    <row r="307" spans="31:32" x14ac:dyDescent="0.2">
      <c r="AE307" s="6"/>
      <c r="AF307" s="6"/>
    </row>
    <row r="308" spans="31:32" x14ac:dyDescent="0.2">
      <c r="AE308" s="6"/>
      <c r="AF308" s="6"/>
    </row>
    <row r="309" spans="31:32" x14ac:dyDescent="0.2">
      <c r="AE309" s="6"/>
      <c r="AF309" s="6"/>
    </row>
    <row r="310" spans="31:32" x14ac:dyDescent="0.2">
      <c r="AE310" s="6"/>
      <c r="AF310" s="6"/>
    </row>
    <row r="311" spans="31:32" x14ac:dyDescent="0.2">
      <c r="AE311" s="6"/>
      <c r="AF311" s="6"/>
    </row>
    <row r="312" spans="31:32" x14ac:dyDescent="0.2">
      <c r="AE312" s="6"/>
      <c r="AF312" s="6"/>
    </row>
    <row r="313" spans="31:32" x14ac:dyDescent="0.2">
      <c r="AE313" s="6"/>
      <c r="AF313" s="6"/>
    </row>
    <row r="314" spans="31:32" x14ac:dyDescent="0.2">
      <c r="AE314" s="6"/>
      <c r="AF314" s="6"/>
    </row>
    <row r="315" spans="31:32" x14ac:dyDescent="0.2">
      <c r="AE315" s="6"/>
      <c r="AF315" s="6"/>
    </row>
    <row r="316" spans="31:32" x14ac:dyDescent="0.2">
      <c r="AE316" s="6"/>
      <c r="AF316" s="6"/>
    </row>
    <row r="317" spans="31:32" x14ac:dyDescent="0.2">
      <c r="AE317" s="6"/>
      <c r="AF317" s="6"/>
    </row>
    <row r="318" spans="31:32" x14ac:dyDescent="0.2">
      <c r="AE318" s="6"/>
      <c r="AF318" s="6"/>
    </row>
    <row r="319" spans="31:32" x14ac:dyDescent="0.2">
      <c r="AE319" s="6"/>
      <c r="AF319" s="6"/>
    </row>
    <row r="320" spans="31:32" x14ac:dyDescent="0.2">
      <c r="AE320" s="6"/>
      <c r="AF320" s="6"/>
    </row>
    <row r="321" spans="31:32" x14ac:dyDescent="0.2">
      <c r="AE321" s="6"/>
      <c r="AF321" s="6"/>
    </row>
    <row r="322" spans="31:32" x14ac:dyDescent="0.2">
      <c r="AE322" s="6"/>
      <c r="AF322" s="6"/>
    </row>
    <row r="323" spans="31:32" x14ac:dyDescent="0.2">
      <c r="AE323" s="6"/>
      <c r="AF323" s="6"/>
    </row>
    <row r="324" spans="31:32" x14ac:dyDescent="0.2">
      <c r="AE324" s="6"/>
      <c r="AF324" s="6"/>
    </row>
    <row r="325" spans="31:32" x14ac:dyDescent="0.2">
      <c r="AE325" s="6"/>
      <c r="AF325" s="6"/>
    </row>
    <row r="326" spans="31:32" x14ac:dyDescent="0.2">
      <c r="AE326" s="6"/>
      <c r="AF326" s="6"/>
    </row>
    <row r="327" spans="31:32" x14ac:dyDescent="0.2">
      <c r="AE327" s="6"/>
      <c r="AF327" s="6"/>
    </row>
    <row r="328" spans="31:32" x14ac:dyDescent="0.2">
      <c r="AE328" s="6"/>
      <c r="AF328" s="6"/>
    </row>
    <row r="329" spans="31:32" x14ac:dyDescent="0.2">
      <c r="AE329" s="6"/>
      <c r="AF329" s="6"/>
    </row>
    <row r="330" spans="31:32" x14ac:dyDescent="0.2">
      <c r="AE330" s="6"/>
      <c r="AF330" s="6"/>
    </row>
    <row r="331" spans="31:32" x14ac:dyDescent="0.2">
      <c r="AE331" s="6"/>
      <c r="AF331" s="6"/>
    </row>
    <row r="332" spans="31:32" x14ac:dyDescent="0.2">
      <c r="AE332" s="6"/>
      <c r="AF332" s="6"/>
    </row>
    <row r="333" spans="31:32" x14ac:dyDescent="0.2">
      <c r="AE333" s="6"/>
      <c r="AF333" s="6"/>
    </row>
    <row r="334" spans="31:32" x14ac:dyDescent="0.2">
      <c r="AE334" s="6"/>
      <c r="AF334" s="6"/>
    </row>
    <row r="335" spans="31:32" x14ac:dyDescent="0.2">
      <c r="AE335" s="6"/>
      <c r="AF335" s="6"/>
    </row>
    <row r="336" spans="31:32" x14ac:dyDescent="0.2">
      <c r="AE336" s="6"/>
      <c r="AF336" s="6"/>
    </row>
    <row r="337" spans="31:32" x14ac:dyDescent="0.2">
      <c r="AE337" s="6"/>
      <c r="AF337" s="6"/>
    </row>
    <row r="338" spans="31:32" x14ac:dyDescent="0.2">
      <c r="AE338" s="6"/>
      <c r="AF338" s="6"/>
    </row>
    <row r="339" spans="31:32" x14ac:dyDescent="0.2">
      <c r="AE339" s="6"/>
      <c r="AF339" s="6"/>
    </row>
    <row r="340" spans="31:32" x14ac:dyDescent="0.2">
      <c r="AE340" s="6"/>
      <c r="AF340" s="6"/>
    </row>
    <row r="341" spans="31:32" x14ac:dyDescent="0.2">
      <c r="AE341" s="6"/>
      <c r="AF341" s="6"/>
    </row>
    <row r="342" spans="31:32" x14ac:dyDescent="0.2">
      <c r="AE342" s="6"/>
      <c r="AF342" s="6"/>
    </row>
    <row r="343" spans="31:32" x14ac:dyDescent="0.2">
      <c r="AE343" s="6"/>
      <c r="AF343" s="6"/>
    </row>
    <row r="344" spans="31:32" x14ac:dyDescent="0.2">
      <c r="AE344" s="6"/>
      <c r="AF344" s="6"/>
    </row>
    <row r="345" spans="31:32" x14ac:dyDescent="0.2">
      <c r="AE345" s="6"/>
      <c r="AF345" s="6"/>
    </row>
    <row r="346" spans="31:32" x14ac:dyDescent="0.2">
      <c r="AE346" s="6"/>
      <c r="AF346" s="6"/>
    </row>
    <row r="347" spans="31:32" x14ac:dyDescent="0.2">
      <c r="AE347" s="6"/>
      <c r="AF347" s="6"/>
    </row>
    <row r="348" spans="31:32" x14ac:dyDescent="0.2">
      <c r="AE348" s="6"/>
      <c r="AF348" s="6"/>
    </row>
    <row r="349" spans="31:32" x14ac:dyDescent="0.2">
      <c r="AE349" s="6"/>
      <c r="AF349" s="6"/>
    </row>
    <row r="350" spans="31:32" x14ac:dyDescent="0.2">
      <c r="AE350" s="6"/>
      <c r="AF350" s="6"/>
    </row>
    <row r="351" spans="31:32" x14ac:dyDescent="0.2">
      <c r="AE351" s="6"/>
      <c r="AF351" s="6"/>
    </row>
    <row r="352" spans="31:32" x14ac:dyDescent="0.2">
      <c r="AE352" s="6"/>
      <c r="AF352" s="6"/>
    </row>
    <row r="353" spans="31:32" x14ac:dyDescent="0.2">
      <c r="AE353" s="6"/>
      <c r="AF353" s="6"/>
    </row>
    <row r="354" spans="31:32" x14ac:dyDescent="0.2">
      <c r="AE354" s="6"/>
      <c r="AF354" s="6"/>
    </row>
    <row r="355" spans="31:32" x14ac:dyDescent="0.2">
      <c r="AE355" s="6"/>
      <c r="AF355" s="6"/>
    </row>
    <row r="356" spans="31:32" x14ac:dyDescent="0.2">
      <c r="AE356" s="6"/>
      <c r="AF356" s="6"/>
    </row>
    <row r="357" spans="31:32" x14ac:dyDescent="0.2">
      <c r="AE357" s="6"/>
      <c r="AF357" s="6"/>
    </row>
    <row r="358" spans="31:32" x14ac:dyDescent="0.2">
      <c r="AE358" s="6"/>
      <c r="AF358" s="6"/>
    </row>
    <row r="359" spans="31:32" x14ac:dyDescent="0.2">
      <c r="AE359" s="6"/>
      <c r="AF359" s="6"/>
    </row>
    <row r="360" spans="31:32" x14ac:dyDescent="0.2">
      <c r="AE360" s="6"/>
      <c r="AF360" s="6"/>
    </row>
    <row r="361" spans="31:32" x14ac:dyDescent="0.2">
      <c r="AE361" s="6"/>
      <c r="AF361" s="6"/>
    </row>
    <row r="362" spans="31:32" x14ac:dyDescent="0.2">
      <c r="AE362" s="6"/>
      <c r="AF362" s="6"/>
    </row>
    <row r="363" spans="31:32" x14ac:dyDescent="0.2">
      <c r="AE363" s="6"/>
      <c r="AF363" s="6"/>
    </row>
    <row r="364" spans="31:32" x14ac:dyDescent="0.2">
      <c r="AE364" s="6"/>
      <c r="AF364" s="6"/>
    </row>
    <row r="365" spans="31:32" x14ac:dyDescent="0.2">
      <c r="AE365" s="6"/>
      <c r="AF365" s="6"/>
    </row>
    <row r="366" spans="31:32" x14ac:dyDescent="0.2">
      <c r="AE366" s="6"/>
      <c r="AF366" s="6"/>
    </row>
    <row r="367" spans="31:32" x14ac:dyDescent="0.2">
      <c r="AE367" s="6"/>
      <c r="AF367" s="6"/>
    </row>
    <row r="368" spans="31:32" x14ac:dyDescent="0.2">
      <c r="AE368" s="6"/>
      <c r="AF368" s="6"/>
    </row>
    <row r="369" spans="31:32" x14ac:dyDescent="0.2">
      <c r="AE369" s="6"/>
      <c r="AF369" s="6"/>
    </row>
    <row r="370" spans="31:32" x14ac:dyDescent="0.2">
      <c r="AE370" s="6"/>
      <c r="AF370" s="6"/>
    </row>
    <row r="371" spans="31:32" x14ac:dyDescent="0.2">
      <c r="AE371" s="6"/>
      <c r="AF371" s="6"/>
    </row>
    <row r="372" spans="31:32" x14ac:dyDescent="0.2">
      <c r="AE372" s="6"/>
      <c r="AF372" s="6"/>
    </row>
    <row r="373" spans="31:32" x14ac:dyDescent="0.2">
      <c r="AE373" s="6"/>
      <c r="AF373" s="6"/>
    </row>
    <row r="374" spans="31:32" x14ac:dyDescent="0.2">
      <c r="AE374" s="6"/>
      <c r="AF374" s="6"/>
    </row>
    <row r="375" spans="31:32" x14ac:dyDescent="0.2">
      <c r="AE375" s="6"/>
      <c r="AF375" s="6"/>
    </row>
    <row r="376" spans="31:32" x14ac:dyDescent="0.2">
      <c r="AE376" s="6"/>
      <c r="AF376" s="6"/>
    </row>
    <row r="377" spans="31:32" x14ac:dyDescent="0.2">
      <c r="AE377" s="6"/>
      <c r="AF377" s="6"/>
    </row>
    <row r="378" spans="31:32" x14ac:dyDescent="0.2">
      <c r="AE378" s="6"/>
      <c r="AF378" s="6"/>
    </row>
    <row r="379" spans="31:32" x14ac:dyDescent="0.2">
      <c r="AE379" s="6"/>
      <c r="AF379" s="6"/>
    </row>
    <row r="380" spans="31:32" x14ac:dyDescent="0.2">
      <c r="AE380" s="6"/>
      <c r="AF380" s="6"/>
    </row>
    <row r="381" spans="31:32" x14ac:dyDescent="0.2">
      <c r="AE381" s="6"/>
      <c r="AF381" s="6"/>
    </row>
    <row r="382" spans="31:32" x14ac:dyDescent="0.2">
      <c r="AE382" s="6"/>
      <c r="AF382" s="6"/>
    </row>
    <row r="383" spans="31:32" x14ac:dyDescent="0.2">
      <c r="AE383" s="6"/>
      <c r="AF383" s="6"/>
    </row>
    <row r="384" spans="31:32" x14ac:dyDescent="0.2">
      <c r="AE384" s="6"/>
      <c r="AF384" s="6"/>
    </row>
    <row r="385" spans="31:32" x14ac:dyDescent="0.2">
      <c r="AE385" s="6"/>
      <c r="AF385" s="6"/>
    </row>
    <row r="386" spans="31:32" x14ac:dyDescent="0.2">
      <c r="AE386" s="6"/>
      <c r="AF386" s="6"/>
    </row>
    <row r="387" spans="31:32" x14ac:dyDescent="0.2">
      <c r="AE387" s="6"/>
      <c r="AF387" s="6"/>
    </row>
    <row r="388" spans="31:32" x14ac:dyDescent="0.2">
      <c r="AE388" s="6"/>
      <c r="AF388" s="6"/>
    </row>
    <row r="389" spans="31:32" x14ac:dyDescent="0.2">
      <c r="AE389" s="6"/>
      <c r="AF389" s="6"/>
    </row>
    <row r="390" spans="31:32" x14ac:dyDescent="0.2">
      <c r="AE390" s="6"/>
      <c r="AF390" s="6"/>
    </row>
    <row r="391" spans="31:32" x14ac:dyDescent="0.2">
      <c r="AE391" s="6"/>
      <c r="AF391" s="6"/>
    </row>
    <row r="392" spans="31:32" x14ac:dyDescent="0.2">
      <c r="AE392" s="6"/>
      <c r="AF392" s="6"/>
    </row>
    <row r="393" spans="31:32" x14ac:dyDescent="0.2">
      <c r="AE393" s="6"/>
      <c r="AF393" s="6"/>
    </row>
    <row r="394" spans="31:32" x14ac:dyDescent="0.2">
      <c r="AE394" s="6"/>
      <c r="AF394" s="6"/>
    </row>
    <row r="395" spans="31:32" x14ac:dyDescent="0.2">
      <c r="AE395" s="6"/>
      <c r="AF395" s="6"/>
    </row>
    <row r="396" spans="31:32" x14ac:dyDescent="0.2">
      <c r="AE396" s="6"/>
      <c r="AF396" s="6"/>
    </row>
    <row r="397" spans="31:32" x14ac:dyDescent="0.2">
      <c r="AE397" s="6"/>
      <c r="AF397" s="6"/>
    </row>
    <row r="398" spans="31:32" x14ac:dyDescent="0.2">
      <c r="AE398" s="6"/>
      <c r="AF398" s="6"/>
    </row>
    <row r="399" spans="31:32" x14ac:dyDescent="0.2">
      <c r="AE399" s="6"/>
      <c r="AF399" s="6"/>
    </row>
    <row r="400" spans="31:32" x14ac:dyDescent="0.2">
      <c r="AE400" s="6"/>
      <c r="AF400" s="6"/>
    </row>
    <row r="401" spans="31:32" x14ac:dyDescent="0.2">
      <c r="AE401" s="6"/>
      <c r="AF401" s="6"/>
    </row>
    <row r="402" spans="31:32" x14ac:dyDescent="0.2">
      <c r="AE402" s="6"/>
      <c r="AF402" s="6"/>
    </row>
    <row r="403" spans="31:32" x14ac:dyDescent="0.2">
      <c r="AE403" s="6"/>
      <c r="AF403" s="6"/>
    </row>
    <row r="404" spans="31:32" x14ac:dyDescent="0.2">
      <c r="AE404" s="6"/>
      <c r="AF404" s="6"/>
    </row>
    <row r="405" spans="31:32" x14ac:dyDescent="0.2">
      <c r="AE405" s="6"/>
      <c r="AF405" s="6"/>
    </row>
    <row r="406" spans="31:32" x14ac:dyDescent="0.2">
      <c r="AE406" s="6"/>
      <c r="AF406" s="6"/>
    </row>
    <row r="407" spans="31:32" x14ac:dyDescent="0.2">
      <c r="AE407" s="6"/>
      <c r="AF407" s="6"/>
    </row>
    <row r="408" spans="31:32" x14ac:dyDescent="0.2">
      <c r="AE408" s="6"/>
      <c r="AF408" s="6"/>
    </row>
    <row r="409" spans="31:32" x14ac:dyDescent="0.2">
      <c r="AE409" s="6"/>
      <c r="AF409" s="6"/>
    </row>
    <row r="410" spans="31:32" x14ac:dyDescent="0.2">
      <c r="AE410" s="6"/>
      <c r="AF410" s="6"/>
    </row>
    <row r="411" spans="31:32" x14ac:dyDescent="0.2">
      <c r="AE411" s="6"/>
      <c r="AF411" s="6"/>
    </row>
    <row r="412" spans="31:32" x14ac:dyDescent="0.2">
      <c r="AE412" s="6"/>
      <c r="AF412" s="6"/>
    </row>
    <row r="413" spans="31:32" x14ac:dyDescent="0.2">
      <c r="AE413" s="6"/>
      <c r="AF413" s="6"/>
    </row>
    <row r="414" spans="31:32" x14ac:dyDescent="0.2">
      <c r="AE414" s="6"/>
      <c r="AF414" s="6"/>
    </row>
    <row r="415" spans="31:32" x14ac:dyDescent="0.2">
      <c r="AE415" s="6"/>
      <c r="AF415" s="6"/>
    </row>
    <row r="416" spans="31:32" x14ac:dyDescent="0.2">
      <c r="AE416" s="6"/>
      <c r="AF416" s="6"/>
    </row>
    <row r="417" spans="31:32" x14ac:dyDescent="0.2">
      <c r="AE417" s="6"/>
      <c r="AF417" s="6"/>
    </row>
    <row r="418" spans="31:32" x14ac:dyDescent="0.2">
      <c r="AE418" s="6"/>
      <c r="AF418" s="6"/>
    </row>
    <row r="419" spans="31:32" x14ac:dyDescent="0.2">
      <c r="AE419" s="6"/>
      <c r="AF419" s="6"/>
    </row>
    <row r="420" spans="31:32" x14ac:dyDescent="0.2">
      <c r="AE420" s="6"/>
      <c r="AF420" s="6"/>
    </row>
    <row r="421" spans="31:32" x14ac:dyDescent="0.2">
      <c r="AE421" s="6"/>
      <c r="AF421" s="6"/>
    </row>
    <row r="422" spans="31:32" x14ac:dyDescent="0.2">
      <c r="AE422" s="6"/>
      <c r="AF422" s="6"/>
    </row>
    <row r="423" spans="31:32" x14ac:dyDescent="0.2">
      <c r="AE423" s="6"/>
      <c r="AF423" s="6"/>
    </row>
    <row r="424" spans="31:32" x14ac:dyDescent="0.2">
      <c r="AE424" s="6"/>
      <c r="AF424" s="6"/>
    </row>
    <row r="425" spans="31:32" x14ac:dyDescent="0.2">
      <c r="AE425" s="6"/>
      <c r="AF425" s="6"/>
    </row>
    <row r="426" spans="31:32" x14ac:dyDescent="0.2">
      <c r="AE426" s="6"/>
      <c r="AF426" s="6"/>
    </row>
    <row r="427" spans="31:32" x14ac:dyDescent="0.2">
      <c r="AE427" s="6"/>
      <c r="AF427" s="6"/>
    </row>
    <row r="428" spans="31:32" x14ac:dyDescent="0.2">
      <c r="AE428" s="6"/>
      <c r="AF428" s="6"/>
    </row>
    <row r="429" spans="31:32" x14ac:dyDescent="0.2">
      <c r="AE429" s="6"/>
      <c r="AF429" s="6"/>
    </row>
    <row r="430" spans="31:32" x14ac:dyDescent="0.2">
      <c r="AE430" s="6"/>
      <c r="AF430" s="6"/>
    </row>
    <row r="431" spans="31:32" x14ac:dyDescent="0.2">
      <c r="AE431" s="6"/>
      <c r="AF431" s="6"/>
    </row>
    <row r="432" spans="31:32" x14ac:dyDescent="0.2">
      <c r="AE432" s="6"/>
      <c r="AF432" s="6"/>
    </row>
    <row r="433" spans="31:32" x14ac:dyDescent="0.2">
      <c r="AE433" s="6"/>
      <c r="AF433" s="6"/>
    </row>
    <row r="434" spans="31:32" x14ac:dyDescent="0.2">
      <c r="AE434" s="6"/>
      <c r="AF434" s="6"/>
    </row>
    <row r="435" spans="31:32" x14ac:dyDescent="0.2">
      <c r="AE435" s="6"/>
      <c r="AF435" s="6"/>
    </row>
    <row r="436" spans="31:32" x14ac:dyDescent="0.2">
      <c r="AE436" s="6"/>
      <c r="AF436" s="6"/>
    </row>
    <row r="437" spans="31:32" x14ac:dyDescent="0.2">
      <c r="AE437" s="6"/>
      <c r="AF437" s="6"/>
    </row>
    <row r="438" spans="31:32" x14ac:dyDescent="0.2">
      <c r="AE438" s="6"/>
      <c r="AF438" s="6"/>
    </row>
    <row r="439" spans="31:32" x14ac:dyDescent="0.2">
      <c r="AE439" s="6"/>
      <c r="AF439" s="6"/>
    </row>
    <row r="440" spans="31:32" x14ac:dyDescent="0.2">
      <c r="AE440" s="6"/>
      <c r="AF440" s="6"/>
    </row>
    <row r="441" spans="31:32" x14ac:dyDescent="0.2">
      <c r="AE441" s="6"/>
      <c r="AF441" s="6"/>
    </row>
    <row r="442" spans="31:32" x14ac:dyDescent="0.2">
      <c r="AE442" s="6"/>
      <c r="AF442" s="6"/>
    </row>
    <row r="443" spans="31:32" x14ac:dyDescent="0.2">
      <c r="AE443" s="6"/>
      <c r="AF443" s="6"/>
    </row>
    <row r="444" spans="31:32" x14ac:dyDescent="0.2">
      <c r="AE444" s="6"/>
      <c r="AF444" s="6"/>
    </row>
    <row r="445" spans="31:32" x14ac:dyDescent="0.2">
      <c r="AE445" s="6"/>
      <c r="AF445" s="6"/>
    </row>
    <row r="446" spans="31:32" x14ac:dyDescent="0.2">
      <c r="AE446" s="6"/>
      <c r="AF446" s="6"/>
    </row>
    <row r="447" spans="31:32" x14ac:dyDescent="0.2">
      <c r="AE447" s="6"/>
      <c r="AF447" s="6"/>
    </row>
    <row r="448" spans="31:32" x14ac:dyDescent="0.2">
      <c r="AE448" s="6"/>
      <c r="AF448" s="6"/>
    </row>
    <row r="449" spans="31:32" x14ac:dyDescent="0.2">
      <c r="AE449" s="6"/>
      <c r="AF449" s="6"/>
    </row>
    <row r="450" spans="31:32" x14ac:dyDescent="0.2">
      <c r="AE450" s="6"/>
      <c r="AF450" s="6"/>
    </row>
    <row r="451" spans="31:32" x14ac:dyDescent="0.2">
      <c r="AE451" s="6"/>
      <c r="AF451" s="6"/>
    </row>
    <row r="452" spans="31:32" x14ac:dyDescent="0.2">
      <c r="AE452" s="6"/>
      <c r="AF452" s="6"/>
    </row>
    <row r="453" spans="31:32" x14ac:dyDescent="0.2">
      <c r="AE453" s="6"/>
      <c r="AF453" s="6"/>
    </row>
    <row r="454" spans="31:32" x14ac:dyDescent="0.2">
      <c r="AE454" s="6"/>
      <c r="AF454" s="6"/>
    </row>
    <row r="455" spans="31:32" x14ac:dyDescent="0.2">
      <c r="AE455" s="6"/>
      <c r="AF455" s="6"/>
    </row>
    <row r="456" spans="31:32" x14ac:dyDescent="0.2">
      <c r="AE456" s="6"/>
      <c r="AF456" s="6"/>
    </row>
    <row r="457" spans="31:32" x14ac:dyDescent="0.2">
      <c r="AE457" s="6"/>
      <c r="AF457" s="6"/>
    </row>
    <row r="458" spans="31:32" x14ac:dyDescent="0.2">
      <c r="AE458" s="6"/>
      <c r="AF458" s="6"/>
    </row>
    <row r="459" spans="31:32" x14ac:dyDescent="0.2">
      <c r="AE459" s="6"/>
      <c r="AF459" s="6"/>
    </row>
    <row r="460" spans="31:32" x14ac:dyDescent="0.2">
      <c r="AE460" s="6"/>
      <c r="AF460" s="6"/>
    </row>
    <row r="461" spans="31:32" x14ac:dyDescent="0.2">
      <c r="AE461" s="6"/>
      <c r="AF461" s="6"/>
    </row>
    <row r="462" spans="31:32" x14ac:dyDescent="0.2">
      <c r="AE462" s="6"/>
      <c r="AF462" s="6"/>
    </row>
    <row r="463" spans="31:32" x14ac:dyDescent="0.2">
      <c r="AE463" s="6"/>
      <c r="AF463" s="6"/>
    </row>
    <row r="464" spans="31:32" x14ac:dyDescent="0.2">
      <c r="AE464" s="6"/>
      <c r="AF464" s="6"/>
    </row>
    <row r="465" spans="31:32" x14ac:dyDescent="0.2">
      <c r="AE465" s="6"/>
      <c r="AF465" s="6"/>
    </row>
    <row r="466" spans="31:32" x14ac:dyDescent="0.2">
      <c r="AE466" s="6"/>
      <c r="AF466" s="6"/>
    </row>
    <row r="467" spans="31:32" x14ac:dyDescent="0.2">
      <c r="AE467" s="6"/>
      <c r="AF467" s="6"/>
    </row>
    <row r="468" spans="31:32" x14ac:dyDescent="0.2">
      <c r="AE468" s="6"/>
      <c r="AF468" s="6"/>
    </row>
    <row r="469" spans="31:32" x14ac:dyDescent="0.2">
      <c r="AE469" s="6"/>
      <c r="AF469" s="6"/>
    </row>
    <row r="470" spans="31:32" x14ac:dyDescent="0.2">
      <c r="AE470" s="6"/>
      <c r="AF470" s="6"/>
    </row>
    <row r="471" spans="31:32" x14ac:dyDescent="0.2">
      <c r="AE471" s="6"/>
      <c r="AF471" s="6"/>
    </row>
    <row r="472" spans="31:32" x14ac:dyDescent="0.2">
      <c r="AE472" s="6"/>
      <c r="AF472" s="6"/>
    </row>
    <row r="473" spans="31:32" x14ac:dyDescent="0.2">
      <c r="AE473" s="6"/>
      <c r="AF473" s="6"/>
    </row>
    <row r="474" spans="31:32" x14ac:dyDescent="0.2">
      <c r="AE474" s="6"/>
      <c r="AF474" s="6"/>
    </row>
    <row r="475" spans="31:32" x14ac:dyDescent="0.2">
      <c r="AE475" s="6"/>
      <c r="AF475" s="6"/>
    </row>
    <row r="476" spans="31:32" x14ac:dyDescent="0.2">
      <c r="AE476" s="6"/>
      <c r="AF476" s="6"/>
    </row>
    <row r="477" spans="31:32" x14ac:dyDescent="0.2">
      <c r="AE477" s="6"/>
      <c r="AF477" s="6"/>
    </row>
    <row r="478" spans="31:32" x14ac:dyDescent="0.2">
      <c r="AE478" s="6"/>
      <c r="AF478" s="6"/>
    </row>
    <row r="479" spans="31:32" x14ac:dyDescent="0.2">
      <c r="AE479" s="6"/>
      <c r="AF479" s="6"/>
    </row>
    <row r="480" spans="31:32" x14ac:dyDescent="0.2">
      <c r="AE480" s="6"/>
      <c r="AF480" s="6"/>
    </row>
    <row r="481" spans="31:32" x14ac:dyDescent="0.2">
      <c r="AE481" s="6"/>
      <c r="AF481" s="6"/>
    </row>
    <row r="482" spans="31:32" x14ac:dyDescent="0.2">
      <c r="AE482" s="6"/>
      <c r="AF482" s="6"/>
    </row>
    <row r="483" spans="31:32" x14ac:dyDescent="0.2">
      <c r="AE483" s="6"/>
      <c r="AF483" s="6"/>
    </row>
    <row r="484" spans="31:32" x14ac:dyDescent="0.2">
      <c r="AE484" s="6"/>
      <c r="AF484" s="6"/>
    </row>
    <row r="485" spans="31:32" x14ac:dyDescent="0.2">
      <c r="AE485" s="6"/>
      <c r="AF485" s="6"/>
    </row>
    <row r="486" spans="31:32" x14ac:dyDescent="0.2">
      <c r="AE486" s="6"/>
      <c r="AF486" s="6"/>
    </row>
    <row r="487" spans="31:32" x14ac:dyDescent="0.2">
      <c r="AE487" s="6"/>
      <c r="AF487" s="6"/>
    </row>
    <row r="488" spans="31:32" x14ac:dyDescent="0.2">
      <c r="AE488" s="6"/>
      <c r="AF488" s="6"/>
    </row>
    <row r="489" spans="31:32" x14ac:dyDescent="0.2">
      <c r="AE489" s="6"/>
      <c r="AF489" s="6"/>
    </row>
    <row r="490" spans="31:32" x14ac:dyDescent="0.2">
      <c r="AE490" s="6"/>
      <c r="AF490" s="6"/>
    </row>
    <row r="491" spans="31:32" x14ac:dyDescent="0.2">
      <c r="AE491" s="6"/>
      <c r="AF491" s="6"/>
    </row>
    <row r="492" spans="31:32" x14ac:dyDescent="0.2">
      <c r="AE492" s="6"/>
      <c r="AF492" s="6"/>
    </row>
    <row r="493" spans="31:32" x14ac:dyDescent="0.2">
      <c r="AE493" s="6"/>
      <c r="AF493" s="6"/>
    </row>
    <row r="494" spans="31:32" x14ac:dyDescent="0.2">
      <c r="AE494" s="6"/>
      <c r="AF494" s="6"/>
    </row>
    <row r="495" spans="31:32" x14ac:dyDescent="0.2">
      <c r="AE495" s="6"/>
      <c r="AF495" s="6"/>
    </row>
    <row r="496" spans="31:32" x14ac:dyDescent="0.2">
      <c r="AE496" s="6"/>
      <c r="AF496" s="6"/>
    </row>
    <row r="497" spans="31:32" x14ac:dyDescent="0.2">
      <c r="AE497" s="6"/>
      <c r="AF497" s="6"/>
    </row>
    <row r="498" spans="31:32" x14ac:dyDescent="0.2">
      <c r="AE498" s="6"/>
      <c r="AF498" s="6"/>
    </row>
    <row r="499" spans="31:32" x14ac:dyDescent="0.2">
      <c r="AE499" s="6"/>
      <c r="AF499" s="6"/>
    </row>
    <row r="500" spans="31:32" x14ac:dyDescent="0.2">
      <c r="AE500" s="6"/>
      <c r="AF500" s="6"/>
    </row>
    <row r="501" spans="31:32" x14ac:dyDescent="0.2">
      <c r="AE501" s="6"/>
      <c r="AF501" s="6"/>
    </row>
    <row r="502" spans="31:32" x14ac:dyDescent="0.2">
      <c r="AE502" s="6"/>
      <c r="AF502" s="6"/>
    </row>
    <row r="503" spans="31:32" x14ac:dyDescent="0.2">
      <c r="AE503" s="6"/>
      <c r="AF503" s="6"/>
    </row>
    <row r="504" spans="31:32" x14ac:dyDescent="0.2">
      <c r="AE504" s="6"/>
      <c r="AF504" s="6"/>
    </row>
    <row r="505" spans="31:32" x14ac:dyDescent="0.2">
      <c r="AE505" s="6"/>
      <c r="AF505" s="6"/>
    </row>
    <row r="506" spans="31:32" x14ac:dyDescent="0.2">
      <c r="AE506" s="6"/>
      <c r="AF506" s="6"/>
    </row>
    <row r="507" spans="31:32" x14ac:dyDescent="0.2">
      <c r="AE507" s="6"/>
      <c r="AF507" s="6"/>
    </row>
    <row r="508" spans="31:32" x14ac:dyDescent="0.2">
      <c r="AE508" s="6"/>
      <c r="AF508" s="6"/>
    </row>
    <row r="509" spans="31:32" x14ac:dyDescent="0.2">
      <c r="AE509" s="6"/>
      <c r="AF509" s="6"/>
    </row>
    <row r="510" spans="31:32" x14ac:dyDescent="0.2">
      <c r="AE510" s="6"/>
      <c r="AF510" s="6"/>
    </row>
    <row r="511" spans="31:32" x14ac:dyDescent="0.2">
      <c r="AE511" s="6"/>
      <c r="AF511" s="6"/>
    </row>
    <row r="512" spans="31:32" x14ac:dyDescent="0.2">
      <c r="AE512" s="6"/>
      <c r="AF512" s="6"/>
    </row>
    <row r="513" spans="31:32" x14ac:dyDescent="0.2">
      <c r="AE513" s="6"/>
      <c r="AF513" s="6"/>
    </row>
    <row r="514" spans="31:32" x14ac:dyDescent="0.2">
      <c r="AE514" s="6"/>
      <c r="AF514" s="6"/>
    </row>
    <row r="515" spans="31:32" x14ac:dyDescent="0.2">
      <c r="AE515" s="6"/>
      <c r="AF515" s="6"/>
    </row>
    <row r="516" spans="31:32" x14ac:dyDescent="0.2">
      <c r="AE516" s="6"/>
      <c r="AF516" s="6"/>
    </row>
    <row r="517" spans="31:32" x14ac:dyDescent="0.2">
      <c r="AE517" s="6"/>
      <c r="AF517" s="6"/>
    </row>
    <row r="518" spans="31:32" x14ac:dyDescent="0.2">
      <c r="AE518" s="6"/>
      <c r="AF518" s="6"/>
    </row>
    <row r="519" spans="31:32" x14ac:dyDescent="0.2">
      <c r="AE519" s="6"/>
      <c r="AF519" s="6"/>
    </row>
    <row r="520" spans="31:32" x14ac:dyDescent="0.2">
      <c r="AE520" s="6"/>
      <c r="AF520" s="6"/>
    </row>
    <row r="521" spans="31:32" x14ac:dyDescent="0.2">
      <c r="AE521" s="6"/>
      <c r="AF521" s="6"/>
    </row>
    <row r="522" spans="31:32" x14ac:dyDescent="0.2">
      <c r="AE522" s="6"/>
      <c r="AF522" s="6"/>
    </row>
    <row r="523" spans="31:32" x14ac:dyDescent="0.2">
      <c r="AE523" s="6"/>
      <c r="AF523" s="6"/>
    </row>
    <row r="524" spans="31:32" x14ac:dyDescent="0.2">
      <c r="AE524" s="6"/>
      <c r="AF524" s="6"/>
    </row>
    <row r="525" spans="31:32" x14ac:dyDescent="0.2">
      <c r="AE525" s="6"/>
      <c r="AF525" s="6"/>
    </row>
    <row r="526" spans="31:32" x14ac:dyDescent="0.2">
      <c r="AE526" s="6"/>
      <c r="AF526" s="6"/>
    </row>
    <row r="527" spans="31:32" x14ac:dyDescent="0.2">
      <c r="AE527" s="6"/>
      <c r="AF527" s="6"/>
    </row>
    <row r="528" spans="31:32" x14ac:dyDescent="0.2">
      <c r="AE528" s="6"/>
      <c r="AF528" s="6"/>
    </row>
    <row r="529" spans="31:32" x14ac:dyDescent="0.2">
      <c r="AE529" s="6"/>
      <c r="AF529" s="6"/>
    </row>
    <row r="530" spans="31:32" x14ac:dyDescent="0.2">
      <c r="AE530" s="6"/>
      <c r="AF530" s="6"/>
    </row>
    <row r="531" spans="31:32" x14ac:dyDescent="0.2">
      <c r="AE531" s="6"/>
      <c r="AF531" s="6"/>
    </row>
    <row r="532" spans="31:32" x14ac:dyDescent="0.2">
      <c r="AE532" s="6"/>
      <c r="AF532" s="6"/>
    </row>
    <row r="533" spans="31:32" x14ac:dyDescent="0.2">
      <c r="AE533" s="6"/>
      <c r="AF533" s="6"/>
    </row>
    <row r="534" spans="31:32" x14ac:dyDescent="0.2">
      <c r="AE534" s="6"/>
      <c r="AF534" s="6"/>
    </row>
    <row r="535" spans="31:32" x14ac:dyDescent="0.2">
      <c r="AE535" s="6"/>
      <c r="AF535" s="6"/>
    </row>
    <row r="536" spans="31:32" x14ac:dyDescent="0.2">
      <c r="AE536" s="6"/>
      <c r="AF536" s="6"/>
    </row>
    <row r="537" spans="31:32" x14ac:dyDescent="0.2">
      <c r="AE537" s="6"/>
      <c r="AF537" s="6"/>
    </row>
    <row r="538" spans="31:32" x14ac:dyDescent="0.2">
      <c r="AE538" s="6"/>
      <c r="AF538" s="6"/>
    </row>
    <row r="539" spans="31:32" x14ac:dyDescent="0.2">
      <c r="AE539" s="6"/>
      <c r="AF539" s="6"/>
    </row>
    <row r="540" spans="31:32" x14ac:dyDescent="0.2">
      <c r="AE540" s="6"/>
      <c r="AF540" s="6"/>
    </row>
    <row r="541" spans="31:32" x14ac:dyDescent="0.2">
      <c r="AE541" s="6"/>
      <c r="AF541" s="6"/>
    </row>
    <row r="542" spans="31:32" x14ac:dyDescent="0.2">
      <c r="AE542" s="6"/>
      <c r="AF542" s="6"/>
    </row>
    <row r="543" spans="31:32" x14ac:dyDescent="0.2">
      <c r="AE543" s="6"/>
      <c r="AF543" s="6"/>
    </row>
    <row r="544" spans="31:32" x14ac:dyDescent="0.2">
      <c r="AE544" s="6"/>
      <c r="AF544" s="6"/>
    </row>
    <row r="545" spans="31:32" x14ac:dyDescent="0.2">
      <c r="AE545" s="6"/>
      <c r="AF545" s="6"/>
    </row>
    <row r="546" spans="31:32" x14ac:dyDescent="0.2">
      <c r="AE546" s="6"/>
      <c r="AF546" s="6"/>
    </row>
    <row r="547" spans="31:32" x14ac:dyDescent="0.2">
      <c r="AE547" s="6"/>
      <c r="AF547" s="6"/>
    </row>
    <row r="548" spans="31:32" x14ac:dyDescent="0.2">
      <c r="AE548" s="6"/>
      <c r="AF548" s="6"/>
    </row>
    <row r="549" spans="31:32" x14ac:dyDescent="0.2">
      <c r="AE549" s="6"/>
      <c r="AF549" s="6"/>
    </row>
    <row r="550" spans="31:32" x14ac:dyDescent="0.2">
      <c r="AE550" s="6"/>
      <c r="AF550" s="6"/>
    </row>
    <row r="551" spans="31:32" x14ac:dyDescent="0.2">
      <c r="AE551" s="6"/>
      <c r="AF551" s="6"/>
    </row>
    <row r="552" spans="31:32" x14ac:dyDescent="0.2">
      <c r="AE552" s="6"/>
      <c r="AF552" s="6"/>
    </row>
    <row r="553" spans="31:32" x14ac:dyDescent="0.2">
      <c r="AE553" s="6"/>
      <c r="AF553" s="6"/>
    </row>
    <row r="554" spans="31:32" x14ac:dyDescent="0.2">
      <c r="AE554" s="6"/>
      <c r="AF554" s="6"/>
    </row>
    <row r="555" spans="31:32" x14ac:dyDescent="0.2">
      <c r="AE555" s="6"/>
      <c r="AF555" s="6"/>
    </row>
    <row r="556" spans="31:32" x14ac:dyDescent="0.2">
      <c r="AE556" s="6"/>
      <c r="AF556" s="6"/>
    </row>
    <row r="557" spans="31:32" x14ac:dyDescent="0.2">
      <c r="AE557" s="6"/>
      <c r="AF557" s="6"/>
    </row>
    <row r="558" spans="31:32" x14ac:dyDescent="0.2">
      <c r="AE558" s="6"/>
      <c r="AF558" s="6"/>
    </row>
    <row r="559" spans="31:32" x14ac:dyDescent="0.2">
      <c r="AE559" s="6"/>
      <c r="AF559" s="6"/>
    </row>
    <row r="560" spans="31:32" x14ac:dyDescent="0.2">
      <c r="AE560" s="6"/>
      <c r="AF560" s="6"/>
    </row>
    <row r="561" spans="31:32" x14ac:dyDescent="0.2">
      <c r="AE561" s="6"/>
      <c r="AF561" s="6"/>
    </row>
    <row r="562" spans="31:32" x14ac:dyDescent="0.2">
      <c r="AE562" s="6"/>
      <c r="AF562" s="6"/>
    </row>
    <row r="563" spans="31:32" x14ac:dyDescent="0.2">
      <c r="AE563" s="6"/>
      <c r="AF563" s="6"/>
    </row>
    <row r="564" spans="31:32" x14ac:dyDescent="0.2">
      <c r="AE564" s="6"/>
      <c r="AF564" s="6"/>
    </row>
    <row r="565" spans="31:32" x14ac:dyDescent="0.2">
      <c r="AE565" s="6"/>
      <c r="AF565" s="6"/>
    </row>
    <row r="566" spans="31:32" x14ac:dyDescent="0.2">
      <c r="AE566" s="6"/>
      <c r="AF566" s="6"/>
    </row>
    <row r="567" spans="31:32" x14ac:dyDescent="0.2">
      <c r="AE567" s="6"/>
      <c r="AF567" s="6"/>
    </row>
    <row r="568" spans="31:32" x14ac:dyDescent="0.2">
      <c r="AE568" s="6"/>
      <c r="AF568" s="6"/>
    </row>
    <row r="569" spans="31:32" x14ac:dyDescent="0.2">
      <c r="AE569" s="6"/>
      <c r="AF569" s="6"/>
    </row>
    <row r="570" spans="31:32" x14ac:dyDescent="0.2">
      <c r="AE570" s="6"/>
      <c r="AF570" s="6"/>
    </row>
    <row r="571" spans="31:32" x14ac:dyDescent="0.2">
      <c r="AE571" s="6"/>
      <c r="AF571" s="6"/>
    </row>
    <row r="572" spans="31:32" x14ac:dyDescent="0.2">
      <c r="AE572" s="6"/>
      <c r="AF572" s="6"/>
    </row>
    <row r="573" spans="31:32" x14ac:dyDescent="0.2">
      <c r="AE573" s="6"/>
      <c r="AF573" s="6"/>
    </row>
    <row r="574" spans="31:32" x14ac:dyDescent="0.2">
      <c r="AE574" s="6"/>
      <c r="AF574" s="6"/>
    </row>
    <row r="575" spans="31:32" x14ac:dyDescent="0.2">
      <c r="AE575" s="6"/>
      <c r="AF575" s="6"/>
    </row>
    <row r="576" spans="31:32" x14ac:dyDescent="0.2">
      <c r="AE576" s="6"/>
      <c r="AF576" s="6"/>
    </row>
    <row r="577" spans="31:32" x14ac:dyDescent="0.2">
      <c r="AE577" s="6"/>
      <c r="AF577" s="6"/>
    </row>
    <row r="578" spans="31:32" x14ac:dyDescent="0.2">
      <c r="AE578" s="6"/>
      <c r="AF578" s="6"/>
    </row>
    <row r="579" spans="31:32" x14ac:dyDescent="0.2">
      <c r="AE579" s="6"/>
      <c r="AF579" s="6"/>
    </row>
    <row r="580" spans="31:32" x14ac:dyDescent="0.2">
      <c r="AE580" s="6"/>
      <c r="AF580" s="6"/>
    </row>
    <row r="581" spans="31:32" x14ac:dyDescent="0.2">
      <c r="AE581" s="6"/>
      <c r="AF581" s="6"/>
    </row>
    <row r="582" spans="31:32" x14ac:dyDescent="0.2">
      <c r="AE582" s="6"/>
      <c r="AF582" s="6"/>
    </row>
    <row r="583" spans="31:32" x14ac:dyDescent="0.2">
      <c r="AE583" s="6"/>
      <c r="AF583" s="6"/>
    </row>
    <row r="584" spans="31:32" x14ac:dyDescent="0.2">
      <c r="AE584" s="6"/>
      <c r="AF584" s="6"/>
    </row>
    <row r="585" spans="31:32" x14ac:dyDescent="0.2">
      <c r="AE585" s="6"/>
      <c r="AF585" s="6"/>
    </row>
    <row r="586" spans="31:32" x14ac:dyDescent="0.2">
      <c r="AE586" s="6"/>
      <c r="AF586" s="6"/>
    </row>
    <row r="587" spans="31:32" x14ac:dyDescent="0.2">
      <c r="AE587" s="6"/>
      <c r="AF587" s="6"/>
    </row>
    <row r="588" spans="31:32" x14ac:dyDescent="0.2">
      <c r="AE588" s="6"/>
      <c r="AF588" s="6"/>
    </row>
    <row r="589" spans="31:32" x14ac:dyDescent="0.2">
      <c r="AE589" s="6"/>
      <c r="AF589" s="6"/>
    </row>
    <row r="590" spans="31:32" x14ac:dyDescent="0.2">
      <c r="AE590" s="6"/>
      <c r="AF590" s="6"/>
    </row>
    <row r="591" spans="31:32" x14ac:dyDescent="0.2">
      <c r="AE591" s="6"/>
      <c r="AF591" s="6"/>
    </row>
    <row r="592" spans="31:32" x14ac:dyDescent="0.2">
      <c r="AE592" s="6"/>
      <c r="AF592" s="6"/>
    </row>
    <row r="593" spans="31:32" x14ac:dyDescent="0.2">
      <c r="AE593" s="6"/>
      <c r="AF593" s="6"/>
    </row>
    <row r="594" spans="31:32" x14ac:dyDescent="0.2">
      <c r="AE594" s="6"/>
      <c r="AF594" s="6"/>
    </row>
    <row r="595" spans="31:32" x14ac:dyDescent="0.2">
      <c r="AE595" s="6"/>
      <c r="AF595" s="6"/>
    </row>
    <row r="596" spans="31:32" x14ac:dyDescent="0.2">
      <c r="AE596" s="6"/>
      <c r="AF596" s="6"/>
    </row>
    <row r="597" spans="31:32" x14ac:dyDescent="0.2">
      <c r="AE597" s="6"/>
      <c r="AF597" s="6"/>
    </row>
    <row r="598" spans="31:32" x14ac:dyDescent="0.2">
      <c r="AE598" s="6"/>
      <c r="AF598" s="6"/>
    </row>
    <row r="599" spans="31:32" x14ac:dyDescent="0.2">
      <c r="AE599" s="6"/>
      <c r="AF599" s="6"/>
    </row>
    <row r="600" spans="31:32" x14ac:dyDescent="0.2">
      <c r="AE600" s="6"/>
      <c r="AF600" s="6"/>
    </row>
    <row r="601" spans="31:32" x14ac:dyDescent="0.2">
      <c r="AE601" s="6"/>
      <c r="AF601" s="6"/>
    </row>
    <row r="602" spans="31:32" x14ac:dyDescent="0.2">
      <c r="AE602" s="6"/>
      <c r="AF602" s="6"/>
    </row>
    <row r="603" spans="31:32" x14ac:dyDescent="0.2">
      <c r="AE603" s="6"/>
      <c r="AF603" s="6"/>
    </row>
    <row r="604" spans="31:32" x14ac:dyDescent="0.2">
      <c r="AE604" s="6"/>
      <c r="AF604" s="6"/>
    </row>
    <row r="605" spans="31:32" x14ac:dyDescent="0.2">
      <c r="AE605" s="6"/>
      <c r="AF605" s="6"/>
    </row>
    <row r="606" spans="31:32" x14ac:dyDescent="0.2">
      <c r="AE606" s="6"/>
      <c r="AF606" s="6"/>
    </row>
    <row r="607" spans="31:32" x14ac:dyDescent="0.2">
      <c r="AE607" s="6"/>
      <c r="AF607" s="6"/>
    </row>
    <row r="608" spans="31:32" x14ac:dyDescent="0.2">
      <c r="AE608" s="6"/>
      <c r="AF608" s="6"/>
    </row>
    <row r="609" spans="31:32" x14ac:dyDescent="0.2">
      <c r="AE609" s="6"/>
      <c r="AF609" s="6"/>
    </row>
    <row r="610" spans="31:32" x14ac:dyDescent="0.2">
      <c r="AE610" s="6"/>
      <c r="AF610" s="6"/>
    </row>
    <row r="611" spans="31:32" x14ac:dyDescent="0.2">
      <c r="AE611" s="6"/>
      <c r="AF611" s="6"/>
    </row>
    <row r="612" spans="31:32" x14ac:dyDescent="0.2">
      <c r="AE612" s="6"/>
      <c r="AF612" s="6"/>
    </row>
    <row r="613" spans="31:32" x14ac:dyDescent="0.2">
      <c r="AE613" s="6"/>
      <c r="AF613" s="6"/>
    </row>
    <row r="614" spans="31:32" x14ac:dyDescent="0.2">
      <c r="AE614" s="6"/>
      <c r="AF614" s="6"/>
    </row>
    <row r="615" spans="31:32" x14ac:dyDescent="0.2">
      <c r="AE615" s="6"/>
      <c r="AF615" s="6"/>
    </row>
    <row r="616" spans="31:32" x14ac:dyDescent="0.2">
      <c r="AE616" s="6"/>
      <c r="AF616" s="6"/>
    </row>
    <row r="617" spans="31:32" x14ac:dyDescent="0.2">
      <c r="AE617" s="6"/>
      <c r="AF617" s="6"/>
    </row>
    <row r="618" spans="31:32" x14ac:dyDescent="0.2">
      <c r="AE618" s="6"/>
      <c r="AF618" s="6"/>
    </row>
    <row r="619" spans="31:32" x14ac:dyDescent="0.2">
      <c r="AE619" s="6"/>
      <c r="AF619" s="6"/>
    </row>
    <row r="620" spans="31:32" x14ac:dyDescent="0.2">
      <c r="AE620" s="6"/>
      <c r="AF620" s="6"/>
    </row>
    <row r="621" spans="31:32" x14ac:dyDescent="0.2">
      <c r="AE621" s="6"/>
      <c r="AF621" s="6"/>
    </row>
    <row r="622" spans="31:32" x14ac:dyDescent="0.2">
      <c r="AE622" s="6"/>
      <c r="AF622" s="6"/>
    </row>
    <row r="623" spans="31:32" x14ac:dyDescent="0.2">
      <c r="AE623" s="6"/>
      <c r="AF623" s="6"/>
    </row>
    <row r="624" spans="31:32" x14ac:dyDescent="0.2">
      <c r="AE624" s="6"/>
      <c r="AF624" s="6"/>
    </row>
    <row r="625" spans="31:32" x14ac:dyDescent="0.2">
      <c r="AE625" s="6"/>
      <c r="AF625" s="6"/>
    </row>
    <row r="626" spans="31:32" x14ac:dyDescent="0.2">
      <c r="AE626" s="6"/>
      <c r="AF626" s="6"/>
    </row>
    <row r="627" spans="31:32" x14ac:dyDescent="0.2">
      <c r="AE627" s="6"/>
      <c r="AF627" s="6"/>
    </row>
    <row r="628" spans="31:32" x14ac:dyDescent="0.2">
      <c r="AE628" s="6"/>
      <c r="AF628" s="6"/>
    </row>
    <row r="629" spans="31:32" x14ac:dyDescent="0.2">
      <c r="AE629" s="6"/>
      <c r="AF629" s="6"/>
    </row>
    <row r="630" spans="31:32" x14ac:dyDescent="0.2">
      <c r="AE630" s="6"/>
      <c r="AF630" s="6"/>
    </row>
    <row r="631" spans="31:32" x14ac:dyDescent="0.2">
      <c r="AE631" s="6"/>
      <c r="AF631" s="6"/>
    </row>
    <row r="632" spans="31:32" x14ac:dyDescent="0.2">
      <c r="AE632" s="6"/>
      <c r="AF632" s="6"/>
    </row>
    <row r="633" spans="31:32" x14ac:dyDescent="0.2">
      <c r="AE633" s="6"/>
      <c r="AF633" s="6"/>
    </row>
    <row r="634" spans="31:32" x14ac:dyDescent="0.2">
      <c r="AE634" s="6"/>
      <c r="AF634" s="6"/>
    </row>
    <row r="635" spans="31:32" x14ac:dyDescent="0.2">
      <c r="AE635" s="6"/>
      <c r="AF635" s="6"/>
    </row>
    <row r="636" spans="31:32" x14ac:dyDescent="0.2">
      <c r="AE636" s="6"/>
      <c r="AF636" s="6"/>
    </row>
    <row r="637" spans="31:32" x14ac:dyDescent="0.2">
      <c r="AE637" s="6"/>
      <c r="AF637" s="6"/>
    </row>
    <row r="638" spans="31:32" x14ac:dyDescent="0.2">
      <c r="AE638" s="6"/>
      <c r="AF638" s="6"/>
    </row>
    <row r="639" spans="31:32" x14ac:dyDescent="0.2">
      <c r="AE639" s="6"/>
      <c r="AF639" s="6"/>
    </row>
    <row r="640" spans="31:32" x14ac:dyDescent="0.2">
      <c r="AE640" s="6"/>
      <c r="AF640" s="6"/>
    </row>
    <row r="641" spans="31:32" x14ac:dyDescent="0.2">
      <c r="AE641" s="6"/>
      <c r="AF641" s="6"/>
    </row>
    <row r="642" spans="31:32" x14ac:dyDescent="0.2">
      <c r="AE642" s="6"/>
      <c r="AF642" s="6"/>
    </row>
    <row r="643" spans="31:32" x14ac:dyDescent="0.2">
      <c r="AE643" s="6"/>
      <c r="AF643" s="6"/>
    </row>
    <row r="644" spans="31:32" x14ac:dyDescent="0.2">
      <c r="AE644" s="6"/>
      <c r="AF644" s="6"/>
    </row>
    <row r="645" spans="31:32" x14ac:dyDescent="0.2">
      <c r="AE645" s="6"/>
      <c r="AF645" s="6"/>
    </row>
    <row r="646" spans="31:32" x14ac:dyDescent="0.2">
      <c r="AE646" s="6"/>
      <c r="AF646" s="6"/>
    </row>
    <row r="647" spans="31:32" x14ac:dyDescent="0.2">
      <c r="AE647" s="6"/>
      <c r="AF647" s="6"/>
    </row>
    <row r="648" spans="31:32" x14ac:dyDescent="0.2">
      <c r="AE648" s="6"/>
      <c r="AF648" s="6"/>
    </row>
    <row r="649" spans="31:32" x14ac:dyDescent="0.2">
      <c r="AE649" s="6"/>
      <c r="AF649" s="6"/>
    </row>
    <row r="650" spans="31:32" x14ac:dyDescent="0.2">
      <c r="AE650" s="6"/>
      <c r="AF650" s="6"/>
    </row>
    <row r="651" spans="31:32" x14ac:dyDescent="0.2">
      <c r="AE651" s="6"/>
      <c r="AF651" s="6"/>
    </row>
    <row r="652" spans="31:32" x14ac:dyDescent="0.2">
      <c r="AE652" s="6"/>
      <c r="AF652" s="6"/>
    </row>
    <row r="653" spans="31:32" x14ac:dyDescent="0.2">
      <c r="AE653" s="6"/>
      <c r="AF653" s="6"/>
    </row>
    <row r="654" spans="31:32" x14ac:dyDescent="0.2">
      <c r="AE654" s="6"/>
      <c r="AF654" s="6"/>
    </row>
    <row r="655" spans="31:32" x14ac:dyDescent="0.2">
      <c r="AE655" s="6"/>
      <c r="AF655" s="6"/>
    </row>
    <row r="656" spans="31:32" x14ac:dyDescent="0.2">
      <c r="AE656" s="6"/>
      <c r="AF656" s="6"/>
    </row>
    <row r="657" spans="31:32" x14ac:dyDescent="0.2">
      <c r="AE657" s="6"/>
      <c r="AF657" s="6"/>
    </row>
    <row r="658" spans="31:32" x14ac:dyDescent="0.2">
      <c r="AE658" s="6"/>
      <c r="AF658" s="6"/>
    </row>
    <row r="659" spans="31:32" x14ac:dyDescent="0.2">
      <c r="AE659" s="6"/>
      <c r="AF659" s="6"/>
    </row>
    <row r="660" spans="31:32" x14ac:dyDescent="0.2">
      <c r="AE660" s="6"/>
      <c r="AF660" s="6"/>
    </row>
    <row r="661" spans="31:32" x14ac:dyDescent="0.2">
      <c r="AE661" s="6"/>
      <c r="AF661" s="6"/>
    </row>
    <row r="662" spans="31:32" x14ac:dyDescent="0.2">
      <c r="AE662" s="6"/>
      <c r="AF662" s="6"/>
    </row>
    <row r="663" spans="31:32" x14ac:dyDescent="0.2">
      <c r="AE663" s="6"/>
      <c r="AF663" s="6"/>
    </row>
    <row r="664" spans="31:32" x14ac:dyDescent="0.2">
      <c r="AE664" s="6"/>
      <c r="AF664" s="6"/>
    </row>
    <row r="665" spans="31:32" x14ac:dyDescent="0.2">
      <c r="AE665" s="6"/>
      <c r="AF665" s="6"/>
    </row>
    <row r="666" spans="31:32" x14ac:dyDescent="0.2">
      <c r="AE666" s="6"/>
      <c r="AF666" s="6"/>
    </row>
    <row r="667" spans="31:32" x14ac:dyDescent="0.2">
      <c r="AE667" s="6"/>
      <c r="AF667" s="6"/>
    </row>
    <row r="668" spans="31:32" x14ac:dyDescent="0.2">
      <c r="AE668" s="6"/>
      <c r="AF668" s="6"/>
    </row>
    <row r="669" spans="31:32" x14ac:dyDescent="0.2">
      <c r="AE669" s="6"/>
      <c r="AF669" s="6"/>
    </row>
    <row r="670" spans="31:32" x14ac:dyDescent="0.2">
      <c r="AE670" s="6"/>
      <c r="AF670" s="6"/>
    </row>
    <row r="671" spans="31:32" x14ac:dyDescent="0.2">
      <c r="AE671" s="6"/>
      <c r="AF671" s="6"/>
    </row>
    <row r="672" spans="31:32" x14ac:dyDescent="0.2">
      <c r="AE672" s="6"/>
      <c r="AF672" s="6"/>
    </row>
    <row r="673" spans="31:32" x14ac:dyDescent="0.2">
      <c r="AE673" s="6"/>
      <c r="AF673" s="6"/>
    </row>
    <row r="674" spans="31:32" x14ac:dyDescent="0.2">
      <c r="AE674" s="6"/>
      <c r="AF674" s="6"/>
    </row>
    <row r="675" spans="31:32" x14ac:dyDescent="0.2">
      <c r="AE675" s="6"/>
      <c r="AF675" s="6"/>
    </row>
    <row r="676" spans="31:32" x14ac:dyDescent="0.2">
      <c r="AE676" s="6"/>
      <c r="AF676" s="6"/>
    </row>
    <row r="677" spans="31:32" x14ac:dyDescent="0.2">
      <c r="AE677" s="6"/>
      <c r="AF677" s="6"/>
    </row>
    <row r="678" spans="31:32" x14ac:dyDescent="0.2">
      <c r="AE678" s="6"/>
      <c r="AF678" s="6"/>
    </row>
    <row r="679" spans="31:32" x14ac:dyDescent="0.2">
      <c r="AE679" s="6"/>
      <c r="AF679" s="6"/>
    </row>
    <row r="680" spans="31:32" x14ac:dyDescent="0.2">
      <c r="AE680" s="6"/>
      <c r="AF680" s="6"/>
    </row>
    <row r="681" spans="31:32" x14ac:dyDescent="0.2">
      <c r="AE681" s="6"/>
      <c r="AF681" s="6"/>
    </row>
    <row r="682" spans="31:32" x14ac:dyDescent="0.2">
      <c r="AE682" s="6"/>
      <c r="AF682" s="6"/>
    </row>
    <row r="683" spans="31:32" x14ac:dyDescent="0.2">
      <c r="AE683" s="6"/>
      <c r="AF683" s="6"/>
    </row>
    <row r="684" spans="31:32" x14ac:dyDescent="0.2">
      <c r="AE684" s="6"/>
      <c r="AF684" s="6"/>
    </row>
    <row r="685" spans="31:32" x14ac:dyDescent="0.2">
      <c r="AE685" s="6"/>
      <c r="AF685" s="6"/>
    </row>
    <row r="686" spans="31:32" x14ac:dyDescent="0.2">
      <c r="AE686" s="6"/>
      <c r="AF686" s="6"/>
    </row>
    <row r="687" spans="31:32" x14ac:dyDescent="0.2">
      <c r="AE687" s="6"/>
      <c r="AF687" s="6"/>
    </row>
    <row r="688" spans="31:32" x14ac:dyDescent="0.2">
      <c r="AE688" s="6"/>
      <c r="AF688" s="6"/>
    </row>
    <row r="689" spans="31:32" x14ac:dyDescent="0.2">
      <c r="AE689" s="6"/>
      <c r="AF689" s="6"/>
    </row>
    <row r="690" spans="31:32" x14ac:dyDescent="0.2">
      <c r="AE690" s="6"/>
      <c r="AF690" s="6"/>
    </row>
    <row r="691" spans="31:32" x14ac:dyDescent="0.2">
      <c r="AE691" s="6"/>
      <c r="AF691" s="6"/>
    </row>
    <row r="692" spans="31:32" x14ac:dyDescent="0.2">
      <c r="AE692" s="6"/>
      <c r="AF692" s="6"/>
    </row>
    <row r="693" spans="31:32" x14ac:dyDescent="0.2">
      <c r="AE693" s="6"/>
      <c r="AF693" s="6"/>
    </row>
    <row r="694" spans="31:32" x14ac:dyDescent="0.2">
      <c r="AE694" s="6"/>
      <c r="AF694" s="6"/>
    </row>
    <row r="695" spans="31:32" x14ac:dyDescent="0.2">
      <c r="AE695" s="6"/>
      <c r="AF695" s="6"/>
    </row>
    <row r="696" spans="31:32" x14ac:dyDescent="0.2">
      <c r="AE696" s="6"/>
      <c r="AF696" s="6"/>
    </row>
    <row r="697" spans="31:32" x14ac:dyDescent="0.2">
      <c r="AE697" s="6"/>
      <c r="AF697" s="6"/>
    </row>
    <row r="698" spans="31:32" x14ac:dyDescent="0.2">
      <c r="AE698" s="6"/>
      <c r="AF698" s="6"/>
    </row>
    <row r="699" spans="31:32" x14ac:dyDescent="0.2">
      <c r="AE699" s="6"/>
      <c r="AF699" s="6"/>
    </row>
    <row r="700" spans="31:32" x14ac:dyDescent="0.2">
      <c r="AE700" s="6"/>
      <c r="AF700" s="6"/>
    </row>
    <row r="701" spans="31:32" x14ac:dyDescent="0.2">
      <c r="AE701" s="6"/>
      <c r="AF701" s="6"/>
    </row>
    <row r="702" spans="31:32" x14ac:dyDescent="0.2">
      <c r="AE702" s="6"/>
      <c r="AF702" s="6"/>
    </row>
    <row r="703" spans="31:32" x14ac:dyDescent="0.2">
      <c r="AE703" s="6"/>
      <c r="AF703" s="6"/>
    </row>
    <row r="704" spans="31:32" x14ac:dyDescent="0.2">
      <c r="AE704" s="6"/>
      <c r="AF704" s="6"/>
    </row>
    <row r="705" spans="31:32" x14ac:dyDescent="0.2">
      <c r="AE705" s="6"/>
      <c r="AF705" s="6"/>
    </row>
    <row r="706" spans="31:32" x14ac:dyDescent="0.2">
      <c r="AE706" s="6"/>
      <c r="AF706" s="6"/>
    </row>
    <row r="707" spans="31:32" x14ac:dyDescent="0.2">
      <c r="AE707" s="6"/>
      <c r="AF707" s="6"/>
    </row>
    <row r="708" spans="31:32" x14ac:dyDescent="0.2">
      <c r="AE708" s="6"/>
      <c r="AF708" s="6"/>
    </row>
    <row r="709" spans="31:32" x14ac:dyDescent="0.2">
      <c r="AE709" s="6"/>
      <c r="AF709" s="6"/>
    </row>
    <row r="710" spans="31:32" x14ac:dyDescent="0.2">
      <c r="AE710" s="6"/>
      <c r="AF710" s="6"/>
    </row>
    <row r="711" spans="31:32" x14ac:dyDescent="0.2">
      <c r="AE711" s="6"/>
      <c r="AF711" s="6"/>
    </row>
    <row r="712" spans="31:32" x14ac:dyDescent="0.2">
      <c r="AE712" s="6"/>
      <c r="AF712" s="6"/>
    </row>
    <row r="713" spans="31:32" x14ac:dyDescent="0.2">
      <c r="AE713" s="6"/>
      <c r="AF713" s="6"/>
    </row>
    <row r="714" spans="31:32" x14ac:dyDescent="0.2">
      <c r="AE714" s="6"/>
      <c r="AF714" s="6"/>
    </row>
    <row r="715" spans="31:32" x14ac:dyDescent="0.2">
      <c r="AE715" s="6"/>
      <c r="AF715" s="6"/>
    </row>
    <row r="716" spans="31:32" x14ac:dyDescent="0.2">
      <c r="AE716" s="6"/>
      <c r="AF716" s="6"/>
    </row>
    <row r="717" spans="31:32" x14ac:dyDescent="0.2">
      <c r="AE717" s="6"/>
      <c r="AF717" s="6"/>
    </row>
    <row r="718" spans="31:32" x14ac:dyDescent="0.2">
      <c r="AE718" s="6"/>
      <c r="AF718" s="6"/>
    </row>
    <row r="719" spans="31:32" x14ac:dyDescent="0.2">
      <c r="AE719" s="6"/>
      <c r="AF719" s="6"/>
    </row>
    <row r="720" spans="31:32" x14ac:dyDescent="0.2">
      <c r="AE720" s="6"/>
      <c r="AF720" s="6"/>
    </row>
    <row r="721" spans="31:32" x14ac:dyDescent="0.2">
      <c r="AE721" s="6"/>
      <c r="AF721" s="6"/>
    </row>
    <row r="722" spans="31:32" x14ac:dyDescent="0.2">
      <c r="AE722" s="6"/>
      <c r="AF722" s="6"/>
    </row>
    <row r="723" spans="31:32" x14ac:dyDescent="0.2">
      <c r="AE723" s="6"/>
      <c r="AF723" s="6"/>
    </row>
    <row r="724" spans="31:32" x14ac:dyDescent="0.2">
      <c r="AE724" s="6"/>
      <c r="AF724" s="6"/>
    </row>
    <row r="725" spans="31:32" x14ac:dyDescent="0.2">
      <c r="AE725" s="6"/>
      <c r="AF725" s="6"/>
    </row>
    <row r="726" spans="31:32" x14ac:dyDescent="0.2">
      <c r="AE726" s="6"/>
      <c r="AF726" s="6"/>
    </row>
    <row r="727" spans="31:32" x14ac:dyDescent="0.2">
      <c r="AE727" s="6"/>
      <c r="AF727" s="6"/>
    </row>
    <row r="728" spans="31:32" x14ac:dyDescent="0.2">
      <c r="AE728" s="6"/>
      <c r="AF728" s="6"/>
    </row>
    <row r="729" spans="31:32" x14ac:dyDescent="0.2">
      <c r="AE729" s="6"/>
      <c r="AF729" s="6"/>
    </row>
    <row r="730" spans="31:32" x14ac:dyDescent="0.2">
      <c r="AE730" s="6"/>
      <c r="AF730" s="6"/>
    </row>
    <row r="731" spans="31:32" x14ac:dyDescent="0.2">
      <c r="AE731" s="6"/>
      <c r="AF731" s="6"/>
    </row>
    <row r="732" spans="31:32" x14ac:dyDescent="0.2">
      <c r="AE732" s="6"/>
      <c r="AF732" s="6"/>
    </row>
    <row r="733" spans="31:32" x14ac:dyDescent="0.2">
      <c r="AE733" s="6"/>
      <c r="AF733" s="6"/>
    </row>
    <row r="734" spans="31:32" x14ac:dyDescent="0.2">
      <c r="AE734" s="6"/>
      <c r="AF734" s="6"/>
    </row>
    <row r="735" spans="31:32" x14ac:dyDescent="0.2">
      <c r="AE735" s="6"/>
      <c r="AF735" s="6"/>
    </row>
    <row r="736" spans="31:32" x14ac:dyDescent="0.2">
      <c r="AE736" s="6"/>
      <c r="AF736" s="6"/>
    </row>
    <row r="737" spans="31:32" x14ac:dyDescent="0.2">
      <c r="AE737" s="6"/>
      <c r="AF737" s="6"/>
    </row>
    <row r="738" spans="31:32" x14ac:dyDescent="0.2">
      <c r="AE738" s="6"/>
      <c r="AF738" s="6"/>
    </row>
    <row r="739" spans="31:32" x14ac:dyDescent="0.2">
      <c r="AE739" s="6"/>
      <c r="AF739" s="6"/>
    </row>
    <row r="740" spans="31:32" x14ac:dyDescent="0.2">
      <c r="AE740" s="6"/>
      <c r="AF740" s="6"/>
    </row>
    <row r="741" spans="31:32" x14ac:dyDescent="0.2">
      <c r="AE741" s="6"/>
      <c r="AF741" s="6"/>
    </row>
    <row r="742" spans="31:32" x14ac:dyDescent="0.2">
      <c r="AE742" s="6"/>
      <c r="AF742" s="6"/>
    </row>
    <row r="743" spans="31:32" x14ac:dyDescent="0.2">
      <c r="AE743" s="6"/>
      <c r="AF743" s="6"/>
    </row>
    <row r="744" spans="31:32" x14ac:dyDescent="0.2">
      <c r="AE744" s="6"/>
      <c r="AF744" s="6"/>
    </row>
    <row r="745" spans="31:32" x14ac:dyDescent="0.2">
      <c r="AE745" s="6"/>
      <c r="AF745" s="6"/>
    </row>
    <row r="746" spans="31:32" x14ac:dyDescent="0.2">
      <c r="AE746" s="6"/>
      <c r="AF746" s="6"/>
    </row>
    <row r="747" spans="31:32" x14ac:dyDescent="0.2">
      <c r="AE747" s="6"/>
      <c r="AF747" s="6"/>
    </row>
    <row r="748" spans="31:32" x14ac:dyDescent="0.2">
      <c r="AE748" s="6"/>
      <c r="AF748" s="6"/>
    </row>
    <row r="749" spans="31:32" x14ac:dyDescent="0.2">
      <c r="AE749" s="6"/>
      <c r="AF749" s="6"/>
    </row>
    <row r="750" spans="31:32" x14ac:dyDescent="0.2">
      <c r="AE750" s="6"/>
      <c r="AF750" s="6"/>
    </row>
    <row r="751" spans="31:32" x14ac:dyDescent="0.2">
      <c r="AE751" s="6"/>
      <c r="AF751" s="6"/>
    </row>
    <row r="752" spans="31:32" x14ac:dyDescent="0.2">
      <c r="AE752" s="6"/>
      <c r="AF752" s="6"/>
    </row>
    <row r="753" spans="31:32" x14ac:dyDescent="0.2">
      <c r="AE753" s="6"/>
      <c r="AF753" s="6"/>
    </row>
    <row r="754" spans="31:32" x14ac:dyDescent="0.2">
      <c r="AE754" s="6"/>
      <c r="AF754" s="6"/>
    </row>
    <row r="755" spans="31:32" x14ac:dyDescent="0.2">
      <c r="AE755" s="6"/>
      <c r="AF755" s="6"/>
    </row>
    <row r="756" spans="31:32" x14ac:dyDescent="0.2">
      <c r="AE756" s="6"/>
      <c r="AF756" s="6"/>
    </row>
    <row r="757" spans="31:32" x14ac:dyDescent="0.2">
      <c r="AE757" s="6"/>
      <c r="AF757" s="6"/>
    </row>
    <row r="758" spans="31:32" x14ac:dyDescent="0.2">
      <c r="AE758" s="6"/>
      <c r="AF758" s="6"/>
    </row>
    <row r="759" spans="31:32" x14ac:dyDescent="0.2">
      <c r="AE759" s="6"/>
      <c r="AF759" s="6"/>
    </row>
    <row r="760" spans="31:32" x14ac:dyDescent="0.2">
      <c r="AE760" s="6"/>
      <c r="AF760" s="6"/>
    </row>
    <row r="761" spans="31:32" x14ac:dyDescent="0.2">
      <c r="AE761" s="6"/>
      <c r="AF761" s="6"/>
    </row>
    <row r="762" spans="31:32" x14ac:dyDescent="0.2">
      <c r="AE762" s="6"/>
      <c r="AF762" s="6"/>
    </row>
    <row r="763" spans="31:32" x14ac:dyDescent="0.2">
      <c r="AE763" s="6"/>
      <c r="AF763" s="6"/>
    </row>
    <row r="764" spans="31:32" x14ac:dyDescent="0.2">
      <c r="AE764" s="6"/>
      <c r="AF764" s="6"/>
    </row>
    <row r="765" spans="31:32" x14ac:dyDescent="0.2">
      <c r="AE765" s="6"/>
      <c r="AF765" s="6"/>
    </row>
    <row r="766" spans="31:32" x14ac:dyDescent="0.2">
      <c r="AE766" s="6"/>
      <c r="AF766" s="6"/>
    </row>
    <row r="767" spans="31:32" x14ac:dyDescent="0.2">
      <c r="AE767" s="6"/>
      <c r="AF767" s="6"/>
    </row>
    <row r="768" spans="31:32" x14ac:dyDescent="0.2">
      <c r="AE768" s="6"/>
      <c r="AF768" s="6"/>
    </row>
    <row r="769" spans="31:32" x14ac:dyDescent="0.2">
      <c r="AE769" s="6"/>
      <c r="AF769" s="6"/>
    </row>
    <row r="770" spans="31:32" x14ac:dyDescent="0.2">
      <c r="AE770" s="6"/>
      <c r="AF770" s="6"/>
    </row>
    <row r="771" spans="31:32" x14ac:dyDescent="0.2">
      <c r="AE771" s="6"/>
      <c r="AF771" s="6"/>
    </row>
    <row r="772" spans="31:32" x14ac:dyDescent="0.2">
      <c r="AE772" s="6"/>
      <c r="AF772" s="6"/>
    </row>
    <row r="773" spans="31:32" x14ac:dyDescent="0.2">
      <c r="AE773" s="6"/>
      <c r="AF773" s="6"/>
    </row>
    <row r="774" spans="31:32" x14ac:dyDescent="0.2">
      <c r="AE774" s="6"/>
      <c r="AF774" s="6"/>
    </row>
    <row r="775" spans="31:32" x14ac:dyDescent="0.2">
      <c r="AE775" s="6"/>
      <c r="AF775" s="6"/>
    </row>
    <row r="776" spans="31:32" x14ac:dyDescent="0.2">
      <c r="AE776" s="6"/>
      <c r="AF776" s="6"/>
    </row>
    <row r="777" spans="31:32" x14ac:dyDescent="0.2">
      <c r="AE777" s="6"/>
      <c r="AF777" s="6"/>
    </row>
    <row r="778" spans="31:32" x14ac:dyDescent="0.2">
      <c r="AE778" s="6"/>
      <c r="AF778" s="6"/>
    </row>
    <row r="779" spans="31:32" x14ac:dyDescent="0.2">
      <c r="AE779" s="6"/>
      <c r="AF779" s="6"/>
    </row>
    <row r="780" spans="31:32" x14ac:dyDescent="0.2">
      <c r="AE780" s="6"/>
      <c r="AF780" s="6"/>
    </row>
    <row r="781" spans="31:32" x14ac:dyDescent="0.2">
      <c r="AE781" s="6"/>
      <c r="AF781" s="6"/>
    </row>
    <row r="782" spans="31:32" x14ac:dyDescent="0.2">
      <c r="AE782" s="6"/>
      <c r="AF782" s="6"/>
    </row>
    <row r="783" spans="31:32" x14ac:dyDescent="0.2">
      <c r="AE783" s="6"/>
      <c r="AF783" s="6"/>
    </row>
    <row r="784" spans="31:32" x14ac:dyDescent="0.2">
      <c r="AE784" s="6"/>
      <c r="AF784" s="6"/>
    </row>
    <row r="785" spans="31:32" x14ac:dyDescent="0.2">
      <c r="AE785" s="6"/>
      <c r="AF785" s="6"/>
    </row>
    <row r="786" spans="31:32" x14ac:dyDescent="0.2">
      <c r="AE786" s="6"/>
      <c r="AF786" s="6"/>
    </row>
    <row r="787" spans="31:32" x14ac:dyDescent="0.2">
      <c r="AE787" s="6"/>
      <c r="AF787" s="6"/>
    </row>
    <row r="788" spans="31:32" x14ac:dyDescent="0.2">
      <c r="AE788" s="6"/>
      <c r="AF788" s="6"/>
    </row>
    <row r="789" spans="31:32" x14ac:dyDescent="0.2">
      <c r="AE789" s="6"/>
      <c r="AF789" s="6"/>
    </row>
    <row r="790" spans="31:32" x14ac:dyDescent="0.2">
      <c r="AE790" s="6"/>
      <c r="AF790" s="6"/>
    </row>
    <row r="791" spans="31:32" x14ac:dyDescent="0.2">
      <c r="AE791" s="6"/>
      <c r="AF791" s="6"/>
    </row>
    <row r="792" spans="31:32" x14ac:dyDescent="0.2">
      <c r="AE792" s="6"/>
      <c r="AF792" s="6"/>
    </row>
    <row r="793" spans="31:32" x14ac:dyDescent="0.2">
      <c r="AE793" s="6"/>
      <c r="AF793" s="6"/>
    </row>
    <row r="794" spans="31:32" x14ac:dyDescent="0.2">
      <c r="AE794" s="6"/>
      <c r="AF794" s="6"/>
    </row>
    <row r="795" spans="31:32" x14ac:dyDescent="0.2">
      <c r="AE795" s="6"/>
      <c r="AF795" s="6"/>
    </row>
    <row r="796" spans="31:32" x14ac:dyDescent="0.2">
      <c r="AE796" s="6"/>
      <c r="AF796" s="6"/>
    </row>
    <row r="797" spans="31:32" x14ac:dyDescent="0.2">
      <c r="AE797" s="6"/>
      <c r="AF797" s="6"/>
    </row>
    <row r="798" spans="31:32" x14ac:dyDescent="0.2">
      <c r="AE798" s="6"/>
      <c r="AF798" s="6"/>
    </row>
    <row r="799" spans="31:32" x14ac:dyDescent="0.2">
      <c r="AE799" s="6"/>
      <c r="AF799" s="6"/>
    </row>
    <row r="800" spans="31:32" x14ac:dyDescent="0.2">
      <c r="AE800" s="6"/>
      <c r="AF800" s="6"/>
    </row>
    <row r="801" spans="31:32" x14ac:dyDescent="0.2">
      <c r="AE801" s="6"/>
      <c r="AF801" s="6"/>
    </row>
    <row r="802" spans="31:32" x14ac:dyDescent="0.2">
      <c r="AE802" s="6"/>
      <c r="AF802" s="6"/>
    </row>
    <row r="803" spans="31:32" x14ac:dyDescent="0.2">
      <c r="AE803" s="6"/>
      <c r="AF803" s="6"/>
    </row>
    <row r="804" spans="31:32" x14ac:dyDescent="0.2">
      <c r="AE804" s="6"/>
      <c r="AF804" s="6"/>
    </row>
    <row r="805" spans="31:32" x14ac:dyDescent="0.2">
      <c r="AE805" s="6"/>
      <c r="AF805" s="6"/>
    </row>
    <row r="806" spans="31:32" x14ac:dyDescent="0.2">
      <c r="AE806" s="6"/>
      <c r="AF806" s="6"/>
    </row>
    <row r="807" spans="31:32" x14ac:dyDescent="0.2">
      <c r="AE807" s="6"/>
      <c r="AF807" s="6"/>
    </row>
    <row r="808" spans="31:32" x14ac:dyDescent="0.2">
      <c r="AE808" s="6"/>
      <c r="AF808" s="6"/>
    </row>
    <row r="809" spans="31:32" x14ac:dyDescent="0.2">
      <c r="AE809" s="6"/>
      <c r="AF809" s="6"/>
    </row>
    <row r="810" spans="31:32" x14ac:dyDescent="0.2">
      <c r="AE810" s="6"/>
      <c r="AF810" s="6"/>
    </row>
    <row r="811" spans="31:32" x14ac:dyDescent="0.2">
      <c r="AE811" s="6"/>
      <c r="AF811" s="6"/>
    </row>
    <row r="812" spans="31:32" x14ac:dyDescent="0.2">
      <c r="AE812" s="6"/>
      <c r="AF812" s="6"/>
    </row>
    <row r="813" spans="31:32" x14ac:dyDescent="0.2">
      <c r="AE813" s="6"/>
      <c r="AF813" s="6"/>
    </row>
    <row r="814" spans="31:32" x14ac:dyDescent="0.2">
      <c r="AE814" s="6"/>
      <c r="AF814" s="6"/>
    </row>
    <row r="815" spans="31:32" x14ac:dyDescent="0.2">
      <c r="AE815" s="6"/>
      <c r="AF815" s="6"/>
    </row>
    <row r="816" spans="31:32" x14ac:dyDescent="0.2">
      <c r="AE816" s="6"/>
      <c r="AF816" s="6"/>
    </row>
    <row r="817" spans="31:32" x14ac:dyDescent="0.2">
      <c r="AE817" s="6"/>
      <c r="AF817" s="6"/>
    </row>
    <row r="818" spans="31:32" x14ac:dyDescent="0.2">
      <c r="AE818" s="6"/>
      <c r="AF818" s="6"/>
    </row>
    <row r="819" spans="31:32" x14ac:dyDescent="0.2">
      <c r="AE819" s="6"/>
      <c r="AF819" s="6"/>
    </row>
    <row r="820" spans="31:32" x14ac:dyDescent="0.2">
      <c r="AE820" s="6"/>
      <c r="AF820" s="6"/>
    </row>
    <row r="821" spans="31:32" x14ac:dyDescent="0.2">
      <c r="AE821" s="6"/>
      <c r="AF821" s="6"/>
    </row>
    <row r="822" spans="31:32" x14ac:dyDescent="0.2">
      <c r="AE822" s="6"/>
      <c r="AF822" s="6"/>
    </row>
    <row r="823" spans="31:32" x14ac:dyDescent="0.2">
      <c r="AE823" s="6"/>
      <c r="AF823" s="6"/>
    </row>
    <row r="824" spans="31:32" x14ac:dyDescent="0.2">
      <c r="AE824" s="6"/>
      <c r="AF824" s="6"/>
    </row>
    <row r="825" spans="31:32" x14ac:dyDescent="0.2">
      <c r="AE825" s="6"/>
      <c r="AF825" s="6"/>
    </row>
    <row r="826" spans="31:32" x14ac:dyDescent="0.2">
      <c r="AE826" s="6"/>
      <c r="AF826" s="6"/>
    </row>
    <row r="827" spans="31:32" x14ac:dyDescent="0.2">
      <c r="AE827" s="6"/>
      <c r="AF827" s="6"/>
    </row>
    <row r="828" spans="31:32" x14ac:dyDescent="0.2">
      <c r="AE828" s="6"/>
      <c r="AF828" s="6"/>
    </row>
    <row r="829" spans="31:32" x14ac:dyDescent="0.2">
      <c r="AE829" s="6"/>
      <c r="AF829" s="6"/>
    </row>
    <row r="830" spans="31:32" x14ac:dyDescent="0.2">
      <c r="AE830" s="6"/>
      <c r="AF830" s="6"/>
    </row>
    <row r="831" spans="31:32" x14ac:dyDescent="0.2">
      <c r="AE831" s="6"/>
      <c r="AF831" s="6"/>
    </row>
    <row r="832" spans="31:32" x14ac:dyDescent="0.2">
      <c r="AE832" s="6"/>
      <c r="AF832" s="6"/>
    </row>
    <row r="833" spans="31:32" x14ac:dyDescent="0.2">
      <c r="AE833" s="6"/>
      <c r="AF833" s="6"/>
    </row>
    <row r="834" spans="31:32" x14ac:dyDescent="0.2">
      <c r="AE834" s="6"/>
      <c r="AF834" s="6"/>
    </row>
    <row r="835" spans="31:32" x14ac:dyDescent="0.2">
      <c r="AE835" s="6"/>
      <c r="AF835" s="6"/>
    </row>
    <row r="836" spans="31:32" x14ac:dyDescent="0.2">
      <c r="AE836" s="6"/>
      <c r="AF836" s="6"/>
    </row>
    <row r="837" spans="31:32" x14ac:dyDescent="0.2">
      <c r="AE837" s="6"/>
      <c r="AF837" s="6"/>
    </row>
    <row r="838" spans="31:32" x14ac:dyDescent="0.2">
      <c r="AE838" s="6"/>
      <c r="AF838" s="6"/>
    </row>
    <row r="839" spans="31:32" x14ac:dyDescent="0.2">
      <c r="AE839" s="6"/>
      <c r="AF839" s="6"/>
    </row>
    <row r="840" spans="31:32" x14ac:dyDescent="0.2">
      <c r="AE840" s="6"/>
      <c r="AF840" s="6"/>
    </row>
    <row r="841" spans="31:32" x14ac:dyDescent="0.2">
      <c r="AE841" s="6"/>
      <c r="AF841" s="6"/>
    </row>
    <row r="842" spans="31:32" x14ac:dyDescent="0.2">
      <c r="AE842" s="6"/>
      <c r="AF842" s="6"/>
    </row>
    <row r="843" spans="31:32" x14ac:dyDescent="0.2">
      <c r="AE843" s="6"/>
      <c r="AF843" s="6"/>
    </row>
    <row r="844" spans="31:32" x14ac:dyDescent="0.2">
      <c r="AE844" s="6"/>
      <c r="AF844" s="6"/>
    </row>
    <row r="845" spans="31:32" x14ac:dyDescent="0.2">
      <c r="AE845" s="6"/>
      <c r="AF845" s="6"/>
    </row>
    <row r="846" spans="31:32" x14ac:dyDescent="0.2">
      <c r="AE846" s="6"/>
      <c r="AF846" s="6"/>
    </row>
    <row r="847" spans="31:32" x14ac:dyDescent="0.2">
      <c r="AE847" s="6"/>
      <c r="AF847" s="6"/>
    </row>
    <row r="848" spans="31:32" x14ac:dyDescent="0.2">
      <c r="AE848" s="6"/>
      <c r="AF848" s="6"/>
    </row>
    <row r="849" spans="31:32" x14ac:dyDescent="0.2">
      <c r="AE849" s="6"/>
      <c r="AF849" s="6"/>
    </row>
    <row r="850" spans="31:32" x14ac:dyDescent="0.2">
      <c r="AE850" s="6"/>
      <c r="AF850" s="6"/>
    </row>
    <row r="851" spans="31:32" x14ac:dyDescent="0.2">
      <c r="AE851" s="6"/>
      <c r="AF851" s="6"/>
    </row>
    <row r="852" spans="31:32" x14ac:dyDescent="0.2">
      <c r="AE852" s="6"/>
      <c r="AF852" s="6"/>
    </row>
    <row r="853" spans="31:32" x14ac:dyDescent="0.2">
      <c r="AE853" s="6"/>
      <c r="AF853" s="6"/>
    </row>
    <row r="854" spans="31:32" x14ac:dyDescent="0.2">
      <c r="AE854" s="6"/>
      <c r="AF854" s="6"/>
    </row>
    <row r="855" spans="31:32" x14ac:dyDescent="0.2">
      <c r="AE855" s="6"/>
      <c r="AF855" s="6"/>
    </row>
    <row r="856" spans="31:32" x14ac:dyDescent="0.2">
      <c r="AE856" s="6"/>
      <c r="AF856" s="6"/>
    </row>
    <row r="857" spans="31:32" x14ac:dyDescent="0.2">
      <c r="AE857" s="6"/>
      <c r="AF857" s="6"/>
    </row>
    <row r="858" spans="31:32" x14ac:dyDescent="0.2">
      <c r="AE858" s="6"/>
      <c r="AF858" s="6"/>
    </row>
    <row r="859" spans="31:32" x14ac:dyDescent="0.2">
      <c r="AE859" s="6"/>
      <c r="AF859" s="6"/>
    </row>
    <row r="860" spans="31:32" x14ac:dyDescent="0.2">
      <c r="AE860" s="6"/>
      <c r="AF860" s="6"/>
    </row>
    <row r="861" spans="31:32" x14ac:dyDescent="0.2">
      <c r="AE861" s="6"/>
      <c r="AF861" s="6"/>
    </row>
    <row r="862" spans="31:32" x14ac:dyDescent="0.2">
      <c r="AE862" s="6"/>
      <c r="AF862" s="6"/>
    </row>
    <row r="863" spans="31:32" x14ac:dyDescent="0.2">
      <c r="AE863" s="6"/>
      <c r="AF863" s="6"/>
    </row>
    <row r="864" spans="31:32" x14ac:dyDescent="0.2">
      <c r="AE864" s="6"/>
      <c r="AF864" s="6"/>
    </row>
    <row r="865" spans="31:32" x14ac:dyDescent="0.2">
      <c r="AE865" s="6"/>
      <c r="AF865" s="6"/>
    </row>
    <row r="866" spans="31:32" x14ac:dyDescent="0.2">
      <c r="AE866" s="6"/>
      <c r="AF866" s="6"/>
    </row>
    <row r="867" spans="31:32" x14ac:dyDescent="0.2">
      <c r="AE867" s="6"/>
      <c r="AF867" s="6"/>
    </row>
    <row r="868" spans="31:32" x14ac:dyDescent="0.2">
      <c r="AE868" s="6"/>
      <c r="AF868" s="6"/>
    </row>
    <row r="869" spans="31:32" x14ac:dyDescent="0.2">
      <c r="AE869" s="6"/>
      <c r="AF869" s="6"/>
    </row>
    <row r="870" spans="31:32" x14ac:dyDescent="0.2">
      <c r="AE870" s="6"/>
      <c r="AF870" s="6"/>
    </row>
    <row r="871" spans="31:32" x14ac:dyDescent="0.2">
      <c r="AE871" s="6"/>
      <c r="AF871" s="6"/>
    </row>
    <row r="872" spans="31:32" x14ac:dyDescent="0.2">
      <c r="AE872" s="6"/>
      <c r="AF872" s="6"/>
    </row>
    <row r="873" spans="31:32" x14ac:dyDescent="0.2">
      <c r="AE873" s="6"/>
      <c r="AF873" s="6"/>
    </row>
    <row r="874" spans="31:32" x14ac:dyDescent="0.2">
      <c r="AE874" s="6"/>
      <c r="AF874" s="6"/>
    </row>
    <row r="875" spans="31:32" x14ac:dyDescent="0.2">
      <c r="AE875" s="6"/>
      <c r="AF875" s="6"/>
    </row>
    <row r="876" spans="31:32" x14ac:dyDescent="0.2">
      <c r="AE876" s="6"/>
      <c r="AF876" s="6"/>
    </row>
    <row r="877" spans="31:32" x14ac:dyDescent="0.2">
      <c r="AE877" s="6"/>
      <c r="AF877" s="6"/>
    </row>
    <row r="878" spans="31:32" x14ac:dyDescent="0.2">
      <c r="AE878" s="6"/>
      <c r="AF878" s="6"/>
    </row>
    <row r="879" spans="31:32" x14ac:dyDescent="0.2">
      <c r="AE879" s="6"/>
      <c r="AF879" s="6"/>
    </row>
    <row r="880" spans="31:32" x14ac:dyDescent="0.2">
      <c r="AE880" s="6"/>
      <c r="AF880" s="6"/>
    </row>
    <row r="881" spans="31:32" x14ac:dyDescent="0.2">
      <c r="AE881" s="6"/>
      <c r="AF881" s="6"/>
    </row>
    <row r="882" spans="31:32" x14ac:dyDescent="0.2">
      <c r="AE882" s="6"/>
      <c r="AF882" s="6"/>
    </row>
    <row r="883" spans="31:32" x14ac:dyDescent="0.2">
      <c r="AE883" s="6"/>
      <c r="AF883" s="6"/>
    </row>
    <row r="884" spans="31:32" x14ac:dyDescent="0.2">
      <c r="AE884" s="6"/>
      <c r="AF884" s="6"/>
    </row>
    <row r="885" spans="31:32" x14ac:dyDescent="0.2">
      <c r="AE885" s="6"/>
      <c r="AF885" s="6"/>
    </row>
    <row r="886" spans="31:32" x14ac:dyDescent="0.2">
      <c r="AE886" s="6"/>
      <c r="AF886" s="6"/>
    </row>
    <row r="887" spans="31:32" x14ac:dyDescent="0.2">
      <c r="AE887" s="6"/>
      <c r="AF887" s="6"/>
    </row>
    <row r="888" spans="31:32" x14ac:dyDescent="0.2">
      <c r="AE888" s="6"/>
      <c r="AF888" s="6"/>
    </row>
    <row r="889" spans="31:32" x14ac:dyDescent="0.2">
      <c r="AE889" s="6"/>
      <c r="AF889" s="6"/>
    </row>
    <row r="890" spans="31:32" x14ac:dyDescent="0.2">
      <c r="AE890" s="6"/>
      <c r="AF890" s="6"/>
    </row>
    <row r="891" spans="31:32" x14ac:dyDescent="0.2">
      <c r="AE891" s="6"/>
      <c r="AF891" s="6"/>
    </row>
    <row r="892" spans="31:32" x14ac:dyDescent="0.2">
      <c r="AE892" s="6"/>
      <c r="AF892" s="6"/>
    </row>
    <row r="893" spans="31:32" x14ac:dyDescent="0.2">
      <c r="AE893" s="6"/>
      <c r="AF893" s="6"/>
    </row>
    <row r="894" spans="31:32" x14ac:dyDescent="0.2">
      <c r="AE894" s="6"/>
      <c r="AF894" s="6"/>
    </row>
    <row r="895" spans="31:32" x14ac:dyDescent="0.2">
      <c r="AE895" s="6"/>
      <c r="AF895" s="6"/>
    </row>
    <row r="896" spans="31:32" x14ac:dyDescent="0.2">
      <c r="AE896" s="6"/>
      <c r="AF896" s="6"/>
    </row>
    <row r="897" spans="31:32" x14ac:dyDescent="0.2">
      <c r="AE897" s="6"/>
      <c r="AF897" s="6"/>
    </row>
    <row r="898" spans="31:32" x14ac:dyDescent="0.2">
      <c r="AE898" s="6"/>
      <c r="AF898" s="6"/>
    </row>
    <row r="899" spans="31:32" x14ac:dyDescent="0.2">
      <c r="AE899" s="6"/>
      <c r="AF899" s="6"/>
    </row>
    <row r="900" spans="31:32" x14ac:dyDescent="0.2">
      <c r="AE900" s="6"/>
      <c r="AF900" s="6"/>
    </row>
    <row r="901" spans="31:32" x14ac:dyDescent="0.2">
      <c r="AE901" s="6"/>
      <c r="AF901" s="6"/>
    </row>
    <row r="902" spans="31:32" x14ac:dyDescent="0.2">
      <c r="AE902" s="6"/>
      <c r="AF902" s="6"/>
    </row>
    <row r="903" spans="31:32" x14ac:dyDescent="0.2">
      <c r="AE903" s="6"/>
      <c r="AF903" s="6"/>
    </row>
    <row r="904" spans="31:32" x14ac:dyDescent="0.2">
      <c r="AE904" s="6"/>
      <c r="AF904" s="6"/>
    </row>
    <row r="905" spans="31:32" x14ac:dyDescent="0.2">
      <c r="AE905" s="6"/>
      <c r="AF905" s="6"/>
    </row>
    <row r="906" spans="31:32" x14ac:dyDescent="0.2">
      <c r="AE906" s="6"/>
      <c r="AF906" s="6"/>
    </row>
    <row r="907" spans="31:32" x14ac:dyDescent="0.2">
      <c r="AE907" s="6"/>
      <c r="AF907" s="6"/>
    </row>
    <row r="908" spans="31:32" x14ac:dyDescent="0.2">
      <c r="AE908" s="6"/>
      <c r="AF908" s="6"/>
    </row>
    <row r="909" spans="31:32" x14ac:dyDescent="0.2">
      <c r="AE909" s="6"/>
      <c r="AF909" s="6"/>
    </row>
    <row r="910" spans="31:32" x14ac:dyDescent="0.2">
      <c r="AE910" s="6"/>
      <c r="AF910" s="6"/>
    </row>
    <row r="911" spans="31:32" x14ac:dyDescent="0.2">
      <c r="AE911" s="6"/>
      <c r="AF911" s="6"/>
    </row>
    <row r="912" spans="31:32" x14ac:dyDescent="0.2">
      <c r="AE912" s="6"/>
      <c r="AF912" s="6"/>
    </row>
    <row r="913" spans="31:32" x14ac:dyDescent="0.2">
      <c r="AE913" s="6"/>
      <c r="AF913" s="6"/>
    </row>
    <row r="914" spans="31:32" x14ac:dyDescent="0.2">
      <c r="AE914" s="6"/>
      <c r="AF914" s="6"/>
    </row>
    <row r="915" spans="31:32" x14ac:dyDescent="0.2">
      <c r="AE915" s="6"/>
      <c r="AF915" s="6"/>
    </row>
    <row r="916" spans="31:32" x14ac:dyDescent="0.2">
      <c r="AE916" s="6"/>
      <c r="AF916" s="6"/>
    </row>
    <row r="917" spans="31:32" x14ac:dyDescent="0.2">
      <c r="AE917" s="6"/>
      <c r="AF917" s="6"/>
    </row>
    <row r="918" spans="31:32" x14ac:dyDescent="0.2">
      <c r="AE918" s="6"/>
      <c r="AF918" s="6"/>
    </row>
    <row r="919" spans="31:32" x14ac:dyDescent="0.2">
      <c r="AE919" s="6"/>
      <c r="AF919" s="6"/>
    </row>
    <row r="920" spans="31:32" x14ac:dyDescent="0.2">
      <c r="AE920" s="6"/>
      <c r="AF920" s="6"/>
    </row>
    <row r="921" spans="31:32" x14ac:dyDescent="0.2">
      <c r="AE921" s="6"/>
      <c r="AF921" s="6"/>
    </row>
    <row r="922" spans="31:32" x14ac:dyDescent="0.2">
      <c r="AE922" s="6"/>
      <c r="AF922" s="6"/>
    </row>
    <row r="923" spans="31:32" x14ac:dyDescent="0.2">
      <c r="AE923" s="6"/>
      <c r="AF923" s="6"/>
    </row>
    <row r="924" spans="31:32" x14ac:dyDescent="0.2">
      <c r="AE924" s="6"/>
      <c r="AF924" s="6"/>
    </row>
    <row r="925" spans="31:32" x14ac:dyDescent="0.2">
      <c r="AE925" s="6"/>
      <c r="AF925" s="6"/>
    </row>
    <row r="926" spans="31:32" x14ac:dyDescent="0.2">
      <c r="AE926" s="6"/>
      <c r="AF926" s="6"/>
    </row>
    <row r="927" spans="31:32" x14ac:dyDescent="0.2">
      <c r="AE927" s="6"/>
      <c r="AF927" s="6"/>
    </row>
    <row r="928" spans="31:32" x14ac:dyDescent="0.2">
      <c r="AE928" s="6"/>
      <c r="AF928" s="6"/>
    </row>
    <row r="929" spans="31:32" x14ac:dyDescent="0.2">
      <c r="AE929" s="6"/>
      <c r="AF929" s="6"/>
    </row>
    <row r="930" spans="31:32" x14ac:dyDescent="0.2">
      <c r="AE930" s="6"/>
      <c r="AF930" s="6"/>
    </row>
    <row r="931" spans="31:32" x14ac:dyDescent="0.2">
      <c r="AE931" s="6"/>
      <c r="AF931" s="6"/>
    </row>
    <row r="932" spans="31:32" x14ac:dyDescent="0.2">
      <c r="AE932" s="6"/>
      <c r="AF932" s="6"/>
    </row>
    <row r="933" spans="31:32" x14ac:dyDescent="0.2">
      <c r="AE933" s="6"/>
      <c r="AF933" s="6"/>
    </row>
    <row r="934" spans="31:32" x14ac:dyDescent="0.2">
      <c r="AE934" s="6"/>
      <c r="AF934" s="6"/>
    </row>
    <row r="935" spans="31:32" x14ac:dyDescent="0.2">
      <c r="AE935" s="6"/>
      <c r="AF935" s="6"/>
    </row>
    <row r="936" spans="31:32" x14ac:dyDescent="0.2">
      <c r="AE936" s="6"/>
      <c r="AF936" s="6"/>
    </row>
    <row r="937" spans="31:32" x14ac:dyDescent="0.2">
      <c r="AE937" s="6"/>
      <c r="AF937" s="6"/>
    </row>
    <row r="938" spans="31:32" x14ac:dyDescent="0.2">
      <c r="AE938" s="6"/>
      <c r="AF938" s="6"/>
    </row>
    <row r="939" spans="31:32" x14ac:dyDescent="0.2">
      <c r="AE939" s="6"/>
      <c r="AF939" s="6"/>
    </row>
    <row r="940" spans="31:32" x14ac:dyDescent="0.2">
      <c r="AE940" s="6"/>
      <c r="AF940" s="6"/>
    </row>
    <row r="941" spans="31:32" x14ac:dyDescent="0.2">
      <c r="AE941" s="6"/>
      <c r="AF941" s="6"/>
    </row>
    <row r="942" spans="31:32" x14ac:dyDescent="0.2">
      <c r="AE942" s="6"/>
      <c r="AF942" s="6"/>
    </row>
    <row r="943" spans="31:32" x14ac:dyDescent="0.2">
      <c r="AE943" s="6"/>
      <c r="AF943" s="6"/>
    </row>
    <row r="944" spans="31:32" x14ac:dyDescent="0.2">
      <c r="AE944" s="6"/>
      <c r="AF944" s="6"/>
    </row>
    <row r="945" spans="31:32" x14ac:dyDescent="0.2">
      <c r="AE945" s="6"/>
      <c r="AF945" s="6"/>
    </row>
    <row r="946" spans="31:32" x14ac:dyDescent="0.2">
      <c r="AE946" s="6"/>
      <c r="AF946" s="6"/>
    </row>
    <row r="947" spans="31:32" x14ac:dyDescent="0.2">
      <c r="AE947" s="6"/>
      <c r="AF947" s="6"/>
    </row>
    <row r="948" spans="31:32" x14ac:dyDescent="0.2">
      <c r="AE948" s="6"/>
      <c r="AF948" s="6"/>
    </row>
    <row r="949" spans="31:32" x14ac:dyDescent="0.2">
      <c r="AE949" s="6"/>
      <c r="AF949" s="6"/>
    </row>
    <row r="950" spans="31:32" x14ac:dyDescent="0.2">
      <c r="AE950" s="6"/>
      <c r="AF950" s="6"/>
    </row>
    <row r="951" spans="31:32" x14ac:dyDescent="0.2">
      <c r="AE951" s="6"/>
      <c r="AF951" s="6"/>
    </row>
    <row r="952" spans="31:32" x14ac:dyDescent="0.2">
      <c r="AE952" s="6"/>
      <c r="AF952" s="6"/>
    </row>
    <row r="953" spans="31:32" x14ac:dyDescent="0.2">
      <c r="AE953" s="6"/>
      <c r="AF953" s="6"/>
    </row>
    <row r="954" spans="31:32" x14ac:dyDescent="0.2">
      <c r="AE954" s="6"/>
      <c r="AF954" s="6"/>
    </row>
    <row r="955" spans="31:32" x14ac:dyDescent="0.2">
      <c r="AE955" s="6"/>
      <c r="AF955" s="6"/>
    </row>
    <row r="956" spans="31:32" x14ac:dyDescent="0.2">
      <c r="AE956" s="6"/>
      <c r="AF956" s="6"/>
    </row>
    <row r="957" spans="31:32" x14ac:dyDescent="0.2">
      <c r="AE957" s="6"/>
      <c r="AF957" s="6"/>
    </row>
    <row r="958" spans="31:32" x14ac:dyDescent="0.2">
      <c r="AE958" s="6"/>
      <c r="AF958" s="6"/>
    </row>
    <row r="959" spans="31:32" x14ac:dyDescent="0.2">
      <c r="AE959" s="6"/>
      <c r="AF959" s="6"/>
    </row>
    <row r="960" spans="31:32" x14ac:dyDescent="0.2">
      <c r="AE960" s="6"/>
      <c r="AF960" s="6"/>
    </row>
    <row r="961" spans="31:32" x14ac:dyDescent="0.2">
      <c r="AE961" s="6"/>
      <c r="AF961" s="6"/>
    </row>
    <row r="962" spans="31:32" x14ac:dyDescent="0.2">
      <c r="AE962" s="6"/>
      <c r="AF962" s="6"/>
    </row>
    <row r="963" spans="31:32" x14ac:dyDescent="0.2">
      <c r="AE963" s="6"/>
      <c r="AF963" s="6"/>
    </row>
    <row r="964" spans="31:32" x14ac:dyDescent="0.2">
      <c r="AE964" s="6"/>
      <c r="AF964" s="6"/>
    </row>
    <row r="965" spans="31:32" x14ac:dyDescent="0.2">
      <c r="AE965" s="6"/>
      <c r="AF965" s="6"/>
    </row>
    <row r="966" spans="31:32" x14ac:dyDescent="0.2">
      <c r="AE966" s="6"/>
      <c r="AF966" s="6"/>
    </row>
    <row r="967" spans="31:32" x14ac:dyDescent="0.2">
      <c r="AE967" s="6"/>
      <c r="AF967" s="6"/>
    </row>
    <row r="968" spans="31:32" x14ac:dyDescent="0.2">
      <c r="AE968" s="6"/>
      <c r="AF968" s="6"/>
    </row>
    <row r="969" spans="31:32" x14ac:dyDescent="0.2">
      <c r="AE969" s="6"/>
      <c r="AF969" s="6"/>
    </row>
    <row r="970" spans="31:32" x14ac:dyDescent="0.2">
      <c r="AE970" s="6"/>
      <c r="AF970" s="6"/>
    </row>
    <row r="971" spans="31:32" x14ac:dyDescent="0.2">
      <c r="AE971" s="6"/>
      <c r="AF971" s="6"/>
    </row>
    <row r="972" spans="31:32" x14ac:dyDescent="0.2">
      <c r="AE972" s="6"/>
      <c r="AF972" s="6"/>
    </row>
    <row r="973" spans="31:32" x14ac:dyDescent="0.2">
      <c r="AE973" s="6"/>
      <c r="AF973" s="6"/>
    </row>
    <row r="974" spans="31:32" x14ac:dyDescent="0.2">
      <c r="AE974" s="6"/>
      <c r="AF974" s="6"/>
    </row>
    <row r="975" spans="31:32" x14ac:dyDescent="0.2">
      <c r="AE975" s="6"/>
      <c r="AF975" s="6"/>
    </row>
    <row r="976" spans="31:32" x14ac:dyDescent="0.2">
      <c r="AE976" s="6"/>
      <c r="AF976" s="6"/>
    </row>
    <row r="977" spans="31:32" x14ac:dyDescent="0.2">
      <c r="AE977" s="6"/>
      <c r="AF977" s="6"/>
    </row>
    <row r="978" spans="31:32" x14ac:dyDescent="0.2">
      <c r="AE978" s="6"/>
      <c r="AF978" s="6"/>
    </row>
    <row r="979" spans="31:32" x14ac:dyDescent="0.2">
      <c r="AE979" s="6"/>
      <c r="AF979" s="6"/>
    </row>
    <row r="980" spans="31:32" x14ac:dyDescent="0.2">
      <c r="AE980" s="6"/>
      <c r="AF980" s="6"/>
    </row>
    <row r="981" spans="31:32" x14ac:dyDescent="0.2">
      <c r="AE981" s="6"/>
      <c r="AF981" s="6"/>
    </row>
    <row r="982" spans="31:32" x14ac:dyDescent="0.2">
      <c r="AE982" s="6"/>
      <c r="AF982" s="6"/>
    </row>
    <row r="983" spans="31:32" x14ac:dyDescent="0.2">
      <c r="AE983" s="6"/>
      <c r="AF983" s="6"/>
    </row>
    <row r="984" spans="31:32" x14ac:dyDescent="0.2">
      <c r="AE984" s="6"/>
      <c r="AF984" s="6"/>
    </row>
    <row r="985" spans="31:32" x14ac:dyDescent="0.2">
      <c r="AE985" s="6"/>
      <c r="AF985" s="6"/>
    </row>
    <row r="986" spans="31:32" x14ac:dyDescent="0.2">
      <c r="AE986" s="6"/>
      <c r="AF986" s="6"/>
    </row>
    <row r="987" spans="31:32" x14ac:dyDescent="0.2">
      <c r="AE987" s="6"/>
      <c r="AF987" s="6"/>
    </row>
    <row r="988" spans="31:32" x14ac:dyDescent="0.2">
      <c r="AE988" s="6"/>
      <c r="AF988" s="6"/>
    </row>
    <row r="989" spans="31:32" x14ac:dyDescent="0.2">
      <c r="AE989" s="6"/>
      <c r="AF989" s="6"/>
    </row>
    <row r="990" spans="31:32" x14ac:dyDescent="0.2">
      <c r="AE990" s="6"/>
      <c r="AF990" s="6"/>
    </row>
    <row r="991" spans="31:32" x14ac:dyDescent="0.2">
      <c r="AE991" s="6"/>
      <c r="AF991" s="6"/>
    </row>
    <row r="992" spans="31:32" x14ac:dyDescent="0.2">
      <c r="AE992" s="6"/>
      <c r="AF992" s="6"/>
    </row>
    <row r="993" spans="31:32" x14ac:dyDescent="0.2">
      <c r="AE993" s="6"/>
      <c r="AF993" s="6"/>
    </row>
    <row r="994" spans="31:32" x14ac:dyDescent="0.2">
      <c r="AE994" s="6"/>
      <c r="AF994" s="6"/>
    </row>
    <row r="995" spans="31:32" x14ac:dyDescent="0.2">
      <c r="AE995" s="6"/>
      <c r="AF995" s="6"/>
    </row>
    <row r="996" spans="31:32" x14ac:dyDescent="0.2">
      <c r="AE996" s="6"/>
      <c r="AF996" s="6"/>
    </row>
    <row r="997" spans="31:32" x14ac:dyDescent="0.2">
      <c r="AE997" s="6"/>
      <c r="AF997" s="6"/>
    </row>
    <row r="998" spans="31:32" x14ac:dyDescent="0.2">
      <c r="AE998" s="6"/>
      <c r="AF998" s="6"/>
    </row>
    <row r="999" spans="31:32" x14ac:dyDescent="0.2">
      <c r="AE999" s="6"/>
      <c r="AF999" s="6"/>
    </row>
    <row r="1000" spans="31:32" x14ac:dyDescent="0.2">
      <c r="AE1000" s="6"/>
      <c r="AF1000" s="6"/>
    </row>
    <row r="1001" spans="31:32" x14ac:dyDescent="0.2">
      <c r="AE1001" s="6"/>
      <c r="AF1001" s="6"/>
    </row>
    <row r="1002" spans="31:32" x14ac:dyDescent="0.2">
      <c r="AE1002" s="6"/>
      <c r="AF1002" s="6"/>
    </row>
    <row r="1003" spans="31:32" x14ac:dyDescent="0.2">
      <c r="AE1003" s="6"/>
      <c r="AF1003" s="6"/>
    </row>
    <row r="1004" spans="31:32" x14ac:dyDescent="0.2">
      <c r="AE1004" s="6"/>
      <c r="AF1004" s="6"/>
    </row>
    <row r="1005" spans="31:32" x14ac:dyDescent="0.2">
      <c r="AE1005" s="6"/>
      <c r="AF1005" s="6"/>
    </row>
    <row r="1006" spans="31:32" x14ac:dyDescent="0.2">
      <c r="AE1006" s="6"/>
      <c r="AF1006" s="6"/>
    </row>
    <row r="1007" spans="31:32" x14ac:dyDescent="0.2">
      <c r="AE1007" s="6"/>
      <c r="AF1007" s="6"/>
    </row>
    <row r="1008" spans="31:32" x14ac:dyDescent="0.2">
      <c r="AE1008" s="6"/>
      <c r="AF1008" s="6"/>
    </row>
    <row r="1009" spans="31:32" x14ac:dyDescent="0.2">
      <c r="AE1009" s="6"/>
      <c r="AF1009" s="6"/>
    </row>
    <row r="1010" spans="31:32" x14ac:dyDescent="0.2">
      <c r="AE1010" s="6"/>
      <c r="AF1010" s="6"/>
    </row>
    <row r="1011" spans="31:32" x14ac:dyDescent="0.2">
      <c r="AE1011" s="6"/>
      <c r="AF1011" s="6"/>
    </row>
    <row r="1012" spans="31:32" x14ac:dyDescent="0.2">
      <c r="AE1012" s="6"/>
      <c r="AF1012" s="6"/>
    </row>
    <row r="1013" spans="31:32" x14ac:dyDescent="0.2">
      <c r="AE1013" s="6"/>
      <c r="AF1013" s="6"/>
    </row>
    <row r="1014" spans="31:32" x14ac:dyDescent="0.2">
      <c r="AE1014" s="6"/>
      <c r="AF1014" s="6"/>
    </row>
    <row r="1015" spans="31:32" x14ac:dyDescent="0.2">
      <c r="AE1015" s="6"/>
      <c r="AF1015" s="6"/>
    </row>
    <row r="1016" spans="31:32" x14ac:dyDescent="0.2">
      <c r="AE1016" s="6"/>
      <c r="AF1016" s="6"/>
    </row>
    <row r="1017" spans="31:32" x14ac:dyDescent="0.2">
      <c r="AE1017" s="6"/>
      <c r="AF1017" s="6"/>
    </row>
    <row r="1018" spans="31:32" x14ac:dyDescent="0.2">
      <c r="AE1018" s="6"/>
      <c r="AF1018" s="6"/>
    </row>
    <row r="1019" spans="31:32" x14ac:dyDescent="0.2">
      <c r="AE1019" s="6"/>
      <c r="AF1019" s="6"/>
    </row>
    <row r="1020" spans="31:32" x14ac:dyDescent="0.2">
      <c r="AE1020" s="6"/>
      <c r="AF1020" s="6"/>
    </row>
    <row r="1021" spans="31:32" x14ac:dyDescent="0.2">
      <c r="AE1021" s="6"/>
      <c r="AF1021" s="6"/>
    </row>
    <row r="1022" spans="31:32" x14ac:dyDescent="0.2">
      <c r="AE1022" s="6"/>
      <c r="AF1022" s="6"/>
    </row>
    <row r="1023" spans="31:32" x14ac:dyDescent="0.2">
      <c r="AE1023" s="6"/>
      <c r="AF1023" s="6"/>
    </row>
    <row r="1024" spans="31:32" x14ac:dyDescent="0.2">
      <c r="AE1024" s="6"/>
      <c r="AF1024" s="6"/>
    </row>
    <row r="1025" spans="31:32" x14ac:dyDescent="0.2">
      <c r="AE1025" s="6"/>
      <c r="AF1025" s="6"/>
    </row>
    <row r="1026" spans="31:32" x14ac:dyDescent="0.2">
      <c r="AE1026" s="6"/>
      <c r="AF1026" s="6"/>
    </row>
    <row r="1027" spans="31:32" x14ac:dyDescent="0.2">
      <c r="AE1027" s="6"/>
      <c r="AF1027" s="6"/>
    </row>
    <row r="1028" spans="31:32" x14ac:dyDescent="0.2">
      <c r="AE1028" s="6"/>
      <c r="AF1028" s="6"/>
    </row>
    <row r="1029" spans="31:32" x14ac:dyDescent="0.2">
      <c r="AE1029" s="6"/>
      <c r="AF1029" s="6"/>
    </row>
    <row r="1030" spans="31:32" x14ac:dyDescent="0.2">
      <c r="AE1030" s="6"/>
      <c r="AF1030" s="6"/>
    </row>
    <row r="1031" spans="31:32" x14ac:dyDescent="0.2">
      <c r="AE1031" s="6"/>
      <c r="AF1031" s="6"/>
    </row>
    <row r="1032" spans="31:32" x14ac:dyDescent="0.2">
      <c r="AE1032" s="6"/>
      <c r="AF1032" s="6"/>
    </row>
    <row r="1033" spans="31:32" x14ac:dyDescent="0.2">
      <c r="AE1033" s="6"/>
      <c r="AF1033" s="6"/>
    </row>
    <row r="1034" spans="31:32" x14ac:dyDescent="0.2">
      <c r="AE1034" s="6"/>
      <c r="AF1034" s="6"/>
    </row>
    <row r="1035" spans="31:32" x14ac:dyDescent="0.2">
      <c r="AE1035" s="6"/>
      <c r="AF1035" s="6"/>
    </row>
    <row r="1036" spans="31:32" x14ac:dyDescent="0.2">
      <c r="AE1036" s="6"/>
      <c r="AF1036" s="6"/>
    </row>
    <row r="1037" spans="31:32" x14ac:dyDescent="0.2">
      <c r="AE1037" s="6"/>
      <c r="AF1037" s="6"/>
    </row>
    <row r="1038" spans="31:32" x14ac:dyDescent="0.2">
      <c r="AE1038" s="6"/>
      <c r="AF1038" s="6"/>
    </row>
    <row r="1039" spans="31:32" x14ac:dyDescent="0.2">
      <c r="AE1039" s="6"/>
      <c r="AF1039" s="6"/>
    </row>
    <row r="1040" spans="31:32" x14ac:dyDescent="0.2">
      <c r="AE1040" s="6"/>
      <c r="AF1040" s="6"/>
    </row>
    <row r="1041" spans="31:32" x14ac:dyDescent="0.2">
      <c r="AE1041" s="6"/>
      <c r="AF1041" s="6"/>
    </row>
    <row r="1042" spans="31:32" x14ac:dyDescent="0.2">
      <c r="AE1042" s="6"/>
      <c r="AF1042" s="6"/>
    </row>
    <row r="1043" spans="31:32" x14ac:dyDescent="0.2">
      <c r="AE1043" s="6"/>
      <c r="AF1043" s="6"/>
    </row>
    <row r="1044" spans="31:32" x14ac:dyDescent="0.2">
      <c r="AE1044" s="6"/>
      <c r="AF1044" s="6"/>
    </row>
    <row r="1045" spans="31:32" x14ac:dyDescent="0.2">
      <c r="AE1045" s="6"/>
      <c r="AF1045" s="6"/>
    </row>
    <row r="1046" spans="31:32" x14ac:dyDescent="0.2">
      <c r="AE1046" s="6"/>
      <c r="AF1046" s="6"/>
    </row>
    <row r="1047" spans="31:32" x14ac:dyDescent="0.2">
      <c r="AE1047" s="6"/>
      <c r="AF1047" s="6"/>
    </row>
    <row r="1048" spans="31:32" x14ac:dyDescent="0.2">
      <c r="AE1048" s="6"/>
      <c r="AF1048" s="6"/>
    </row>
    <row r="1049" spans="31:32" x14ac:dyDescent="0.2">
      <c r="AE1049" s="6"/>
      <c r="AF1049" s="6"/>
    </row>
    <row r="1050" spans="31:32" x14ac:dyDescent="0.2">
      <c r="AE1050" s="6"/>
      <c r="AF1050" s="6"/>
    </row>
    <row r="1051" spans="31:32" x14ac:dyDescent="0.2">
      <c r="AE1051" s="6"/>
      <c r="AF1051" s="6"/>
    </row>
    <row r="1052" spans="31:32" x14ac:dyDescent="0.2">
      <c r="AE1052" s="6"/>
      <c r="AF1052" s="6"/>
    </row>
    <row r="1053" spans="31:32" x14ac:dyDescent="0.2">
      <c r="AE1053" s="6"/>
      <c r="AF1053" s="6"/>
    </row>
    <row r="1054" spans="31:32" x14ac:dyDescent="0.2">
      <c r="AE1054" s="6"/>
      <c r="AF1054" s="6"/>
    </row>
    <row r="1055" spans="31:32" x14ac:dyDescent="0.2">
      <c r="AE1055" s="6"/>
      <c r="AF1055" s="6"/>
    </row>
    <row r="1056" spans="31:32" x14ac:dyDescent="0.2">
      <c r="AE1056" s="6"/>
      <c r="AF1056" s="6"/>
    </row>
    <row r="1057" spans="31:32" x14ac:dyDescent="0.2">
      <c r="AE1057" s="6"/>
      <c r="AF1057" s="6"/>
    </row>
    <row r="1058" spans="31:32" x14ac:dyDescent="0.2">
      <c r="AE1058" s="6"/>
      <c r="AF1058" s="6"/>
    </row>
    <row r="1059" spans="31:32" x14ac:dyDescent="0.2">
      <c r="AE1059" s="6"/>
      <c r="AF1059" s="6"/>
    </row>
    <row r="1060" spans="31:32" x14ac:dyDescent="0.2">
      <c r="AE1060" s="6"/>
      <c r="AF1060" s="6"/>
    </row>
    <row r="1061" spans="31:32" x14ac:dyDescent="0.2">
      <c r="AE1061" s="6"/>
      <c r="AF1061" s="6"/>
    </row>
    <row r="1062" spans="31:32" x14ac:dyDescent="0.2">
      <c r="AE1062" s="6"/>
      <c r="AF1062" s="6"/>
    </row>
    <row r="1063" spans="31:32" x14ac:dyDescent="0.2">
      <c r="AE1063" s="6"/>
      <c r="AF1063" s="6"/>
    </row>
    <row r="1064" spans="31:32" x14ac:dyDescent="0.2">
      <c r="AE1064" s="6"/>
      <c r="AF1064" s="6"/>
    </row>
    <row r="1065" spans="31:32" x14ac:dyDescent="0.2">
      <c r="AE1065" s="6"/>
      <c r="AF1065" s="6"/>
    </row>
    <row r="1066" spans="31:32" x14ac:dyDescent="0.2">
      <c r="AE1066" s="6"/>
      <c r="AF1066" s="6"/>
    </row>
    <row r="1067" spans="31:32" x14ac:dyDescent="0.2">
      <c r="AE1067" s="6"/>
      <c r="AF1067" s="6"/>
    </row>
    <row r="1068" spans="31:32" x14ac:dyDescent="0.2">
      <c r="AE1068" s="6"/>
      <c r="AF1068" s="6"/>
    </row>
    <row r="1069" spans="31:32" x14ac:dyDescent="0.2">
      <c r="AE1069" s="6"/>
      <c r="AF1069" s="6"/>
    </row>
    <row r="1070" spans="31:32" x14ac:dyDescent="0.2">
      <c r="AE1070" s="6"/>
      <c r="AF1070" s="6"/>
    </row>
    <row r="1071" spans="31:32" x14ac:dyDescent="0.2">
      <c r="AE1071" s="6"/>
      <c r="AF1071" s="6"/>
    </row>
    <row r="1072" spans="31:32" x14ac:dyDescent="0.2">
      <c r="AE1072" s="6"/>
      <c r="AF1072" s="6"/>
    </row>
    <row r="1073" spans="31:32" x14ac:dyDescent="0.2">
      <c r="AE1073" s="6"/>
      <c r="AF1073" s="6"/>
    </row>
    <row r="1074" spans="31:32" x14ac:dyDescent="0.2">
      <c r="AE1074" s="6"/>
      <c r="AF1074" s="6"/>
    </row>
    <row r="1075" spans="31:32" x14ac:dyDescent="0.2">
      <c r="AE1075" s="6"/>
      <c r="AF1075" s="6"/>
    </row>
    <row r="1076" spans="31:32" x14ac:dyDescent="0.2">
      <c r="AE1076" s="6"/>
      <c r="AF1076" s="6"/>
    </row>
    <row r="1077" spans="31:32" x14ac:dyDescent="0.2">
      <c r="AE1077" s="6"/>
      <c r="AF1077" s="6"/>
    </row>
    <row r="1078" spans="31:32" x14ac:dyDescent="0.2">
      <c r="AE1078" s="6"/>
      <c r="AF1078" s="6"/>
    </row>
    <row r="1079" spans="31:32" x14ac:dyDescent="0.2">
      <c r="AE1079" s="6"/>
      <c r="AF1079" s="6"/>
    </row>
    <row r="1080" spans="31:32" x14ac:dyDescent="0.2">
      <c r="AE1080" s="6"/>
      <c r="AF1080" s="6"/>
    </row>
    <row r="1081" spans="31:32" x14ac:dyDescent="0.2">
      <c r="AE1081" s="6"/>
      <c r="AF1081" s="6"/>
    </row>
    <row r="1082" spans="31:32" x14ac:dyDescent="0.2">
      <c r="AE1082" s="6"/>
      <c r="AF1082" s="6"/>
    </row>
    <row r="1083" spans="31:32" x14ac:dyDescent="0.2">
      <c r="AE1083" s="6"/>
      <c r="AF1083" s="6"/>
    </row>
    <row r="1084" spans="31:32" x14ac:dyDescent="0.2">
      <c r="AE1084" s="6"/>
      <c r="AF1084" s="6"/>
    </row>
    <row r="1085" spans="31:32" x14ac:dyDescent="0.2">
      <c r="AE1085" s="6"/>
      <c r="AF1085" s="6"/>
    </row>
    <row r="1086" spans="31:32" x14ac:dyDescent="0.2">
      <c r="AE1086" s="6"/>
      <c r="AF1086" s="6"/>
    </row>
    <row r="1087" spans="31:32" x14ac:dyDescent="0.2">
      <c r="AE1087" s="6"/>
      <c r="AF1087" s="6"/>
    </row>
    <row r="1088" spans="31:32" x14ac:dyDescent="0.2">
      <c r="AE1088" s="6"/>
      <c r="AF1088" s="6"/>
    </row>
    <row r="1089" spans="31:32" x14ac:dyDescent="0.2">
      <c r="AE1089" s="6"/>
      <c r="AF1089" s="6"/>
    </row>
    <row r="1090" spans="31:32" x14ac:dyDescent="0.2">
      <c r="AE1090" s="6"/>
      <c r="AF1090" s="6"/>
    </row>
    <row r="1091" spans="31:32" x14ac:dyDescent="0.2">
      <c r="AE1091" s="6"/>
      <c r="AF1091" s="6"/>
    </row>
    <row r="1092" spans="31:32" x14ac:dyDescent="0.2">
      <c r="AE1092" s="6"/>
      <c r="AF1092" s="6"/>
    </row>
    <row r="1093" spans="31:32" x14ac:dyDescent="0.2">
      <c r="AE1093" s="6"/>
      <c r="AF1093" s="6"/>
    </row>
    <row r="1094" spans="31:32" x14ac:dyDescent="0.2">
      <c r="AE1094" s="6"/>
      <c r="AF1094" s="6"/>
    </row>
    <row r="1095" spans="31:32" x14ac:dyDescent="0.2">
      <c r="AE1095" s="6"/>
      <c r="AF1095" s="6"/>
    </row>
    <row r="1096" spans="31:32" x14ac:dyDescent="0.2">
      <c r="AE1096" s="6"/>
      <c r="AF1096" s="6"/>
    </row>
    <row r="1097" spans="31:32" x14ac:dyDescent="0.2">
      <c r="AE1097" s="6"/>
      <c r="AF1097" s="6"/>
    </row>
    <row r="1098" spans="31:32" x14ac:dyDescent="0.2">
      <c r="AE1098" s="6"/>
      <c r="AF1098" s="6"/>
    </row>
    <row r="1099" spans="31:32" x14ac:dyDescent="0.2">
      <c r="AE1099" s="6"/>
      <c r="AF1099" s="6"/>
    </row>
    <row r="1100" spans="31:32" x14ac:dyDescent="0.2">
      <c r="AE1100" s="6"/>
      <c r="AF1100" s="6"/>
    </row>
    <row r="1101" spans="31:32" x14ac:dyDescent="0.2">
      <c r="AE1101" s="6"/>
      <c r="AF1101" s="6"/>
    </row>
    <row r="1102" spans="31:32" x14ac:dyDescent="0.2">
      <c r="AE1102" s="6"/>
      <c r="AF1102" s="6"/>
    </row>
    <row r="1103" spans="31:32" x14ac:dyDescent="0.2">
      <c r="AE1103" s="6"/>
      <c r="AF1103" s="6"/>
    </row>
    <row r="1104" spans="31:32" x14ac:dyDescent="0.2">
      <c r="AE1104" s="6"/>
      <c r="AF1104" s="6"/>
    </row>
    <row r="1105" spans="31:32" x14ac:dyDescent="0.2">
      <c r="AE1105" s="6"/>
      <c r="AF1105" s="6"/>
    </row>
    <row r="1106" spans="31:32" x14ac:dyDescent="0.2">
      <c r="AE1106" s="6"/>
      <c r="AF1106" s="6"/>
    </row>
    <row r="1107" spans="31:32" x14ac:dyDescent="0.2">
      <c r="AE1107" s="6"/>
      <c r="AF1107" s="6"/>
    </row>
    <row r="1108" spans="31:32" x14ac:dyDescent="0.2">
      <c r="AE1108" s="6"/>
      <c r="AF1108" s="6"/>
    </row>
    <row r="1109" spans="31:32" x14ac:dyDescent="0.2">
      <c r="AE1109" s="6"/>
      <c r="AF1109" s="6"/>
    </row>
    <row r="1110" spans="31:32" x14ac:dyDescent="0.2">
      <c r="AE1110" s="6"/>
      <c r="AF1110" s="6"/>
    </row>
    <row r="1111" spans="31:32" x14ac:dyDescent="0.2">
      <c r="AE1111" s="6"/>
      <c r="AF1111" s="6"/>
    </row>
    <row r="1112" spans="31:32" x14ac:dyDescent="0.2">
      <c r="AE1112" s="6"/>
      <c r="AF1112" s="6"/>
    </row>
    <row r="1113" spans="31:32" x14ac:dyDescent="0.2">
      <c r="AE1113" s="6"/>
      <c r="AF1113" s="6"/>
    </row>
    <row r="1114" spans="31:32" x14ac:dyDescent="0.2">
      <c r="AE1114" s="6"/>
      <c r="AF1114" s="6"/>
    </row>
    <row r="1115" spans="31:32" x14ac:dyDescent="0.2">
      <c r="AE1115" s="6"/>
      <c r="AF1115" s="6"/>
    </row>
    <row r="1116" spans="31:32" x14ac:dyDescent="0.2">
      <c r="AE1116" s="6"/>
      <c r="AF1116" s="6"/>
    </row>
    <row r="1117" spans="31:32" x14ac:dyDescent="0.2">
      <c r="AE1117" s="6"/>
      <c r="AF1117" s="6"/>
    </row>
    <row r="1118" spans="31:32" x14ac:dyDescent="0.2">
      <c r="AE1118" s="6"/>
      <c r="AF1118" s="6"/>
    </row>
    <row r="1119" spans="31:32" x14ac:dyDescent="0.2">
      <c r="AE1119" s="6"/>
      <c r="AF1119" s="6"/>
    </row>
    <row r="1120" spans="31:32" x14ac:dyDescent="0.2">
      <c r="AE1120" s="6"/>
      <c r="AF1120" s="6"/>
    </row>
    <row r="1121" spans="31:32" x14ac:dyDescent="0.2">
      <c r="AE1121" s="6"/>
      <c r="AF1121" s="6"/>
    </row>
    <row r="1122" spans="31:32" x14ac:dyDescent="0.2">
      <c r="AE1122" s="6"/>
      <c r="AF1122" s="6"/>
    </row>
    <row r="1123" spans="31:32" x14ac:dyDescent="0.2">
      <c r="AE1123" s="6"/>
      <c r="AF1123" s="6"/>
    </row>
    <row r="1124" spans="31:32" x14ac:dyDescent="0.2">
      <c r="AE1124" s="6"/>
      <c r="AF1124" s="6"/>
    </row>
    <row r="1125" spans="31:32" x14ac:dyDescent="0.2">
      <c r="AE1125" s="6"/>
      <c r="AF1125" s="6"/>
    </row>
    <row r="1126" spans="31:32" x14ac:dyDescent="0.2">
      <c r="AE1126" s="6"/>
      <c r="AF1126" s="6"/>
    </row>
    <row r="1127" spans="31:32" x14ac:dyDescent="0.2">
      <c r="AE1127" s="6"/>
      <c r="AF1127" s="6"/>
    </row>
    <row r="1128" spans="31:32" x14ac:dyDescent="0.2">
      <c r="AE1128" s="6"/>
      <c r="AF1128" s="6"/>
    </row>
    <row r="1129" spans="31:32" x14ac:dyDescent="0.2">
      <c r="AE1129" s="6"/>
      <c r="AF1129" s="6"/>
    </row>
    <row r="1130" spans="31:32" x14ac:dyDescent="0.2">
      <c r="AE1130" s="6"/>
      <c r="AF1130" s="6"/>
    </row>
    <row r="1131" spans="31:32" x14ac:dyDescent="0.2">
      <c r="AE1131" s="6"/>
      <c r="AF1131" s="6"/>
    </row>
    <row r="1132" spans="31:32" x14ac:dyDescent="0.2">
      <c r="AE1132" s="6"/>
      <c r="AF1132" s="6"/>
    </row>
    <row r="1133" spans="31:32" x14ac:dyDescent="0.2">
      <c r="AE1133" s="6"/>
      <c r="AF1133" s="6"/>
    </row>
    <row r="1134" spans="31:32" x14ac:dyDescent="0.2">
      <c r="AE1134" s="6"/>
      <c r="AF1134" s="6"/>
    </row>
    <row r="1135" spans="31:32" x14ac:dyDescent="0.2">
      <c r="AE1135" s="6"/>
      <c r="AF1135" s="6"/>
    </row>
    <row r="1136" spans="31:32" x14ac:dyDescent="0.2">
      <c r="AE1136" s="6"/>
      <c r="AF1136" s="6"/>
    </row>
    <row r="1137" spans="31:32" x14ac:dyDescent="0.2">
      <c r="AE1137" s="6"/>
      <c r="AF1137" s="6"/>
    </row>
    <row r="1138" spans="31:32" x14ac:dyDescent="0.2">
      <c r="AE1138" s="6"/>
      <c r="AF1138" s="6"/>
    </row>
    <row r="1139" spans="31:32" x14ac:dyDescent="0.2">
      <c r="AE1139" s="6"/>
      <c r="AF1139" s="6"/>
    </row>
    <row r="1140" spans="31:32" x14ac:dyDescent="0.2">
      <c r="AE1140" s="6"/>
      <c r="AF1140" s="6"/>
    </row>
    <row r="1141" spans="31:32" x14ac:dyDescent="0.2">
      <c r="AE1141" s="6"/>
      <c r="AF1141" s="6"/>
    </row>
    <row r="1142" spans="31:32" x14ac:dyDescent="0.2">
      <c r="AE1142" s="6"/>
      <c r="AF1142" s="6"/>
    </row>
    <row r="1143" spans="31:32" x14ac:dyDescent="0.2">
      <c r="AE1143" s="6"/>
      <c r="AF1143" s="6"/>
    </row>
    <row r="1144" spans="31:32" x14ac:dyDescent="0.2">
      <c r="AE1144" s="6"/>
      <c r="AF1144" s="6"/>
    </row>
    <row r="1145" spans="31:32" x14ac:dyDescent="0.2">
      <c r="AE1145" s="6"/>
      <c r="AF1145" s="6"/>
    </row>
    <row r="1146" spans="31:32" x14ac:dyDescent="0.2">
      <c r="AE1146" s="6"/>
      <c r="AF1146" s="6"/>
    </row>
    <row r="1147" spans="31:32" x14ac:dyDescent="0.2">
      <c r="AE1147" s="6"/>
      <c r="AF1147" s="6"/>
    </row>
    <row r="1148" spans="31:32" x14ac:dyDescent="0.2">
      <c r="AE1148" s="6"/>
      <c r="AF1148" s="6"/>
    </row>
    <row r="1149" spans="31:32" x14ac:dyDescent="0.2">
      <c r="AE1149" s="6"/>
      <c r="AF1149" s="6"/>
    </row>
    <row r="1150" spans="31:32" x14ac:dyDescent="0.2">
      <c r="AE1150" s="6"/>
      <c r="AF1150" s="6"/>
    </row>
    <row r="1151" spans="31:32" x14ac:dyDescent="0.2">
      <c r="AE1151" s="6"/>
      <c r="AF1151" s="6"/>
    </row>
    <row r="1152" spans="31:32" x14ac:dyDescent="0.2">
      <c r="AE1152" s="6"/>
      <c r="AF1152" s="6"/>
    </row>
    <row r="1153" spans="31:32" x14ac:dyDescent="0.2">
      <c r="AE1153" s="6"/>
      <c r="AF1153" s="6"/>
    </row>
    <row r="1154" spans="31:32" x14ac:dyDescent="0.2">
      <c r="AE1154" s="6"/>
      <c r="AF1154" s="6"/>
    </row>
    <row r="1155" spans="31:32" x14ac:dyDescent="0.2">
      <c r="AE1155" s="6"/>
      <c r="AF1155" s="6"/>
    </row>
    <row r="1156" spans="31:32" x14ac:dyDescent="0.2">
      <c r="AE1156" s="6"/>
      <c r="AF1156" s="6"/>
    </row>
    <row r="1157" spans="31:32" x14ac:dyDescent="0.2">
      <c r="AE1157" s="6"/>
      <c r="AF1157" s="6"/>
    </row>
    <row r="1158" spans="31:32" x14ac:dyDescent="0.2">
      <c r="AE1158" s="6"/>
      <c r="AF1158" s="6"/>
    </row>
    <row r="1159" spans="31:32" x14ac:dyDescent="0.2">
      <c r="AE1159" s="6"/>
      <c r="AF1159" s="6"/>
    </row>
    <row r="1160" spans="31:32" x14ac:dyDescent="0.2">
      <c r="AE1160" s="6"/>
      <c r="AF1160" s="6"/>
    </row>
    <row r="1161" spans="31:32" x14ac:dyDescent="0.2">
      <c r="AE1161" s="6"/>
      <c r="AF1161" s="6"/>
    </row>
    <row r="1162" spans="31:32" x14ac:dyDescent="0.2">
      <c r="AE1162" s="6"/>
      <c r="AF1162" s="6"/>
    </row>
    <row r="1163" spans="31:32" x14ac:dyDescent="0.2">
      <c r="AE1163" s="6"/>
      <c r="AF1163" s="6"/>
    </row>
    <row r="1164" spans="31:32" x14ac:dyDescent="0.2">
      <c r="AE1164" s="6"/>
      <c r="AF1164" s="6"/>
    </row>
    <row r="1165" spans="31:32" x14ac:dyDescent="0.2">
      <c r="AE1165" s="6"/>
      <c r="AF1165" s="6"/>
    </row>
    <row r="1166" spans="31:32" x14ac:dyDescent="0.2">
      <c r="AE1166" s="6"/>
      <c r="AF1166" s="6"/>
    </row>
    <row r="1167" spans="31:32" x14ac:dyDescent="0.2">
      <c r="AE1167" s="6"/>
      <c r="AF1167" s="6"/>
    </row>
    <row r="1168" spans="31:32" x14ac:dyDescent="0.2">
      <c r="AE1168" s="6"/>
      <c r="AF1168" s="6"/>
    </row>
    <row r="1169" spans="31:32" x14ac:dyDescent="0.2">
      <c r="AE1169" s="6"/>
      <c r="AF1169" s="6"/>
    </row>
    <row r="1170" spans="31:32" x14ac:dyDescent="0.2">
      <c r="AE1170" s="6"/>
      <c r="AF1170" s="6"/>
    </row>
    <row r="1171" spans="31:32" x14ac:dyDescent="0.2">
      <c r="AE1171" s="6"/>
      <c r="AF1171" s="6"/>
    </row>
    <row r="1172" spans="31:32" x14ac:dyDescent="0.2">
      <c r="AE1172" s="6"/>
      <c r="AF1172" s="6"/>
    </row>
    <row r="1173" spans="31:32" x14ac:dyDescent="0.2">
      <c r="AE1173" s="6"/>
      <c r="AF1173" s="6"/>
    </row>
    <row r="1174" spans="31:32" x14ac:dyDescent="0.2">
      <c r="AE1174" s="6"/>
      <c r="AF1174" s="6"/>
    </row>
    <row r="1175" spans="31:32" x14ac:dyDescent="0.2">
      <c r="AE1175" s="6"/>
      <c r="AF1175" s="6"/>
    </row>
    <row r="1176" spans="31:32" x14ac:dyDescent="0.2">
      <c r="AE1176" s="6"/>
      <c r="AF1176" s="6"/>
    </row>
    <row r="1177" spans="31:32" x14ac:dyDescent="0.2">
      <c r="AE1177" s="6"/>
      <c r="AF1177" s="6"/>
    </row>
    <row r="1178" spans="31:32" x14ac:dyDescent="0.2">
      <c r="AE1178" s="6"/>
      <c r="AF1178" s="6"/>
    </row>
    <row r="1179" spans="31:32" x14ac:dyDescent="0.2">
      <c r="AE1179" s="6"/>
      <c r="AF1179" s="6"/>
    </row>
    <row r="1180" spans="31:32" x14ac:dyDescent="0.2">
      <c r="AE1180" s="6"/>
      <c r="AF1180" s="6"/>
    </row>
    <row r="1181" spans="31:32" x14ac:dyDescent="0.2">
      <c r="AE1181" s="6"/>
      <c r="AF1181" s="6"/>
    </row>
    <row r="1182" spans="31:32" x14ac:dyDescent="0.2">
      <c r="AE1182" s="6"/>
      <c r="AF1182" s="6"/>
    </row>
    <row r="1183" spans="31:32" x14ac:dyDescent="0.2">
      <c r="AE1183" s="6"/>
      <c r="AF1183" s="6"/>
    </row>
    <row r="1184" spans="31:32" x14ac:dyDescent="0.2">
      <c r="AE1184" s="6"/>
      <c r="AF1184" s="6"/>
    </row>
    <row r="1185" spans="31:32" x14ac:dyDescent="0.2">
      <c r="AE1185" s="6"/>
      <c r="AF1185" s="6"/>
    </row>
    <row r="1186" spans="31:32" x14ac:dyDescent="0.2">
      <c r="AE1186" s="6"/>
      <c r="AF1186" s="6"/>
    </row>
    <row r="1187" spans="31:32" x14ac:dyDescent="0.2">
      <c r="AE1187" s="6"/>
      <c r="AF1187" s="6"/>
    </row>
    <row r="1188" spans="31:32" x14ac:dyDescent="0.2">
      <c r="AE1188" s="6"/>
      <c r="AF1188" s="6"/>
    </row>
    <row r="1189" spans="31:32" x14ac:dyDescent="0.2">
      <c r="AE1189" s="6"/>
      <c r="AF1189" s="6"/>
    </row>
    <row r="1190" spans="31:32" x14ac:dyDescent="0.2">
      <c r="AE1190" s="6"/>
      <c r="AF1190" s="6"/>
    </row>
    <row r="1191" spans="31:32" x14ac:dyDescent="0.2">
      <c r="AE1191" s="6"/>
      <c r="AF1191" s="6"/>
    </row>
    <row r="1192" spans="31:32" x14ac:dyDescent="0.2">
      <c r="AE1192" s="6"/>
      <c r="AF1192" s="6"/>
    </row>
    <row r="1193" spans="31:32" x14ac:dyDescent="0.2">
      <c r="AE1193" s="6"/>
      <c r="AF1193" s="6"/>
    </row>
    <row r="1194" spans="31:32" x14ac:dyDescent="0.2">
      <c r="AE1194" s="6"/>
      <c r="AF1194" s="6"/>
    </row>
    <row r="1195" spans="31:32" x14ac:dyDescent="0.2">
      <c r="AE1195" s="6"/>
      <c r="AF1195" s="6"/>
    </row>
    <row r="1196" spans="31:32" x14ac:dyDescent="0.2">
      <c r="AE1196" s="6"/>
      <c r="AF1196" s="6"/>
    </row>
    <row r="1197" spans="31:32" x14ac:dyDescent="0.2">
      <c r="AE1197" s="6"/>
      <c r="AF1197" s="6"/>
    </row>
    <row r="1198" spans="31:32" x14ac:dyDescent="0.2">
      <c r="AE1198" s="6"/>
      <c r="AF1198" s="6"/>
    </row>
    <row r="1199" spans="31:32" x14ac:dyDescent="0.2">
      <c r="AE1199" s="6"/>
      <c r="AF1199" s="6"/>
    </row>
    <row r="1200" spans="31:32" x14ac:dyDescent="0.2">
      <c r="AE1200" s="6"/>
      <c r="AF1200" s="6"/>
    </row>
    <row r="1201" spans="31:32" x14ac:dyDescent="0.2">
      <c r="AE1201" s="6"/>
      <c r="AF1201" s="6"/>
    </row>
    <row r="1202" spans="31:32" x14ac:dyDescent="0.2">
      <c r="AE1202" s="6"/>
      <c r="AF1202" s="6"/>
    </row>
    <row r="1203" spans="31:32" x14ac:dyDescent="0.2">
      <c r="AE1203" s="6"/>
      <c r="AF1203" s="6"/>
    </row>
    <row r="1204" spans="31:32" x14ac:dyDescent="0.2">
      <c r="AE1204" s="6"/>
      <c r="AF1204" s="6"/>
    </row>
    <row r="1205" spans="31:32" x14ac:dyDescent="0.2">
      <c r="AE1205" s="6"/>
      <c r="AF1205" s="6"/>
    </row>
    <row r="1206" spans="31:32" x14ac:dyDescent="0.2">
      <c r="AE1206" s="6"/>
      <c r="AF1206" s="6"/>
    </row>
    <row r="1207" spans="31:32" x14ac:dyDescent="0.2">
      <c r="AE1207" s="6"/>
      <c r="AF1207" s="6"/>
    </row>
    <row r="1208" spans="31:32" x14ac:dyDescent="0.2">
      <c r="AE1208" s="6"/>
      <c r="AF1208" s="6"/>
    </row>
    <row r="1209" spans="31:32" x14ac:dyDescent="0.2">
      <c r="AE1209" s="6"/>
      <c r="AF1209" s="6"/>
    </row>
    <row r="1210" spans="31:32" x14ac:dyDescent="0.2">
      <c r="AE1210" s="6"/>
      <c r="AF1210" s="6"/>
    </row>
    <row r="1211" spans="31:32" x14ac:dyDescent="0.2">
      <c r="AE1211" s="6"/>
      <c r="AF1211" s="6"/>
    </row>
    <row r="1212" spans="31:32" x14ac:dyDescent="0.2">
      <c r="AE1212" s="6"/>
      <c r="AF1212" s="6"/>
    </row>
    <row r="1213" spans="31:32" x14ac:dyDescent="0.2">
      <c r="AE1213" s="6"/>
      <c r="AF1213" s="6"/>
    </row>
    <row r="1214" spans="31:32" x14ac:dyDescent="0.2">
      <c r="AE1214" s="6"/>
      <c r="AF1214" s="6"/>
    </row>
    <row r="1215" spans="31:32" x14ac:dyDescent="0.2">
      <c r="AE1215" s="6"/>
      <c r="AF1215" s="6"/>
    </row>
    <row r="1216" spans="31:32" x14ac:dyDescent="0.2">
      <c r="AE1216" s="6"/>
      <c r="AF1216" s="6"/>
    </row>
    <row r="1217" spans="31:32" x14ac:dyDescent="0.2">
      <c r="AE1217" s="6"/>
      <c r="AF1217" s="6"/>
    </row>
    <row r="1218" spans="31:32" x14ac:dyDescent="0.2">
      <c r="AE1218" s="6"/>
      <c r="AF1218" s="6"/>
    </row>
    <row r="1219" spans="31:32" x14ac:dyDescent="0.2">
      <c r="AE1219" s="6"/>
      <c r="AF1219" s="6"/>
    </row>
    <row r="1220" spans="31:32" x14ac:dyDescent="0.2">
      <c r="AE1220" s="6"/>
      <c r="AF1220" s="6"/>
    </row>
    <row r="1221" spans="31:32" x14ac:dyDescent="0.2">
      <c r="AE1221" s="6"/>
      <c r="AF1221" s="6"/>
    </row>
    <row r="1222" spans="31:32" x14ac:dyDescent="0.2">
      <c r="AE1222" s="6"/>
      <c r="AF1222" s="6"/>
    </row>
    <row r="1223" spans="31:32" x14ac:dyDescent="0.2">
      <c r="AE1223" s="6"/>
      <c r="AF1223" s="6"/>
    </row>
    <row r="1224" spans="31:32" x14ac:dyDescent="0.2">
      <c r="AE1224" s="6"/>
      <c r="AF1224" s="6"/>
    </row>
    <row r="1225" spans="31:32" x14ac:dyDescent="0.2">
      <c r="AE1225" s="6"/>
      <c r="AF1225" s="6"/>
    </row>
    <row r="1226" spans="31:32" x14ac:dyDescent="0.2">
      <c r="AE1226" s="6"/>
      <c r="AF1226" s="6"/>
    </row>
    <row r="1227" spans="31:32" x14ac:dyDescent="0.2">
      <c r="AE1227" s="6"/>
      <c r="AF1227" s="6"/>
    </row>
    <row r="1228" spans="31:32" x14ac:dyDescent="0.2">
      <c r="AE1228" s="6"/>
      <c r="AF1228" s="6"/>
    </row>
    <row r="1229" spans="31:32" x14ac:dyDescent="0.2">
      <c r="AE1229" s="6"/>
      <c r="AF1229" s="6"/>
    </row>
    <row r="1230" spans="31:32" x14ac:dyDescent="0.2">
      <c r="AE1230" s="6"/>
      <c r="AF1230" s="6"/>
    </row>
    <row r="1231" spans="31:32" x14ac:dyDescent="0.2">
      <c r="AE1231" s="6"/>
      <c r="AF1231" s="6"/>
    </row>
    <row r="1232" spans="31:32" x14ac:dyDescent="0.2">
      <c r="AE1232" s="6"/>
      <c r="AF1232" s="6"/>
    </row>
    <row r="1233" spans="31:32" x14ac:dyDescent="0.2">
      <c r="AE1233" s="6"/>
      <c r="AF1233" s="6"/>
    </row>
    <row r="1234" spans="31:32" x14ac:dyDescent="0.2">
      <c r="AE1234" s="6"/>
      <c r="AF1234" s="6"/>
    </row>
    <row r="1235" spans="31:32" x14ac:dyDescent="0.2">
      <c r="AE1235" s="6"/>
      <c r="AF1235" s="6"/>
    </row>
    <row r="1236" spans="31:32" x14ac:dyDescent="0.2">
      <c r="AE1236" s="6"/>
      <c r="AF1236" s="6"/>
    </row>
    <row r="1237" spans="31:32" x14ac:dyDescent="0.2">
      <c r="AE1237" s="6"/>
      <c r="AF1237" s="6"/>
    </row>
    <row r="1238" spans="31:32" x14ac:dyDescent="0.2">
      <c r="AE1238" s="6"/>
      <c r="AF1238" s="6"/>
    </row>
    <row r="1239" spans="31:32" x14ac:dyDescent="0.2">
      <c r="AE1239" s="6"/>
      <c r="AF1239" s="6"/>
    </row>
    <row r="1240" spans="31:32" x14ac:dyDescent="0.2">
      <c r="AE1240" s="6"/>
      <c r="AF1240" s="6"/>
    </row>
    <row r="1241" spans="31:32" x14ac:dyDescent="0.2">
      <c r="AE1241" s="6"/>
      <c r="AF1241" s="6"/>
    </row>
    <row r="1242" spans="31:32" x14ac:dyDescent="0.2">
      <c r="AE1242" s="6"/>
      <c r="AF1242" s="6"/>
    </row>
    <row r="1243" spans="31:32" x14ac:dyDescent="0.2">
      <c r="AE1243" s="6"/>
      <c r="AF1243" s="6"/>
    </row>
    <row r="1244" spans="31:32" x14ac:dyDescent="0.2">
      <c r="AE1244" s="6"/>
      <c r="AF1244" s="6"/>
    </row>
    <row r="1245" spans="31:32" x14ac:dyDescent="0.2">
      <c r="AE1245" s="6"/>
      <c r="AF1245" s="6"/>
    </row>
    <row r="1246" spans="31:32" x14ac:dyDescent="0.2">
      <c r="AE1246" s="6"/>
      <c r="AF1246" s="6"/>
    </row>
    <row r="1247" spans="31:32" x14ac:dyDescent="0.2">
      <c r="AE1247" s="6"/>
      <c r="AF1247" s="6"/>
    </row>
    <row r="1248" spans="31:32" x14ac:dyDescent="0.2">
      <c r="AE1248" s="6"/>
      <c r="AF1248" s="6"/>
    </row>
    <row r="1249" spans="31:32" x14ac:dyDescent="0.2">
      <c r="AE1249" s="6"/>
      <c r="AF1249" s="6"/>
    </row>
    <row r="1250" spans="31:32" x14ac:dyDescent="0.2">
      <c r="AE1250" s="6"/>
      <c r="AF1250" s="6"/>
    </row>
    <row r="1251" spans="31:32" x14ac:dyDescent="0.2">
      <c r="AE1251" s="6"/>
      <c r="AF1251" s="6"/>
    </row>
    <row r="1252" spans="31:32" x14ac:dyDescent="0.2">
      <c r="AE1252" s="6"/>
      <c r="AF1252" s="6"/>
    </row>
    <row r="1253" spans="31:32" x14ac:dyDescent="0.2">
      <c r="AE1253" s="6"/>
      <c r="AF1253" s="6"/>
    </row>
    <row r="1254" spans="31:32" x14ac:dyDescent="0.2">
      <c r="AE1254" s="6"/>
      <c r="AF1254" s="6"/>
    </row>
    <row r="1255" spans="31:32" x14ac:dyDescent="0.2">
      <c r="AE1255" s="6"/>
      <c r="AF1255" s="6"/>
    </row>
    <row r="1256" spans="31:32" x14ac:dyDescent="0.2">
      <c r="AE1256" s="6"/>
      <c r="AF1256" s="6"/>
    </row>
    <row r="1257" spans="31:32" x14ac:dyDescent="0.2">
      <c r="AE1257" s="6"/>
      <c r="AF1257" s="6"/>
    </row>
    <row r="1258" spans="31:32" x14ac:dyDescent="0.2">
      <c r="AE1258" s="6"/>
      <c r="AF1258" s="6"/>
    </row>
    <row r="1259" spans="31:32" x14ac:dyDescent="0.2">
      <c r="AE1259" s="6"/>
      <c r="AF1259" s="6"/>
    </row>
    <row r="1260" spans="31:32" x14ac:dyDescent="0.2">
      <c r="AE1260" s="6"/>
      <c r="AF1260" s="6"/>
    </row>
    <row r="1261" spans="31:32" x14ac:dyDescent="0.2">
      <c r="AE1261" s="6"/>
      <c r="AF1261" s="6"/>
    </row>
    <row r="1262" spans="31:32" x14ac:dyDescent="0.2">
      <c r="AE1262" s="6"/>
      <c r="AF1262" s="6"/>
    </row>
    <row r="1263" spans="31:32" x14ac:dyDescent="0.2">
      <c r="AE1263" s="6"/>
      <c r="AF1263" s="6"/>
    </row>
    <row r="1264" spans="31:32" x14ac:dyDescent="0.2">
      <c r="AE1264" s="6"/>
      <c r="AF1264" s="6"/>
    </row>
    <row r="1265" spans="31:32" x14ac:dyDescent="0.2">
      <c r="AE1265" s="6"/>
      <c r="AF1265" s="6"/>
    </row>
    <row r="1266" spans="31:32" x14ac:dyDescent="0.2">
      <c r="AE1266" s="6"/>
      <c r="AF1266" s="6"/>
    </row>
    <row r="1267" spans="31:32" x14ac:dyDescent="0.2">
      <c r="AE1267" s="6"/>
      <c r="AF1267" s="6"/>
    </row>
    <row r="1268" spans="31:32" x14ac:dyDescent="0.2">
      <c r="AE1268" s="6"/>
      <c r="AF1268" s="6"/>
    </row>
    <row r="1269" spans="31:32" x14ac:dyDescent="0.2">
      <c r="AE1269" s="6"/>
      <c r="AF1269" s="6"/>
    </row>
    <row r="1270" spans="31:32" x14ac:dyDescent="0.2">
      <c r="AE1270" s="6"/>
      <c r="AF1270" s="6"/>
    </row>
    <row r="1271" spans="31:32" x14ac:dyDescent="0.2">
      <c r="AE1271" s="6"/>
      <c r="AF1271" s="6"/>
    </row>
    <row r="1272" spans="31:32" x14ac:dyDescent="0.2">
      <c r="AE1272" s="6"/>
      <c r="AF1272" s="6"/>
    </row>
    <row r="1273" spans="31:32" x14ac:dyDescent="0.2">
      <c r="AE1273" s="6"/>
      <c r="AF1273" s="6"/>
    </row>
    <row r="1274" spans="31:32" x14ac:dyDescent="0.2">
      <c r="AE1274" s="6"/>
      <c r="AF1274" s="6"/>
    </row>
    <row r="1275" spans="31:32" x14ac:dyDescent="0.2">
      <c r="AE1275" s="6"/>
      <c r="AF1275" s="6"/>
    </row>
    <row r="1276" spans="31:32" x14ac:dyDescent="0.2">
      <c r="AE1276" s="6"/>
      <c r="AF1276" s="6"/>
    </row>
    <row r="1277" spans="31:32" x14ac:dyDescent="0.2">
      <c r="AE1277" s="6"/>
      <c r="AF1277" s="6"/>
    </row>
    <row r="1278" spans="31:32" x14ac:dyDescent="0.2">
      <c r="AE1278" s="6"/>
      <c r="AF1278" s="6"/>
    </row>
    <row r="1279" spans="31:32" x14ac:dyDescent="0.2">
      <c r="AE1279" s="6"/>
      <c r="AF1279" s="6"/>
    </row>
    <row r="1280" spans="31:32" x14ac:dyDescent="0.2">
      <c r="AE1280" s="6"/>
      <c r="AF1280" s="6"/>
    </row>
    <row r="1281" spans="31:32" x14ac:dyDescent="0.2">
      <c r="AE1281" s="6"/>
      <c r="AF1281" s="6"/>
    </row>
    <row r="1282" spans="31:32" x14ac:dyDescent="0.2">
      <c r="AE1282" s="6"/>
      <c r="AF1282" s="6"/>
    </row>
    <row r="1283" spans="31:32" x14ac:dyDescent="0.2">
      <c r="AE1283" s="6"/>
      <c r="AF1283" s="6"/>
    </row>
    <row r="1284" spans="31:32" x14ac:dyDescent="0.2">
      <c r="AE1284" s="6"/>
      <c r="AF1284" s="6"/>
    </row>
    <row r="1285" spans="31:32" x14ac:dyDescent="0.2">
      <c r="AE1285" s="6"/>
      <c r="AF1285" s="6"/>
    </row>
    <row r="1286" spans="31:32" x14ac:dyDescent="0.2">
      <c r="AE1286" s="6"/>
      <c r="AF1286" s="6"/>
    </row>
    <row r="1287" spans="31:32" x14ac:dyDescent="0.2">
      <c r="AE1287" s="6"/>
      <c r="AF1287" s="6"/>
    </row>
    <row r="1288" spans="31:32" x14ac:dyDescent="0.2">
      <c r="AE1288" s="6"/>
      <c r="AF1288" s="6"/>
    </row>
    <row r="1289" spans="31:32" x14ac:dyDescent="0.2">
      <c r="AE1289" s="6"/>
      <c r="AF1289" s="6"/>
    </row>
    <row r="1290" spans="31:32" x14ac:dyDescent="0.2">
      <c r="AE1290" s="6"/>
      <c r="AF1290" s="6"/>
    </row>
    <row r="1291" spans="31:32" x14ac:dyDescent="0.2">
      <c r="AE1291" s="6"/>
      <c r="AF1291" s="6"/>
    </row>
    <row r="1292" spans="31:32" x14ac:dyDescent="0.2">
      <c r="AE1292" s="6"/>
      <c r="AF1292" s="6"/>
    </row>
    <row r="1293" spans="31:32" x14ac:dyDescent="0.2">
      <c r="AE1293" s="6"/>
      <c r="AF1293" s="6"/>
    </row>
    <row r="1294" spans="31:32" x14ac:dyDescent="0.2">
      <c r="AE1294" s="6"/>
      <c r="AF1294" s="6"/>
    </row>
    <row r="1295" spans="31:32" x14ac:dyDescent="0.2">
      <c r="AE1295" s="6"/>
      <c r="AF1295" s="6"/>
    </row>
    <row r="1296" spans="31:32" x14ac:dyDescent="0.2">
      <c r="AE1296" s="6"/>
      <c r="AF1296" s="6"/>
    </row>
    <row r="1297" spans="31:32" x14ac:dyDescent="0.2">
      <c r="AE1297" s="6"/>
      <c r="AF1297" s="6"/>
    </row>
    <row r="1298" spans="31:32" x14ac:dyDescent="0.2">
      <c r="AE1298" s="6"/>
      <c r="AF1298" s="6"/>
    </row>
    <row r="1299" spans="31:32" x14ac:dyDescent="0.2">
      <c r="AE1299" s="6"/>
      <c r="AF1299" s="6"/>
    </row>
    <row r="1300" spans="31:32" x14ac:dyDescent="0.2">
      <c r="AE1300" s="6"/>
      <c r="AF1300" s="6"/>
    </row>
    <row r="1301" spans="31:32" x14ac:dyDescent="0.2">
      <c r="AE1301" s="6"/>
      <c r="AF1301" s="6"/>
    </row>
    <row r="1302" spans="31:32" x14ac:dyDescent="0.2">
      <c r="AE1302" s="6"/>
      <c r="AF1302" s="6"/>
    </row>
    <row r="1303" spans="31:32" x14ac:dyDescent="0.2">
      <c r="AE1303" s="6"/>
      <c r="AF1303" s="6"/>
    </row>
    <row r="1304" spans="31:32" x14ac:dyDescent="0.2">
      <c r="AE1304" s="6"/>
      <c r="AF1304" s="6"/>
    </row>
    <row r="1305" spans="31:32" x14ac:dyDescent="0.2">
      <c r="AE1305" s="6"/>
      <c r="AF1305" s="6"/>
    </row>
    <row r="1306" spans="31:32" x14ac:dyDescent="0.2">
      <c r="AE1306" s="6"/>
      <c r="AF1306" s="6"/>
    </row>
    <row r="1307" spans="31:32" x14ac:dyDescent="0.2">
      <c r="AE1307" s="6"/>
      <c r="AF1307" s="6"/>
    </row>
    <row r="1308" spans="31:32" x14ac:dyDescent="0.2">
      <c r="AE1308" s="6"/>
      <c r="AF1308" s="6"/>
    </row>
    <row r="1309" spans="31:32" x14ac:dyDescent="0.2">
      <c r="AE1309" s="6"/>
      <c r="AF1309" s="6"/>
    </row>
    <row r="1310" spans="31:32" x14ac:dyDescent="0.2">
      <c r="AE1310" s="6"/>
      <c r="AF1310" s="6"/>
    </row>
    <row r="1311" spans="31:32" x14ac:dyDescent="0.2">
      <c r="AE1311" s="6"/>
      <c r="AF1311" s="6"/>
    </row>
    <row r="1312" spans="31:32" x14ac:dyDescent="0.2">
      <c r="AE1312" s="6"/>
      <c r="AF1312" s="6"/>
    </row>
    <row r="1313" spans="31:32" x14ac:dyDescent="0.2">
      <c r="AE1313" s="6"/>
      <c r="AF1313" s="6"/>
    </row>
    <row r="1314" spans="31:32" x14ac:dyDescent="0.2">
      <c r="AE1314" s="6"/>
      <c r="AF1314" s="6"/>
    </row>
    <row r="1315" spans="31:32" x14ac:dyDescent="0.2">
      <c r="AE1315" s="6"/>
      <c r="AF1315" s="6"/>
    </row>
    <row r="1316" spans="31:32" x14ac:dyDescent="0.2">
      <c r="AE1316" s="6"/>
      <c r="AF1316" s="6"/>
    </row>
    <row r="1317" spans="31:32" x14ac:dyDescent="0.2">
      <c r="AE1317" s="6"/>
      <c r="AF1317" s="6"/>
    </row>
    <row r="1318" spans="31:32" x14ac:dyDescent="0.2">
      <c r="AE1318" s="6"/>
      <c r="AF1318" s="6"/>
    </row>
    <row r="1319" spans="31:32" x14ac:dyDescent="0.2">
      <c r="AE1319" s="6"/>
      <c r="AF1319" s="6"/>
    </row>
    <row r="1320" spans="31:32" x14ac:dyDescent="0.2">
      <c r="AE1320" s="6"/>
      <c r="AF1320" s="6"/>
    </row>
    <row r="1321" spans="31:32" x14ac:dyDescent="0.2">
      <c r="AE1321" s="6"/>
      <c r="AF1321" s="6"/>
    </row>
    <row r="1322" spans="31:32" x14ac:dyDescent="0.2">
      <c r="AE1322" s="6"/>
      <c r="AF1322" s="6"/>
    </row>
    <row r="1323" spans="31:32" x14ac:dyDescent="0.2">
      <c r="AE1323" s="6"/>
      <c r="AF1323" s="6"/>
    </row>
    <row r="1324" spans="31:32" x14ac:dyDescent="0.2">
      <c r="AE1324" s="6"/>
      <c r="AF1324" s="6"/>
    </row>
    <row r="1325" spans="31:32" x14ac:dyDescent="0.2">
      <c r="AE1325" s="6"/>
      <c r="AF1325" s="6"/>
    </row>
    <row r="1326" spans="31:32" x14ac:dyDescent="0.2">
      <c r="AE1326" s="6"/>
      <c r="AF1326" s="6"/>
    </row>
    <row r="1327" spans="31:32" x14ac:dyDescent="0.2">
      <c r="AE1327" s="6"/>
      <c r="AF1327" s="6"/>
    </row>
    <row r="1328" spans="31:32" x14ac:dyDescent="0.2">
      <c r="AE1328" s="6"/>
      <c r="AF1328" s="6"/>
    </row>
    <row r="1329" spans="31:32" x14ac:dyDescent="0.2">
      <c r="AE1329" s="6"/>
      <c r="AF1329" s="6"/>
    </row>
    <row r="1330" spans="31:32" x14ac:dyDescent="0.2">
      <c r="AE1330" s="6"/>
      <c r="AF1330" s="6"/>
    </row>
    <row r="1331" spans="31:32" x14ac:dyDescent="0.2">
      <c r="AE1331" s="6"/>
      <c r="AF1331" s="6"/>
    </row>
    <row r="1332" spans="31:32" x14ac:dyDescent="0.2">
      <c r="AE1332" s="6"/>
      <c r="AF1332" s="6"/>
    </row>
    <row r="1333" spans="31:32" x14ac:dyDescent="0.2">
      <c r="AE1333" s="6"/>
      <c r="AF1333" s="6"/>
    </row>
    <row r="1334" spans="31:32" x14ac:dyDescent="0.2">
      <c r="AE1334" s="6"/>
      <c r="AF1334" s="6"/>
    </row>
    <row r="1335" spans="31:32" x14ac:dyDescent="0.2">
      <c r="AE1335" s="6"/>
      <c r="AF1335" s="6"/>
    </row>
    <row r="1336" spans="31:32" x14ac:dyDescent="0.2">
      <c r="AE1336" s="6"/>
      <c r="AF1336" s="6"/>
    </row>
    <row r="1337" spans="31:32" x14ac:dyDescent="0.2">
      <c r="AE1337" s="6"/>
      <c r="AF1337" s="6"/>
    </row>
    <row r="1338" spans="31:32" x14ac:dyDescent="0.2">
      <c r="AE1338" s="6"/>
      <c r="AF1338" s="6"/>
    </row>
    <row r="1339" spans="31:32" x14ac:dyDescent="0.2">
      <c r="AE1339" s="6"/>
      <c r="AF1339" s="6"/>
    </row>
    <row r="1340" spans="31:32" x14ac:dyDescent="0.2">
      <c r="AE1340" s="6"/>
      <c r="AF1340" s="6"/>
    </row>
    <row r="1341" spans="31:32" x14ac:dyDescent="0.2">
      <c r="AE1341" s="6"/>
      <c r="AF1341" s="6"/>
    </row>
    <row r="1342" spans="31:32" x14ac:dyDescent="0.2">
      <c r="AE1342" s="6"/>
      <c r="AF1342" s="6"/>
    </row>
    <row r="1343" spans="31:32" x14ac:dyDescent="0.2">
      <c r="AE1343" s="6"/>
      <c r="AF1343" s="6"/>
    </row>
    <row r="1344" spans="31:32" x14ac:dyDescent="0.2">
      <c r="AE1344" s="6"/>
      <c r="AF1344" s="6"/>
    </row>
    <row r="1345" spans="31:32" x14ac:dyDescent="0.2">
      <c r="AE1345" s="6"/>
      <c r="AF1345" s="6"/>
    </row>
    <row r="1346" spans="31:32" x14ac:dyDescent="0.2">
      <c r="AE1346" s="6"/>
      <c r="AF1346" s="6"/>
    </row>
    <row r="1347" spans="31:32" x14ac:dyDescent="0.2">
      <c r="AE1347" s="6"/>
      <c r="AF1347" s="6"/>
    </row>
    <row r="1348" spans="31:32" x14ac:dyDescent="0.2">
      <c r="AE1348" s="6"/>
      <c r="AF1348" s="6"/>
    </row>
    <row r="1349" spans="31:32" x14ac:dyDescent="0.2">
      <c r="AE1349" s="6"/>
      <c r="AF1349" s="6"/>
    </row>
    <row r="1350" spans="31:32" x14ac:dyDescent="0.2">
      <c r="AE1350" s="6"/>
      <c r="AF1350" s="6"/>
    </row>
    <row r="1351" spans="31:32" x14ac:dyDescent="0.2">
      <c r="AE1351" s="6"/>
      <c r="AF1351" s="6"/>
    </row>
    <row r="1352" spans="31:32" x14ac:dyDescent="0.2">
      <c r="AE1352" s="6"/>
      <c r="AF1352" s="6"/>
    </row>
    <row r="1353" spans="31:32" x14ac:dyDescent="0.2">
      <c r="AE1353" s="6"/>
      <c r="AF1353" s="6"/>
    </row>
    <row r="1354" spans="31:32" x14ac:dyDescent="0.2">
      <c r="AE1354" s="6"/>
      <c r="AF1354" s="6"/>
    </row>
    <row r="1355" spans="31:32" x14ac:dyDescent="0.2">
      <c r="AE1355" s="6"/>
      <c r="AF1355" s="6"/>
    </row>
    <row r="1356" spans="31:32" x14ac:dyDescent="0.2">
      <c r="AE1356" s="6"/>
      <c r="AF1356" s="6"/>
    </row>
    <row r="1357" spans="31:32" x14ac:dyDescent="0.2">
      <c r="AE1357" s="6"/>
      <c r="AF1357" s="6"/>
    </row>
    <row r="1358" spans="31:32" x14ac:dyDescent="0.2">
      <c r="AE1358" s="6"/>
      <c r="AF1358" s="6"/>
    </row>
    <row r="1359" spans="31:32" x14ac:dyDescent="0.2">
      <c r="AE1359" s="6"/>
      <c r="AF1359" s="6"/>
    </row>
    <row r="1360" spans="31:32" x14ac:dyDescent="0.2">
      <c r="AE1360" s="6"/>
      <c r="AF1360" s="6"/>
    </row>
    <row r="1361" spans="31:32" x14ac:dyDescent="0.2">
      <c r="AE1361" s="6"/>
      <c r="AF1361" s="6"/>
    </row>
    <row r="1362" spans="31:32" x14ac:dyDescent="0.2">
      <c r="AE1362" s="6"/>
      <c r="AF1362" s="6"/>
    </row>
    <row r="1363" spans="31:32" x14ac:dyDescent="0.2">
      <c r="AE1363" s="6"/>
      <c r="AF1363" s="6"/>
    </row>
    <row r="1364" spans="31:32" x14ac:dyDescent="0.2">
      <c r="AE1364" s="6"/>
      <c r="AF1364" s="6"/>
    </row>
    <row r="1365" spans="31:32" x14ac:dyDescent="0.2">
      <c r="AE1365" s="6"/>
      <c r="AF1365" s="6"/>
    </row>
    <row r="1366" spans="31:32" x14ac:dyDescent="0.2">
      <c r="AE1366" s="6"/>
      <c r="AF1366" s="6"/>
    </row>
    <row r="1367" spans="31:32" x14ac:dyDescent="0.2">
      <c r="AE1367" s="6"/>
      <c r="AF1367" s="6"/>
    </row>
    <row r="1368" spans="31:32" x14ac:dyDescent="0.2">
      <c r="AE1368" s="6"/>
      <c r="AF1368" s="6"/>
    </row>
    <row r="1369" spans="31:32" x14ac:dyDescent="0.2">
      <c r="AE1369" s="6"/>
      <c r="AF1369" s="6"/>
    </row>
    <row r="1370" spans="31:32" x14ac:dyDescent="0.2">
      <c r="AE1370" s="6"/>
      <c r="AF1370" s="6"/>
    </row>
    <row r="1371" spans="31:32" x14ac:dyDescent="0.2">
      <c r="AE1371" s="6"/>
      <c r="AF1371" s="6"/>
    </row>
    <row r="1372" spans="31:32" x14ac:dyDescent="0.2">
      <c r="AE1372" s="6"/>
      <c r="AF1372" s="6"/>
    </row>
    <row r="1373" spans="31:32" x14ac:dyDescent="0.2">
      <c r="AE1373" s="6"/>
      <c r="AF1373" s="6"/>
    </row>
    <row r="1374" spans="31:32" x14ac:dyDescent="0.2">
      <c r="AE1374" s="6"/>
      <c r="AF1374" s="6"/>
    </row>
    <row r="1375" spans="31:32" x14ac:dyDescent="0.2">
      <c r="AE1375" s="6"/>
      <c r="AF1375" s="6"/>
    </row>
    <row r="1376" spans="31:32" x14ac:dyDescent="0.2">
      <c r="AE1376" s="6"/>
      <c r="AF1376" s="6"/>
    </row>
    <row r="1377" spans="31:32" x14ac:dyDescent="0.2">
      <c r="AE1377" s="6"/>
      <c r="AF1377" s="6"/>
    </row>
    <row r="1378" spans="31:32" x14ac:dyDescent="0.2">
      <c r="AE1378" s="6"/>
      <c r="AF1378" s="6"/>
    </row>
    <row r="1379" spans="31:32" x14ac:dyDescent="0.2">
      <c r="AE1379" s="6"/>
      <c r="AF1379" s="6"/>
    </row>
    <row r="1380" spans="31:32" x14ac:dyDescent="0.2">
      <c r="AE1380" s="6"/>
      <c r="AF1380" s="6"/>
    </row>
    <row r="1381" spans="31:32" x14ac:dyDescent="0.2">
      <c r="AE1381" s="6"/>
      <c r="AF1381" s="6"/>
    </row>
    <row r="1382" spans="31:32" x14ac:dyDescent="0.2">
      <c r="AE1382" s="6"/>
      <c r="AF1382" s="6"/>
    </row>
    <row r="1383" spans="31:32" x14ac:dyDescent="0.2">
      <c r="AE1383" s="6"/>
      <c r="AF1383" s="6"/>
    </row>
    <row r="1384" spans="31:32" x14ac:dyDescent="0.2">
      <c r="AE1384" s="6"/>
      <c r="AF1384" s="6"/>
    </row>
    <row r="1385" spans="31:32" x14ac:dyDescent="0.2">
      <c r="AE1385" s="6"/>
      <c r="AF1385" s="6"/>
    </row>
    <row r="1386" spans="31:32" x14ac:dyDescent="0.2">
      <c r="AE1386" s="6"/>
      <c r="AF1386" s="6"/>
    </row>
    <row r="1387" spans="31:32" x14ac:dyDescent="0.2">
      <c r="AE1387" s="6"/>
      <c r="AF1387" s="6"/>
    </row>
    <row r="1388" spans="31:32" x14ac:dyDescent="0.2">
      <c r="AE1388" s="6"/>
      <c r="AF1388" s="6"/>
    </row>
    <row r="1389" spans="31:32" x14ac:dyDescent="0.2">
      <c r="AE1389" s="6"/>
      <c r="AF1389" s="6"/>
    </row>
    <row r="1390" spans="31:32" x14ac:dyDescent="0.2">
      <c r="AE1390" s="6"/>
      <c r="AF1390" s="6"/>
    </row>
    <row r="1391" spans="31:32" x14ac:dyDescent="0.2">
      <c r="AE1391" s="6"/>
      <c r="AF1391" s="6"/>
    </row>
    <row r="1392" spans="31:32" x14ac:dyDescent="0.2">
      <c r="AE1392" s="6"/>
      <c r="AF1392" s="6"/>
    </row>
    <row r="1393" spans="31:32" x14ac:dyDescent="0.2">
      <c r="AE1393" s="6"/>
      <c r="AF1393" s="6"/>
    </row>
    <row r="1394" spans="31:32" x14ac:dyDescent="0.2">
      <c r="AE1394" s="6"/>
      <c r="AF1394" s="6"/>
    </row>
    <row r="1395" spans="31:32" x14ac:dyDescent="0.2">
      <c r="AE1395" s="6"/>
      <c r="AF1395" s="6"/>
    </row>
    <row r="1396" spans="31:32" x14ac:dyDescent="0.2">
      <c r="AE1396" s="6"/>
      <c r="AF1396" s="6"/>
    </row>
    <row r="1397" spans="31:32" x14ac:dyDescent="0.2">
      <c r="AE1397" s="6"/>
      <c r="AF1397" s="6"/>
    </row>
    <row r="1398" spans="31:32" x14ac:dyDescent="0.2">
      <c r="AE1398" s="6"/>
      <c r="AF1398" s="6"/>
    </row>
    <row r="1399" spans="31:32" x14ac:dyDescent="0.2">
      <c r="AE1399" s="6"/>
      <c r="AF1399" s="6"/>
    </row>
    <row r="1400" spans="31:32" x14ac:dyDescent="0.2">
      <c r="AE1400" s="6"/>
      <c r="AF1400" s="6"/>
    </row>
    <row r="1401" spans="31:32" x14ac:dyDescent="0.2">
      <c r="AE1401" s="6"/>
      <c r="AF1401" s="6"/>
    </row>
    <row r="1402" spans="31:32" x14ac:dyDescent="0.2">
      <c r="AE1402" s="6"/>
      <c r="AF1402" s="6"/>
    </row>
    <row r="1403" spans="31:32" x14ac:dyDescent="0.2">
      <c r="AE1403" s="6"/>
      <c r="AF1403" s="6"/>
    </row>
    <row r="1404" spans="31:32" x14ac:dyDescent="0.2">
      <c r="AE1404" s="6"/>
      <c r="AF1404" s="6"/>
    </row>
    <row r="1405" spans="31:32" x14ac:dyDescent="0.2">
      <c r="AE1405" s="6"/>
      <c r="AF1405" s="6"/>
    </row>
    <row r="1406" spans="31:32" x14ac:dyDescent="0.2">
      <c r="AE1406" s="6"/>
      <c r="AF1406" s="6"/>
    </row>
    <row r="1407" spans="31:32" x14ac:dyDescent="0.2">
      <c r="AE1407" s="6"/>
      <c r="AF1407" s="6"/>
    </row>
    <row r="1408" spans="31:32" x14ac:dyDescent="0.2">
      <c r="AE1408" s="6"/>
      <c r="AF1408" s="6"/>
    </row>
    <row r="1409" spans="31:32" x14ac:dyDescent="0.2">
      <c r="AE1409" s="6"/>
      <c r="AF1409" s="6"/>
    </row>
    <row r="1410" spans="31:32" x14ac:dyDescent="0.2">
      <c r="AE1410" s="6"/>
      <c r="AF1410" s="6"/>
    </row>
    <row r="1411" spans="31:32" x14ac:dyDescent="0.2">
      <c r="AE1411" s="6"/>
      <c r="AF1411" s="6"/>
    </row>
    <row r="1412" spans="31:32" x14ac:dyDescent="0.2">
      <c r="AE1412" s="6"/>
      <c r="AF1412" s="6"/>
    </row>
    <row r="1413" spans="31:32" x14ac:dyDescent="0.2">
      <c r="AE1413" s="6"/>
      <c r="AF1413" s="6"/>
    </row>
    <row r="1414" spans="31:32" x14ac:dyDescent="0.2">
      <c r="AE1414" s="6"/>
      <c r="AF1414" s="6"/>
    </row>
    <row r="1415" spans="31:32" x14ac:dyDescent="0.2">
      <c r="AE1415" s="6"/>
      <c r="AF1415" s="6"/>
    </row>
    <row r="1416" spans="31:32" x14ac:dyDescent="0.2">
      <c r="AE1416" s="6"/>
      <c r="AF1416" s="6"/>
    </row>
    <row r="1417" spans="31:32" x14ac:dyDescent="0.2">
      <c r="AE1417" s="6"/>
      <c r="AF1417" s="6"/>
    </row>
    <row r="1418" spans="31:32" x14ac:dyDescent="0.2">
      <c r="AE1418" s="6"/>
      <c r="AF1418" s="6"/>
    </row>
    <row r="1419" spans="31:32" x14ac:dyDescent="0.2">
      <c r="AE1419" s="6"/>
      <c r="AF1419" s="6"/>
    </row>
    <row r="1420" spans="31:32" x14ac:dyDescent="0.2">
      <c r="AE1420" s="6"/>
      <c r="AF1420" s="6"/>
    </row>
    <row r="1421" spans="31:32" x14ac:dyDescent="0.2">
      <c r="AE1421" s="6"/>
      <c r="AF1421" s="6"/>
    </row>
    <row r="1422" spans="31:32" x14ac:dyDescent="0.2">
      <c r="AE1422" s="6"/>
      <c r="AF1422" s="6"/>
    </row>
    <row r="1423" spans="31:32" x14ac:dyDescent="0.2">
      <c r="AE1423" s="6"/>
      <c r="AF1423" s="6"/>
    </row>
    <row r="1424" spans="31:32" x14ac:dyDescent="0.2">
      <c r="AE1424" s="6"/>
      <c r="AF1424" s="6"/>
    </row>
    <row r="1425" spans="31:32" x14ac:dyDescent="0.2">
      <c r="AE1425" s="6"/>
      <c r="AF1425" s="6"/>
    </row>
    <row r="1426" spans="31:32" x14ac:dyDescent="0.2">
      <c r="AE1426" s="6"/>
      <c r="AF1426" s="6"/>
    </row>
    <row r="1427" spans="31:32" x14ac:dyDescent="0.2">
      <c r="AE1427" s="6"/>
      <c r="AF1427" s="6"/>
    </row>
    <row r="1428" spans="31:32" x14ac:dyDescent="0.2">
      <c r="AE1428" s="6"/>
      <c r="AF1428" s="6"/>
    </row>
    <row r="1429" spans="31:32" x14ac:dyDescent="0.2">
      <c r="AE1429" s="6"/>
      <c r="AF1429" s="6"/>
    </row>
    <row r="1430" spans="31:32" x14ac:dyDescent="0.2">
      <c r="AE1430" s="6"/>
      <c r="AF1430" s="6"/>
    </row>
    <row r="1431" spans="31:32" x14ac:dyDescent="0.2">
      <c r="AE1431" s="6"/>
      <c r="AF1431" s="6"/>
    </row>
    <row r="1432" spans="31:32" x14ac:dyDescent="0.2">
      <c r="AE1432" s="6"/>
      <c r="AF1432" s="6"/>
    </row>
    <row r="1433" spans="31:32" x14ac:dyDescent="0.2">
      <c r="AE1433" s="6"/>
      <c r="AF1433" s="6"/>
    </row>
    <row r="1434" spans="31:32" x14ac:dyDescent="0.2">
      <c r="AE1434" s="6"/>
      <c r="AF1434" s="6"/>
    </row>
    <row r="1435" spans="31:32" x14ac:dyDescent="0.2">
      <c r="AE1435" s="6"/>
      <c r="AF1435" s="6"/>
    </row>
    <row r="1436" spans="31:32" x14ac:dyDescent="0.2">
      <c r="AE1436" s="6"/>
      <c r="AF1436" s="6"/>
    </row>
    <row r="1437" spans="31:32" x14ac:dyDescent="0.2">
      <c r="AE1437" s="6"/>
      <c r="AF1437" s="6"/>
    </row>
    <row r="1438" spans="31:32" x14ac:dyDescent="0.2">
      <c r="AE1438" s="6"/>
      <c r="AF1438" s="6"/>
    </row>
    <row r="1439" spans="31:32" x14ac:dyDescent="0.2">
      <c r="AE1439" s="6"/>
      <c r="AF1439" s="6"/>
    </row>
    <row r="1440" spans="31:32" x14ac:dyDescent="0.2">
      <c r="AE1440" s="6"/>
      <c r="AF1440" s="6"/>
    </row>
    <row r="1441" spans="31:32" x14ac:dyDescent="0.2">
      <c r="AE1441" s="6"/>
      <c r="AF1441" s="6"/>
    </row>
    <row r="1442" spans="31:32" x14ac:dyDescent="0.2">
      <c r="AE1442" s="6"/>
      <c r="AF1442" s="6"/>
    </row>
    <row r="1443" spans="31:32" x14ac:dyDescent="0.2">
      <c r="AE1443" s="6"/>
      <c r="AF1443" s="6"/>
    </row>
    <row r="1444" spans="31:32" x14ac:dyDescent="0.2">
      <c r="AE1444" s="6"/>
      <c r="AF1444" s="6"/>
    </row>
    <row r="1445" spans="31:32" x14ac:dyDescent="0.2">
      <c r="AE1445" s="6"/>
      <c r="AF1445" s="6"/>
    </row>
    <row r="1446" spans="31:32" x14ac:dyDescent="0.2">
      <c r="AE1446" s="6"/>
      <c r="AF1446" s="6"/>
    </row>
    <row r="1447" spans="31:32" x14ac:dyDescent="0.2">
      <c r="AE1447" s="6"/>
      <c r="AF1447" s="6"/>
    </row>
    <row r="1448" spans="31:32" x14ac:dyDescent="0.2">
      <c r="AE1448" s="6"/>
      <c r="AF1448" s="6"/>
    </row>
    <row r="1449" spans="31:32" x14ac:dyDescent="0.2">
      <c r="AE1449" s="6"/>
      <c r="AF1449" s="6"/>
    </row>
    <row r="1450" spans="31:32" x14ac:dyDescent="0.2">
      <c r="AE1450" s="6"/>
      <c r="AF1450" s="6"/>
    </row>
    <row r="1451" spans="31:32" x14ac:dyDescent="0.2">
      <c r="AE1451" s="6"/>
      <c r="AF1451" s="6"/>
    </row>
    <row r="1452" spans="31:32" x14ac:dyDescent="0.2">
      <c r="AE1452" s="6"/>
      <c r="AF1452" s="6"/>
    </row>
    <row r="1453" spans="31:32" x14ac:dyDescent="0.2">
      <c r="AE1453" s="6"/>
      <c r="AF1453" s="6"/>
    </row>
    <row r="1454" spans="31:32" x14ac:dyDescent="0.2">
      <c r="AE1454" s="6"/>
      <c r="AF1454" s="6"/>
    </row>
    <row r="1455" spans="31:32" x14ac:dyDescent="0.2">
      <c r="AE1455" s="6"/>
      <c r="AF1455" s="6"/>
    </row>
    <row r="1456" spans="31:32" x14ac:dyDescent="0.2">
      <c r="AE1456" s="6"/>
      <c r="AF1456" s="6"/>
    </row>
    <row r="1457" spans="31:32" x14ac:dyDescent="0.2">
      <c r="AE1457" s="6"/>
      <c r="AF1457" s="6"/>
    </row>
    <row r="1458" spans="31:32" x14ac:dyDescent="0.2">
      <c r="AE1458" s="6"/>
      <c r="AF1458" s="6"/>
    </row>
    <row r="1459" spans="31:32" x14ac:dyDescent="0.2">
      <c r="AE1459" s="6"/>
      <c r="AF1459" s="6"/>
    </row>
    <row r="1460" spans="31:32" x14ac:dyDescent="0.2">
      <c r="AE1460" s="6"/>
      <c r="AF1460" s="6"/>
    </row>
    <row r="1461" spans="31:32" x14ac:dyDescent="0.2">
      <c r="AE1461" s="6"/>
      <c r="AF1461" s="6"/>
    </row>
    <row r="1462" spans="31:32" x14ac:dyDescent="0.2">
      <c r="AE1462" s="6"/>
      <c r="AF1462" s="6"/>
    </row>
    <row r="1463" spans="31:32" x14ac:dyDescent="0.2">
      <c r="AE1463" s="6"/>
      <c r="AF1463" s="6"/>
    </row>
    <row r="1464" spans="31:32" x14ac:dyDescent="0.2">
      <c r="AE1464" s="6"/>
      <c r="AF1464" s="6"/>
    </row>
    <row r="1465" spans="31:32" x14ac:dyDescent="0.2">
      <c r="AE1465" s="6"/>
      <c r="AF1465" s="6"/>
    </row>
    <row r="1466" spans="31:32" x14ac:dyDescent="0.2">
      <c r="AE1466" s="6"/>
      <c r="AF1466" s="6"/>
    </row>
    <row r="1467" spans="31:32" x14ac:dyDescent="0.2">
      <c r="AE1467" s="6"/>
      <c r="AF1467" s="6"/>
    </row>
    <row r="1468" spans="31:32" x14ac:dyDescent="0.2">
      <c r="AE1468" s="6"/>
      <c r="AF1468" s="6"/>
    </row>
    <row r="1469" spans="31:32" x14ac:dyDescent="0.2">
      <c r="AE1469" s="6"/>
      <c r="AF1469" s="6"/>
    </row>
    <row r="1470" spans="31:32" x14ac:dyDescent="0.2">
      <c r="AE1470" s="6"/>
      <c r="AF1470" s="6"/>
    </row>
    <row r="1471" spans="31:32" x14ac:dyDescent="0.2">
      <c r="AE1471" s="6"/>
      <c r="AF1471" s="6"/>
    </row>
    <row r="1472" spans="31:32" x14ac:dyDescent="0.2">
      <c r="AE1472" s="6"/>
      <c r="AF1472" s="6"/>
    </row>
    <row r="1473" spans="31:32" x14ac:dyDescent="0.2">
      <c r="AE1473" s="6"/>
      <c r="AF1473" s="6"/>
    </row>
    <row r="1474" spans="31:32" x14ac:dyDescent="0.2">
      <c r="AE1474" s="6"/>
      <c r="AF1474" s="6"/>
    </row>
    <row r="1475" spans="31:32" x14ac:dyDescent="0.2">
      <c r="AE1475" s="6"/>
      <c r="AF1475" s="6"/>
    </row>
    <row r="1476" spans="31:32" x14ac:dyDescent="0.2">
      <c r="AE1476" s="6"/>
      <c r="AF1476" s="6"/>
    </row>
    <row r="1477" spans="31:32" x14ac:dyDescent="0.2">
      <c r="AE1477" s="6"/>
      <c r="AF1477" s="6"/>
    </row>
    <row r="1478" spans="31:32" x14ac:dyDescent="0.2">
      <c r="AE1478" s="6"/>
      <c r="AF1478" s="6"/>
    </row>
    <row r="1479" spans="31:32" x14ac:dyDescent="0.2">
      <c r="AE1479" s="6"/>
      <c r="AF1479" s="6"/>
    </row>
    <row r="1480" spans="31:32" x14ac:dyDescent="0.2">
      <c r="AE1480" s="6"/>
      <c r="AF1480" s="6"/>
    </row>
    <row r="1481" spans="31:32" x14ac:dyDescent="0.2">
      <c r="AE1481" s="6"/>
      <c r="AF1481" s="6"/>
    </row>
    <row r="1482" spans="31:32" x14ac:dyDescent="0.2">
      <c r="AE1482" s="6"/>
      <c r="AF1482" s="6"/>
    </row>
    <row r="1483" spans="31:32" x14ac:dyDescent="0.2">
      <c r="AE1483" s="6"/>
      <c r="AF1483" s="6"/>
    </row>
    <row r="1484" spans="31:32" x14ac:dyDescent="0.2">
      <c r="AE1484" s="6"/>
      <c r="AF1484" s="6"/>
    </row>
    <row r="1485" spans="31:32" x14ac:dyDescent="0.2">
      <c r="AE1485" s="6"/>
      <c r="AF1485" s="6"/>
    </row>
    <row r="1486" spans="31:32" x14ac:dyDescent="0.2">
      <c r="AE1486" s="6"/>
      <c r="AF1486" s="6"/>
    </row>
    <row r="1487" spans="31:32" x14ac:dyDescent="0.2">
      <c r="AE1487" s="6"/>
      <c r="AF1487" s="6"/>
    </row>
    <row r="1488" spans="31:32" x14ac:dyDescent="0.2">
      <c r="AE1488" s="6"/>
      <c r="AF1488" s="6"/>
    </row>
    <row r="1489" spans="31:32" x14ac:dyDescent="0.2">
      <c r="AE1489" s="6"/>
      <c r="AF1489" s="6"/>
    </row>
    <row r="1490" spans="31:32" x14ac:dyDescent="0.2">
      <c r="AE1490" s="6"/>
      <c r="AF1490" s="6"/>
    </row>
    <row r="1491" spans="31:32" x14ac:dyDescent="0.2">
      <c r="AE1491" s="6"/>
      <c r="AF1491" s="6"/>
    </row>
    <row r="1492" spans="31:32" x14ac:dyDescent="0.2">
      <c r="AE1492" s="6"/>
      <c r="AF1492" s="6"/>
    </row>
    <row r="1493" spans="31:32" x14ac:dyDescent="0.2">
      <c r="AE1493" s="6"/>
      <c r="AF1493" s="6"/>
    </row>
    <row r="1494" spans="31:32" x14ac:dyDescent="0.2">
      <c r="AE1494" s="6"/>
      <c r="AF1494" s="6"/>
    </row>
    <row r="1495" spans="31:32" x14ac:dyDescent="0.2">
      <c r="AE1495" s="6"/>
      <c r="AF1495" s="6"/>
    </row>
    <row r="1496" spans="31:32" x14ac:dyDescent="0.2">
      <c r="AE1496" s="6"/>
      <c r="AF1496" s="6"/>
    </row>
    <row r="1497" spans="31:32" x14ac:dyDescent="0.2">
      <c r="AE1497" s="6"/>
      <c r="AF1497" s="6"/>
    </row>
    <row r="1498" spans="31:32" x14ac:dyDescent="0.2">
      <c r="AE1498" s="6"/>
      <c r="AF1498" s="6"/>
    </row>
    <row r="1499" spans="31:32" x14ac:dyDescent="0.2">
      <c r="AE1499" s="6"/>
      <c r="AF1499" s="6"/>
    </row>
    <row r="1500" spans="31:32" x14ac:dyDescent="0.2">
      <c r="AE1500" s="6"/>
      <c r="AF1500" s="6"/>
    </row>
    <row r="1501" spans="31:32" x14ac:dyDescent="0.2">
      <c r="AE1501" s="6"/>
      <c r="AF1501" s="6"/>
    </row>
    <row r="1502" spans="31:32" x14ac:dyDescent="0.2">
      <c r="AE1502" s="6"/>
      <c r="AF1502" s="6"/>
    </row>
    <row r="1503" spans="31:32" x14ac:dyDescent="0.2">
      <c r="AE1503" s="6"/>
      <c r="AF1503" s="6"/>
    </row>
    <row r="1504" spans="31:32" x14ac:dyDescent="0.2">
      <c r="AE1504" s="6"/>
      <c r="AF1504" s="6"/>
    </row>
    <row r="1505" spans="31:32" x14ac:dyDescent="0.2">
      <c r="AE1505" s="6"/>
      <c r="AF1505" s="6"/>
    </row>
    <row r="1506" spans="31:32" x14ac:dyDescent="0.2">
      <c r="AE1506" s="6"/>
      <c r="AF1506" s="6"/>
    </row>
    <row r="1507" spans="31:32" x14ac:dyDescent="0.2">
      <c r="AE1507" s="6"/>
      <c r="AF1507" s="6"/>
    </row>
    <row r="1508" spans="31:32" x14ac:dyDescent="0.2">
      <c r="AE1508" s="6"/>
      <c r="AF1508" s="6"/>
    </row>
    <row r="1509" spans="31:32" x14ac:dyDescent="0.2">
      <c r="AE1509" s="6"/>
      <c r="AF1509" s="6"/>
    </row>
    <row r="1510" spans="31:32" x14ac:dyDescent="0.2">
      <c r="AE1510" s="6"/>
      <c r="AF1510" s="6"/>
    </row>
    <row r="1511" spans="31:32" x14ac:dyDescent="0.2">
      <c r="AE1511" s="6"/>
      <c r="AF1511" s="6"/>
    </row>
    <row r="1512" spans="31:32" x14ac:dyDescent="0.2">
      <c r="AE1512" s="6"/>
      <c r="AF1512" s="6"/>
    </row>
    <row r="1513" spans="31:32" x14ac:dyDescent="0.2">
      <c r="AE1513" s="6"/>
      <c r="AF1513" s="6"/>
    </row>
    <row r="1514" spans="31:32" x14ac:dyDescent="0.2">
      <c r="AE1514" s="6"/>
      <c r="AF1514" s="6"/>
    </row>
    <row r="1515" spans="31:32" x14ac:dyDescent="0.2">
      <c r="AE1515" s="6"/>
      <c r="AF1515" s="6"/>
    </row>
    <row r="1516" spans="31:32" x14ac:dyDescent="0.2">
      <c r="AE1516" s="6"/>
      <c r="AF1516" s="6"/>
    </row>
    <row r="1517" spans="31:32" x14ac:dyDescent="0.2">
      <c r="AE1517" s="6"/>
      <c r="AF1517" s="6"/>
    </row>
    <row r="1518" spans="31:32" x14ac:dyDescent="0.2">
      <c r="AE1518" s="6"/>
      <c r="AF1518" s="6"/>
    </row>
    <row r="1519" spans="31:32" x14ac:dyDescent="0.2">
      <c r="AE1519" s="6"/>
      <c r="AF1519" s="6"/>
    </row>
    <row r="1520" spans="31:32" x14ac:dyDescent="0.2">
      <c r="AE1520" s="6"/>
      <c r="AF1520" s="6"/>
    </row>
    <row r="1521" spans="31:32" x14ac:dyDescent="0.2">
      <c r="AE1521" s="6"/>
      <c r="AF1521" s="6"/>
    </row>
    <row r="1522" spans="31:32" x14ac:dyDescent="0.2">
      <c r="AE1522" s="6"/>
      <c r="AF1522" s="6"/>
    </row>
    <row r="1523" spans="31:32" x14ac:dyDescent="0.2">
      <c r="AE1523" s="6"/>
      <c r="AF1523" s="6"/>
    </row>
    <row r="1524" spans="31:32" x14ac:dyDescent="0.2">
      <c r="AE1524" s="6"/>
      <c r="AF1524" s="6"/>
    </row>
    <row r="1525" spans="31:32" x14ac:dyDescent="0.2">
      <c r="AE1525" s="6"/>
      <c r="AF1525" s="6"/>
    </row>
    <row r="1526" spans="31:32" x14ac:dyDescent="0.2">
      <c r="AE1526" s="6"/>
      <c r="AF1526" s="6"/>
    </row>
    <row r="1527" spans="31:32" x14ac:dyDescent="0.2">
      <c r="AE1527" s="6"/>
      <c r="AF1527" s="6"/>
    </row>
    <row r="1528" spans="31:32" x14ac:dyDescent="0.2">
      <c r="AE1528" s="6"/>
      <c r="AF1528" s="6"/>
    </row>
    <row r="1529" spans="31:32" x14ac:dyDescent="0.2">
      <c r="AE1529" s="6"/>
      <c r="AF1529" s="6"/>
    </row>
    <row r="1530" spans="31:32" x14ac:dyDescent="0.2">
      <c r="AE1530" s="6"/>
      <c r="AF1530" s="6"/>
    </row>
    <row r="1531" spans="31:32" x14ac:dyDescent="0.2">
      <c r="AE1531" s="6"/>
      <c r="AF1531" s="6"/>
    </row>
    <row r="1532" spans="31:32" x14ac:dyDescent="0.2">
      <c r="AE1532" s="6"/>
      <c r="AF1532" s="6"/>
    </row>
    <row r="1533" spans="31:32" x14ac:dyDescent="0.2">
      <c r="AE1533" s="6"/>
      <c r="AF1533" s="6"/>
    </row>
    <row r="1534" spans="31:32" x14ac:dyDescent="0.2">
      <c r="AE1534" s="6"/>
      <c r="AF1534" s="6"/>
    </row>
    <row r="1535" spans="31:32" x14ac:dyDescent="0.2">
      <c r="AE1535" s="6"/>
      <c r="AF1535" s="6"/>
    </row>
    <row r="1536" spans="31:32" x14ac:dyDescent="0.2">
      <c r="AE1536" s="6"/>
      <c r="AF1536" s="6"/>
    </row>
    <row r="1537" spans="31:32" x14ac:dyDescent="0.2">
      <c r="AE1537" s="6"/>
      <c r="AF1537" s="6"/>
    </row>
    <row r="1538" spans="31:32" x14ac:dyDescent="0.2">
      <c r="AE1538" s="6"/>
      <c r="AF1538" s="6"/>
    </row>
    <row r="1539" spans="31:32" x14ac:dyDescent="0.2">
      <c r="AE1539" s="6"/>
      <c r="AF1539" s="6"/>
    </row>
    <row r="1540" spans="31:32" x14ac:dyDescent="0.2">
      <c r="AE1540" s="6"/>
      <c r="AF1540" s="6"/>
    </row>
    <row r="1541" spans="31:32" x14ac:dyDescent="0.2">
      <c r="AE1541" s="6"/>
      <c r="AF1541" s="6"/>
    </row>
    <row r="1542" spans="31:32" x14ac:dyDescent="0.2">
      <c r="AE1542" s="6"/>
      <c r="AF1542" s="6"/>
    </row>
    <row r="1543" spans="31:32" x14ac:dyDescent="0.2">
      <c r="AE1543" s="6"/>
      <c r="AF1543" s="6"/>
    </row>
    <row r="1544" spans="31:32" x14ac:dyDescent="0.2">
      <c r="AE1544" s="6"/>
      <c r="AF1544" s="6"/>
    </row>
    <row r="1545" spans="31:32" x14ac:dyDescent="0.2">
      <c r="AE1545" s="6"/>
      <c r="AF1545" s="6"/>
    </row>
    <row r="1546" spans="31:32" x14ac:dyDescent="0.2">
      <c r="AE1546" s="6"/>
      <c r="AF1546" s="6"/>
    </row>
    <row r="1547" spans="31:32" x14ac:dyDescent="0.2">
      <c r="AE1547" s="6"/>
      <c r="AF1547" s="6"/>
    </row>
    <row r="1548" spans="31:32" x14ac:dyDescent="0.2">
      <c r="AE1548" s="6"/>
      <c r="AF1548" s="6"/>
    </row>
    <row r="1549" spans="31:32" x14ac:dyDescent="0.2">
      <c r="AE1549" s="6"/>
      <c r="AF1549" s="6"/>
    </row>
    <row r="1550" spans="31:32" x14ac:dyDescent="0.2">
      <c r="AE1550" s="6"/>
      <c r="AF1550" s="6"/>
    </row>
    <row r="1551" spans="31:32" x14ac:dyDescent="0.2">
      <c r="AE1551" s="6"/>
      <c r="AF1551" s="6"/>
    </row>
    <row r="1552" spans="31:32" x14ac:dyDescent="0.2">
      <c r="AE1552" s="6"/>
      <c r="AF1552" s="6"/>
    </row>
    <row r="1553" spans="31:32" x14ac:dyDescent="0.2">
      <c r="AE1553" s="6"/>
      <c r="AF1553" s="6"/>
    </row>
    <row r="1554" spans="31:32" x14ac:dyDescent="0.2">
      <c r="AE1554" s="6"/>
      <c r="AF1554" s="6"/>
    </row>
    <row r="1555" spans="31:32" x14ac:dyDescent="0.2">
      <c r="AE1555" s="6"/>
      <c r="AF1555" s="6"/>
    </row>
    <row r="1556" spans="31:32" x14ac:dyDescent="0.2">
      <c r="AE1556" s="6"/>
      <c r="AF1556" s="6"/>
    </row>
    <row r="1557" spans="31:32" x14ac:dyDescent="0.2">
      <c r="AE1557" s="6"/>
      <c r="AF1557" s="6"/>
    </row>
    <row r="1558" spans="31:32" x14ac:dyDescent="0.2">
      <c r="AE1558" s="6"/>
      <c r="AF1558" s="6"/>
    </row>
    <row r="1559" spans="31:32" x14ac:dyDescent="0.2">
      <c r="AE1559" s="6"/>
      <c r="AF1559" s="6"/>
    </row>
    <row r="1560" spans="31:32" x14ac:dyDescent="0.2">
      <c r="AE1560" s="6"/>
      <c r="AF1560" s="6"/>
    </row>
    <row r="1561" spans="31:32" x14ac:dyDescent="0.2">
      <c r="AE1561" s="6"/>
      <c r="AF1561" s="6"/>
    </row>
    <row r="1562" spans="31:32" x14ac:dyDescent="0.2">
      <c r="AE1562" s="6"/>
      <c r="AF1562" s="6"/>
    </row>
    <row r="1563" spans="31:32" x14ac:dyDescent="0.2">
      <c r="AE1563" s="6"/>
      <c r="AF1563" s="6"/>
    </row>
    <row r="1564" spans="31:32" x14ac:dyDescent="0.2">
      <c r="AE1564" s="6"/>
      <c r="AF1564" s="6"/>
    </row>
    <row r="1565" spans="31:32" x14ac:dyDescent="0.2">
      <c r="AE1565" s="6"/>
      <c r="AF1565" s="6"/>
    </row>
    <row r="1566" spans="31:32" x14ac:dyDescent="0.2">
      <c r="AE1566" s="6"/>
      <c r="AF1566" s="6"/>
    </row>
    <row r="1567" spans="31:32" x14ac:dyDescent="0.2">
      <c r="AE1567" s="6"/>
      <c r="AF1567" s="6"/>
    </row>
    <row r="1568" spans="31:32" x14ac:dyDescent="0.2">
      <c r="AE1568" s="6"/>
      <c r="AF1568" s="6"/>
    </row>
    <row r="1569" spans="31:32" x14ac:dyDescent="0.2">
      <c r="AE1569" s="6"/>
      <c r="AF1569" s="6"/>
    </row>
    <row r="1570" spans="31:32" x14ac:dyDescent="0.2">
      <c r="AE1570" s="6"/>
      <c r="AF1570" s="6"/>
    </row>
    <row r="1571" spans="31:32" x14ac:dyDescent="0.2">
      <c r="AE1571" s="6"/>
      <c r="AF1571" s="6"/>
    </row>
    <row r="1572" spans="31:32" x14ac:dyDescent="0.2">
      <c r="AE1572" s="6"/>
      <c r="AF1572" s="6"/>
    </row>
    <row r="1573" spans="31:32" x14ac:dyDescent="0.2">
      <c r="AE1573" s="6"/>
      <c r="AF1573" s="6"/>
    </row>
    <row r="1574" spans="31:32" x14ac:dyDescent="0.2">
      <c r="AE1574" s="6"/>
      <c r="AF1574" s="6"/>
    </row>
    <row r="1575" spans="31:32" x14ac:dyDescent="0.2">
      <c r="AE1575" s="6"/>
      <c r="AF1575" s="6"/>
    </row>
    <row r="1576" spans="31:32" x14ac:dyDescent="0.2">
      <c r="AE1576" s="6"/>
      <c r="AF1576" s="6"/>
    </row>
    <row r="1577" spans="31:32" x14ac:dyDescent="0.2">
      <c r="AE1577" s="6"/>
      <c r="AF1577" s="6"/>
    </row>
    <row r="1578" spans="31:32" x14ac:dyDescent="0.2">
      <c r="AE1578" s="6"/>
      <c r="AF1578" s="6"/>
    </row>
    <row r="1579" spans="31:32" x14ac:dyDescent="0.2">
      <c r="AE1579" s="6"/>
      <c r="AF1579" s="6"/>
    </row>
    <row r="1580" spans="31:32" x14ac:dyDescent="0.2">
      <c r="AE1580" s="6"/>
      <c r="AF1580" s="6"/>
    </row>
    <row r="1581" spans="31:32" x14ac:dyDescent="0.2">
      <c r="AE1581" s="6"/>
      <c r="AF1581" s="6"/>
    </row>
    <row r="1582" spans="31:32" x14ac:dyDescent="0.2">
      <c r="AE1582" s="6"/>
      <c r="AF1582" s="6"/>
    </row>
    <row r="1583" spans="31:32" x14ac:dyDescent="0.2">
      <c r="AE1583" s="6"/>
      <c r="AF1583" s="6"/>
    </row>
    <row r="1584" spans="31:32" x14ac:dyDescent="0.2">
      <c r="AE1584" s="6"/>
      <c r="AF1584" s="6"/>
    </row>
    <row r="1585" spans="31:32" x14ac:dyDescent="0.2">
      <c r="AE1585" s="6"/>
      <c r="AF1585" s="6"/>
    </row>
    <row r="1586" spans="31:32" x14ac:dyDescent="0.2">
      <c r="AE1586" s="6"/>
      <c r="AF1586" s="6"/>
    </row>
    <row r="1587" spans="31:32" x14ac:dyDescent="0.2">
      <c r="AE1587" s="6"/>
      <c r="AF1587" s="6"/>
    </row>
    <row r="1588" spans="31:32" x14ac:dyDescent="0.2">
      <c r="AE1588" s="6"/>
      <c r="AF1588" s="6"/>
    </row>
    <row r="1589" spans="31:32" x14ac:dyDescent="0.2">
      <c r="AE1589" s="6"/>
      <c r="AF1589" s="6"/>
    </row>
    <row r="1590" spans="31:32" x14ac:dyDescent="0.2">
      <c r="AE1590" s="6"/>
      <c r="AF1590" s="6"/>
    </row>
    <row r="1591" spans="31:32" x14ac:dyDescent="0.2">
      <c r="AE1591" s="6"/>
      <c r="AF1591" s="6"/>
    </row>
    <row r="1592" spans="31:32" x14ac:dyDescent="0.2">
      <c r="AE1592" s="6"/>
      <c r="AF1592" s="6"/>
    </row>
    <row r="1593" spans="31:32" x14ac:dyDescent="0.2">
      <c r="AE1593" s="6"/>
      <c r="AF1593" s="6"/>
    </row>
    <row r="1594" spans="31:32" x14ac:dyDescent="0.2">
      <c r="AE1594" s="6"/>
      <c r="AF1594" s="6"/>
    </row>
    <row r="1595" spans="31:32" x14ac:dyDescent="0.2">
      <c r="AE1595" s="6"/>
      <c r="AF1595" s="6"/>
    </row>
    <row r="1596" spans="31:32" x14ac:dyDescent="0.2">
      <c r="AE1596" s="6"/>
      <c r="AF1596" s="6"/>
    </row>
    <row r="1597" spans="31:32" x14ac:dyDescent="0.2">
      <c r="AE1597" s="6"/>
      <c r="AF1597" s="6"/>
    </row>
    <row r="1598" spans="31:32" x14ac:dyDescent="0.2">
      <c r="AE1598" s="6"/>
      <c r="AF1598" s="6"/>
    </row>
    <row r="1599" spans="31:32" x14ac:dyDescent="0.2">
      <c r="AE1599" s="6"/>
      <c r="AF1599" s="6"/>
    </row>
    <row r="1600" spans="31:32" x14ac:dyDescent="0.2">
      <c r="AE1600" s="6"/>
      <c r="AF1600" s="6"/>
    </row>
    <row r="1601" spans="31:32" x14ac:dyDescent="0.2">
      <c r="AE1601" s="6"/>
      <c r="AF1601" s="6"/>
    </row>
    <row r="1602" spans="31:32" x14ac:dyDescent="0.2">
      <c r="AE1602" s="6"/>
      <c r="AF1602" s="6"/>
    </row>
    <row r="1603" spans="31:32" x14ac:dyDescent="0.2">
      <c r="AE1603" s="6"/>
      <c r="AF1603" s="6"/>
    </row>
    <row r="1604" spans="31:32" x14ac:dyDescent="0.2">
      <c r="AE1604" s="6"/>
      <c r="AF1604" s="6"/>
    </row>
    <row r="1605" spans="31:32" x14ac:dyDescent="0.2">
      <c r="AE1605" s="6"/>
      <c r="AF1605" s="6"/>
    </row>
    <row r="1606" spans="31:32" x14ac:dyDescent="0.2">
      <c r="AE1606" s="6"/>
      <c r="AF1606" s="6"/>
    </row>
    <row r="1607" spans="31:32" x14ac:dyDescent="0.2">
      <c r="AE1607" s="6"/>
      <c r="AF1607" s="6"/>
    </row>
    <row r="1608" spans="31:32" x14ac:dyDescent="0.2">
      <c r="AE1608" s="6"/>
      <c r="AF1608" s="6"/>
    </row>
    <row r="1609" spans="31:32" x14ac:dyDescent="0.2">
      <c r="AE1609" s="6"/>
      <c r="AF1609" s="6"/>
    </row>
    <row r="1610" spans="31:32" x14ac:dyDescent="0.2">
      <c r="AE1610" s="6"/>
      <c r="AF1610" s="6"/>
    </row>
    <row r="1611" spans="31:32" x14ac:dyDescent="0.2">
      <c r="AE1611" s="6"/>
      <c r="AF1611" s="6"/>
    </row>
    <row r="1612" spans="31:32" x14ac:dyDescent="0.2">
      <c r="AE1612" s="6"/>
      <c r="AF1612" s="6"/>
    </row>
    <row r="1613" spans="31:32" x14ac:dyDescent="0.2">
      <c r="AE1613" s="6"/>
      <c r="AF1613" s="6"/>
    </row>
    <row r="1614" spans="31:32" x14ac:dyDescent="0.2">
      <c r="AE1614" s="6"/>
      <c r="AF1614" s="6"/>
    </row>
    <row r="1615" spans="31:32" x14ac:dyDescent="0.2">
      <c r="AE1615" s="6"/>
      <c r="AF1615" s="6"/>
    </row>
    <row r="1616" spans="31:32" x14ac:dyDescent="0.2">
      <c r="AE1616" s="6"/>
      <c r="AF1616" s="6"/>
    </row>
    <row r="1617" spans="31:32" x14ac:dyDescent="0.2">
      <c r="AE1617" s="6"/>
      <c r="AF1617" s="6"/>
    </row>
    <row r="1618" spans="31:32" x14ac:dyDescent="0.2">
      <c r="AE1618" s="6"/>
      <c r="AF1618" s="6"/>
    </row>
    <row r="1619" spans="31:32" x14ac:dyDescent="0.2">
      <c r="AE1619" s="6"/>
      <c r="AF1619" s="6"/>
    </row>
    <row r="1620" spans="31:32" x14ac:dyDescent="0.2">
      <c r="AE1620" s="6"/>
      <c r="AF1620" s="6"/>
    </row>
    <row r="1621" spans="31:32" x14ac:dyDescent="0.2">
      <c r="AE1621" s="6"/>
      <c r="AF1621" s="6"/>
    </row>
    <row r="1622" spans="31:32" x14ac:dyDescent="0.2">
      <c r="AE1622" s="6"/>
      <c r="AF1622" s="6"/>
    </row>
    <row r="1623" spans="31:32" x14ac:dyDescent="0.2">
      <c r="AE1623" s="6"/>
      <c r="AF1623" s="6"/>
    </row>
    <row r="1624" spans="31:32" x14ac:dyDescent="0.2">
      <c r="AE1624" s="6"/>
      <c r="AF1624" s="6"/>
    </row>
    <row r="1625" spans="31:32" x14ac:dyDescent="0.2">
      <c r="AE1625" s="6"/>
      <c r="AF1625" s="6"/>
    </row>
    <row r="1626" spans="31:32" x14ac:dyDescent="0.2">
      <c r="AE1626" s="6"/>
      <c r="AF1626" s="6"/>
    </row>
    <row r="1627" spans="31:32" x14ac:dyDescent="0.2">
      <c r="AE1627" s="6"/>
      <c r="AF1627" s="6"/>
    </row>
    <row r="1628" spans="31:32" x14ac:dyDescent="0.2">
      <c r="AE1628" s="6"/>
      <c r="AF1628" s="6"/>
    </row>
    <row r="1629" spans="31:32" x14ac:dyDescent="0.2">
      <c r="AE1629" s="6"/>
      <c r="AF1629" s="6"/>
    </row>
    <row r="1630" spans="31:32" x14ac:dyDescent="0.2">
      <c r="AE1630" s="6"/>
      <c r="AF1630" s="6"/>
    </row>
    <row r="1631" spans="31:32" x14ac:dyDescent="0.2">
      <c r="AE1631" s="6"/>
      <c r="AF1631" s="6"/>
    </row>
    <row r="1632" spans="31:32" x14ac:dyDescent="0.2">
      <c r="AE1632" s="6"/>
      <c r="AF1632" s="6"/>
    </row>
    <row r="1633" spans="31:32" x14ac:dyDescent="0.2">
      <c r="AE1633" s="6"/>
      <c r="AF1633" s="6"/>
    </row>
    <row r="1634" spans="31:32" x14ac:dyDescent="0.2">
      <c r="AE1634" s="6"/>
      <c r="AF1634" s="6"/>
    </row>
    <row r="1635" spans="31:32" x14ac:dyDescent="0.2">
      <c r="AE1635" s="6"/>
      <c r="AF1635" s="6"/>
    </row>
    <row r="1636" spans="31:32" x14ac:dyDescent="0.2">
      <c r="AE1636" s="6"/>
      <c r="AF1636" s="6"/>
    </row>
    <row r="1637" spans="31:32" x14ac:dyDescent="0.2">
      <c r="AE1637" s="6"/>
      <c r="AF1637" s="6"/>
    </row>
    <row r="1638" spans="31:32" x14ac:dyDescent="0.2">
      <c r="AE1638" s="6"/>
      <c r="AF1638" s="6"/>
    </row>
    <row r="1639" spans="31:32" x14ac:dyDescent="0.2">
      <c r="AE1639" s="6"/>
      <c r="AF1639" s="6"/>
    </row>
    <row r="1640" spans="31:32" x14ac:dyDescent="0.2">
      <c r="AE1640" s="6"/>
      <c r="AF1640" s="6"/>
    </row>
    <row r="1641" spans="31:32" x14ac:dyDescent="0.2">
      <c r="AE1641" s="6"/>
      <c r="AF1641" s="6"/>
    </row>
    <row r="1642" spans="31:32" x14ac:dyDescent="0.2">
      <c r="AE1642" s="6"/>
      <c r="AF1642" s="6"/>
    </row>
    <row r="1643" spans="31:32" x14ac:dyDescent="0.2">
      <c r="AE1643" s="6"/>
      <c r="AF1643" s="6"/>
    </row>
    <row r="1644" spans="31:32" x14ac:dyDescent="0.2">
      <c r="AE1644" s="6"/>
      <c r="AF1644" s="6"/>
    </row>
    <row r="1645" spans="31:32" x14ac:dyDescent="0.2">
      <c r="AE1645" s="6"/>
      <c r="AF1645" s="6"/>
    </row>
    <row r="1646" spans="31:32" x14ac:dyDescent="0.2">
      <c r="AE1646" s="6"/>
      <c r="AF1646" s="6"/>
    </row>
    <row r="1647" spans="31:32" x14ac:dyDescent="0.2">
      <c r="AE1647" s="6"/>
      <c r="AF1647" s="6"/>
    </row>
    <row r="1648" spans="31:32" x14ac:dyDescent="0.2">
      <c r="AE1648" s="6"/>
      <c r="AF1648" s="6"/>
    </row>
    <row r="1649" spans="31:32" x14ac:dyDescent="0.2">
      <c r="AE1649" s="6"/>
      <c r="AF1649" s="6"/>
    </row>
    <row r="1650" spans="31:32" x14ac:dyDescent="0.2">
      <c r="AE1650" s="6"/>
      <c r="AF1650" s="6"/>
    </row>
    <row r="1651" spans="31:32" x14ac:dyDescent="0.2">
      <c r="AE1651" s="6"/>
      <c r="AF1651" s="6"/>
    </row>
    <row r="1652" spans="31:32" x14ac:dyDescent="0.2">
      <c r="AE1652" s="6"/>
      <c r="AF1652" s="6"/>
    </row>
    <row r="1653" spans="31:32" x14ac:dyDescent="0.2">
      <c r="AE1653" s="6"/>
      <c r="AF1653" s="6"/>
    </row>
    <row r="1654" spans="31:32" x14ac:dyDescent="0.2">
      <c r="AE1654" s="6"/>
      <c r="AF1654" s="6"/>
    </row>
    <row r="1655" spans="31:32" x14ac:dyDescent="0.2">
      <c r="AE1655" s="6"/>
      <c r="AF1655" s="6"/>
    </row>
    <row r="1656" spans="31:32" x14ac:dyDescent="0.2">
      <c r="AE1656" s="6"/>
      <c r="AF1656" s="6"/>
    </row>
    <row r="1657" spans="31:32" x14ac:dyDescent="0.2">
      <c r="AE1657" s="6"/>
      <c r="AF1657" s="6"/>
    </row>
    <row r="1658" spans="31:32" x14ac:dyDescent="0.2">
      <c r="AE1658" s="6"/>
      <c r="AF1658" s="6"/>
    </row>
    <row r="1659" spans="31:32" x14ac:dyDescent="0.2">
      <c r="AE1659" s="6"/>
      <c r="AF1659" s="6"/>
    </row>
    <row r="1660" spans="31:32" x14ac:dyDescent="0.2">
      <c r="AE1660" s="6"/>
      <c r="AF1660" s="6"/>
    </row>
    <row r="1661" spans="31:32" x14ac:dyDescent="0.2">
      <c r="AE1661" s="6"/>
      <c r="AF1661" s="6"/>
    </row>
    <row r="1662" spans="31:32" x14ac:dyDescent="0.2">
      <c r="AE1662" s="6"/>
      <c r="AF1662" s="6"/>
    </row>
    <row r="1663" spans="31:32" x14ac:dyDescent="0.2">
      <c r="AE1663" s="6"/>
      <c r="AF1663" s="6"/>
    </row>
    <row r="1664" spans="31:32" x14ac:dyDescent="0.2">
      <c r="AE1664" s="6"/>
      <c r="AF1664" s="6"/>
    </row>
    <row r="1665" spans="31:32" x14ac:dyDescent="0.2">
      <c r="AE1665" s="6"/>
      <c r="AF1665" s="6"/>
    </row>
    <row r="1666" spans="31:32" x14ac:dyDescent="0.2">
      <c r="AE1666" s="6"/>
      <c r="AF1666" s="6"/>
    </row>
    <row r="1667" spans="31:32" x14ac:dyDescent="0.2">
      <c r="AE1667" s="6"/>
      <c r="AF1667" s="6"/>
    </row>
    <row r="1668" spans="31:32" x14ac:dyDescent="0.2">
      <c r="AE1668" s="6"/>
      <c r="AF1668" s="6"/>
    </row>
    <row r="1669" spans="31:32" x14ac:dyDescent="0.2">
      <c r="AE1669" s="6"/>
      <c r="AF1669" s="6"/>
    </row>
    <row r="1670" spans="31:32" x14ac:dyDescent="0.2">
      <c r="AE1670" s="6"/>
      <c r="AF1670" s="6"/>
    </row>
    <row r="1671" spans="31:32" x14ac:dyDescent="0.2">
      <c r="AE1671" s="6"/>
      <c r="AF1671" s="6"/>
    </row>
    <row r="1672" spans="31:32" x14ac:dyDescent="0.2">
      <c r="AE1672" s="6"/>
      <c r="AF1672" s="6"/>
    </row>
    <row r="1673" spans="31:32" x14ac:dyDescent="0.2">
      <c r="AE1673" s="6"/>
      <c r="AF1673" s="6"/>
    </row>
    <row r="1674" spans="31:32" x14ac:dyDescent="0.2">
      <c r="AE1674" s="6"/>
      <c r="AF1674" s="6"/>
    </row>
    <row r="1675" spans="31:32" x14ac:dyDescent="0.2">
      <c r="AE1675" s="6"/>
      <c r="AF1675" s="6"/>
    </row>
    <row r="1676" spans="31:32" x14ac:dyDescent="0.2">
      <c r="AE1676" s="6"/>
      <c r="AF1676" s="6"/>
    </row>
    <row r="1677" spans="31:32" x14ac:dyDescent="0.2">
      <c r="AE1677" s="6"/>
      <c r="AF1677" s="6"/>
    </row>
    <row r="1678" spans="31:32" x14ac:dyDescent="0.2">
      <c r="AE1678" s="6"/>
      <c r="AF1678" s="6"/>
    </row>
    <row r="1679" spans="31:32" x14ac:dyDescent="0.2">
      <c r="AE1679" s="6"/>
      <c r="AF1679" s="6"/>
    </row>
    <row r="1680" spans="31:32" x14ac:dyDescent="0.2">
      <c r="AE1680" s="6"/>
      <c r="AF1680" s="6"/>
    </row>
    <row r="1681" spans="31:32" x14ac:dyDescent="0.2">
      <c r="AE1681" s="6"/>
      <c r="AF1681" s="6"/>
    </row>
    <row r="1682" spans="31:32" x14ac:dyDescent="0.2">
      <c r="AE1682" s="6"/>
      <c r="AF1682" s="6"/>
    </row>
    <row r="1683" spans="31:32" x14ac:dyDescent="0.2">
      <c r="AE1683" s="6"/>
      <c r="AF1683" s="6"/>
    </row>
    <row r="1684" spans="31:32" x14ac:dyDescent="0.2">
      <c r="AE1684" s="6"/>
      <c r="AF1684" s="6"/>
    </row>
    <row r="1685" spans="31:32" x14ac:dyDescent="0.2">
      <c r="AE1685" s="6"/>
      <c r="AF1685" s="6"/>
    </row>
    <row r="1686" spans="31:32" x14ac:dyDescent="0.2">
      <c r="AE1686" s="6"/>
      <c r="AF1686" s="6"/>
    </row>
    <row r="1687" spans="31:32" x14ac:dyDescent="0.2">
      <c r="AE1687" s="6"/>
      <c r="AF1687" s="6"/>
    </row>
    <row r="1688" spans="31:32" x14ac:dyDescent="0.2">
      <c r="AE1688" s="6"/>
      <c r="AF1688" s="6"/>
    </row>
    <row r="1689" spans="31:32" x14ac:dyDescent="0.2">
      <c r="AE1689" s="6"/>
      <c r="AF1689" s="6"/>
    </row>
    <row r="1690" spans="31:32" x14ac:dyDescent="0.2">
      <c r="AE1690" s="6"/>
      <c r="AF1690" s="6"/>
    </row>
    <row r="1691" spans="31:32" x14ac:dyDescent="0.2">
      <c r="AE1691" s="6"/>
      <c r="AF1691" s="6"/>
    </row>
    <row r="1692" spans="31:32" x14ac:dyDescent="0.2">
      <c r="AE1692" s="6"/>
      <c r="AF1692" s="6"/>
    </row>
    <row r="1693" spans="31:32" x14ac:dyDescent="0.2">
      <c r="AE1693" s="6"/>
      <c r="AF1693" s="6"/>
    </row>
    <row r="1694" spans="31:32" x14ac:dyDescent="0.2">
      <c r="AE1694" s="6"/>
      <c r="AF1694" s="6"/>
    </row>
    <row r="1695" spans="31:32" x14ac:dyDescent="0.2">
      <c r="AE1695" s="6"/>
      <c r="AF1695" s="6"/>
    </row>
    <row r="1696" spans="31:32" x14ac:dyDescent="0.2">
      <c r="AE1696" s="6"/>
      <c r="AF1696" s="6"/>
    </row>
    <row r="1697" spans="31:32" x14ac:dyDescent="0.2">
      <c r="AE1697" s="6"/>
      <c r="AF1697" s="6"/>
    </row>
    <row r="1698" spans="31:32" x14ac:dyDescent="0.2">
      <c r="AE1698" s="6"/>
      <c r="AF1698" s="6"/>
    </row>
    <row r="1699" spans="31:32" x14ac:dyDescent="0.2">
      <c r="AE1699" s="6"/>
      <c r="AF1699" s="6"/>
    </row>
    <row r="1700" spans="31:32" x14ac:dyDescent="0.2">
      <c r="AE1700" s="6"/>
      <c r="AF1700" s="6"/>
    </row>
    <row r="1701" spans="31:32" x14ac:dyDescent="0.2">
      <c r="AE1701" s="6"/>
      <c r="AF1701" s="6"/>
    </row>
    <row r="1702" spans="31:32" x14ac:dyDescent="0.2">
      <c r="AE1702" s="6"/>
      <c r="AF1702" s="6"/>
    </row>
    <row r="1703" spans="31:32" x14ac:dyDescent="0.2">
      <c r="AE1703" s="6"/>
      <c r="AF1703" s="6"/>
    </row>
    <row r="1704" spans="31:32" x14ac:dyDescent="0.2">
      <c r="AE1704" s="6"/>
      <c r="AF1704" s="6"/>
    </row>
    <row r="1705" spans="31:32" x14ac:dyDescent="0.2">
      <c r="AE1705" s="6"/>
      <c r="AF1705" s="6"/>
    </row>
    <row r="1706" spans="31:32" x14ac:dyDescent="0.2">
      <c r="AE1706" s="6"/>
      <c r="AF1706" s="6"/>
    </row>
    <row r="1707" spans="31:32" x14ac:dyDescent="0.2">
      <c r="AE1707" s="6"/>
      <c r="AF1707" s="6"/>
    </row>
    <row r="1708" spans="31:32" x14ac:dyDescent="0.2">
      <c r="AE1708" s="6"/>
      <c r="AF1708" s="6"/>
    </row>
    <row r="1709" spans="31:32" x14ac:dyDescent="0.2">
      <c r="AE1709" s="6"/>
      <c r="AF1709" s="6"/>
    </row>
    <row r="1710" spans="31:32" x14ac:dyDescent="0.2">
      <c r="AE1710" s="6"/>
      <c r="AF1710" s="6"/>
    </row>
    <row r="1711" spans="31:32" x14ac:dyDescent="0.2">
      <c r="AE1711" s="6"/>
      <c r="AF1711" s="6"/>
    </row>
    <row r="1712" spans="31:32" x14ac:dyDescent="0.2">
      <c r="AE1712" s="6"/>
      <c r="AF1712" s="6"/>
    </row>
    <row r="1713" spans="31:32" x14ac:dyDescent="0.2">
      <c r="AE1713" s="6"/>
      <c r="AF1713" s="6"/>
    </row>
    <row r="1714" spans="31:32" x14ac:dyDescent="0.2">
      <c r="AE1714" s="6"/>
      <c r="AF1714" s="6"/>
    </row>
    <row r="1715" spans="31:32" x14ac:dyDescent="0.2">
      <c r="AE1715" s="6"/>
      <c r="AF1715" s="6"/>
    </row>
    <row r="1716" spans="31:32" x14ac:dyDescent="0.2">
      <c r="AE1716" s="6"/>
      <c r="AF1716" s="6"/>
    </row>
    <row r="1717" spans="31:32" x14ac:dyDescent="0.2">
      <c r="AE1717" s="6"/>
      <c r="AF1717" s="6"/>
    </row>
    <row r="1718" spans="31:32" x14ac:dyDescent="0.2">
      <c r="AE1718" s="6"/>
      <c r="AF1718" s="6"/>
    </row>
    <row r="1719" spans="31:32" x14ac:dyDescent="0.2">
      <c r="AE1719" s="6"/>
      <c r="AF1719" s="6"/>
    </row>
    <row r="1720" spans="31:32" x14ac:dyDescent="0.2">
      <c r="AE1720" s="6"/>
      <c r="AF1720" s="6"/>
    </row>
    <row r="1721" spans="31:32" x14ac:dyDescent="0.2">
      <c r="AE1721" s="6"/>
      <c r="AF1721" s="6"/>
    </row>
    <row r="1722" spans="31:32" x14ac:dyDescent="0.2">
      <c r="AE1722" s="6"/>
      <c r="AF1722" s="6"/>
    </row>
    <row r="1723" spans="31:32" x14ac:dyDescent="0.2">
      <c r="AE1723" s="6"/>
      <c r="AF1723" s="6"/>
    </row>
    <row r="1724" spans="31:32" x14ac:dyDescent="0.2">
      <c r="AE1724" s="6"/>
      <c r="AF1724" s="6"/>
    </row>
    <row r="1725" spans="31:32" x14ac:dyDescent="0.2">
      <c r="AE1725" s="6"/>
      <c r="AF1725" s="6"/>
    </row>
    <row r="1726" spans="31:32" x14ac:dyDescent="0.2">
      <c r="AE1726" s="6"/>
      <c r="AF1726" s="6"/>
    </row>
    <row r="1727" spans="31:32" x14ac:dyDescent="0.2">
      <c r="AE1727" s="6"/>
      <c r="AF1727" s="6"/>
    </row>
    <row r="1728" spans="31:32" x14ac:dyDescent="0.2">
      <c r="AE1728" s="6"/>
      <c r="AF1728" s="6"/>
    </row>
    <row r="1729" spans="31:32" x14ac:dyDescent="0.2">
      <c r="AE1729" s="6"/>
      <c r="AF1729" s="6"/>
    </row>
    <row r="1730" spans="31:32" x14ac:dyDescent="0.2">
      <c r="AE1730" s="6"/>
      <c r="AF1730" s="6"/>
    </row>
    <row r="1731" spans="31:32" x14ac:dyDescent="0.2">
      <c r="AE1731" s="6"/>
      <c r="AF1731" s="6"/>
    </row>
    <row r="1732" spans="31:32" x14ac:dyDescent="0.2">
      <c r="AE1732" s="6"/>
      <c r="AF1732" s="6"/>
    </row>
    <row r="1733" spans="31:32" x14ac:dyDescent="0.2">
      <c r="AE1733" s="6"/>
      <c r="AF1733" s="6"/>
    </row>
    <row r="1734" spans="31:32" x14ac:dyDescent="0.2">
      <c r="AE1734" s="6"/>
      <c r="AF1734" s="6"/>
    </row>
    <row r="1735" spans="31:32" x14ac:dyDescent="0.2">
      <c r="AE1735" s="6"/>
      <c r="AF1735" s="6"/>
    </row>
    <row r="1736" spans="31:32" x14ac:dyDescent="0.2">
      <c r="AE1736" s="6"/>
      <c r="AF1736" s="6"/>
    </row>
    <row r="1737" spans="31:32" x14ac:dyDescent="0.2">
      <c r="AE1737" s="6"/>
      <c r="AF1737" s="6"/>
    </row>
    <row r="1738" spans="31:32" x14ac:dyDescent="0.2">
      <c r="AE1738" s="6"/>
      <c r="AF1738" s="6"/>
    </row>
    <row r="1739" spans="31:32" x14ac:dyDescent="0.2">
      <c r="AE1739" s="6"/>
      <c r="AF1739" s="6"/>
    </row>
    <row r="1740" spans="31:32" x14ac:dyDescent="0.2">
      <c r="AE1740" s="6"/>
      <c r="AF1740" s="6"/>
    </row>
    <row r="1741" spans="31:32" x14ac:dyDescent="0.2">
      <c r="AE1741" s="6"/>
      <c r="AF1741" s="6"/>
    </row>
    <row r="1742" spans="31:32" x14ac:dyDescent="0.2">
      <c r="AE1742" s="6"/>
      <c r="AF1742" s="6"/>
    </row>
    <row r="1743" spans="31:32" x14ac:dyDescent="0.2">
      <c r="AE1743" s="6"/>
      <c r="AF1743" s="6"/>
    </row>
    <row r="1744" spans="31:32" x14ac:dyDescent="0.2">
      <c r="AE1744" s="6"/>
      <c r="AF1744" s="6"/>
    </row>
    <row r="1745" spans="31:32" x14ac:dyDescent="0.2">
      <c r="AE1745" s="6"/>
      <c r="AF1745" s="6"/>
    </row>
    <row r="1746" spans="31:32" x14ac:dyDescent="0.2">
      <c r="AE1746" s="6"/>
      <c r="AF1746" s="6"/>
    </row>
    <row r="1747" spans="31:32" x14ac:dyDescent="0.2">
      <c r="AE1747" s="6"/>
      <c r="AF1747" s="6"/>
    </row>
    <row r="1748" spans="31:32" x14ac:dyDescent="0.2">
      <c r="AE1748" s="6"/>
      <c r="AF1748" s="6"/>
    </row>
    <row r="1749" spans="31:32" x14ac:dyDescent="0.2">
      <c r="AE1749" s="6"/>
      <c r="AF1749" s="6"/>
    </row>
    <row r="1750" spans="31:32" x14ac:dyDescent="0.2">
      <c r="AE1750" s="6"/>
      <c r="AF1750" s="6"/>
    </row>
    <row r="1751" spans="31:32" x14ac:dyDescent="0.2">
      <c r="AE1751" s="6"/>
      <c r="AF1751" s="6"/>
    </row>
    <row r="1752" spans="31:32" x14ac:dyDescent="0.2">
      <c r="AE1752" s="6"/>
      <c r="AF1752" s="6"/>
    </row>
    <row r="1753" spans="31:32" x14ac:dyDescent="0.2">
      <c r="AE1753" s="6"/>
      <c r="AF1753" s="6"/>
    </row>
    <row r="1754" spans="31:32" x14ac:dyDescent="0.2">
      <c r="AE1754" s="6"/>
      <c r="AF1754" s="6"/>
    </row>
    <row r="1755" spans="31:32" x14ac:dyDescent="0.2">
      <c r="AE1755" s="6"/>
      <c r="AF1755" s="6"/>
    </row>
    <row r="1756" spans="31:32" x14ac:dyDescent="0.2">
      <c r="AE1756" s="6"/>
      <c r="AF1756" s="6"/>
    </row>
    <row r="1757" spans="31:32" x14ac:dyDescent="0.2">
      <c r="AE1757" s="6"/>
      <c r="AF1757" s="6"/>
    </row>
    <row r="1758" spans="31:32" x14ac:dyDescent="0.2">
      <c r="AE1758" s="6"/>
      <c r="AF1758" s="6"/>
    </row>
    <row r="1759" spans="31:32" x14ac:dyDescent="0.2">
      <c r="AE1759" s="6"/>
      <c r="AF1759" s="6"/>
    </row>
    <row r="1760" spans="31:32" x14ac:dyDescent="0.2">
      <c r="AE1760" s="6"/>
      <c r="AF1760" s="6"/>
    </row>
    <row r="1761" spans="31:32" x14ac:dyDescent="0.2">
      <c r="AE1761" s="6"/>
      <c r="AF1761" s="6"/>
    </row>
    <row r="1762" spans="31:32" x14ac:dyDescent="0.2">
      <c r="AE1762" s="6"/>
      <c r="AF1762" s="6"/>
    </row>
    <row r="1763" spans="31:32" x14ac:dyDescent="0.2">
      <c r="AE1763" s="6"/>
      <c r="AF1763" s="6"/>
    </row>
    <row r="1764" spans="31:32" x14ac:dyDescent="0.2">
      <c r="AE1764" s="6"/>
      <c r="AF1764" s="6"/>
    </row>
    <row r="1765" spans="31:32" x14ac:dyDescent="0.2">
      <c r="AE1765" s="6"/>
      <c r="AF1765" s="6"/>
    </row>
    <row r="1766" spans="31:32" x14ac:dyDescent="0.2">
      <c r="AE1766" s="6"/>
      <c r="AF1766" s="6"/>
    </row>
    <row r="1767" spans="31:32" x14ac:dyDescent="0.2">
      <c r="AE1767" s="6"/>
      <c r="AF1767" s="6"/>
    </row>
    <row r="1768" spans="31:32" x14ac:dyDescent="0.2">
      <c r="AE1768" s="6"/>
      <c r="AF1768" s="6"/>
    </row>
    <row r="1769" spans="31:32" x14ac:dyDescent="0.2">
      <c r="AE1769" s="6"/>
      <c r="AF1769" s="6"/>
    </row>
    <row r="1770" spans="31:32" x14ac:dyDescent="0.2">
      <c r="AE1770" s="6"/>
      <c r="AF1770" s="6"/>
    </row>
    <row r="1771" spans="31:32" x14ac:dyDescent="0.2">
      <c r="AE1771" s="6"/>
      <c r="AF1771" s="6"/>
    </row>
    <row r="1772" spans="31:32" x14ac:dyDescent="0.2">
      <c r="AE1772" s="6"/>
      <c r="AF1772" s="6"/>
    </row>
    <row r="1773" spans="31:32" x14ac:dyDescent="0.2">
      <c r="AE1773" s="6"/>
      <c r="AF1773" s="6"/>
    </row>
    <row r="1774" spans="31:32" x14ac:dyDescent="0.2">
      <c r="AE1774" s="6"/>
      <c r="AF1774" s="6"/>
    </row>
    <row r="1775" spans="31:32" x14ac:dyDescent="0.2">
      <c r="AE1775" s="6"/>
      <c r="AF1775" s="6"/>
    </row>
    <row r="1776" spans="31:32" x14ac:dyDescent="0.2">
      <c r="AE1776" s="6"/>
      <c r="AF1776" s="6"/>
    </row>
    <row r="1777" spans="31:32" x14ac:dyDescent="0.2">
      <c r="AE1777" s="6"/>
      <c r="AF1777" s="6"/>
    </row>
    <row r="1778" spans="31:32" x14ac:dyDescent="0.2">
      <c r="AE1778" s="6"/>
      <c r="AF1778" s="6"/>
    </row>
    <row r="1779" spans="31:32" x14ac:dyDescent="0.2">
      <c r="AE1779" s="6"/>
      <c r="AF1779" s="6"/>
    </row>
    <row r="1780" spans="31:32" x14ac:dyDescent="0.2">
      <c r="AE1780" s="6"/>
      <c r="AF1780" s="6"/>
    </row>
    <row r="1781" spans="31:32" x14ac:dyDescent="0.2">
      <c r="AE1781" s="6"/>
      <c r="AF1781" s="6"/>
    </row>
    <row r="1782" spans="31:32" x14ac:dyDescent="0.2">
      <c r="AE1782" s="6"/>
      <c r="AF1782" s="6"/>
    </row>
    <row r="1783" spans="31:32" x14ac:dyDescent="0.2">
      <c r="AE1783" s="6"/>
      <c r="AF1783" s="6"/>
    </row>
    <row r="1784" spans="31:32" x14ac:dyDescent="0.2">
      <c r="AE1784" s="6"/>
      <c r="AF1784" s="6"/>
    </row>
    <row r="1785" spans="31:32" x14ac:dyDescent="0.2">
      <c r="AE1785" s="6"/>
      <c r="AF1785" s="6"/>
    </row>
    <row r="1786" spans="31:32" x14ac:dyDescent="0.2">
      <c r="AE1786" s="6"/>
      <c r="AF1786" s="6"/>
    </row>
    <row r="1787" spans="31:32" x14ac:dyDescent="0.2">
      <c r="AE1787" s="6"/>
      <c r="AF1787" s="6"/>
    </row>
    <row r="1788" spans="31:32" x14ac:dyDescent="0.2">
      <c r="AE1788" s="6"/>
      <c r="AF1788" s="6"/>
    </row>
    <row r="1789" spans="31:32" x14ac:dyDescent="0.2">
      <c r="AE1789" s="6"/>
      <c r="AF1789" s="6"/>
    </row>
    <row r="1790" spans="31:32" x14ac:dyDescent="0.2">
      <c r="AE1790" s="6"/>
      <c r="AF1790" s="6"/>
    </row>
    <row r="1791" spans="31:32" x14ac:dyDescent="0.2">
      <c r="AE1791" s="6"/>
      <c r="AF1791" s="6"/>
    </row>
    <row r="1792" spans="31:32" x14ac:dyDescent="0.2">
      <c r="AE1792" s="6"/>
      <c r="AF1792" s="6"/>
    </row>
    <row r="1793" spans="31:32" x14ac:dyDescent="0.2">
      <c r="AE1793" s="6"/>
      <c r="AF1793" s="6"/>
    </row>
    <row r="1794" spans="31:32" x14ac:dyDescent="0.2">
      <c r="AE1794" s="6"/>
      <c r="AF1794" s="6"/>
    </row>
    <row r="1795" spans="31:32" x14ac:dyDescent="0.2">
      <c r="AE1795" s="6"/>
      <c r="AF1795" s="6"/>
    </row>
    <row r="1796" spans="31:32" x14ac:dyDescent="0.2">
      <c r="AE1796" s="6"/>
      <c r="AF1796" s="6"/>
    </row>
    <row r="1797" spans="31:32" x14ac:dyDescent="0.2">
      <c r="AE1797" s="6"/>
      <c r="AF1797" s="6"/>
    </row>
    <row r="1798" spans="31:32" x14ac:dyDescent="0.2">
      <c r="AE1798" s="6"/>
      <c r="AF1798" s="6"/>
    </row>
    <row r="1799" spans="31:32" x14ac:dyDescent="0.2">
      <c r="AE1799" s="6"/>
      <c r="AF1799" s="6"/>
    </row>
    <row r="1800" spans="31:32" x14ac:dyDescent="0.2">
      <c r="AE1800" s="6"/>
      <c r="AF1800" s="6"/>
    </row>
    <row r="1801" spans="31:32" x14ac:dyDescent="0.2">
      <c r="AE1801" s="6"/>
      <c r="AF1801" s="6"/>
    </row>
    <row r="1802" spans="31:32" x14ac:dyDescent="0.2">
      <c r="AE1802" s="6"/>
      <c r="AF1802" s="6"/>
    </row>
    <row r="1803" spans="31:32" x14ac:dyDescent="0.2">
      <c r="AE1803" s="6"/>
      <c r="AF1803" s="6"/>
    </row>
    <row r="1804" spans="31:32" x14ac:dyDescent="0.2">
      <c r="AE1804" s="6"/>
      <c r="AF1804" s="6"/>
    </row>
    <row r="1805" spans="31:32" x14ac:dyDescent="0.2">
      <c r="AE1805" s="6"/>
      <c r="AF1805" s="6"/>
    </row>
    <row r="1806" spans="31:32" x14ac:dyDescent="0.2">
      <c r="AE1806" s="6"/>
      <c r="AF1806" s="6"/>
    </row>
    <row r="1807" spans="31:32" x14ac:dyDescent="0.2">
      <c r="AE1807" s="6"/>
      <c r="AF1807" s="6"/>
    </row>
    <row r="1808" spans="31:32" x14ac:dyDescent="0.2">
      <c r="AE1808" s="6"/>
      <c r="AF1808" s="6"/>
    </row>
    <row r="1809" spans="31:32" x14ac:dyDescent="0.2">
      <c r="AE1809" s="6"/>
      <c r="AF1809" s="6"/>
    </row>
    <row r="1810" spans="31:32" x14ac:dyDescent="0.2">
      <c r="AE1810" s="6"/>
      <c r="AF1810" s="6"/>
    </row>
    <row r="1811" spans="31:32" x14ac:dyDescent="0.2">
      <c r="AE1811" s="6"/>
      <c r="AF1811" s="6"/>
    </row>
    <row r="1812" spans="31:32" x14ac:dyDescent="0.2">
      <c r="AE1812" s="6"/>
      <c r="AF1812" s="6"/>
    </row>
    <row r="1813" spans="31:32" x14ac:dyDescent="0.2">
      <c r="AE1813" s="6"/>
      <c r="AF1813" s="6"/>
    </row>
    <row r="1814" spans="31:32" x14ac:dyDescent="0.2">
      <c r="AE1814" s="6"/>
      <c r="AF1814" s="6"/>
    </row>
    <row r="1815" spans="31:32" x14ac:dyDescent="0.2">
      <c r="AE1815" s="6"/>
      <c r="AF1815" s="6"/>
    </row>
    <row r="1816" spans="31:32" x14ac:dyDescent="0.2">
      <c r="AE1816" s="6"/>
      <c r="AF1816" s="6"/>
    </row>
    <row r="1817" spans="31:32" x14ac:dyDescent="0.2">
      <c r="AE1817" s="6"/>
      <c r="AF1817" s="6"/>
    </row>
    <row r="1818" spans="31:32" x14ac:dyDescent="0.2">
      <c r="AE1818" s="6"/>
      <c r="AF1818" s="6"/>
    </row>
    <row r="1819" spans="31:32" x14ac:dyDescent="0.2">
      <c r="AE1819" s="6"/>
      <c r="AF1819" s="6"/>
    </row>
    <row r="1820" spans="31:32" x14ac:dyDescent="0.2">
      <c r="AE1820" s="6"/>
      <c r="AF1820" s="6"/>
    </row>
    <row r="1821" spans="31:32" x14ac:dyDescent="0.2">
      <c r="AE1821" s="6"/>
      <c r="AF1821" s="6"/>
    </row>
    <row r="1822" spans="31:32" x14ac:dyDescent="0.2">
      <c r="AE1822" s="6"/>
      <c r="AF1822" s="6"/>
    </row>
    <row r="1823" spans="31:32" x14ac:dyDescent="0.2">
      <c r="AE1823" s="6"/>
      <c r="AF1823" s="6"/>
    </row>
    <row r="1824" spans="31:32" x14ac:dyDescent="0.2">
      <c r="AE1824" s="6"/>
      <c r="AF1824" s="6"/>
    </row>
    <row r="1825" spans="31:32" x14ac:dyDescent="0.2">
      <c r="AE1825" s="6"/>
      <c r="AF1825" s="6"/>
    </row>
    <row r="1826" spans="31:32" x14ac:dyDescent="0.2">
      <c r="AE1826" s="6"/>
      <c r="AF1826" s="6"/>
    </row>
    <row r="1827" spans="31:32" x14ac:dyDescent="0.2">
      <c r="AE1827" s="6"/>
      <c r="AF1827" s="6"/>
    </row>
    <row r="1828" spans="31:32" x14ac:dyDescent="0.2">
      <c r="AE1828" s="6"/>
      <c r="AF1828" s="6"/>
    </row>
    <row r="1829" spans="31:32" x14ac:dyDescent="0.2">
      <c r="AE1829" s="6"/>
      <c r="AF1829" s="6"/>
    </row>
    <row r="1830" spans="31:32" x14ac:dyDescent="0.2">
      <c r="AE1830" s="6"/>
      <c r="AF1830" s="6"/>
    </row>
    <row r="1831" spans="31:32" x14ac:dyDescent="0.2">
      <c r="AE1831" s="6"/>
      <c r="AF1831" s="6"/>
    </row>
    <row r="1832" spans="31:32" x14ac:dyDescent="0.2">
      <c r="AE1832" s="6"/>
      <c r="AF1832" s="6"/>
    </row>
    <row r="1833" spans="31:32" x14ac:dyDescent="0.2">
      <c r="AE1833" s="6"/>
      <c r="AF1833" s="6"/>
    </row>
    <row r="1834" spans="31:32" x14ac:dyDescent="0.2">
      <c r="AE1834" s="6"/>
      <c r="AF1834" s="6"/>
    </row>
    <row r="1835" spans="31:32" x14ac:dyDescent="0.2">
      <c r="AE1835" s="6"/>
      <c r="AF1835" s="6"/>
    </row>
    <row r="1836" spans="31:32" x14ac:dyDescent="0.2">
      <c r="AE1836" s="6"/>
      <c r="AF1836" s="6"/>
    </row>
    <row r="1837" spans="31:32" x14ac:dyDescent="0.2">
      <c r="AE1837" s="6"/>
      <c r="AF1837" s="6"/>
    </row>
    <row r="1838" spans="31:32" x14ac:dyDescent="0.2">
      <c r="AE1838" s="6"/>
      <c r="AF1838" s="6"/>
    </row>
    <row r="1839" spans="31:32" x14ac:dyDescent="0.2">
      <c r="AE1839" s="6"/>
      <c r="AF1839" s="6"/>
    </row>
    <row r="1840" spans="31:32" x14ac:dyDescent="0.2">
      <c r="AE1840" s="6"/>
      <c r="AF1840" s="6"/>
    </row>
    <row r="1841" spans="31:32" x14ac:dyDescent="0.2">
      <c r="AE1841" s="6"/>
      <c r="AF1841" s="6"/>
    </row>
    <row r="1842" spans="31:32" x14ac:dyDescent="0.2">
      <c r="AE1842" s="6"/>
      <c r="AF1842" s="6"/>
    </row>
    <row r="1843" spans="31:32" x14ac:dyDescent="0.2">
      <c r="AE1843" s="6"/>
      <c r="AF1843" s="6"/>
    </row>
    <row r="1844" spans="31:32" x14ac:dyDescent="0.2">
      <c r="AE1844" s="6"/>
      <c r="AF1844" s="6"/>
    </row>
    <row r="1845" spans="31:32" x14ac:dyDescent="0.2">
      <c r="AE1845" s="6"/>
      <c r="AF1845" s="6"/>
    </row>
    <row r="1846" spans="31:32" x14ac:dyDescent="0.2">
      <c r="AE1846" s="6"/>
      <c r="AF1846" s="6"/>
    </row>
    <row r="1847" spans="31:32" x14ac:dyDescent="0.2">
      <c r="AE1847" s="6"/>
      <c r="AF1847" s="6"/>
    </row>
    <row r="1848" spans="31:32" x14ac:dyDescent="0.2">
      <c r="AE1848" s="6"/>
      <c r="AF1848" s="6"/>
    </row>
    <row r="1849" spans="31:32" x14ac:dyDescent="0.2">
      <c r="AE1849" s="6"/>
      <c r="AF1849" s="6"/>
    </row>
    <row r="1850" spans="31:32" x14ac:dyDescent="0.2">
      <c r="AE1850" s="6"/>
      <c r="AF1850" s="6"/>
    </row>
    <row r="1851" spans="31:32" x14ac:dyDescent="0.2">
      <c r="AE1851" s="6"/>
      <c r="AF1851" s="6"/>
    </row>
    <row r="1852" spans="31:32" x14ac:dyDescent="0.2">
      <c r="AE1852" s="6"/>
      <c r="AF1852" s="6"/>
    </row>
    <row r="1853" spans="31:32" x14ac:dyDescent="0.2">
      <c r="AE1853" s="6"/>
      <c r="AF1853" s="6"/>
    </row>
    <row r="1854" spans="31:32" x14ac:dyDescent="0.2">
      <c r="AE1854" s="6"/>
      <c r="AF1854" s="6"/>
    </row>
    <row r="1855" spans="31:32" x14ac:dyDescent="0.2">
      <c r="AE1855" s="6"/>
      <c r="AF1855" s="6"/>
    </row>
    <row r="1856" spans="31:32" x14ac:dyDescent="0.2">
      <c r="AE1856" s="6"/>
      <c r="AF1856" s="6"/>
    </row>
    <row r="1857" spans="31:32" x14ac:dyDescent="0.2">
      <c r="AE1857" s="6"/>
      <c r="AF1857" s="6"/>
    </row>
    <row r="1858" spans="31:32" x14ac:dyDescent="0.2">
      <c r="AE1858" s="6"/>
      <c r="AF1858" s="6"/>
    </row>
    <row r="1859" spans="31:32" x14ac:dyDescent="0.2">
      <c r="AE1859" s="6"/>
      <c r="AF1859" s="6"/>
    </row>
    <row r="1860" spans="31:32" x14ac:dyDescent="0.2">
      <c r="AE1860" s="6"/>
      <c r="AF1860" s="6"/>
    </row>
    <row r="1861" spans="31:32" x14ac:dyDescent="0.2">
      <c r="AE1861" s="6"/>
      <c r="AF1861" s="6"/>
    </row>
    <row r="1862" spans="31:32" x14ac:dyDescent="0.2">
      <c r="AE1862" s="6"/>
      <c r="AF1862" s="6"/>
    </row>
    <row r="1863" spans="31:32" x14ac:dyDescent="0.2">
      <c r="AE1863" s="6"/>
      <c r="AF1863" s="6"/>
    </row>
    <row r="1864" spans="31:32" x14ac:dyDescent="0.2">
      <c r="AE1864" s="6"/>
      <c r="AF1864" s="6"/>
    </row>
    <row r="1865" spans="31:32" x14ac:dyDescent="0.2">
      <c r="AE1865" s="6"/>
      <c r="AF1865" s="6"/>
    </row>
    <row r="1866" spans="31:32" x14ac:dyDescent="0.2">
      <c r="AE1866" s="6"/>
      <c r="AF1866" s="6"/>
    </row>
    <row r="1867" spans="31:32" x14ac:dyDescent="0.2">
      <c r="AE1867" s="6"/>
      <c r="AF1867" s="6"/>
    </row>
    <row r="1868" spans="31:32" x14ac:dyDescent="0.2">
      <c r="AE1868" s="6"/>
      <c r="AF1868" s="6"/>
    </row>
    <row r="1869" spans="31:32" x14ac:dyDescent="0.2">
      <c r="AE1869" s="6"/>
      <c r="AF1869" s="6"/>
    </row>
    <row r="1870" spans="31:32" x14ac:dyDescent="0.2">
      <c r="AE1870" s="6"/>
      <c r="AF1870" s="6"/>
    </row>
    <row r="1871" spans="31:32" x14ac:dyDescent="0.2">
      <c r="AE1871" s="6"/>
      <c r="AF1871" s="6"/>
    </row>
    <row r="1872" spans="31:32" x14ac:dyDescent="0.2">
      <c r="AE1872" s="6"/>
      <c r="AF1872" s="6"/>
    </row>
    <row r="1873" spans="31:32" x14ac:dyDescent="0.2">
      <c r="AE1873" s="6"/>
      <c r="AF1873" s="6"/>
    </row>
    <row r="1874" spans="31:32" x14ac:dyDescent="0.2">
      <c r="AE1874" s="6"/>
      <c r="AF1874" s="6"/>
    </row>
    <row r="1875" spans="31:32" x14ac:dyDescent="0.2">
      <c r="AE1875" s="6"/>
      <c r="AF1875" s="6"/>
    </row>
    <row r="1876" spans="31:32" x14ac:dyDescent="0.2">
      <c r="AE1876" s="6"/>
      <c r="AF1876" s="6"/>
    </row>
    <row r="1877" spans="31:32" x14ac:dyDescent="0.2">
      <c r="AE1877" s="6"/>
      <c r="AF1877" s="6"/>
    </row>
    <row r="1878" spans="31:32" x14ac:dyDescent="0.2">
      <c r="AE1878" s="6"/>
      <c r="AF1878" s="6"/>
    </row>
    <row r="1879" spans="31:32" x14ac:dyDescent="0.2">
      <c r="AE1879" s="6"/>
      <c r="AF1879" s="6"/>
    </row>
    <row r="1880" spans="31:32" x14ac:dyDescent="0.2">
      <c r="AE1880" s="6"/>
      <c r="AF1880" s="6"/>
    </row>
    <row r="1881" spans="31:32" x14ac:dyDescent="0.2">
      <c r="AE1881" s="6"/>
      <c r="AF1881" s="6"/>
    </row>
    <row r="1882" spans="31:32" x14ac:dyDescent="0.2">
      <c r="AE1882" s="6"/>
      <c r="AF1882" s="6"/>
    </row>
    <row r="1883" spans="31:32" x14ac:dyDescent="0.2">
      <c r="AE1883" s="6"/>
      <c r="AF1883" s="6"/>
    </row>
    <row r="1884" spans="31:32" x14ac:dyDescent="0.2">
      <c r="AE1884" s="6"/>
      <c r="AF1884" s="6"/>
    </row>
    <row r="1885" spans="31:32" x14ac:dyDescent="0.2">
      <c r="AE1885" s="6"/>
      <c r="AF1885" s="6"/>
    </row>
    <row r="1886" spans="31:32" x14ac:dyDescent="0.2">
      <c r="AE1886" s="6"/>
      <c r="AF1886" s="6"/>
    </row>
    <row r="1887" spans="31:32" x14ac:dyDescent="0.2">
      <c r="AE1887" s="6"/>
      <c r="AF1887" s="6"/>
    </row>
    <row r="1888" spans="31:32" x14ac:dyDescent="0.2">
      <c r="AE1888" s="6"/>
      <c r="AF1888" s="6"/>
    </row>
    <row r="1889" spans="31:32" x14ac:dyDescent="0.2">
      <c r="AE1889" s="6"/>
      <c r="AF1889" s="6"/>
    </row>
    <row r="1890" spans="31:32" x14ac:dyDescent="0.2">
      <c r="AE1890" s="6"/>
      <c r="AF1890" s="6"/>
    </row>
    <row r="1891" spans="31:32" x14ac:dyDescent="0.2">
      <c r="AE1891" s="6"/>
      <c r="AF1891" s="6"/>
    </row>
    <row r="1892" spans="31:32" x14ac:dyDescent="0.2">
      <c r="AE1892" s="6"/>
      <c r="AF1892" s="6"/>
    </row>
    <row r="1893" spans="31:32" x14ac:dyDescent="0.2">
      <c r="AE1893" s="6"/>
      <c r="AF1893" s="6"/>
    </row>
    <row r="1894" spans="31:32" x14ac:dyDescent="0.2">
      <c r="AE1894" s="6"/>
      <c r="AF1894" s="6"/>
    </row>
    <row r="1895" spans="31:32" x14ac:dyDescent="0.2">
      <c r="AE1895" s="6"/>
      <c r="AF1895" s="6"/>
    </row>
    <row r="1896" spans="31:32" x14ac:dyDescent="0.2">
      <c r="AE1896" s="6"/>
      <c r="AF1896" s="6"/>
    </row>
    <row r="1897" spans="31:32" x14ac:dyDescent="0.2">
      <c r="AE1897" s="6"/>
      <c r="AF1897" s="6"/>
    </row>
    <row r="1898" spans="31:32" x14ac:dyDescent="0.2">
      <c r="AE1898" s="6"/>
      <c r="AF1898" s="6"/>
    </row>
    <row r="1899" spans="31:32" x14ac:dyDescent="0.2">
      <c r="AE1899" s="6"/>
      <c r="AF1899" s="6"/>
    </row>
    <row r="1900" spans="31:32" x14ac:dyDescent="0.2">
      <c r="AE1900" s="6"/>
      <c r="AF1900" s="6"/>
    </row>
    <row r="1901" spans="31:32" x14ac:dyDescent="0.2">
      <c r="AE1901" s="6"/>
      <c r="AF1901" s="6"/>
    </row>
    <row r="1902" spans="31:32" x14ac:dyDescent="0.2">
      <c r="AE1902" s="6"/>
      <c r="AF1902" s="6"/>
    </row>
    <row r="1903" spans="31:32" x14ac:dyDescent="0.2">
      <c r="AE1903" s="6"/>
      <c r="AF1903" s="6"/>
    </row>
    <row r="1904" spans="31:32" x14ac:dyDescent="0.2">
      <c r="AE1904" s="6"/>
      <c r="AF1904" s="6"/>
    </row>
    <row r="1905" spans="31:32" x14ac:dyDescent="0.2">
      <c r="AE1905" s="6"/>
      <c r="AF1905" s="6"/>
    </row>
    <row r="1906" spans="31:32" x14ac:dyDescent="0.2">
      <c r="AE1906" s="6"/>
      <c r="AF1906" s="6"/>
    </row>
    <row r="1907" spans="31:32" x14ac:dyDescent="0.2">
      <c r="AE1907" s="6"/>
      <c r="AF1907" s="6"/>
    </row>
    <row r="1908" spans="31:32" x14ac:dyDescent="0.2">
      <c r="AE1908" s="6"/>
      <c r="AF1908" s="6"/>
    </row>
    <row r="1909" spans="31:32" x14ac:dyDescent="0.2">
      <c r="AE1909" s="6"/>
      <c r="AF1909" s="6"/>
    </row>
    <row r="1910" spans="31:32" x14ac:dyDescent="0.2">
      <c r="AE1910" s="6"/>
      <c r="AF1910" s="6"/>
    </row>
    <row r="1911" spans="31:32" x14ac:dyDescent="0.2">
      <c r="AE1911" s="6"/>
      <c r="AF1911" s="6"/>
    </row>
    <row r="1912" spans="31:32" x14ac:dyDescent="0.2">
      <c r="AE1912" s="6"/>
      <c r="AF1912" s="6"/>
    </row>
    <row r="1913" spans="31:32" x14ac:dyDescent="0.2">
      <c r="AE1913" s="6"/>
      <c r="AF1913" s="6"/>
    </row>
    <row r="1914" spans="31:32" x14ac:dyDescent="0.2">
      <c r="AE1914" s="6"/>
      <c r="AF1914" s="6"/>
    </row>
    <row r="1915" spans="31:32" x14ac:dyDescent="0.2">
      <c r="AE1915" s="6"/>
      <c r="AF1915" s="6"/>
    </row>
    <row r="1916" spans="31:32" x14ac:dyDescent="0.2">
      <c r="AE1916" s="6"/>
      <c r="AF1916" s="6"/>
    </row>
    <row r="1917" spans="31:32" x14ac:dyDescent="0.2">
      <c r="AE1917" s="6"/>
      <c r="AF1917" s="6"/>
    </row>
    <row r="1918" spans="31:32" x14ac:dyDescent="0.2">
      <c r="AE1918" s="6"/>
      <c r="AF1918" s="6"/>
    </row>
    <row r="1919" spans="31:32" x14ac:dyDescent="0.2">
      <c r="AE1919" s="6"/>
      <c r="AF1919" s="6"/>
    </row>
    <row r="1920" spans="31:32" x14ac:dyDescent="0.2">
      <c r="AE1920" s="6"/>
      <c r="AF1920" s="6"/>
    </row>
    <row r="1921" spans="31:32" x14ac:dyDescent="0.2">
      <c r="AE1921" s="6"/>
      <c r="AF1921" s="6"/>
    </row>
    <row r="1922" spans="31:32" x14ac:dyDescent="0.2">
      <c r="AE1922" s="6"/>
      <c r="AF1922" s="6"/>
    </row>
    <row r="1923" spans="31:32" x14ac:dyDescent="0.2">
      <c r="AE1923" s="6"/>
      <c r="AF1923" s="6"/>
    </row>
    <row r="1924" spans="31:32" x14ac:dyDescent="0.2">
      <c r="AE1924" s="6"/>
      <c r="AF1924" s="6"/>
    </row>
    <row r="1925" spans="31:32" x14ac:dyDescent="0.2">
      <c r="AE1925" s="6"/>
      <c r="AF1925" s="6"/>
    </row>
    <row r="1926" spans="31:32" x14ac:dyDescent="0.2">
      <c r="AE1926" s="6"/>
      <c r="AF1926" s="6"/>
    </row>
    <row r="1927" spans="31:32" x14ac:dyDescent="0.2">
      <c r="AE1927" s="6"/>
      <c r="AF1927" s="6"/>
    </row>
    <row r="1928" spans="31:32" x14ac:dyDescent="0.2">
      <c r="AE1928" s="6"/>
      <c r="AF1928" s="6"/>
    </row>
    <row r="1929" spans="31:32" x14ac:dyDescent="0.2">
      <c r="AE1929" s="6"/>
      <c r="AF1929" s="6"/>
    </row>
    <row r="1930" spans="31:32" x14ac:dyDescent="0.2">
      <c r="AE1930" s="6"/>
      <c r="AF1930" s="6"/>
    </row>
    <row r="1931" spans="31:32" x14ac:dyDescent="0.2">
      <c r="AE1931" s="6"/>
      <c r="AF1931" s="6"/>
    </row>
    <row r="1932" spans="31:32" x14ac:dyDescent="0.2">
      <c r="AE1932" s="6"/>
      <c r="AF1932" s="6"/>
    </row>
    <row r="1933" spans="31:32" x14ac:dyDescent="0.2">
      <c r="AE1933" s="6"/>
      <c r="AF1933" s="6"/>
    </row>
    <row r="1934" spans="31:32" x14ac:dyDescent="0.2">
      <c r="AE1934" s="6"/>
      <c r="AF1934" s="6"/>
    </row>
    <row r="1935" spans="31:32" x14ac:dyDescent="0.2">
      <c r="AE1935" s="6"/>
      <c r="AF1935" s="6"/>
    </row>
    <row r="1936" spans="31:32" x14ac:dyDescent="0.2">
      <c r="AE1936" s="6"/>
      <c r="AF1936" s="6"/>
    </row>
    <row r="1937" spans="31:32" x14ac:dyDescent="0.2">
      <c r="AE1937" s="6"/>
      <c r="AF1937" s="6"/>
    </row>
    <row r="1938" spans="31:32" x14ac:dyDescent="0.2">
      <c r="AE1938" s="6"/>
      <c r="AF1938" s="6"/>
    </row>
    <row r="1939" spans="31:32" x14ac:dyDescent="0.2">
      <c r="AE1939" s="6"/>
      <c r="AF1939" s="6"/>
    </row>
    <row r="1940" spans="31:32" x14ac:dyDescent="0.2">
      <c r="AE1940" s="6"/>
      <c r="AF1940" s="6"/>
    </row>
    <row r="1941" spans="31:32" x14ac:dyDescent="0.2">
      <c r="AE1941" s="6"/>
      <c r="AF1941" s="6"/>
    </row>
    <row r="1942" spans="31:32" x14ac:dyDescent="0.2">
      <c r="AE1942" s="6"/>
      <c r="AF1942" s="6"/>
    </row>
    <row r="1943" spans="31:32" x14ac:dyDescent="0.2">
      <c r="AE1943" s="6"/>
      <c r="AF1943" s="6"/>
    </row>
    <row r="1944" spans="31:32" x14ac:dyDescent="0.2">
      <c r="AE1944" s="6"/>
      <c r="AF1944" s="6"/>
    </row>
    <row r="1945" spans="31:32" x14ac:dyDescent="0.2">
      <c r="AE1945" s="6"/>
      <c r="AF1945" s="6"/>
    </row>
    <row r="1946" spans="31:32" x14ac:dyDescent="0.2">
      <c r="AE1946" s="6"/>
      <c r="AF1946" s="6"/>
    </row>
    <row r="1947" spans="31:32" x14ac:dyDescent="0.2">
      <c r="AE1947" s="6"/>
      <c r="AF1947" s="6"/>
    </row>
    <row r="1948" spans="31:32" x14ac:dyDescent="0.2">
      <c r="AE1948" s="6"/>
      <c r="AF1948" s="6"/>
    </row>
    <row r="1949" spans="31:32" x14ac:dyDescent="0.2">
      <c r="AE1949" s="6"/>
      <c r="AF1949" s="6"/>
    </row>
    <row r="1950" spans="31:32" x14ac:dyDescent="0.2">
      <c r="AE1950" s="6"/>
      <c r="AF1950" s="6"/>
    </row>
    <row r="1951" spans="31:32" x14ac:dyDescent="0.2">
      <c r="AE1951" s="6"/>
      <c r="AF1951" s="6"/>
    </row>
    <row r="1952" spans="31:32" x14ac:dyDescent="0.2">
      <c r="AE1952" s="6"/>
      <c r="AF1952" s="6"/>
    </row>
    <row r="1953" spans="31:32" x14ac:dyDescent="0.2">
      <c r="AE1953" s="6"/>
      <c r="AF1953" s="6"/>
    </row>
    <row r="1954" spans="31:32" x14ac:dyDescent="0.2">
      <c r="AE1954" s="6"/>
      <c r="AF1954" s="6"/>
    </row>
    <row r="1955" spans="31:32" x14ac:dyDescent="0.2">
      <c r="AE1955" s="6"/>
      <c r="AF1955" s="6"/>
    </row>
    <row r="1956" spans="31:32" x14ac:dyDescent="0.2">
      <c r="AE1956" s="6"/>
      <c r="AF1956" s="6"/>
    </row>
    <row r="1957" spans="31:32" x14ac:dyDescent="0.2">
      <c r="AE1957" s="6"/>
      <c r="AF1957" s="6"/>
    </row>
    <row r="1958" spans="31:32" x14ac:dyDescent="0.2">
      <c r="AE1958" s="6"/>
      <c r="AF1958" s="6"/>
    </row>
    <row r="1959" spans="31:32" x14ac:dyDescent="0.2">
      <c r="AE1959" s="6"/>
      <c r="AF1959" s="6"/>
    </row>
    <row r="1960" spans="31:32" x14ac:dyDescent="0.2">
      <c r="AE1960" s="6"/>
      <c r="AF1960" s="6"/>
    </row>
    <row r="1961" spans="31:32" x14ac:dyDescent="0.2">
      <c r="AE1961" s="6"/>
      <c r="AF1961" s="6"/>
    </row>
    <row r="1962" spans="31:32" x14ac:dyDescent="0.2">
      <c r="AE1962" s="6"/>
      <c r="AF1962" s="6"/>
    </row>
    <row r="1963" spans="31:32" x14ac:dyDescent="0.2">
      <c r="AE1963" s="6"/>
      <c r="AF1963" s="6"/>
    </row>
    <row r="1964" spans="31:32" x14ac:dyDescent="0.2">
      <c r="AE1964" s="6"/>
      <c r="AF1964" s="6"/>
    </row>
    <row r="1965" spans="31:32" x14ac:dyDescent="0.2">
      <c r="AE1965" s="6"/>
      <c r="AF1965" s="6"/>
    </row>
    <row r="1966" spans="31:32" x14ac:dyDescent="0.2">
      <c r="AE1966" s="6"/>
      <c r="AF1966" s="6"/>
    </row>
    <row r="1967" spans="31:32" x14ac:dyDescent="0.2">
      <c r="AE1967" s="6"/>
      <c r="AF1967" s="6"/>
    </row>
    <row r="1968" spans="31:32" x14ac:dyDescent="0.2">
      <c r="AE1968" s="6"/>
      <c r="AF1968" s="6"/>
    </row>
    <row r="1969" spans="31:32" x14ac:dyDescent="0.2">
      <c r="AE1969" s="6"/>
      <c r="AF1969" s="6"/>
    </row>
    <row r="1970" spans="31:32" x14ac:dyDescent="0.2">
      <c r="AE1970" s="6"/>
      <c r="AF1970" s="6"/>
    </row>
    <row r="1971" spans="31:32" x14ac:dyDescent="0.2">
      <c r="AE1971" s="6"/>
      <c r="AF1971" s="6"/>
    </row>
    <row r="1972" spans="31:32" x14ac:dyDescent="0.2">
      <c r="AE1972" s="6"/>
      <c r="AF1972" s="6"/>
    </row>
    <row r="1973" spans="31:32" x14ac:dyDescent="0.2">
      <c r="AE1973" s="6"/>
      <c r="AF1973" s="6"/>
    </row>
    <row r="1974" spans="31:32" x14ac:dyDescent="0.2">
      <c r="AE1974" s="6"/>
      <c r="AF1974" s="6"/>
    </row>
    <row r="1975" spans="31:32" x14ac:dyDescent="0.2">
      <c r="AE1975" s="6"/>
      <c r="AF1975" s="6"/>
    </row>
    <row r="1976" spans="31:32" x14ac:dyDescent="0.2">
      <c r="AE1976" s="6"/>
      <c r="AF1976" s="6"/>
    </row>
    <row r="1977" spans="31:32" x14ac:dyDescent="0.2">
      <c r="AE1977" s="6"/>
      <c r="AF1977" s="6"/>
    </row>
    <row r="1978" spans="31:32" x14ac:dyDescent="0.2">
      <c r="AE1978" s="6"/>
      <c r="AF1978" s="6"/>
    </row>
    <row r="1979" spans="31:32" x14ac:dyDescent="0.2">
      <c r="AE1979" s="6"/>
      <c r="AF1979" s="6"/>
    </row>
    <row r="1980" spans="31:32" x14ac:dyDescent="0.2">
      <c r="AE1980" s="6"/>
      <c r="AF1980" s="6"/>
    </row>
    <row r="1981" spans="31:32" x14ac:dyDescent="0.2">
      <c r="AE1981" s="6"/>
      <c r="AF1981" s="6"/>
    </row>
    <row r="1982" spans="31:32" x14ac:dyDescent="0.2">
      <c r="AE1982" s="6"/>
      <c r="AF1982" s="6"/>
    </row>
    <row r="1983" spans="31:32" x14ac:dyDescent="0.2">
      <c r="AE1983" s="6"/>
      <c r="AF1983" s="6"/>
    </row>
    <row r="1984" spans="31:32" x14ac:dyDescent="0.2">
      <c r="AE1984" s="6"/>
      <c r="AF1984" s="6"/>
    </row>
    <row r="1985" spans="31:32" x14ac:dyDescent="0.2">
      <c r="AE1985" s="6"/>
      <c r="AF1985" s="6"/>
    </row>
    <row r="1986" spans="31:32" x14ac:dyDescent="0.2">
      <c r="AE1986" s="6"/>
      <c r="AF1986" s="6"/>
    </row>
    <row r="1987" spans="31:32" x14ac:dyDescent="0.2">
      <c r="AE1987" s="6"/>
      <c r="AF1987" s="6"/>
    </row>
    <row r="1988" spans="31:32" x14ac:dyDescent="0.2">
      <c r="AE1988" s="6"/>
      <c r="AF1988" s="6"/>
    </row>
    <row r="1989" spans="31:32" x14ac:dyDescent="0.2">
      <c r="AE1989" s="6"/>
      <c r="AF1989" s="6"/>
    </row>
    <row r="1990" spans="31:32" x14ac:dyDescent="0.2">
      <c r="AE1990" s="6"/>
      <c r="AF1990" s="6"/>
    </row>
    <row r="1991" spans="31:32" x14ac:dyDescent="0.2">
      <c r="AE1991" s="6"/>
      <c r="AF1991" s="6"/>
    </row>
    <row r="1992" spans="31:32" x14ac:dyDescent="0.2">
      <c r="AE1992" s="6"/>
      <c r="AF1992" s="6"/>
    </row>
    <row r="1993" spans="31:32" x14ac:dyDescent="0.2">
      <c r="AE1993" s="6"/>
      <c r="AF1993" s="6"/>
    </row>
    <row r="1994" spans="31:32" x14ac:dyDescent="0.2">
      <c r="AE1994" s="6"/>
      <c r="AF1994" s="6"/>
    </row>
    <row r="1995" spans="31:32" x14ac:dyDescent="0.2">
      <c r="AE1995" s="6"/>
      <c r="AF1995" s="6"/>
    </row>
    <row r="1996" spans="31:32" x14ac:dyDescent="0.2">
      <c r="AE1996" s="6"/>
      <c r="AF1996" s="6"/>
    </row>
    <row r="1997" spans="31:32" x14ac:dyDescent="0.2">
      <c r="AE1997" s="6"/>
      <c r="AF1997" s="6"/>
    </row>
    <row r="1998" spans="31:32" x14ac:dyDescent="0.2">
      <c r="AE1998" s="6"/>
      <c r="AF1998" s="6"/>
    </row>
    <row r="1999" spans="31:32" x14ac:dyDescent="0.2">
      <c r="AE1999" s="6"/>
      <c r="AF1999" s="6"/>
    </row>
    <row r="2000" spans="31:32" x14ac:dyDescent="0.2">
      <c r="AE2000" s="6"/>
      <c r="AF2000" s="6"/>
    </row>
    <row r="2001" spans="31:32" x14ac:dyDescent="0.2">
      <c r="AE2001" s="6"/>
      <c r="AF2001" s="6"/>
    </row>
    <row r="2002" spans="31:32" x14ac:dyDescent="0.2">
      <c r="AE2002" s="6"/>
      <c r="AF2002" s="6"/>
    </row>
    <row r="2003" spans="31:32" x14ac:dyDescent="0.2">
      <c r="AE2003" s="6"/>
      <c r="AF2003" s="6"/>
    </row>
    <row r="2004" spans="31:32" x14ac:dyDescent="0.2">
      <c r="AE2004" s="6"/>
      <c r="AF2004" s="6"/>
    </row>
    <row r="2005" spans="31:32" x14ac:dyDescent="0.2">
      <c r="AE2005" s="6"/>
      <c r="AF2005" s="6"/>
    </row>
    <row r="2006" spans="31:32" x14ac:dyDescent="0.2">
      <c r="AE2006" s="6"/>
      <c r="AF2006" s="6"/>
    </row>
    <row r="2007" spans="31:32" x14ac:dyDescent="0.2">
      <c r="AE2007" s="6"/>
      <c r="AF2007" s="6"/>
    </row>
    <row r="2008" spans="31:32" x14ac:dyDescent="0.2">
      <c r="AE2008" s="6"/>
      <c r="AF2008" s="6"/>
    </row>
    <row r="2009" spans="31:32" x14ac:dyDescent="0.2">
      <c r="AE2009" s="6"/>
      <c r="AF2009" s="6"/>
    </row>
    <row r="2010" spans="31:32" x14ac:dyDescent="0.2">
      <c r="AE2010" s="6"/>
      <c r="AF2010" s="6"/>
    </row>
    <row r="2011" spans="31:32" x14ac:dyDescent="0.2">
      <c r="AE2011" s="6"/>
      <c r="AF2011" s="6"/>
    </row>
    <row r="2012" spans="31:32" x14ac:dyDescent="0.2">
      <c r="AE2012" s="6"/>
      <c r="AF2012" s="6"/>
    </row>
    <row r="2013" spans="31:32" x14ac:dyDescent="0.2">
      <c r="AE2013" s="6"/>
      <c r="AF2013" s="6"/>
    </row>
    <row r="2014" spans="31:32" x14ac:dyDescent="0.2">
      <c r="AE2014" s="6"/>
      <c r="AF2014" s="6"/>
    </row>
    <row r="2015" spans="31:32" x14ac:dyDescent="0.2">
      <c r="AE2015" s="6"/>
      <c r="AF2015" s="6"/>
    </row>
    <row r="2016" spans="31:32" x14ac:dyDescent="0.2">
      <c r="AE2016" s="6"/>
      <c r="AF2016" s="6"/>
    </row>
    <row r="2017" spans="31:32" x14ac:dyDescent="0.2">
      <c r="AE2017" s="6"/>
      <c r="AF2017" s="6"/>
    </row>
    <row r="2018" spans="31:32" x14ac:dyDescent="0.2">
      <c r="AE2018" s="6"/>
      <c r="AF2018" s="6"/>
    </row>
    <row r="2019" spans="31:32" x14ac:dyDescent="0.2">
      <c r="AE2019" s="6"/>
      <c r="AF2019" s="6"/>
    </row>
    <row r="2020" spans="31:32" x14ac:dyDescent="0.2">
      <c r="AE2020" s="6"/>
      <c r="AF2020" s="6"/>
    </row>
    <row r="2021" spans="31:32" x14ac:dyDescent="0.2">
      <c r="AE2021" s="6"/>
      <c r="AF2021" s="6"/>
    </row>
    <row r="2022" spans="31:32" x14ac:dyDescent="0.2">
      <c r="AE2022" s="6"/>
      <c r="AF2022" s="6"/>
    </row>
    <row r="2023" spans="31:32" x14ac:dyDescent="0.2">
      <c r="AE2023" s="6"/>
      <c r="AF2023" s="6"/>
    </row>
    <row r="2024" spans="31:32" x14ac:dyDescent="0.2">
      <c r="AE2024" s="6"/>
      <c r="AF2024" s="6"/>
    </row>
    <row r="2025" spans="31:32" x14ac:dyDescent="0.2">
      <c r="AE2025" s="6"/>
      <c r="AF2025" s="6"/>
    </row>
    <row r="2026" spans="31:32" x14ac:dyDescent="0.2">
      <c r="AE2026" s="6"/>
      <c r="AF2026" s="6"/>
    </row>
    <row r="2027" spans="31:32" x14ac:dyDescent="0.2">
      <c r="AE2027" s="6"/>
      <c r="AF2027" s="6"/>
    </row>
    <row r="2028" spans="31:32" x14ac:dyDescent="0.2">
      <c r="AE2028" s="6"/>
      <c r="AF2028" s="6"/>
    </row>
    <row r="2029" spans="31:32" x14ac:dyDescent="0.2">
      <c r="AE2029" s="6"/>
      <c r="AF2029" s="6"/>
    </row>
    <row r="2030" spans="31:32" x14ac:dyDescent="0.2">
      <c r="AE2030" s="6"/>
      <c r="AF2030" s="6"/>
    </row>
    <row r="2031" spans="31:32" x14ac:dyDescent="0.2">
      <c r="AE2031" s="6"/>
      <c r="AF2031" s="6"/>
    </row>
    <row r="2032" spans="31:32" x14ac:dyDescent="0.2">
      <c r="AE2032" s="6"/>
      <c r="AF2032" s="6"/>
    </row>
    <row r="2033" spans="31:32" x14ac:dyDescent="0.2">
      <c r="AE2033" s="6"/>
      <c r="AF2033" s="6"/>
    </row>
    <row r="2034" spans="31:32" x14ac:dyDescent="0.2">
      <c r="AE2034" s="6"/>
      <c r="AF2034" s="6"/>
    </row>
    <row r="2035" spans="31:32" x14ac:dyDescent="0.2">
      <c r="AE2035" s="6"/>
      <c r="AF2035" s="6"/>
    </row>
    <row r="2036" spans="31:32" x14ac:dyDescent="0.2">
      <c r="AE2036" s="6"/>
      <c r="AF2036" s="6"/>
    </row>
    <row r="2037" spans="31:32" x14ac:dyDescent="0.2">
      <c r="AE2037" s="6"/>
      <c r="AF2037" s="6"/>
    </row>
    <row r="2038" spans="31:32" x14ac:dyDescent="0.2">
      <c r="AE2038" s="6"/>
      <c r="AF2038" s="6"/>
    </row>
    <row r="2039" spans="31:32" x14ac:dyDescent="0.2">
      <c r="AE2039" s="6"/>
      <c r="AF2039" s="6"/>
    </row>
    <row r="2040" spans="31:32" x14ac:dyDescent="0.2">
      <c r="AE2040" s="6"/>
      <c r="AF2040" s="6"/>
    </row>
    <row r="2041" spans="31:32" x14ac:dyDescent="0.2">
      <c r="AE2041" s="6"/>
      <c r="AF2041" s="6"/>
    </row>
    <row r="2042" spans="31:32" x14ac:dyDescent="0.2">
      <c r="AE2042" s="6"/>
      <c r="AF2042" s="6"/>
    </row>
    <row r="2043" spans="31:32" x14ac:dyDescent="0.2">
      <c r="AE2043" s="6"/>
      <c r="AF2043" s="6"/>
    </row>
    <row r="2044" spans="31:32" x14ac:dyDescent="0.2">
      <c r="AE2044" s="6"/>
      <c r="AF2044" s="6"/>
    </row>
    <row r="2045" spans="31:32" x14ac:dyDescent="0.2">
      <c r="AE2045" s="6"/>
      <c r="AF2045" s="6"/>
    </row>
    <row r="2046" spans="31:32" x14ac:dyDescent="0.2">
      <c r="AE2046" s="6"/>
      <c r="AF2046" s="6"/>
    </row>
    <row r="2047" spans="31:32" x14ac:dyDescent="0.2">
      <c r="AE2047" s="6"/>
      <c r="AF2047" s="6"/>
    </row>
    <row r="2048" spans="31:32" x14ac:dyDescent="0.2">
      <c r="AE2048" s="6"/>
      <c r="AF2048" s="6"/>
    </row>
    <row r="2049" spans="31:32" x14ac:dyDescent="0.2">
      <c r="AE2049" s="6"/>
      <c r="AF2049" s="6"/>
    </row>
    <row r="2050" spans="31:32" x14ac:dyDescent="0.2">
      <c r="AE2050" s="6"/>
      <c r="AF2050" s="6"/>
    </row>
    <row r="2051" spans="31:32" x14ac:dyDescent="0.2">
      <c r="AE2051" s="6"/>
      <c r="AF2051" s="6"/>
    </row>
    <row r="2052" spans="31:32" x14ac:dyDescent="0.2">
      <c r="AE2052" s="6"/>
      <c r="AF2052" s="6"/>
    </row>
    <row r="2053" spans="31:32" x14ac:dyDescent="0.2">
      <c r="AE2053" s="6"/>
      <c r="AF2053" s="6"/>
    </row>
    <row r="2054" spans="31:32" x14ac:dyDescent="0.2">
      <c r="AE2054" s="6"/>
      <c r="AF2054" s="6"/>
    </row>
    <row r="2055" spans="31:32" x14ac:dyDescent="0.2">
      <c r="AE2055" s="6"/>
      <c r="AF2055" s="6"/>
    </row>
    <row r="2056" spans="31:32" x14ac:dyDescent="0.2">
      <c r="AE2056" s="6"/>
      <c r="AF2056" s="6"/>
    </row>
    <row r="2057" spans="31:32" x14ac:dyDescent="0.2">
      <c r="AE2057" s="6"/>
      <c r="AF2057" s="6"/>
    </row>
    <row r="2058" spans="31:32" x14ac:dyDescent="0.2">
      <c r="AE2058" s="6"/>
      <c r="AF2058" s="6"/>
    </row>
    <row r="2059" spans="31:32" x14ac:dyDescent="0.2">
      <c r="AE2059" s="6"/>
      <c r="AF2059" s="6"/>
    </row>
    <row r="2060" spans="31:32" x14ac:dyDescent="0.2">
      <c r="AE2060" s="6"/>
      <c r="AF2060" s="6"/>
    </row>
    <row r="2061" spans="31:32" x14ac:dyDescent="0.2">
      <c r="AE2061" s="6"/>
      <c r="AF2061" s="6"/>
    </row>
    <row r="2062" spans="31:32" x14ac:dyDescent="0.2">
      <c r="AE2062" s="6"/>
      <c r="AF2062" s="6"/>
    </row>
    <row r="2063" spans="31:32" x14ac:dyDescent="0.2">
      <c r="AE2063" s="6"/>
      <c r="AF2063" s="6"/>
    </row>
    <row r="2064" spans="31:32" x14ac:dyDescent="0.2">
      <c r="AE2064" s="6"/>
      <c r="AF2064" s="6"/>
    </row>
    <row r="2065" spans="31:32" x14ac:dyDescent="0.2">
      <c r="AE2065" s="6"/>
      <c r="AF2065" s="6"/>
    </row>
    <row r="2066" spans="31:32" x14ac:dyDescent="0.2">
      <c r="AE2066" s="6"/>
      <c r="AF2066" s="6"/>
    </row>
    <row r="2067" spans="31:32" x14ac:dyDescent="0.2">
      <c r="AE2067" s="6"/>
      <c r="AF2067" s="6"/>
    </row>
    <row r="2068" spans="31:32" x14ac:dyDescent="0.2">
      <c r="AE2068" s="6"/>
      <c r="AF2068" s="6"/>
    </row>
    <row r="2069" spans="31:32" x14ac:dyDescent="0.2">
      <c r="AE2069" s="6"/>
      <c r="AF2069" s="6"/>
    </row>
    <row r="2070" spans="31:32" x14ac:dyDescent="0.2">
      <c r="AE2070" s="6"/>
      <c r="AF2070" s="6"/>
    </row>
    <row r="2071" spans="31:32" x14ac:dyDescent="0.2">
      <c r="AE2071" s="6"/>
      <c r="AF2071" s="6"/>
    </row>
    <row r="2072" spans="31:32" x14ac:dyDescent="0.2">
      <c r="AE2072" s="6"/>
      <c r="AF2072" s="6"/>
    </row>
    <row r="2073" spans="31:32" x14ac:dyDescent="0.2">
      <c r="AE2073" s="6"/>
      <c r="AF2073" s="6"/>
    </row>
    <row r="2074" spans="31:32" x14ac:dyDescent="0.2">
      <c r="AE2074" s="6"/>
      <c r="AF2074" s="6"/>
    </row>
    <row r="2075" spans="31:32" x14ac:dyDescent="0.2">
      <c r="AE2075" s="6"/>
      <c r="AF2075" s="6"/>
    </row>
    <row r="2076" spans="31:32" x14ac:dyDescent="0.2">
      <c r="AE2076" s="6"/>
      <c r="AF2076" s="6"/>
    </row>
    <row r="2077" spans="31:32" x14ac:dyDescent="0.2">
      <c r="AE2077" s="6"/>
      <c r="AF2077" s="6"/>
    </row>
    <row r="2078" spans="31:32" x14ac:dyDescent="0.2">
      <c r="AE2078" s="6"/>
      <c r="AF2078" s="6"/>
    </row>
    <row r="2079" spans="31:32" x14ac:dyDescent="0.2">
      <c r="AE2079" s="6"/>
      <c r="AF2079" s="6"/>
    </row>
    <row r="2080" spans="31:32" x14ac:dyDescent="0.2">
      <c r="AE2080" s="6"/>
      <c r="AF2080" s="6"/>
    </row>
    <row r="2081" spans="31:32" x14ac:dyDescent="0.2">
      <c r="AE2081" s="6"/>
      <c r="AF2081" s="6"/>
    </row>
    <row r="2082" spans="31:32" x14ac:dyDescent="0.2">
      <c r="AE2082" s="6"/>
      <c r="AF2082" s="6"/>
    </row>
    <row r="2083" spans="31:32" x14ac:dyDescent="0.2">
      <c r="AE2083" s="6"/>
      <c r="AF2083" s="6"/>
    </row>
    <row r="2084" spans="31:32" x14ac:dyDescent="0.2">
      <c r="AE2084" s="6"/>
      <c r="AF2084" s="6"/>
    </row>
    <row r="2085" spans="31:32" x14ac:dyDescent="0.2">
      <c r="AE2085" s="6"/>
      <c r="AF2085" s="6"/>
    </row>
    <row r="2086" spans="31:32" x14ac:dyDescent="0.2">
      <c r="AE2086" s="6"/>
      <c r="AF2086" s="6"/>
    </row>
    <row r="2087" spans="31:32" x14ac:dyDescent="0.2">
      <c r="AE2087" s="6"/>
      <c r="AF2087" s="6"/>
    </row>
    <row r="2088" spans="31:32" x14ac:dyDescent="0.2">
      <c r="AE2088" s="6"/>
      <c r="AF2088" s="6"/>
    </row>
    <row r="2089" spans="31:32" x14ac:dyDescent="0.2">
      <c r="AE2089" s="6"/>
      <c r="AF2089" s="6"/>
    </row>
    <row r="2090" spans="31:32" x14ac:dyDescent="0.2">
      <c r="AE2090" s="6"/>
      <c r="AF2090" s="6"/>
    </row>
    <row r="2091" spans="31:32" x14ac:dyDescent="0.2">
      <c r="AE2091" s="6"/>
      <c r="AF2091" s="6"/>
    </row>
    <row r="2092" spans="31:32" x14ac:dyDescent="0.2">
      <c r="AE2092" s="6"/>
      <c r="AF2092" s="6"/>
    </row>
    <row r="2093" spans="31:32" x14ac:dyDescent="0.2">
      <c r="AE2093" s="6"/>
      <c r="AF2093" s="6"/>
    </row>
    <row r="2094" spans="31:32" x14ac:dyDescent="0.2">
      <c r="AE2094" s="6"/>
      <c r="AF2094" s="6"/>
    </row>
    <row r="2095" spans="31:32" x14ac:dyDescent="0.2">
      <c r="AE2095" s="6"/>
      <c r="AF2095" s="6"/>
    </row>
    <row r="2096" spans="31:32" x14ac:dyDescent="0.2">
      <c r="AE2096" s="6"/>
      <c r="AF2096" s="6"/>
    </row>
    <row r="2097" spans="31:32" x14ac:dyDescent="0.2">
      <c r="AE2097" s="6"/>
      <c r="AF2097" s="6"/>
    </row>
    <row r="2098" spans="31:32" x14ac:dyDescent="0.2">
      <c r="AE2098" s="6"/>
      <c r="AF2098" s="6"/>
    </row>
    <row r="2099" spans="31:32" x14ac:dyDescent="0.2">
      <c r="AE2099" s="6"/>
      <c r="AF2099" s="6"/>
    </row>
    <row r="2100" spans="31:32" x14ac:dyDescent="0.2">
      <c r="AE2100" s="6"/>
      <c r="AF2100" s="6"/>
    </row>
    <row r="2101" spans="31:32" x14ac:dyDescent="0.2">
      <c r="AE2101" s="6"/>
      <c r="AF2101" s="6"/>
    </row>
    <row r="2102" spans="31:32" x14ac:dyDescent="0.2">
      <c r="AE2102" s="6"/>
      <c r="AF2102" s="6"/>
    </row>
    <row r="2103" spans="31:32" x14ac:dyDescent="0.2">
      <c r="AE2103" s="6"/>
      <c r="AF2103" s="6"/>
    </row>
    <row r="2104" spans="31:32" x14ac:dyDescent="0.2">
      <c r="AE2104" s="6"/>
      <c r="AF2104" s="6"/>
    </row>
    <row r="2105" spans="31:32" x14ac:dyDescent="0.2">
      <c r="AE2105" s="6"/>
      <c r="AF2105" s="6"/>
    </row>
    <row r="2106" spans="31:32" x14ac:dyDescent="0.2">
      <c r="AE2106" s="6"/>
      <c r="AF2106" s="6"/>
    </row>
    <row r="2107" spans="31:32" x14ac:dyDescent="0.2">
      <c r="AE2107" s="6"/>
      <c r="AF2107" s="6"/>
    </row>
    <row r="2108" spans="31:32" x14ac:dyDescent="0.2">
      <c r="AE2108" s="6"/>
      <c r="AF2108" s="6"/>
    </row>
    <row r="2109" spans="31:32" x14ac:dyDescent="0.2">
      <c r="AE2109" s="6"/>
      <c r="AF2109" s="6"/>
    </row>
    <row r="2110" spans="31:32" x14ac:dyDescent="0.2">
      <c r="AE2110" s="6"/>
      <c r="AF2110" s="6"/>
    </row>
    <row r="2111" spans="31:32" x14ac:dyDescent="0.2">
      <c r="AE2111" s="6"/>
      <c r="AF2111" s="6"/>
    </row>
    <row r="2112" spans="31:32" x14ac:dyDescent="0.2">
      <c r="AE2112" s="6"/>
      <c r="AF2112" s="6"/>
    </row>
    <row r="2113" spans="31:32" x14ac:dyDescent="0.2">
      <c r="AE2113" s="6"/>
      <c r="AF2113" s="6"/>
    </row>
    <row r="2114" spans="31:32" x14ac:dyDescent="0.2">
      <c r="AE2114" s="6"/>
      <c r="AF2114" s="6"/>
    </row>
    <row r="2115" spans="31:32" x14ac:dyDescent="0.2">
      <c r="AE2115" s="6"/>
      <c r="AF2115" s="6"/>
    </row>
    <row r="2116" spans="31:32" x14ac:dyDescent="0.2">
      <c r="AE2116" s="6"/>
      <c r="AF2116" s="6"/>
    </row>
    <row r="2117" spans="31:32" x14ac:dyDescent="0.2">
      <c r="AE2117" s="6"/>
      <c r="AF2117" s="6"/>
    </row>
    <row r="2118" spans="31:32" x14ac:dyDescent="0.2">
      <c r="AE2118" s="6"/>
      <c r="AF2118" s="6"/>
    </row>
    <row r="2119" spans="31:32" x14ac:dyDescent="0.2">
      <c r="AE2119" s="6"/>
      <c r="AF2119" s="6"/>
    </row>
    <row r="2120" spans="31:32" x14ac:dyDescent="0.2">
      <c r="AE2120" s="6"/>
      <c r="AF2120" s="6"/>
    </row>
    <row r="2121" spans="31:32" x14ac:dyDescent="0.2">
      <c r="AE2121" s="6"/>
      <c r="AF2121" s="6"/>
    </row>
    <row r="2122" spans="31:32" x14ac:dyDescent="0.2">
      <c r="AE2122" s="6"/>
      <c r="AF2122" s="6"/>
    </row>
    <row r="2123" spans="31:32" x14ac:dyDescent="0.2">
      <c r="AE2123" s="6"/>
      <c r="AF2123" s="6"/>
    </row>
    <row r="2124" spans="31:32" x14ac:dyDescent="0.2">
      <c r="AE2124" s="6"/>
      <c r="AF2124" s="6"/>
    </row>
    <row r="2125" spans="31:32" x14ac:dyDescent="0.2">
      <c r="AE2125" s="6"/>
      <c r="AF2125" s="6"/>
    </row>
    <row r="2126" spans="31:32" x14ac:dyDescent="0.2">
      <c r="AE2126" s="6"/>
      <c r="AF2126" s="6"/>
    </row>
    <row r="2127" spans="31:32" x14ac:dyDescent="0.2">
      <c r="AE2127" s="6"/>
      <c r="AF2127" s="6"/>
    </row>
    <row r="2128" spans="31:32" x14ac:dyDescent="0.2">
      <c r="AE2128" s="6"/>
      <c r="AF2128" s="6"/>
    </row>
    <row r="2129" spans="31:32" x14ac:dyDescent="0.2">
      <c r="AE2129" s="6"/>
      <c r="AF2129" s="6"/>
    </row>
    <row r="2130" spans="31:32" x14ac:dyDescent="0.2">
      <c r="AE2130" s="6"/>
      <c r="AF2130" s="6"/>
    </row>
    <row r="2131" spans="31:32" x14ac:dyDescent="0.2">
      <c r="AE2131" s="6"/>
      <c r="AF2131" s="6"/>
    </row>
    <row r="2132" spans="31:32" x14ac:dyDescent="0.2">
      <c r="AE2132" s="6"/>
      <c r="AF2132" s="6"/>
    </row>
    <row r="2133" spans="31:32" x14ac:dyDescent="0.2">
      <c r="AE2133" s="6"/>
      <c r="AF2133" s="6"/>
    </row>
    <row r="2134" spans="31:32" x14ac:dyDescent="0.2">
      <c r="AE2134" s="6"/>
      <c r="AF2134" s="6"/>
    </row>
    <row r="2135" spans="31:32" x14ac:dyDescent="0.2">
      <c r="AE2135" s="6"/>
      <c r="AF2135" s="6"/>
    </row>
    <row r="2136" spans="31:32" x14ac:dyDescent="0.2">
      <c r="AE2136" s="6"/>
      <c r="AF2136" s="6"/>
    </row>
    <row r="2137" spans="31:32" x14ac:dyDescent="0.2">
      <c r="AE2137" s="6"/>
      <c r="AF2137" s="6"/>
    </row>
    <row r="2138" spans="31:32" x14ac:dyDescent="0.2">
      <c r="AE2138" s="6"/>
      <c r="AF2138" s="6"/>
    </row>
    <row r="2139" spans="31:32" x14ac:dyDescent="0.2">
      <c r="AE2139" s="6"/>
      <c r="AF2139" s="6"/>
    </row>
    <row r="2140" spans="31:32" x14ac:dyDescent="0.2">
      <c r="AE2140" s="6"/>
      <c r="AF2140" s="6"/>
    </row>
    <row r="2141" spans="31:32" x14ac:dyDescent="0.2">
      <c r="AE2141" s="6"/>
      <c r="AF2141" s="6"/>
    </row>
    <row r="2142" spans="31:32" x14ac:dyDescent="0.2">
      <c r="AE2142" s="6"/>
      <c r="AF2142" s="6"/>
    </row>
    <row r="2143" spans="31:32" x14ac:dyDescent="0.2">
      <c r="AE2143" s="6"/>
      <c r="AF2143" s="6"/>
    </row>
    <row r="2144" spans="31:32" x14ac:dyDescent="0.2">
      <c r="AE2144" s="6"/>
      <c r="AF2144" s="6"/>
    </row>
    <row r="2145" spans="31:32" x14ac:dyDescent="0.2">
      <c r="AE2145" s="6"/>
      <c r="AF2145" s="6"/>
    </row>
    <row r="2146" spans="31:32" x14ac:dyDescent="0.2">
      <c r="AE2146" s="6"/>
      <c r="AF2146" s="6"/>
    </row>
    <row r="2147" spans="31:32" x14ac:dyDescent="0.2">
      <c r="AE2147" s="6"/>
      <c r="AF2147" s="6"/>
    </row>
    <row r="2148" spans="31:32" x14ac:dyDescent="0.2">
      <c r="AE2148" s="6"/>
      <c r="AF2148" s="6"/>
    </row>
    <row r="2149" spans="31:32" x14ac:dyDescent="0.2">
      <c r="AE2149" s="6"/>
      <c r="AF2149" s="6"/>
    </row>
    <row r="2150" spans="31:32" x14ac:dyDescent="0.2">
      <c r="AE2150" s="6"/>
      <c r="AF2150" s="6"/>
    </row>
    <row r="2151" spans="31:32" x14ac:dyDescent="0.2">
      <c r="AE2151" s="6"/>
      <c r="AF2151" s="6"/>
    </row>
    <row r="2152" spans="31:32" x14ac:dyDescent="0.2">
      <c r="AE2152" s="6"/>
      <c r="AF2152" s="6"/>
    </row>
    <row r="2153" spans="31:32" x14ac:dyDescent="0.2">
      <c r="AE2153" s="6"/>
      <c r="AF2153" s="6"/>
    </row>
    <row r="2154" spans="31:32" x14ac:dyDescent="0.2">
      <c r="AE2154" s="6"/>
      <c r="AF2154" s="6"/>
    </row>
    <row r="2155" spans="31:32" x14ac:dyDescent="0.2">
      <c r="AE2155" s="6"/>
      <c r="AF2155" s="6"/>
    </row>
    <row r="2156" spans="31:32" x14ac:dyDescent="0.2">
      <c r="AE2156" s="6"/>
      <c r="AF2156" s="6"/>
    </row>
    <row r="2157" spans="31:32" x14ac:dyDescent="0.2">
      <c r="AE2157" s="6"/>
      <c r="AF2157" s="6"/>
    </row>
    <row r="2158" spans="31:32" x14ac:dyDescent="0.2">
      <c r="AE2158" s="6"/>
      <c r="AF2158" s="6"/>
    </row>
    <row r="2159" spans="31:32" x14ac:dyDescent="0.2">
      <c r="AE2159" s="6"/>
      <c r="AF2159" s="6"/>
    </row>
    <row r="2160" spans="31:32" x14ac:dyDescent="0.2">
      <c r="AE2160" s="6"/>
      <c r="AF2160" s="6"/>
    </row>
    <row r="2161" spans="31:32" x14ac:dyDescent="0.2">
      <c r="AE2161" s="6"/>
      <c r="AF2161" s="6"/>
    </row>
    <row r="2162" spans="31:32" x14ac:dyDescent="0.2">
      <c r="AE2162" s="6"/>
      <c r="AF2162" s="6"/>
    </row>
    <row r="2163" spans="31:32" x14ac:dyDescent="0.2">
      <c r="AE2163" s="6"/>
      <c r="AF2163" s="6"/>
    </row>
    <row r="2164" spans="31:32" x14ac:dyDescent="0.2">
      <c r="AE2164" s="6"/>
      <c r="AF2164" s="6"/>
    </row>
    <row r="2165" spans="31:32" x14ac:dyDescent="0.2">
      <c r="AE2165" s="6"/>
      <c r="AF2165" s="6"/>
    </row>
    <row r="2166" spans="31:32" x14ac:dyDescent="0.2">
      <c r="AE2166" s="6"/>
      <c r="AF2166" s="6"/>
    </row>
    <row r="2167" spans="31:32" x14ac:dyDescent="0.2">
      <c r="AE2167" s="6"/>
      <c r="AF2167" s="6"/>
    </row>
    <row r="2168" spans="31:32" x14ac:dyDescent="0.2">
      <c r="AE2168" s="6"/>
      <c r="AF2168" s="6"/>
    </row>
    <row r="2169" spans="31:32" x14ac:dyDescent="0.2">
      <c r="AE2169" s="6"/>
      <c r="AF2169" s="6"/>
    </row>
    <row r="2170" spans="31:32" x14ac:dyDescent="0.2">
      <c r="AE2170" s="6"/>
      <c r="AF2170" s="6"/>
    </row>
    <row r="2171" spans="31:32" x14ac:dyDescent="0.2">
      <c r="AE2171" s="6"/>
      <c r="AF2171" s="6"/>
    </row>
    <row r="2172" spans="31:32" x14ac:dyDescent="0.2">
      <c r="AE2172" s="6"/>
      <c r="AF2172" s="6"/>
    </row>
    <row r="2173" spans="31:32" x14ac:dyDescent="0.2">
      <c r="AE2173" s="6"/>
      <c r="AF2173" s="6"/>
    </row>
    <row r="2174" spans="31:32" x14ac:dyDescent="0.2">
      <c r="AE2174" s="6"/>
      <c r="AF2174" s="6"/>
    </row>
    <row r="2175" spans="31:32" x14ac:dyDescent="0.2">
      <c r="AE2175" s="6"/>
      <c r="AF2175" s="6"/>
    </row>
    <row r="2176" spans="31:32" x14ac:dyDescent="0.2">
      <c r="AE2176" s="6"/>
      <c r="AF2176" s="6"/>
    </row>
    <row r="2177" spans="31:32" x14ac:dyDescent="0.2">
      <c r="AE2177" s="6"/>
      <c r="AF2177" s="6"/>
    </row>
    <row r="2178" spans="31:32" x14ac:dyDescent="0.2">
      <c r="AE2178" s="6"/>
      <c r="AF2178" s="6"/>
    </row>
    <row r="2179" spans="31:32" x14ac:dyDescent="0.2">
      <c r="AE2179" s="6"/>
      <c r="AF2179" s="6"/>
    </row>
    <row r="2180" spans="31:32" x14ac:dyDescent="0.2">
      <c r="AE2180" s="6"/>
      <c r="AF2180" s="6"/>
    </row>
    <row r="2181" spans="31:32" x14ac:dyDescent="0.2">
      <c r="AE2181" s="6"/>
      <c r="AF2181" s="6"/>
    </row>
    <row r="2182" spans="31:32" x14ac:dyDescent="0.2">
      <c r="AE2182" s="6"/>
      <c r="AF2182" s="6"/>
    </row>
    <row r="2183" spans="31:32" x14ac:dyDescent="0.2">
      <c r="AE2183" s="6"/>
      <c r="AF2183" s="6"/>
    </row>
    <row r="2184" spans="31:32" x14ac:dyDescent="0.2">
      <c r="AE2184" s="6"/>
      <c r="AF2184" s="6"/>
    </row>
    <row r="2185" spans="31:32" x14ac:dyDescent="0.2">
      <c r="AE2185" s="6"/>
      <c r="AF2185" s="6"/>
    </row>
    <row r="2186" spans="31:32" x14ac:dyDescent="0.2">
      <c r="AE2186" s="6"/>
      <c r="AF2186" s="6"/>
    </row>
    <row r="2187" spans="31:32" x14ac:dyDescent="0.2">
      <c r="AE2187" s="6"/>
      <c r="AF2187" s="6"/>
    </row>
    <row r="2188" spans="31:32" x14ac:dyDescent="0.2">
      <c r="AE2188" s="6"/>
      <c r="AF2188" s="6"/>
    </row>
    <row r="2189" spans="31:32" x14ac:dyDescent="0.2">
      <c r="AE2189" s="6"/>
      <c r="AF2189" s="6"/>
    </row>
    <row r="2190" spans="31:32" x14ac:dyDescent="0.2">
      <c r="AE2190" s="6"/>
      <c r="AF2190" s="6"/>
    </row>
    <row r="2191" spans="31:32" x14ac:dyDescent="0.2">
      <c r="AE2191" s="6"/>
      <c r="AF2191" s="6"/>
    </row>
    <row r="2192" spans="31:32" x14ac:dyDescent="0.2">
      <c r="AE2192" s="6"/>
      <c r="AF2192" s="6"/>
    </row>
    <row r="2193" spans="31:32" x14ac:dyDescent="0.2">
      <c r="AE2193" s="6"/>
      <c r="AF2193" s="6"/>
    </row>
    <row r="2194" spans="31:32" x14ac:dyDescent="0.2">
      <c r="AE2194" s="6"/>
      <c r="AF2194" s="6"/>
    </row>
    <row r="2195" spans="31:32" x14ac:dyDescent="0.2">
      <c r="AE2195" s="6"/>
      <c r="AF2195" s="6"/>
    </row>
    <row r="2196" spans="31:32" x14ac:dyDescent="0.2">
      <c r="AE2196" s="6"/>
      <c r="AF2196" s="6"/>
    </row>
    <row r="2197" spans="31:32" x14ac:dyDescent="0.2">
      <c r="AE2197" s="6"/>
      <c r="AF2197" s="6"/>
    </row>
    <row r="2198" spans="31:32" x14ac:dyDescent="0.2">
      <c r="AE2198" s="6"/>
      <c r="AF2198" s="6"/>
    </row>
    <row r="2199" spans="31:32" x14ac:dyDescent="0.2">
      <c r="AE2199" s="6"/>
      <c r="AF2199" s="6"/>
    </row>
    <row r="2200" spans="31:32" x14ac:dyDescent="0.2">
      <c r="AE2200" s="6"/>
      <c r="AF2200" s="6"/>
    </row>
    <row r="2201" spans="31:32" x14ac:dyDescent="0.2">
      <c r="AE2201" s="6"/>
      <c r="AF2201" s="6"/>
    </row>
    <row r="2202" spans="31:32" x14ac:dyDescent="0.2">
      <c r="AE2202" s="6"/>
      <c r="AF2202" s="6"/>
    </row>
    <row r="2203" spans="31:32" x14ac:dyDescent="0.2">
      <c r="AE2203" s="6"/>
      <c r="AF2203" s="6"/>
    </row>
    <row r="2204" spans="31:32" x14ac:dyDescent="0.2">
      <c r="AE2204" s="6"/>
      <c r="AF2204" s="6"/>
    </row>
    <row r="2205" spans="31:32" x14ac:dyDescent="0.2">
      <c r="AE2205" s="6"/>
      <c r="AF2205" s="6"/>
    </row>
    <row r="2206" spans="31:32" x14ac:dyDescent="0.2">
      <c r="AE2206" s="6"/>
      <c r="AF2206" s="6"/>
    </row>
    <row r="2207" spans="31:32" x14ac:dyDescent="0.2">
      <c r="AE2207" s="6"/>
      <c r="AF2207" s="6"/>
    </row>
    <row r="2208" spans="31:32" x14ac:dyDescent="0.2">
      <c r="AE2208" s="6"/>
      <c r="AF2208" s="6"/>
    </row>
    <row r="2209" spans="31:32" x14ac:dyDescent="0.2">
      <c r="AE2209" s="6"/>
      <c r="AF2209" s="6"/>
    </row>
    <row r="2210" spans="31:32" x14ac:dyDescent="0.2">
      <c r="AE2210" s="6"/>
      <c r="AF2210" s="6"/>
    </row>
    <row r="2211" spans="31:32" x14ac:dyDescent="0.2">
      <c r="AE2211" s="6"/>
      <c r="AF2211" s="6"/>
    </row>
    <row r="2212" spans="31:32" x14ac:dyDescent="0.2">
      <c r="AE2212" s="6"/>
      <c r="AF2212" s="6"/>
    </row>
    <row r="2213" spans="31:32" x14ac:dyDescent="0.2">
      <c r="AE2213" s="6"/>
      <c r="AF2213" s="6"/>
    </row>
    <row r="2214" spans="31:32" x14ac:dyDescent="0.2">
      <c r="AE2214" s="6"/>
      <c r="AF2214" s="6"/>
    </row>
    <row r="2215" spans="31:32" x14ac:dyDescent="0.2">
      <c r="AE2215" s="6"/>
      <c r="AF2215" s="6"/>
    </row>
    <row r="2216" spans="31:32" x14ac:dyDescent="0.2">
      <c r="AE2216" s="6"/>
      <c r="AF2216" s="6"/>
    </row>
    <row r="2217" spans="31:32" x14ac:dyDescent="0.2">
      <c r="AE2217" s="6"/>
      <c r="AF2217" s="6"/>
    </row>
    <row r="2218" spans="31:32" x14ac:dyDescent="0.2">
      <c r="AE2218" s="6"/>
      <c r="AF2218" s="6"/>
    </row>
    <row r="2219" spans="31:32" x14ac:dyDescent="0.2">
      <c r="AE2219" s="6"/>
      <c r="AF2219" s="6"/>
    </row>
    <row r="2220" spans="31:32" x14ac:dyDescent="0.2">
      <c r="AE2220" s="6"/>
      <c r="AF2220" s="6"/>
    </row>
    <row r="2221" spans="31:32" x14ac:dyDescent="0.2">
      <c r="AE2221" s="6"/>
      <c r="AF2221" s="6"/>
    </row>
    <row r="2222" spans="31:32" x14ac:dyDescent="0.2">
      <c r="AE2222" s="6"/>
      <c r="AF2222" s="6"/>
    </row>
    <row r="2223" spans="31:32" x14ac:dyDescent="0.2">
      <c r="AE2223" s="6"/>
      <c r="AF2223" s="6"/>
    </row>
    <row r="2224" spans="31:32" x14ac:dyDescent="0.2">
      <c r="AE2224" s="6"/>
      <c r="AF2224" s="6"/>
    </row>
    <row r="2225" spans="31:32" x14ac:dyDescent="0.2">
      <c r="AE2225" s="6"/>
      <c r="AF2225" s="6"/>
    </row>
    <row r="2226" spans="31:32" x14ac:dyDescent="0.2">
      <c r="AE2226" s="6"/>
      <c r="AF2226" s="6"/>
    </row>
    <row r="2227" spans="31:32" x14ac:dyDescent="0.2">
      <c r="AE2227" s="6"/>
      <c r="AF2227" s="6"/>
    </row>
    <row r="2228" spans="31:32" x14ac:dyDescent="0.2">
      <c r="AE2228" s="6"/>
      <c r="AF2228" s="6"/>
    </row>
    <row r="2229" spans="31:32" x14ac:dyDescent="0.2">
      <c r="AE2229" s="6"/>
      <c r="AF2229" s="6"/>
    </row>
    <row r="2230" spans="31:32" x14ac:dyDescent="0.2">
      <c r="AE2230" s="6"/>
      <c r="AF2230" s="6"/>
    </row>
    <row r="2231" spans="31:32" x14ac:dyDescent="0.2">
      <c r="AE2231" s="6"/>
      <c r="AF2231" s="6"/>
    </row>
    <row r="2232" spans="31:32" x14ac:dyDescent="0.2">
      <c r="AE2232" s="6"/>
      <c r="AF2232" s="6"/>
    </row>
    <row r="2233" spans="31:32" x14ac:dyDescent="0.2">
      <c r="AE2233" s="6"/>
      <c r="AF2233" s="6"/>
    </row>
    <row r="2234" spans="31:32" x14ac:dyDescent="0.2">
      <c r="AE2234" s="6"/>
      <c r="AF2234" s="6"/>
    </row>
    <row r="2235" spans="31:32" x14ac:dyDescent="0.2">
      <c r="AE2235" s="6"/>
      <c r="AF2235" s="6"/>
    </row>
    <row r="2236" spans="31:32" x14ac:dyDescent="0.2">
      <c r="AE2236" s="6"/>
      <c r="AF2236" s="6"/>
    </row>
    <row r="2237" spans="31:32" x14ac:dyDescent="0.2">
      <c r="AE2237" s="6"/>
      <c r="AF2237" s="6"/>
    </row>
    <row r="2238" spans="31:32" x14ac:dyDescent="0.2">
      <c r="AE2238" s="6"/>
      <c r="AF2238" s="6"/>
    </row>
    <row r="2239" spans="31:32" x14ac:dyDescent="0.2">
      <c r="AE2239" s="6"/>
      <c r="AF2239" s="6"/>
    </row>
    <row r="2240" spans="31:32" x14ac:dyDescent="0.2">
      <c r="AE2240" s="6"/>
      <c r="AF2240" s="6"/>
    </row>
    <row r="2241" spans="31:32" x14ac:dyDescent="0.2">
      <c r="AE2241" s="6"/>
      <c r="AF2241" s="6"/>
    </row>
    <row r="2242" spans="31:32" x14ac:dyDescent="0.2">
      <c r="AE2242" s="6"/>
      <c r="AF2242" s="6"/>
    </row>
    <row r="2243" spans="31:32" x14ac:dyDescent="0.2">
      <c r="AE2243" s="6"/>
      <c r="AF2243" s="6"/>
    </row>
    <row r="2244" spans="31:32" x14ac:dyDescent="0.2">
      <c r="AE2244" s="6"/>
      <c r="AF2244" s="6"/>
    </row>
    <row r="2245" spans="31:32" x14ac:dyDescent="0.2">
      <c r="AE2245" s="6"/>
      <c r="AF2245" s="6"/>
    </row>
    <row r="2246" spans="31:32" x14ac:dyDescent="0.2">
      <c r="AE2246" s="6"/>
      <c r="AF2246" s="6"/>
    </row>
    <row r="2247" spans="31:32" x14ac:dyDescent="0.2">
      <c r="AE2247" s="6"/>
      <c r="AF2247" s="6"/>
    </row>
    <row r="2248" spans="31:32" x14ac:dyDescent="0.2">
      <c r="AE2248" s="6"/>
      <c r="AF2248" s="6"/>
    </row>
    <row r="2249" spans="31:32" x14ac:dyDescent="0.2">
      <c r="AE2249" s="6"/>
      <c r="AF2249" s="6"/>
    </row>
    <row r="2250" spans="31:32" x14ac:dyDescent="0.2">
      <c r="AE2250" s="6"/>
      <c r="AF2250" s="6"/>
    </row>
    <row r="2251" spans="31:32" x14ac:dyDescent="0.2">
      <c r="AE2251" s="6"/>
      <c r="AF2251" s="6"/>
    </row>
    <row r="2252" spans="31:32" x14ac:dyDescent="0.2">
      <c r="AE2252" s="6"/>
      <c r="AF2252" s="6"/>
    </row>
    <row r="2253" spans="31:32" x14ac:dyDescent="0.2">
      <c r="AE2253" s="6"/>
      <c r="AF2253" s="6"/>
    </row>
    <row r="2254" spans="31:32" x14ac:dyDescent="0.2">
      <c r="AE2254" s="6"/>
      <c r="AF2254" s="6"/>
    </row>
    <row r="2255" spans="31:32" x14ac:dyDescent="0.2">
      <c r="AE2255" s="6"/>
      <c r="AF2255" s="6"/>
    </row>
    <row r="2256" spans="31:32" x14ac:dyDescent="0.2">
      <c r="AE2256" s="6"/>
      <c r="AF2256" s="6"/>
    </row>
    <row r="2257" spans="31:32" x14ac:dyDescent="0.2">
      <c r="AE2257" s="6"/>
      <c r="AF2257" s="6"/>
    </row>
    <row r="2258" spans="31:32" x14ac:dyDescent="0.2">
      <c r="AE2258" s="6"/>
      <c r="AF2258" s="6"/>
    </row>
    <row r="2259" spans="31:32" x14ac:dyDescent="0.2">
      <c r="AE2259" s="6"/>
      <c r="AF2259" s="6"/>
    </row>
    <row r="2260" spans="31:32" x14ac:dyDescent="0.2">
      <c r="AE2260" s="6"/>
      <c r="AF2260" s="6"/>
    </row>
    <row r="2261" spans="31:32" x14ac:dyDescent="0.2">
      <c r="AE2261" s="6"/>
      <c r="AF2261" s="6"/>
    </row>
    <row r="2262" spans="31:32" x14ac:dyDescent="0.2">
      <c r="AE2262" s="6"/>
      <c r="AF2262" s="6"/>
    </row>
    <row r="2263" spans="31:32" x14ac:dyDescent="0.2">
      <c r="AE2263" s="6"/>
      <c r="AF2263" s="6"/>
    </row>
    <row r="2264" spans="31:32" x14ac:dyDescent="0.2">
      <c r="AE2264" s="6"/>
      <c r="AF2264" s="6"/>
    </row>
    <row r="2265" spans="31:32" x14ac:dyDescent="0.2">
      <c r="AE2265" s="6"/>
      <c r="AF2265" s="6"/>
    </row>
    <row r="2266" spans="31:32" x14ac:dyDescent="0.2">
      <c r="AE2266" s="6"/>
      <c r="AF2266" s="6"/>
    </row>
    <row r="2267" spans="31:32" x14ac:dyDescent="0.2">
      <c r="AE2267" s="6"/>
      <c r="AF2267" s="6"/>
    </row>
    <row r="2268" spans="31:32" x14ac:dyDescent="0.2">
      <c r="AE2268" s="6"/>
      <c r="AF2268" s="6"/>
    </row>
    <row r="2269" spans="31:32" x14ac:dyDescent="0.2">
      <c r="AE2269" s="6"/>
      <c r="AF2269" s="6"/>
    </row>
    <row r="2270" spans="31:32" x14ac:dyDescent="0.2">
      <c r="AE2270" s="6"/>
      <c r="AF2270" s="6"/>
    </row>
    <row r="2271" spans="31:32" x14ac:dyDescent="0.2">
      <c r="AE2271" s="6"/>
      <c r="AF2271" s="6"/>
    </row>
    <row r="2272" spans="31:32" x14ac:dyDescent="0.2">
      <c r="AE2272" s="6"/>
      <c r="AF2272" s="6"/>
    </row>
    <row r="2273" spans="31:32" x14ac:dyDescent="0.2">
      <c r="AE2273" s="6"/>
      <c r="AF2273" s="6"/>
    </row>
    <row r="2274" spans="31:32" x14ac:dyDescent="0.2">
      <c r="AE2274" s="6"/>
      <c r="AF2274" s="6"/>
    </row>
    <row r="2275" spans="31:32" x14ac:dyDescent="0.2">
      <c r="AE2275" s="6"/>
      <c r="AF2275" s="6"/>
    </row>
    <row r="2276" spans="31:32" x14ac:dyDescent="0.2">
      <c r="AE2276" s="6"/>
      <c r="AF2276" s="6"/>
    </row>
    <row r="2277" spans="31:32" x14ac:dyDescent="0.2">
      <c r="AE2277" s="6"/>
      <c r="AF2277" s="6"/>
    </row>
    <row r="2278" spans="31:32" x14ac:dyDescent="0.2">
      <c r="AE2278" s="6"/>
      <c r="AF2278" s="6"/>
    </row>
    <row r="2279" spans="31:32" x14ac:dyDescent="0.2">
      <c r="AE2279" s="6"/>
      <c r="AF2279" s="6"/>
    </row>
    <row r="2280" spans="31:32" x14ac:dyDescent="0.2">
      <c r="AE2280" s="6"/>
      <c r="AF2280" s="6"/>
    </row>
    <row r="2281" spans="31:32" x14ac:dyDescent="0.2">
      <c r="AE2281" s="6"/>
      <c r="AF2281" s="6"/>
    </row>
    <row r="2282" spans="31:32" x14ac:dyDescent="0.2">
      <c r="AE2282" s="6"/>
      <c r="AF2282" s="6"/>
    </row>
    <row r="2283" spans="31:32" x14ac:dyDescent="0.2">
      <c r="AE2283" s="6"/>
      <c r="AF2283" s="6"/>
    </row>
    <row r="2284" spans="31:32" x14ac:dyDescent="0.2">
      <c r="AE2284" s="6"/>
      <c r="AF2284" s="6"/>
    </row>
    <row r="2285" spans="31:32" x14ac:dyDescent="0.2">
      <c r="AE2285" s="6"/>
      <c r="AF2285" s="6"/>
    </row>
    <row r="2286" spans="31:32" x14ac:dyDescent="0.2">
      <c r="AE2286" s="6"/>
      <c r="AF2286" s="6"/>
    </row>
    <row r="2287" spans="31:32" x14ac:dyDescent="0.2">
      <c r="AE2287" s="6"/>
      <c r="AF2287" s="6"/>
    </row>
    <row r="2288" spans="31:32" x14ac:dyDescent="0.2">
      <c r="AE2288" s="6"/>
      <c r="AF2288" s="6"/>
    </row>
    <row r="2289" spans="31:32" x14ac:dyDescent="0.2">
      <c r="AE2289" s="6"/>
      <c r="AF2289" s="6"/>
    </row>
    <row r="2290" spans="31:32" x14ac:dyDescent="0.2">
      <c r="AE2290" s="6"/>
      <c r="AF2290" s="6"/>
    </row>
    <row r="2291" spans="31:32" x14ac:dyDescent="0.2">
      <c r="AE2291" s="6"/>
      <c r="AF2291" s="6"/>
    </row>
    <row r="2292" spans="31:32" x14ac:dyDescent="0.2">
      <c r="AE2292" s="6"/>
      <c r="AF2292" s="6"/>
    </row>
    <row r="2293" spans="31:32" x14ac:dyDescent="0.2">
      <c r="AE2293" s="6"/>
      <c r="AF2293" s="6"/>
    </row>
    <row r="2294" spans="31:32" x14ac:dyDescent="0.2">
      <c r="AE2294" s="6"/>
      <c r="AF2294" s="6"/>
    </row>
    <row r="2295" spans="31:32" x14ac:dyDescent="0.2">
      <c r="AE2295" s="6"/>
      <c r="AF2295" s="6"/>
    </row>
    <row r="2296" spans="31:32" x14ac:dyDescent="0.2">
      <c r="AE2296" s="6"/>
      <c r="AF2296" s="6"/>
    </row>
    <row r="2297" spans="31:32" x14ac:dyDescent="0.2">
      <c r="AE2297" s="6"/>
      <c r="AF2297" s="6"/>
    </row>
    <row r="2298" spans="31:32" x14ac:dyDescent="0.2">
      <c r="AE2298" s="6"/>
      <c r="AF2298" s="6"/>
    </row>
    <row r="2299" spans="31:32" x14ac:dyDescent="0.2">
      <c r="AE2299" s="6"/>
      <c r="AF2299" s="6"/>
    </row>
    <row r="2300" spans="31:32" x14ac:dyDescent="0.2">
      <c r="AE2300" s="6"/>
      <c r="AF2300" s="6"/>
    </row>
    <row r="2301" spans="31:32" x14ac:dyDescent="0.2">
      <c r="AE2301" s="6"/>
      <c r="AF2301" s="6"/>
    </row>
    <row r="2302" spans="31:32" x14ac:dyDescent="0.2">
      <c r="AE2302" s="6"/>
      <c r="AF2302" s="6"/>
    </row>
    <row r="2303" spans="31:32" x14ac:dyDescent="0.2">
      <c r="AE2303" s="6"/>
      <c r="AF2303" s="6"/>
    </row>
    <row r="2304" spans="31:32" x14ac:dyDescent="0.2">
      <c r="AE2304" s="6"/>
      <c r="AF2304" s="6"/>
    </row>
    <row r="2305" spans="31:32" x14ac:dyDescent="0.2">
      <c r="AE2305" s="6"/>
      <c r="AF2305" s="6"/>
    </row>
    <row r="2306" spans="31:32" x14ac:dyDescent="0.2">
      <c r="AE2306" s="6"/>
      <c r="AF2306" s="6"/>
    </row>
    <row r="2307" spans="31:32" x14ac:dyDescent="0.2">
      <c r="AE2307" s="6"/>
      <c r="AF2307" s="6"/>
    </row>
    <row r="2308" spans="31:32" x14ac:dyDescent="0.2">
      <c r="AE2308" s="6"/>
      <c r="AF2308" s="6"/>
    </row>
    <row r="2309" spans="31:32" x14ac:dyDescent="0.2">
      <c r="AE2309" s="6"/>
      <c r="AF2309" s="6"/>
    </row>
    <row r="2310" spans="31:32" x14ac:dyDescent="0.2">
      <c r="AE2310" s="6"/>
      <c r="AF2310" s="6"/>
    </row>
    <row r="2311" spans="31:32" x14ac:dyDescent="0.2">
      <c r="AE2311" s="6"/>
      <c r="AF2311" s="6"/>
    </row>
    <row r="2312" spans="31:32" x14ac:dyDescent="0.2">
      <c r="AE2312" s="6"/>
      <c r="AF2312" s="6"/>
    </row>
    <row r="2313" spans="31:32" x14ac:dyDescent="0.2">
      <c r="AE2313" s="6"/>
      <c r="AF2313" s="6"/>
    </row>
    <row r="2314" spans="31:32" x14ac:dyDescent="0.2">
      <c r="AE2314" s="6"/>
      <c r="AF2314" s="6"/>
    </row>
    <row r="2315" spans="31:32" x14ac:dyDescent="0.2">
      <c r="AE2315" s="6"/>
      <c r="AF2315" s="6"/>
    </row>
    <row r="2316" spans="31:32" x14ac:dyDescent="0.2">
      <c r="AE2316" s="6"/>
      <c r="AF2316" s="6"/>
    </row>
    <row r="2317" spans="31:32" x14ac:dyDescent="0.2">
      <c r="AE2317" s="6"/>
      <c r="AF2317" s="6"/>
    </row>
    <row r="2318" spans="31:32" x14ac:dyDescent="0.2">
      <c r="AE2318" s="6"/>
      <c r="AF2318" s="6"/>
    </row>
    <row r="2319" spans="31:32" x14ac:dyDescent="0.2">
      <c r="AE2319" s="6"/>
      <c r="AF2319" s="6"/>
    </row>
    <row r="2320" spans="31:32" x14ac:dyDescent="0.2">
      <c r="AE2320" s="6"/>
      <c r="AF2320" s="6"/>
    </row>
    <row r="2321" spans="31:32" x14ac:dyDescent="0.2">
      <c r="AE2321" s="6"/>
      <c r="AF2321" s="6"/>
    </row>
    <row r="2322" spans="31:32" x14ac:dyDescent="0.2">
      <c r="AE2322" s="6"/>
      <c r="AF2322" s="6"/>
    </row>
    <row r="2323" spans="31:32" x14ac:dyDescent="0.2">
      <c r="AE2323" s="6"/>
      <c r="AF2323" s="6"/>
    </row>
    <row r="2324" spans="31:32" x14ac:dyDescent="0.2">
      <c r="AE2324" s="6"/>
      <c r="AF2324" s="6"/>
    </row>
    <row r="2325" spans="31:32" x14ac:dyDescent="0.2">
      <c r="AE2325" s="6"/>
      <c r="AF2325" s="6"/>
    </row>
    <row r="2326" spans="31:32" x14ac:dyDescent="0.2">
      <c r="AE2326" s="6"/>
      <c r="AF2326" s="6"/>
    </row>
    <row r="2327" spans="31:32" x14ac:dyDescent="0.2">
      <c r="AE2327" s="6"/>
      <c r="AF2327" s="6"/>
    </row>
    <row r="2328" spans="31:32" x14ac:dyDescent="0.2">
      <c r="AE2328" s="6"/>
      <c r="AF2328" s="6"/>
    </row>
    <row r="2329" spans="31:32" x14ac:dyDescent="0.2">
      <c r="AE2329" s="6"/>
      <c r="AF2329" s="6"/>
    </row>
    <row r="2330" spans="31:32" x14ac:dyDescent="0.2">
      <c r="AE2330" s="6"/>
      <c r="AF2330" s="6"/>
    </row>
    <row r="2331" spans="31:32" x14ac:dyDescent="0.2">
      <c r="AE2331" s="6"/>
      <c r="AF2331" s="6"/>
    </row>
    <row r="2332" spans="31:32" x14ac:dyDescent="0.2">
      <c r="AE2332" s="6"/>
      <c r="AF2332" s="6"/>
    </row>
    <row r="2333" spans="31:32" x14ac:dyDescent="0.2">
      <c r="AE2333" s="6"/>
      <c r="AF2333" s="6"/>
    </row>
    <row r="2334" spans="31:32" x14ac:dyDescent="0.2">
      <c r="AE2334" s="6"/>
      <c r="AF2334" s="6"/>
    </row>
    <row r="2335" spans="31:32" x14ac:dyDescent="0.2">
      <c r="AE2335" s="6"/>
      <c r="AF2335" s="6"/>
    </row>
    <row r="2336" spans="31:32" x14ac:dyDescent="0.2">
      <c r="AE2336" s="6"/>
      <c r="AF2336" s="6"/>
    </row>
    <row r="2337" spans="31:32" x14ac:dyDescent="0.2">
      <c r="AE2337" s="6"/>
      <c r="AF2337" s="6"/>
    </row>
    <row r="2338" spans="31:32" x14ac:dyDescent="0.2">
      <c r="AE2338" s="6"/>
      <c r="AF2338" s="6"/>
    </row>
    <row r="2339" spans="31:32" x14ac:dyDescent="0.2">
      <c r="AE2339" s="6"/>
      <c r="AF2339" s="6"/>
    </row>
    <row r="2340" spans="31:32" x14ac:dyDescent="0.2">
      <c r="AE2340" s="6"/>
      <c r="AF2340" s="6"/>
    </row>
    <row r="2341" spans="31:32" x14ac:dyDescent="0.2">
      <c r="AE2341" s="6"/>
      <c r="AF2341" s="6"/>
    </row>
    <row r="2342" spans="31:32" x14ac:dyDescent="0.2">
      <c r="AE2342" s="6"/>
      <c r="AF2342" s="6"/>
    </row>
    <row r="2343" spans="31:32" x14ac:dyDescent="0.2">
      <c r="AE2343" s="6"/>
      <c r="AF2343" s="6"/>
    </row>
    <row r="2344" spans="31:32" x14ac:dyDescent="0.2">
      <c r="AE2344" s="6"/>
      <c r="AF2344" s="6"/>
    </row>
    <row r="2345" spans="31:32" x14ac:dyDescent="0.2">
      <c r="AE2345" s="6"/>
      <c r="AF2345" s="6"/>
    </row>
    <row r="2346" spans="31:32" x14ac:dyDescent="0.2">
      <c r="AE2346" s="6"/>
      <c r="AF2346" s="6"/>
    </row>
    <row r="2347" spans="31:32" x14ac:dyDescent="0.2">
      <c r="AE2347" s="6"/>
      <c r="AF2347" s="6"/>
    </row>
    <row r="2348" spans="31:32" x14ac:dyDescent="0.2">
      <c r="AE2348" s="6"/>
      <c r="AF2348" s="6"/>
    </row>
  </sheetData>
  <sheetProtection algorithmName="SHA-512" hashValue="8H2DQbKkyApshx4OvZowI5N81dfSgE0mQaIVOl4la729ATWKTDN83d5KTCDC1c12P6YwZMtwFkMAAXvB9CgT6Q==" saltValue="KA899SqSqphTvejJiNIG0g==" spinCount="100000" sheet="1" selectLockedCells="1"/>
  <mergeCells count="4">
    <mergeCell ref="D6:L6"/>
    <mergeCell ref="P41:P42"/>
    <mergeCell ref="AG41:AG42"/>
    <mergeCell ref="Y50:Y51"/>
  </mergeCells>
  <hyperlinks>
    <hyperlink ref="A1" location="Cockpit!A1" display="zurück zu Cockpit" xr:uid="{136363FD-0D7B-4E0E-AAC6-A77BFF1523F6}"/>
  </hyperlinks>
  <printOptions horizontalCentered="1"/>
  <pageMargins left="0.39370078740157483" right="0.39370078740157483" top="0.39370078740157483" bottom="0.59055118110236227" header="0.19685039370078741" footer="0.19685039370078741"/>
  <pageSetup paperSize="9" scale="36" fitToWidth="2" orientation="portrait" verticalDpi="601" r:id="rId1"/>
  <colBreaks count="3" manualBreakCount="3">
    <brk id="13" max="74" man="1"/>
    <brk id="22" max="74" man="1"/>
    <brk id="30"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Check Box 1">
              <controlPr defaultSize="0" autoFill="0" autoLine="0" autoPict="0">
                <anchor moveWithCells="1">
                  <from>
                    <xdr:col>15</xdr:col>
                    <xdr:colOff>523875</xdr:colOff>
                    <xdr:row>42</xdr:row>
                    <xdr:rowOff>28575</xdr:rowOff>
                  </from>
                  <to>
                    <xdr:col>15</xdr:col>
                    <xdr:colOff>704850</xdr:colOff>
                    <xdr:row>43</xdr:row>
                    <xdr:rowOff>0</xdr:rowOff>
                  </to>
                </anchor>
              </controlPr>
            </control>
          </mc:Choice>
        </mc:AlternateContent>
        <mc:AlternateContent xmlns:mc="http://schemas.openxmlformats.org/markup-compatibility/2006">
          <mc:Choice Requires="x14">
            <control shapeId="105474" r:id="rId5" name="Check Box 2">
              <controlPr defaultSize="0" autoFill="0" autoLine="0" autoPict="0">
                <anchor moveWithCells="1">
                  <from>
                    <xdr:col>15</xdr:col>
                    <xdr:colOff>523875</xdr:colOff>
                    <xdr:row>43</xdr:row>
                    <xdr:rowOff>28575</xdr:rowOff>
                  </from>
                  <to>
                    <xdr:col>15</xdr:col>
                    <xdr:colOff>704850</xdr:colOff>
                    <xdr:row>43</xdr:row>
                    <xdr:rowOff>190500</xdr:rowOff>
                  </to>
                </anchor>
              </controlPr>
            </control>
          </mc:Choice>
        </mc:AlternateContent>
        <mc:AlternateContent xmlns:mc="http://schemas.openxmlformats.org/markup-compatibility/2006">
          <mc:Choice Requires="x14">
            <control shapeId="105475" r:id="rId6" name="Check Box 3">
              <controlPr defaultSize="0" autoFill="0" autoLine="0" autoPict="0">
                <anchor moveWithCells="1">
                  <from>
                    <xdr:col>15</xdr:col>
                    <xdr:colOff>523875</xdr:colOff>
                    <xdr:row>44</xdr:row>
                    <xdr:rowOff>28575</xdr:rowOff>
                  </from>
                  <to>
                    <xdr:col>15</xdr:col>
                    <xdr:colOff>704850</xdr:colOff>
                    <xdr:row>44</xdr:row>
                    <xdr:rowOff>180975</xdr:rowOff>
                  </to>
                </anchor>
              </controlPr>
            </control>
          </mc:Choice>
        </mc:AlternateContent>
        <mc:AlternateContent xmlns:mc="http://schemas.openxmlformats.org/markup-compatibility/2006">
          <mc:Choice Requires="x14">
            <control shapeId="105476" r:id="rId7" name="Check Box 4">
              <controlPr defaultSize="0" autoFill="0" autoLine="0" autoPict="0">
                <anchor moveWithCells="1">
                  <from>
                    <xdr:col>15</xdr:col>
                    <xdr:colOff>523875</xdr:colOff>
                    <xdr:row>45</xdr:row>
                    <xdr:rowOff>19050</xdr:rowOff>
                  </from>
                  <to>
                    <xdr:col>15</xdr:col>
                    <xdr:colOff>704850</xdr:colOff>
                    <xdr:row>45</xdr:row>
                    <xdr:rowOff>190500</xdr:rowOff>
                  </to>
                </anchor>
              </controlPr>
            </control>
          </mc:Choice>
        </mc:AlternateContent>
        <mc:AlternateContent xmlns:mc="http://schemas.openxmlformats.org/markup-compatibility/2006">
          <mc:Choice Requires="x14">
            <control shapeId="105477" r:id="rId8" name="Check Box 5">
              <controlPr defaultSize="0" autoFill="0" autoLine="0" autoPict="0">
                <anchor moveWithCells="1">
                  <from>
                    <xdr:col>15</xdr:col>
                    <xdr:colOff>523875</xdr:colOff>
                    <xdr:row>46</xdr:row>
                    <xdr:rowOff>19050</xdr:rowOff>
                  </from>
                  <to>
                    <xdr:col>15</xdr:col>
                    <xdr:colOff>704850</xdr:colOff>
                    <xdr:row>46</xdr:row>
                    <xdr:rowOff>180975</xdr:rowOff>
                  </to>
                </anchor>
              </controlPr>
            </control>
          </mc:Choice>
        </mc:AlternateContent>
        <mc:AlternateContent xmlns:mc="http://schemas.openxmlformats.org/markup-compatibility/2006">
          <mc:Choice Requires="x14">
            <control shapeId="105478" r:id="rId9" name="Check Box 6">
              <controlPr defaultSize="0" autoFill="0" autoLine="0" autoPict="0">
                <anchor moveWithCells="1">
                  <from>
                    <xdr:col>15</xdr:col>
                    <xdr:colOff>523875</xdr:colOff>
                    <xdr:row>47</xdr:row>
                    <xdr:rowOff>0</xdr:rowOff>
                  </from>
                  <to>
                    <xdr:col>15</xdr:col>
                    <xdr:colOff>704850</xdr:colOff>
                    <xdr:row>47</xdr:row>
                    <xdr:rowOff>180975</xdr:rowOff>
                  </to>
                </anchor>
              </controlPr>
            </control>
          </mc:Choice>
        </mc:AlternateContent>
        <mc:AlternateContent xmlns:mc="http://schemas.openxmlformats.org/markup-compatibility/2006">
          <mc:Choice Requires="x14">
            <control shapeId="105479" r:id="rId10" name="Check Box 7">
              <controlPr defaultSize="0" autoFill="0" autoLine="0" autoPict="0">
                <anchor moveWithCells="1">
                  <from>
                    <xdr:col>15</xdr:col>
                    <xdr:colOff>523875</xdr:colOff>
                    <xdr:row>48</xdr:row>
                    <xdr:rowOff>9525</xdr:rowOff>
                  </from>
                  <to>
                    <xdr:col>15</xdr:col>
                    <xdr:colOff>704850</xdr:colOff>
                    <xdr:row>48</xdr:row>
                    <xdr:rowOff>190500</xdr:rowOff>
                  </to>
                </anchor>
              </controlPr>
            </control>
          </mc:Choice>
        </mc:AlternateContent>
        <mc:AlternateContent xmlns:mc="http://schemas.openxmlformats.org/markup-compatibility/2006">
          <mc:Choice Requires="x14">
            <control shapeId="105480" r:id="rId11" name="Check Box 8">
              <controlPr defaultSize="0" autoFill="0" autoLine="0" autoPict="0">
                <anchor moveWithCells="1">
                  <from>
                    <xdr:col>32</xdr:col>
                    <xdr:colOff>457200</xdr:colOff>
                    <xdr:row>53</xdr:row>
                    <xdr:rowOff>0</xdr:rowOff>
                  </from>
                  <to>
                    <xdr:col>32</xdr:col>
                    <xdr:colOff>676275</xdr:colOff>
                    <xdr:row>53</xdr:row>
                    <xdr:rowOff>180975</xdr:rowOff>
                  </to>
                </anchor>
              </controlPr>
            </control>
          </mc:Choice>
        </mc:AlternateContent>
        <mc:AlternateContent xmlns:mc="http://schemas.openxmlformats.org/markup-compatibility/2006">
          <mc:Choice Requires="x14">
            <control shapeId="105481" r:id="rId12" name="Check Box 9">
              <controlPr defaultSize="0" autoFill="0" autoLine="0" autoPict="0">
                <anchor moveWithCells="1">
                  <from>
                    <xdr:col>32</xdr:col>
                    <xdr:colOff>571500</xdr:colOff>
                    <xdr:row>54</xdr:row>
                    <xdr:rowOff>19050</xdr:rowOff>
                  </from>
                  <to>
                    <xdr:col>33</xdr:col>
                    <xdr:colOff>0</xdr:colOff>
                    <xdr:row>55</xdr:row>
                    <xdr:rowOff>0</xdr:rowOff>
                  </to>
                </anchor>
              </controlPr>
            </control>
          </mc:Choice>
        </mc:AlternateContent>
        <mc:AlternateContent xmlns:mc="http://schemas.openxmlformats.org/markup-compatibility/2006">
          <mc:Choice Requires="x14">
            <control shapeId="105482" r:id="rId13" name="Check Box 10">
              <controlPr defaultSize="0" autoFill="0" autoLine="0" autoPict="0">
                <anchor moveWithCells="1">
                  <from>
                    <xdr:col>32</xdr:col>
                    <xdr:colOff>571500</xdr:colOff>
                    <xdr:row>55</xdr:row>
                    <xdr:rowOff>19050</xdr:rowOff>
                  </from>
                  <to>
                    <xdr:col>33</xdr:col>
                    <xdr:colOff>0</xdr:colOff>
                    <xdr:row>56</xdr:row>
                    <xdr:rowOff>0</xdr:rowOff>
                  </to>
                </anchor>
              </controlPr>
            </control>
          </mc:Choice>
        </mc:AlternateContent>
        <mc:AlternateContent xmlns:mc="http://schemas.openxmlformats.org/markup-compatibility/2006">
          <mc:Choice Requires="x14">
            <control shapeId="105483" r:id="rId14" name="Check Box 11">
              <controlPr defaultSize="0" autoFill="0" autoLine="0" autoPict="0">
                <anchor moveWithCells="1">
                  <from>
                    <xdr:col>32</xdr:col>
                    <xdr:colOff>571500</xdr:colOff>
                    <xdr:row>56</xdr:row>
                    <xdr:rowOff>9525</xdr:rowOff>
                  </from>
                  <to>
                    <xdr:col>33</xdr:col>
                    <xdr:colOff>0</xdr:colOff>
                    <xdr:row>56</xdr:row>
                    <xdr:rowOff>190500</xdr:rowOff>
                  </to>
                </anchor>
              </controlPr>
            </control>
          </mc:Choice>
        </mc:AlternateContent>
        <mc:AlternateContent xmlns:mc="http://schemas.openxmlformats.org/markup-compatibility/2006">
          <mc:Choice Requires="x14">
            <control shapeId="105484" r:id="rId15" name="Check Box 12">
              <controlPr defaultSize="0" autoFill="0" autoLine="0" autoPict="0">
                <anchor moveWithCells="1">
                  <from>
                    <xdr:col>32</xdr:col>
                    <xdr:colOff>457200</xdr:colOff>
                    <xdr:row>51</xdr:row>
                    <xdr:rowOff>9525</xdr:rowOff>
                  </from>
                  <to>
                    <xdr:col>32</xdr:col>
                    <xdr:colOff>676275</xdr:colOff>
                    <xdr:row>52</xdr:row>
                    <xdr:rowOff>9525</xdr:rowOff>
                  </to>
                </anchor>
              </controlPr>
            </control>
          </mc:Choice>
        </mc:AlternateContent>
        <mc:AlternateContent xmlns:mc="http://schemas.openxmlformats.org/markup-compatibility/2006">
          <mc:Choice Requires="x14">
            <control shapeId="105485" r:id="rId16" name="Check Box 13">
              <controlPr defaultSize="0" autoFill="0" autoLine="0" autoPict="0">
                <anchor moveWithCells="1">
                  <from>
                    <xdr:col>32</xdr:col>
                    <xdr:colOff>457200</xdr:colOff>
                    <xdr:row>50</xdr:row>
                    <xdr:rowOff>0</xdr:rowOff>
                  </from>
                  <to>
                    <xdr:col>32</xdr:col>
                    <xdr:colOff>676275</xdr:colOff>
                    <xdr:row>51</xdr:row>
                    <xdr:rowOff>9525</xdr:rowOff>
                  </to>
                </anchor>
              </controlPr>
            </control>
          </mc:Choice>
        </mc:AlternateContent>
        <mc:AlternateContent xmlns:mc="http://schemas.openxmlformats.org/markup-compatibility/2006">
          <mc:Choice Requires="x14">
            <control shapeId="105486" r:id="rId17" name="Check Box 14">
              <controlPr defaultSize="0" autoFill="0" autoLine="0" autoPict="0">
                <anchor moveWithCells="1">
                  <from>
                    <xdr:col>32</xdr:col>
                    <xdr:colOff>457200</xdr:colOff>
                    <xdr:row>52</xdr:row>
                    <xdr:rowOff>9525</xdr:rowOff>
                  </from>
                  <to>
                    <xdr:col>32</xdr:col>
                    <xdr:colOff>676275</xdr:colOff>
                    <xdr:row>53</xdr:row>
                    <xdr:rowOff>0</xdr:rowOff>
                  </to>
                </anchor>
              </controlPr>
            </control>
          </mc:Choice>
        </mc:AlternateContent>
        <mc:AlternateContent xmlns:mc="http://schemas.openxmlformats.org/markup-compatibility/2006">
          <mc:Choice Requires="x14">
            <control shapeId="105487" r:id="rId18" name="Check Box 15">
              <controlPr defaultSize="0" autoFill="0" autoLine="0" autoPict="0">
                <anchor moveWithCells="1">
                  <from>
                    <xdr:col>24</xdr:col>
                    <xdr:colOff>514350</xdr:colOff>
                    <xdr:row>50</xdr:row>
                    <xdr:rowOff>152400</xdr:rowOff>
                  </from>
                  <to>
                    <xdr:col>24</xdr:col>
                    <xdr:colOff>723900</xdr:colOff>
                    <xdr:row>52</xdr:row>
                    <xdr:rowOff>0</xdr:rowOff>
                  </to>
                </anchor>
              </controlPr>
            </control>
          </mc:Choice>
        </mc:AlternateContent>
        <mc:AlternateContent xmlns:mc="http://schemas.openxmlformats.org/markup-compatibility/2006">
          <mc:Choice Requires="x14">
            <control shapeId="105488" r:id="rId19" name="Check Box 16">
              <controlPr defaultSize="0" autoFill="0" autoLine="0" autoPict="0">
                <anchor moveWithCells="1">
                  <from>
                    <xdr:col>24</xdr:col>
                    <xdr:colOff>514350</xdr:colOff>
                    <xdr:row>51</xdr:row>
                    <xdr:rowOff>171450</xdr:rowOff>
                  </from>
                  <to>
                    <xdr:col>24</xdr:col>
                    <xdr:colOff>723900</xdr:colOff>
                    <xdr:row>52</xdr:row>
                    <xdr:rowOff>190500</xdr:rowOff>
                  </to>
                </anchor>
              </controlPr>
            </control>
          </mc:Choice>
        </mc:AlternateContent>
        <mc:AlternateContent xmlns:mc="http://schemas.openxmlformats.org/markup-compatibility/2006">
          <mc:Choice Requires="x14">
            <control shapeId="105489" r:id="rId20" name="Check Box 17">
              <controlPr defaultSize="0" autoFill="0" autoLine="0" autoPict="0">
                <anchor moveWithCells="1">
                  <from>
                    <xdr:col>24</xdr:col>
                    <xdr:colOff>514350</xdr:colOff>
                    <xdr:row>52</xdr:row>
                    <xdr:rowOff>180975</xdr:rowOff>
                  </from>
                  <to>
                    <xdr:col>24</xdr:col>
                    <xdr:colOff>723900</xdr:colOff>
                    <xdr:row>53</xdr:row>
                    <xdr:rowOff>190500</xdr:rowOff>
                  </to>
                </anchor>
              </controlPr>
            </control>
          </mc:Choice>
        </mc:AlternateContent>
        <mc:AlternateContent xmlns:mc="http://schemas.openxmlformats.org/markup-compatibility/2006">
          <mc:Choice Requires="x14">
            <control shapeId="105490" r:id="rId21" name="Check Box 18">
              <controlPr defaultSize="0" autoFill="0" autoLine="0" autoPict="0">
                <anchor moveWithCells="1">
                  <from>
                    <xdr:col>24</xdr:col>
                    <xdr:colOff>514350</xdr:colOff>
                    <xdr:row>53</xdr:row>
                    <xdr:rowOff>180975</xdr:rowOff>
                  </from>
                  <to>
                    <xdr:col>24</xdr:col>
                    <xdr:colOff>723900</xdr:colOff>
                    <xdr:row>55</xdr:row>
                    <xdr:rowOff>0</xdr:rowOff>
                  </to>
                </anchor>
              </controlPr>
            </control>
          </mc:Choice>
        </mc:AlternateContent>
        <mc:AlternateContent xmlns:mc="http://schemas.openxmlformats.org/markup-compatibility/2006">
          <mc:Choice Requires="x14">
            <control shapeId="105491" r:id="rId22" name="Check Box 19">
              <controlPr defaultSize="0" autoFill="0" autoLine="0" autoPict="0">
                <anchor moveWithCells="1">
                  <from>
                    <xdr:col>24</xdr:col>
                    <xdr:colOff>514350</xdr:colOff>
                    <xdr:row>54</xdr:row>
                    <xdr:rowOff>180975</xdr:rowOff>
                  </from>
                  <to>
                    <xdr:col>24</xdr:col>
                    <xdr:colOff>723900</xdr:colOff>
                    <xdr:row>56</xdr:row>
                    <xdr:rowOff>0</xdr:rowOff>
                  </to>
                </anchor>
              </controlPr>
            </control>
          </mc:Choice>
        </mc:AlternateContent>
        <mc:AlternateContent xmlns:mc="http://schemas.openxmlformats.org/markup-compatibility/2006">
          <mc:Choice Requires="x14">
            <control shapeId="105492" r:id="rId23" name="Check Box 20">
              <controlPr defaultSize="0" autoFill="0" autoLine="0" autoPict="0">
                <anchor moveWithCells="1">
                  <from>
                    <xdr:col>24</xdr:col>
                    <xdr:colOff>514350</xdr:colOff>
                    <xdr:row>55</xdr:row>
                    <xdr:rowOff>180975</xdr:rowOff>
                  </from>
                  <to>
                    <xdr:col>24</xdr:col>
                    <xdr:colOff>723900</xdr:colOff>
                    <xdr:row>57</xdr:row>
                    <xdr:rowOff>0</xdr:rowOff>
                  </to>
                </anchor>
              </controlPr>
            </control>
          </mc:Choice>
        </mc:AlternateContent>
        <mc:AlternateContent xmlns:mc="http://schemas.openxmlformats.org/markup-compatibility/2006">
          <mc:Choice Requires="x14">
            <control shapeId="105493" r:id="rId24" name="Check Box 21">
              <controlPr defaultSize="0" autoFill="0" autoLine="0" autoPict="0">
                <anchor moveWithCells="1">
                  <from>
                    <xdr:col>24</xdr:col>
                    <xdr:colOff>514350</xdr:colOff>
                    <xdr:row>56</xdr:row>
                    <xdr:rowOff>180975</xdr:rowOff>
                  </from>
                  <to>
                    <xdr:col>24</xdr:col>
                    <xdr:colOff>723900</xdr:colOff>
                    <xdr:row>58</xdr:row>
                    <xdr:rowOff>0</xdr:rowOff>
                  </to>
                </anchor>
              </controlPr>
            </control>
          </mc:Choice>
        </mc:AlternateContent>
        <mc:AlternateContent xmlns:mc="http://schemas.openxmlformats.org/markup-compatibility/2006">
          <mc:Choice Requires="x14">
            <control shapeId="105494" r:id="rId25" name="Check Box 22">
              <controlPr defaultSize="0" autoFill="0" autoLine="0" autoPict="0">
                <anchor moveWithCells="1">
                  <from>
                    <xdr:col>24</xdr:col>
                    <xdr:colOff>514350</xdr:colOff>
                    <xdr:row>57</xdr:row>
                    <xdr:rowOff>190500</xdr:rowOff>
                  </from>
                  <to>
                    <xdr:col>24</xdr:col>
                    <xdr:colOff>723900</xdr:colOff>
                    <xdr:row>58</xdr:row>
                    <xdr:rowOff>190500</xdr:rowOff>
                  </to>
                </anchor>
              </controlPr>
            </control>
          </mc:Choice>
        </mc:AlternateContent>
        <mc:AlternateContent xmlns:mc="http://schemas.openxmlformats.org/markup-compatibility/2006">
          <mc:Choice Requires="x14">
            <control shapeId="105495" r:id="rId26" name="Check Box 23">
              <controlPr defaultSize="0" autoFill="0" autoLine="0" autoPict="0">
                <anchor moveWithCells="1">
                  <from>
                    <xdr:col>24</xdr:col>
                    <xdr:colOff>514350</xdr:colOff>
                    <xdr:row>58</xdr:row>
                    <xdr:rowOff>180975</xdr:rowOff>
                  </from>
                  <to>
                    <xdr:col>24</xdr:col>
                    <xdr:colOff>723900</xdr:colOff>
                    <xdr:row>60</xdr:row>
                    <xdr:rowOff>0</xdr:rowOff>
                  </to>
                </anchor>
              </controlPr>
            </control>
          </mc:Choice>
        </mc:AlternateContent>
        <mc:AlternateContent xmlns:mc="http://schemas.openxmlformats.org/markup-compatibility/2006">
          <mc:Choice Requires="x14">
            <control shapeId="105496" r:id="rId27" name="Check Box 24">
              <controlPr defaultSize="0" autoFill="0" autoLine="0" autoPict="0">
                <anchor moveWithCells="1">
                  <from>
                    <xdr:col>24</xdr:col>
                    <xdr:colOff>514350</xdr:colOff>
                    <xdr:row>59</xdr:row>
                    <xdr:rowOff>171450</xdr:rowOff>
                  </from>
                  <to>
                    <xdr:col>24</xdr:col>
                    <xdr:colOff>723900</xdr:colOff>
                    <xdr:row>60</xdr:row>
                    <xdr:rowOff>200025</xdr:rowOff>
                  </to>
                </anchor>
              </controlPr>
            </control>
          </mc:Choice>
        </mc:AlternateContent>
        <mc:AlternateContent xmlns:mc="http://schemas.openxmlformats.org/markup-compatibility/2006">
          <mc:Choice Requires="x14">
            <control shapeId="105497" r:id="rId28" name="Check Box 25">
              <controlPr defaultSize="0" autoFill="0" autoLine="0" autoPict="0">
                <anchor moveWithCells="1">
                  <from>
                    <xdr:col>24</xdr:col>
                    <xdr:colOff>514350</xdr:colOff>
                    <xdr:row>60</xdr:row>
                    <xdr:rowOff>171450</xdr:rowOff>
                  </from>
                  <to>
                    <xdr:col>24</xdr:col>
                    <xdr:colOff>723900</xdr:colOff>
                    <xdr:row>61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ErrorMessage="1" promptTitle="Grünstrom" prompt="Bitte eine Grünstrom-Quelle auswählen" xr:uid="{36D7DD42-E542-4E56-9013-0E3552F15C81}">
          <x14:formula1>
            <xm:f>'Drop-Down'!$B$3:$B$6</xm:f>
          </x14:formula1>
          <xm:sqref>G16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08BDB-4816-457B-A7A0-8609ABEBB895}">
  <dimension ref="A1:AQ277"/>
  <sheetViews>
    <sheetView workbookViewId="0"/>
  </sheetViews>
  <sheetFormatPr baseColWidth="10" defaultColWidth="9" defaultRowHeight="12.75" outlineLevelRow="1" x14ac:dyDescent="0.2"/>
  <cols>
    <col min="1" max="1" width="4.75" style="6" customWidth="1"/>
    <col min="2" max="2" width="2.25" style="6" customWidth="1"/>
    <col min="3" max="3" width="9.875" style="6" customWidth="1"/>
    <col min="4" max="4" width="39.5" style="6" customWidth="1"/>
    <col min="5" max="5" width="11" style="6" customWidth="1"/>
    <col min="6" max="7" width="10.375" style="6" customWidth="1"/>
    <col min="8" max="9" width="9" style="6" customWidth="1"/>
    <col min="10" max="11" width="10.75" style="6" customWidth="1"/>
    <col min="12" max="12" width="43" style="6" customWidth="1"/>
    <col min="13" max="13" width="10.75" style="6" customWidth="1"/>
    <col min="14" max="14" width="2.75" style="6" customWidth="1"/>
    <col min="15" max="15" width="2.25" style="6" customWidth="1"/>
    <col min="16" max="16" width="9.875" style="6" customWidth="1"/>
    <col min="17" max="17" width="39.5" style="6" customWidth="1"/>
    <col min="18" max="18" width="9" style="6"/>
    <col min="19" max="19" width="10.375" style="6" customWidth="1"/>
    <col min="20" max="20" width="10.125" style="6" customWidth="1"/>
    <col min="21" max="21" width="9" style="6"/>
    <col min="22" max="22" width="10.5" style="6" customWidth="1"/>
    <col min="23" max="23" width="3.375" style="6" customWidth="1"/>
    <col min="24" max="24" width="4" style="6" customWidth="1"/>
    <col min="25" max="25" width="10.5" style="6" customWidth="1"/>
    <col min="26" max="26" width="43" style="6" bestFit="1" customWidth="1"/>
    <col min="27" max="29" width="9" style="6"/>
    <col min="30" max="30" width="12" style="6" customWidth="1"/>
    <col min="31" max="31" width="3.625" style="6" customWidth="1"/>
    <col min="32" max="32" width="3.25" style="6" customWidth="1"/>
    <col min="33" max="33" width="4.75" style="6" customWidth="1"/>
    <col min="34" max="34" width="10.375" style="6" customWidth="1"/>
    <col min="35" max="35" width="31.5" style="6" bestFit="1" customWidth="1"/>
    <col min="36" max="36" width="9" style="6"/>
    <col min="37" max="37" width="11.75" style="6" bestFit="1" customWidth="1"/>
    <col min="38" max="38" width="10" style="6" bestFit="1" customWidth="1"/>
    <col min="39" max="39" width="9" style="6"/>
    <col min="40" max="40" width="9" style="6" customWidth="1"/>
    <col min="41" max="16384" width="9" style="6"/>
  </cols>
  <sheetData>
    <row r="1" spans="1:42" s="2" customFormat="1" x14ac:dyDescent="0.2">
      <c r="A1" s="428" t="s">
        <v>467</v>
      </c>
      <c r="B1" s="418"/>
      <c r="C1" s="6"/>
    </row>
    <row r="2" spans="1:42" x14ac:dyDescent="0.2">
      <c r="B2" s="3"/>
      <c r="C2" s="89"/>
      <c r="D2" s="89"/>
      <c r="E2" s="89"/>
      <c r="F2" s="89"/>
      <c r="G2" s="89"/>
      <c r="H2" s="89"/>
      <c r="I2" s="89"/>
      <c r="J2" s="89"/>
      <c r="K2" s="89"/>
      <c r="L2" s="89"/>
      <c r="M2" s="3"/>
      <c r="N2" s="2"/>
      <c r="O2" s="3"/>
      <c r="P2" s="3"/>
      <c r="Q2" s="14"/>
      <c r="R2" s="3"/>
      <c r="S2" s="3"/>
      <c r="T2" s="3"/>
      <c r="U2" s="3"/>
      <c r="V2" s="3"/>
      <c r="W2" s="2"/>
      <c r="X2" s="3"/>
      <c r="Y2" s="3"/>
      <c r="Z2" s="3"/>
      <c r="AA2" s="3"/>
      <c r="AB2" s="3"/>
      <c r="AC2" s="3"/>
      <c r="AD2" s="3"/>
      <c r="AE2" s="3"/>
      <c r="AF2" s="2"/>
      <c r="AG2" s="3"/>
      <c r="AH2" s="3"/>
      <c r="AI2" s="3"/>
      <c r="AJ2" s="3"/>
      <c r="AK2" s="3"/>
      <c r="AL2" s="3"/>
      <c r="AM2" s="3"/>
      <c r="AN2" s="3"/>
      <c r="AO2" s="3"/>
      <c r="AP2" s="3"/>
    </row>
    <row r="3" spans="1:42" ht="18" x14ac:dyDescent="0.25">
      <c r="B3" s="3"/>
      <c r="C3" s="89"/>
      <c r="D3" s="90" t="s">
        <v>222</v>
      </c>
      <c r="E3" s="89"/>
      <c r="F3" s="89"/>
      <c r="G3" s="89"/>
      <c r="H3" s="89"/>
      <c r="I3" s="89"/>
      <c r="J3" s="89"/>
      <c r="K3" s="89"/>
      <c r="L3" s="89"/>
      <c r="M3" s="3"/>
      <c r="N3" s="2"/>
      <c r="O3" s="3"/>
      <c r="P3" s="96" t="s">
        <v>223</v>
      </c>
      <c r="Q3" s="14"/>
      <c r="R3" s="3"/>
      <c r="S3" s="3"/>
      <c r="T3" s="3"/>
      <c r="U3" s="3"/>
      <c r="V3" s="3"/>
      <c r="W3" s="2"/>
      <c r="X3" s="3"/>
      <c r="Y3" s="96" t="s">
        <v>223</v>
      </c>
      <c r="Z3" s="3"/>
      <c r="AA3" s="3"/>
      <c r="AB3" s="3"/>
      <c r="AC3" s="3"/>
      <c r="AD3" s="3"/>
      <c r="AE3" s="3"/>
      <c r="AF3" s="2"/>
      <c r="AG3" s="3"/>
      <c r="AH3" s="96" t="s">
        <v>223</v>
      </c>
      <c r="AI3" s="3"/>
      <c r="AJ3" s="3"/>
      <c r="AK3" s="3"/>
      <c r="AL3" s="3"/>
      <c r="AM3" s="3"/>
      <c r="AN3" s="3"/>
      <c r="AO3" s="3"/>
      <c r="AP3" s="3"/>
    </row>
    <row r="4" spans="1:42" x14ac:dyDescent="0.2">
      <c r="B4" s="3"/>
      <c r="C4" s="89"/>
      <c r="D4" s="3"/>
      <c r="E4" s="3"/>
      <c r="F4" s="3"/>
      <c r="G4" s="3"/>
      <c r="H4" s="3"/>
      <c r="I4" s="3"/>
      <c r="J4" s="3"/>
      <c r="K4" s="3"/>
      <c r="L4" s="3"/>
      <c r="M4" s="3"/>
      <c r="N4" s="2"/>
      <c r="O4" s="3"/>
      <c r="P4" s="3"/>
      <c r="Q4" s="14"/>
      <c r="R4" s="3"/>
      <c r="S4" s="3"/>
      <c r="T4" s="3"/>
      <c r="U4" s="3"/>
      <c r="V4" s="3"/>
      <c r="W4" s="2"/>
      <c r="X4" s="3"/>
      <c r="Y4" s="3"/>
      <c r="Z4" s="3"/>
      <c r="AA4" s="3"/>
      <c r="AB4" s="3"/>
      <c r="AC4" s="3"/>
      <c r="AD4" s="3"/>
      <c r="AE4" s="3"/>
      <c r="AF4" s="2"/>
      <c r="AG4" s="3"/>
      <c r="AH4" s="3"/>
      <c r="AI4" s="3"/>
      <c r="AJ4" s="3"/>
      <c r="AK4" s="3"/>
      <c r="AL4" s="3"/>
      <c r="AM4" s="3"/>
      <c r="AN4" s="3"/>
      <c r="AO4" s="3"/>
      <c r="AP4" s="3"/>
    </row>
    <row r="5" spans="1:42" ht="15" x14ac:dyDescent="0.25">
      <c r="B5" s="3"/>
      <c r="C5" s="89"/>
      <c r="D5" s="108" t="s">
        <v>293</v>
      </c>
      <c r="E5" s="103"/>
      <c r="F5" s="103"/>
      <c r="G5" s="103"/>
      <c r="H5" s="103"/>
      <c r="I5" s="103"/>
      <c r="J5" s="103"/>
      <c r="K5" s="103"/>
      <c r="L5" s="103"/>
      <c r="M5" s="3"/>
      <c r="N5" s="2"/>
      <c r="O5" s="3"/>
      <c r="P5" s="91" t="s">
        <v>101</v>
      </c>
      <c r="Q5" s="3"/>
      <c r="R5" s="3"/>
      <c r="S5" s="3"/>
      <c r="T5" s="3"/>
      <c r="U5" s="3"/>
      <c r="V5" s="3"/>
      <c r="W5" s="2"/>
      <c r="X5" s="3"/>
      <c r="Y5" s="91" t="s">
        <v>105</v>
      </c>
      <c r="Z5" s="3"/>
      <c r="AA5" s="3"/>
      <c r="AB5" s="3"/>
      <c r="AC5" s="3"/>
      <c r="AD5" s="3"/>
      <c r="AE5" s="3"/>
      <c r="AF5" s="2"/>
      <c r="AG5" s="3"/>
      <c r="AH5" s="386" t="s">
        <v>79</v>
      </c>
      <c r="AI5" s="3"/>
      <c r="AJ5" s="3"/>
      <c r="AK5" s="3"/>
      <c r="AL5" s="3"/>
      <c r="AM5" s="3"/>
      <c r="AN5" s="3"/>
      <c r="AO5" s="3"/>
      <c r="AP5" s="3"/>
    </row>
    <row r="6" spans="1:42" ht="182.25" customHeight="1" x14ac:dyDescent="0.2">
      <c r="B6" s="3"/>
      <c r="C6" s="93"/>
      <c r="D6" s="481" t="s">
        <v>529</v>
      </c>
      <c r="E6" s="481"/>
      <c r="F6" s="481"/>
      <c r="G6" s="481"/>
      <c r="H6" s="481"/>
      <c r="I6" s="481"/>
      <c r="J6" s="481"/>
      <c r="K6" s="481"/>
      <c r="L6" s="481"/>
      <c r="M6" s="3"/>
      <c r="N6" s="2"/>
      <c r="O6" s="3"/>
      <c r="P6" s="3"/>
      <c r="Q6" s="14"/>
      <c r="R6" s="3"/>
      <c r="S6" s="3"/>
      <c r="T6" s="3"/>
      <c r="U6" s="3"/>
      <c r="V6" s="3"/>
      <c r="W6" s="2"/>
      <c r="X6" s="3"/>
      <c r="Y6" s="3"/>
      <c r="Z6" s="3"/>
      <c r="AA6" s="3"/>
      <c r="AB6" s="3"/>
      <c r="AC6" s="3"/>
      <c r="AD6" s="3"/>
      <c r="AE6" s="3"/>
      <c r="AF6" s="2"/>
      <c r="AG6" s="3"/>
      <c r="AH6" s="3"/>
      <c r="AI6" s="3"/>
      <c r="AJ6" s="3"/>
      <c r="AK6" s="3"/>
      <c r="AL6" s="3"/>
      <c r="AM6" s="3"/>
      <c r="AN6" s="3"/>
      <c r="AO6" s="3"/>
      <c r="AP6" s="3"/>
    </row>
    <row r="7" spans="1:42" x14ac:dyDescent="0.2">
      <c r="B7" s="3"/>
      <c r="C7" s="89"/>
      <c r="D7" s="89"/>
      <c r="E7" s="89"/>
      <c r="F7" s="89"/>
      <c r="G7" s="89"/>
      <c r="H7" s="89"/>
      <c r="I7" s="89"/>
      <c r="J7" s="89"/>
      <c r="K7" s="89"/>
      <c r="L7" s="89"/>
      <c r="M7" s="3"/>
      <c r="N7" s="2"/>
      <c r="O7" s="3"/>
      <c r="P7" s="3"/>
      <c r="Q7" s="3"/>
      <c r="R7" s="3"/>
      <c r="S7" s="3"/>
      <c r="T7" s="3"/>
      <c r="U7" s="3"/>
      <c r="V7" s="3"/>
      <c r="W7" s="2"/>
      <c r="X7" s="3"/>
      <c r="Y7" s="3"/>
      <c r="Z7" s="3"/>
      <c r="AA7" s="3"/>
      <c r="AB7" s="3"/>
      <c r="AC7" s="3"/>
      <c r="AD7" s="3"/>
      <c r="AE7" s="3"/>
      <c r="AF7" s="2"/>
      <c r="AG7" s="3"/>
      <c r="AH7" s="3"/>
      <c r="AI7" s="3"/>
      <c r="AJ7" s="3"/>
      <c r="AK7" s="3"/>
      <c r="AL7" s="3"/>
      <c r="AM7" s="3"/>
      <c r="AN7" s="3"/>
      <c r="AO7" s="3"/>
      <c r="AP7" s="3"/>
    </row>
    <row r="8" spans="1:42" x14ac:dyDescent="0.2">
      <c r="N8" s="2"/>
      <c r="O8" s="3"/>
      <c r="P8" s="3"/>
      <c r="Q8" s="3"/>
      <c r="R8" s="3"/>
      <c r="S8" s="3"/>
      <c r="T8" s="3"/>
      <c r="U8" s="3"/>
      <c r="V8" s="3"/>
      <c r="W8" s="2"/>
      <c r="X8" s="3"/>
      <c r="Y8" s="3"/>
      <c r="Z8" s="3"/>
      <c r="AA8" s="3"/>
      <c r="AB8" s="3"/>
      <c r="AC8" s="3"/>
      <c r="AD8" s="3"/>
      <c r="AE8" s="3"/>
      <c r="AF8" s="2"/>
      <c r="AG8" s="3"/>
      <c r="AH8" s="3"/>
      <c r="AI8" s="3"/>
      <c r="AJ8" s="3"/>
      <c r="AK8" s="3"/>
      <c r="AL8" s="3"/>
      <c r="AM8" s="3"/>
      <c r="AN8" s="3"/>
      <c r="AO8" s="3"/>
      <c r="AP8" s="3"/>
    </row>
    <row r="9" spans="1:42" x14ac:dyDescent="0.2">
      <c r="B9" s="3"/>
      <c r="C9" s="3"/>
      <c r="D9" s="3"/>
      <c r="E9" s="3"/>
      <c r="F9" s="3"/>
      <c r="G9" s="3"/>
      <c r="H9" s="3"/>
      <c r="I9" s="3"/>
      <c r="J9" s="3"/>
      <c r="K9" s="3"/>
      <c r="L9" s="3"/>
      <c r="M9" s="3"/>
      <c r="N9" s="2"/>
      <c r="O9" s="3"/>
      <c r="P9" s="3"/>
      <c r="Q9" s="3"/>
      <c r="R9" s="3"/>
      <c r="S9" s="3"/>
      <c r="T9" s="3"/>
      <c r="U9" s="3"/>
      <c r="V9" s="3"/>
      <c r="W9" s="2"/>
      <c r="X9" s="3"/>
      <c r="Y9" s="3"/>
      <c r="Z9" s="3"/>
      <c r="AA9" s="3"/>
      <c r="AB9" s="3"/>
      <c r="AC9" s="3"/>
      <c r="AD9" s="3"/>
      <c r="AE9" s="3"/>
      <c r="AF9" s="2"/>
      <c r="AG9" s="3"/>
      <c r="AH9" s="3"/>
      <c r="AI9" s="3"/>
      <c r="AJ9" s="3"/>
      <c r="AK9" s="3"/>
      <c r="AL9" s="3"/>
      <c r="AM9" s="3"/>
      <c r="AN9" s="3"/>
      <c r="AO9" s="3"/>
      <c r="AP9" s="3"/>
    </row>
    <row r="10" spans="1:42" x14ac:dyDescent="0.2">
      <c r="B10" s="3"/>
      <c r="C10" s="3"/>
      <c r="D10" s="3"/>
      <c r="E10" s="3"/>
      <c r="F10" s="3"/>
      <c r="G10" s="3"/>
      <c r="H10" s="3"/>
      <c r="I10" s="3"/>
      <c r="J10" s="3"/>
      <c r="K10" s="3"/>
      <c r="L10" s="3"/>
      <c r="M10" s="3"/>
      <c r="N10" s="2"/>
      <c r="O10" s="3"/>
      <c r="P10" s="3"/>
      <c r="Q10" s="3"/>
      <c r="R10" s="3"/>
      <c r="S10" s="3"/>
      <c r="T10" s="3"/>
      <c r="U10" s="3"/>
      <c r="V10" s="3"/>
      <c r="W10" s="2"/>
      <c r="X10" s="3"/>
      <c r="Y10" s="3"/>
      <c r="Z10" s="3"/>
      <c r="AA10" s="3"/>
      <c r="AB10" s="3"/>
      <c r="AC10" s="3"/>
      <c r="AD10" s="3"/>
      <c r="AE10" s="3"/>
      <c r="AF10" s="2"/>
      <c r="AG10" s="3"/>
      <c r="AH10" s="3"/>
      <c r="AI10" s="3"/>
      <c r="AJ10" s="3"/>
      <c r="AK10" s="3"/>
      <c r="AL10" s="3"/>
      <c r="AM10" s="3"/>
      <c r="AN10" s="3"/>
      <c r="AO10" s="3"/>
      <c r="AP10" s="3"/>
    </row>
    <row r="11" spans="1:42" ht="18" x14ac:dyDescent="0.25">
      <c r="B11" s="3"/>
      <c r="C11" s="3"/>
      <c r="D11" s="85" t="s">
        <v>295</v>
      </c>
      <c r="E11" s="94"/>
      <c r="F11" s="95"/>
      <c r="G11" s="7"/>
      <c r="H11" s="7"/>
      <c r="I11" s="7"/>
      <c r="J11" s="7"/>
      <c r="K11" s="7"/>
      <c r="L11" s="3"/>
      <c r="M11" s="3"/>
      <c r="N11" s="2"/>
      <c r="O11" s="3"/>
      <c r="P11" s="3"/>
      <c r="Q11" s="3"/>
      <c r="R11" s="3"/>
      <c r="S11" s="3"/>
      <c r="T11" s="3"/>
      <c r="U11" s="3"/>
      <c r="V11" s="3"/>
      <c r="W11" s="2"/>
      <c r="X11" s="3"/>
      <c r="Y11" s="3"/>
      <c r="Z11" s="3"/>
      <c r="AA11" s="3"/>
      <c r="AB11" s="3"/>
      <c r="AC11" s="3"/>
      <c r="AD11" s="3"/>
      <c r="AE11" s="3"/>
      <c r="AF11" s="2"/>
      <c r="AG11" s="3"/>
      <c r="AH11" s="3"/>
      <c r="AI11" s="3"/>
      <c r="AJ11" s="3"/>
      <c r="AK11" s="3"/>
      <c r="AL11" s="3"/>
      <c r="AM11" s="3"/>
      <c r="AN11" s="3"/>
      <c r="AO11" s="3"/>
      <c r="AP11" s="3"/>
    </row>
    <row r="12" spans="1:42" ht="14.25" x14ac:dyDescent="0.2">
      <c r="B12" s="3"/>
      <c r="C12" s="3"/>
      <c r="D12" s="3"/>
      <c r="E12" s="3"/>
      <c r="F12" s="3"/>
      <c r="G12" s="3"/>
      <c r="H12" s="7"/>
      <c r="I12" s="7"/>
      <c r="J12" s="7"/>
      <c r="K12" s="7"/>
      <c r="L12" s="3"/>
      <c r="M12" s="3"/>
      <c r="N12" s="2"/>
      <c r="O12" s="3"/>
      <c r="P12" s="3"/>
      <c r="Q12" s="3"/>
      <c r="R12" s="3"/>
      <c r="S12" s="3"/>
      <c r="T12" s="3"/>
      <c r="U12" s="3"/>
      <c r="V12" s="3"/>
      <c r="W12" s="2"/>
      <c r="X12" s="3"/>
      <c r="Y12" s="3"/>
      <c r="Z12" s="3"/>
      <c r="AA12" s="3"/>
      <c r="AB12" s="3"/>
      <c r="AC12" s="3"/>
      <c r="AD12" s="3"/>
      <c r="AE12" s="3"/>
      <c r="AF12" s="2"/>
      <c r="AG12" s="3"/>
      <c r="AH12" s="3"/>
      <c r="AI12" s="3"/>
      <c r="AJ12" s="3"/>
      <c r="AK12" s="3"/>
      <c r="AL12" s="3"/>
      <c r="AM12" s="3"/>
      <c r="AN12" s="3"/>
      <c r="AO12" s="3"/>
      <c r="AP12" s="3"/>
    </row>
    <row r="13" spans="1:42" x14ac:dyDescent="0.2">
      <c r="B13" s="3"/>
      <c r="C13" s="3"/>
      <c r="D13" s="8"/>
      <c r="E13" s="482">
        <f>'Referenz Plattenfertiger'!D9+5</f>
        <v>5</v>
      </c>
      <c r="F13" s="482"/>
      <c r="G13" s="482"/>
      <c r="H13" s="13"/>
      <c r="I13" s="482">
        <f>'Referenz Plattenfertiger'!D9+10</f>
        <v>10</v>
      </c>
      <c r="J13" s="482"/>
      <c r="K13" s="482"/>
      <c r="L13" s="8"/>
      <c r="M13" s="3"/>
      <c r="N13" s="2"/>
      <c r="O13" s="3"/>
      <c r="P13" s="3"/>
      <c r="Q13" s="3"/>
      <c r="R13" s="3"/>
      <c r="S13" s="3"/>
      <c r="T13" s="3"/>
      <c r="U13" s="3"/>
      <c r="V13" s="3"/>
      <c r="W13" s="2"/>
      <c r="X13" s="3"/>
      <c r="Y13" s="3"/>
      <c r="Z13" s="3"/>
      <c r="AA13" s="3"/>
      <c r="AB13" s="3"/>
      <c r="AC13" s="3"/>
      <c r="AD13" s="3"/>
      <c r="AE13" s="3"/>
      <c r="AF13" s="2"/>
      <c r="AG13" s="3"/>
      <c r="AH13" s="3"/>
      <c r="AI13" s="3"/>
      <c r="AJ13" s="3"/>
      <c r="AK13" s="3"/>
      <c r="AL13" s="3"/>
      <c r="AM13" s="3"/>
      <c r="AN13" s="3"/>
      <c r="AO13" s="3"/>
      <c r="AP13" s="3"/>
    </row>
    <row r="14" spans="1:42" x14ac:dyDescent="0.2">
      <c r="B14" s="3"/>
      <c r="C14" s="3"/>
      <c r="D14" s="8"/>
      <c r="E14" s="101" t="s">
        <v>75</v>
      </c>
      <c r="F14" s="101"/>
      <c r="G14" s="101" t="s">
        <v>72</v>
      </c>
      <c r="H14" s="13"/>
      <c r="I14" s="101" t="s">
        <v>75</v>
      </c>
      <c r="J14" s="101"/>
      <c r="K14" s="101" t="s">
        <v>72</v>
      </c>
      <c r="L14" s="8"/>
      <c r="M14" s="3"/>
      <c r="N14" s="2"/>
      <c r="O14" s="3"/>
      <c r="P14" s="3"/>
      <c r="Q14" s="3"/>
      <c r="R14" s="3"/>
      <c r="S14" s="3"/>
      <c r="T14" s="3"/>
      <c r="U14" s="3"/>
      <c r="V14" s="3"/>
      <c r="W14" s="2"/>
      <c r="X14" s="3"/>
      <c r="Y14" s="3"/>
      <c r="Z14" s="3"/>
      <c r="AA14" s="3"/>
      <c r="AB14" s="3"/>
      <c r="AC14" s="3"/>
      <c r="AD14" s="3"/>
      <c r="AE14" s="3"/>
      <c r="AF14" s="2"/>
      <c r="AG14" s="3"/>
      <c r="AH14" s="3"/>
      <c r="AI14" s="3"/>
      <c r="AJ14" s="3"/>
      <c r="AK14" s="3"/>
      <c r="AL14" s="3"/>
      <c r="AM14" s="3"/>
      <c r="AN14" s="3"/>
      <c r="AO14" s="3"/>
      <c r="AP14" s="3"/>
    </row>
    <row r="15" spans="1:42" x14ac:dyDescent="0.2">
      <c r="B15" s="3"/>
      <c r="C15" s="3"/>
      <c r="D15" s="3"/>
      <c r="E15" s="3"/>
      <c r="F15" s="3"/>
      <c r="G15" s="3"/>
      <c r="H15" s="3"/>
      <c r="I15" s="3"/>
      <c r="J15" s="3"/>
      <c r="K15" s="3"/>
      <c r="L15" s="3"/>
      <c r="M15" s="3"/>
      <c r="N15" s="2"/>
      <c r="O15" s="3"/>
      <c r="P15" s="3"/>
      <c r="Q15" s="3"/>
      <c r="R15" s="3"/>
      <c r="S15" s="3"/>
      <c r="T15" s="3"/>
      <c r="U15" s="3"/>
      <c r="V15" s="3"/>
      <c r="W15" s="2"/>
      <c r="X15" s="3"/>
      <c r="Y15" s="3"/>
      <c r="Z15" s="3"/>
      <c r="AA15" s="3"/>
      <c r="AB15" s="3"/>
      <c r="AC15" s="3"/>
      <c r="AD15" s="3"/>
      <c r="AE15" s="3"/>
      <c r="AF15" s="2"/>
      <c r="AG15" s="3"/>
      <c r="AH15" s="3"/>
      <c r="AI15" s="3"/>
      <c r="AJ15" s="3"/>
      <c r="AK15" s="3"/>
      <c r="AL15" s="3"/>
      <c r="AM15" s="3"/>
      <c r="AN15" s="3"/>
      <c r="AO15" s="3"/>
      <c r="AP15" s="3"/>
    </row>
    <row r="16" spans="1:42" ht="25.5" x14ac:dyDescent="0.2">
      <c r="B16" s="3"/>
      <c r="C16" s="3"/>
      <c r="D16" s="11" t="s">
        <v>526</v>
      </c>
      <c r="E16" s="79">
        <v>100000</v>
      </c>
      <c r="F16" s="15" t="s">
        <v>228</v>
      </c>
      <c r="G16" s="272"/>
      <c r="H16" s="15" t="s">
        <v>228</v>
      </c>
      <c r="I16" s="79">
        <v>100000</v>
      </c>
      <c r="J16" s="15" t="s">
        <v>228</v>
      </c>
      <c r="K16" s="272"/>
      <c r="L16" s="15" t="s">
        <v>228</v>
      </c>
      <c r="M16" s="3"/>
      <c r="N16" s="2"/>
      <c r="O16" s="3"/>
      <c r="P16" s="3"/>
      <c r="Q16" s="3"/>
      <c r="R16" s="3"/>
      <c r="S16" s="3"/>
      <c r="T16" s="3"/>
      <c r="U16" s="3"/>
      <c r="V16" s="3"/>
      <c r="W16" s="2"/>
      <c r="X16" s="3"/>
      <c r="Y16" s="3"/>
      <c r="Z16" s="3"/>
      <c r="AA16" s="3"/>
      <c r="AB16" s="3"/>
      <c r="AC16" s="3"/>
      <c r="AD16" s="3"/>
      <c r="AE16" s="3"/>
      <c r="AF16" s="2"/>
      <c r="AG16" s="3"/>
      <c r="AH16" s="3"/>
      <c r="AI16" s="3"/>
      <c r="AJ16" s="3"/>
      <c r="AK16" s="3"/>
      <c r="AL16" s="3"/>
      <c r="AM16" s="3"/>
      <c r="AN16" s="3"/>
      <c r="AO16" s="3"/>
      <c r="AP16" s="3"/>
    </row>
    <row r="17" spans="1:42" x14ac:dyDescent="0.2">
      <c r="B17" s="3"/>
      <c r="C17" s="3"/>
      <c r="D17" s="8"/>
      <c r="E17" s="80"/>
      <c r="F17" s="15"/>
      <c r="G17" s="15"/>
      <c r="H17" s="15"/>
      <c r="I17" s="80"/>
      <c r="J17" s="15"/>
      <c r="K17" s="15"/>
      <c r="L17" s="3"/>
      <c r="M17" s="3"/>
      <c r="N17" s="2"/>
      <c r="O17" s="3"/>
      <c r="P17" s="3"/>
      <c r="Q17" s="3"/>
      <c r="R17" s="3"/>
      <c r="S17" s="3"/>
      <c r="T17" s="3"/>
      <c r="U17" s="3"/>
      <c r="V17" s="3"/>
      <c r="W17" s="2"/>
      <c r="X17" s="3"/>
      <c r="Y17" s="3"/>
      <c r="Z17" s="3"/>
      <c r="AA17" s="3"/>
      <c r="AB17" s="3"/>
      <c r="AC17" s="3"/>
      <c r="AD17" s="3"/>
      <c r="AE17" s="3"/>
      <c r="AF17" s="2"/>
      <c r="AG17" s="3"/>
      <c r="AH17" s="3"/>
      <c r="AI17" s="3"/>
      <c r="AJ17" s="3"/>
      <c r="AK17" s="3"/>
      <c r="AL17" s="3"/>
      <c r="AM17" s="3"/>
      <c r="AN17" s="3"/>
      <c r="AO17" s="3"/>
      <c r="AP17" s="3"/>
    </row>
    <row r="18" spans="1:42" x14ac:dyDescent="0.2">
      <c r="B18" s="3"/>
      <c r="C18" s="3"/>
      <c r="D18" s="12" t="s">
        <v>208</v>
      </c>
      <c r="E18" s="79">
        <v>200000</v>
      </c>
      <c r="F18" s="15" t="s">
        <v>95</v>
      </c>
      <c r="G18" s="272"/>
      <c r="H18" s="15" t="s">
        <v>95</v>
      </c>
      <c r="I18" s="79">
        <v>0</v>
      </c>
      <c r="J18" s="15" t="s">
        <v>95</v>
      </c>
      <c r="K18" s="272"/>
      <c r="L18" s="3" t="s">
        <v>95</v>
      </c>
      <c r="M18" s="3"/>
      <c r="N18" s="2"/>
      <c r="O18" s="3"/>
      <c r="P18" s="3"/>
      <c r="Q18" s="3"/>
      <c r="R18" s="3"/>
      <c r="S18" s="3"/>
      <c r="T18" s="3"/>
      <c r="U18" s="3"/>
      <c r="V18" s="3"/>
      <c r="W18" s="2"/>
      <c r="X18" s="3"/>
      <c r="Y18" s="3"/>
      <c r="Z18" s="3"/>
      <c r="AA18" s="3"/>
      <c r="AB18" s="3"/>
      <c r="AC18" s="3"/>
      <c r="AD18" s="3"/>
      <c r="AE18" s="3"/>
      <c r="AF18" s="2"/>
      <c r="AG18" s="3"/>
      <c r="AH18" s="3"/>
      <c r="AI18" s="3"/>
      <c r="AJ18" s="3"/>
      <c r="AK18" s="3"/>
      <c r="AL18" s="3"/>
      <c r="AM18" s="3"/>
      <c r="AN18" s="3"/>
      <c r="AO18" s="3"/>
      <c r="AP18" s="3"/>
    </row>
    <row r="19" spans="1:42" ht="14.25" x14ac:dyDescent="0.2">
      <c r="B19" s="3"/>
      <c r="C19" s="3"/>
      <c r="D19" s="78" t="s">
        <v>210</v>
      </c>
      <c r="E19" s="79">
        <v>1000</v>
      </c>
      <c r="F19" s="15" t="s">
        <v>96</v>
      </c>
      <c r="G19" s="272"/>
      <c r="H19" s="15" t="s">
        <v>96</v>
      </c>
      <c r="I19" s="79">
        <v>1000</v>
      </c>
      <c r="J19" s="15" t="s">
        <v>96</v>
      </c>
      <c r="K19" s="272"/>
      <c r="L19" s="3" t="s">
        <v>96</v>
      </c>
      <c r="M19" s="3"/>
      <c r="N19" s="2"/>
      <c r="O19" s="3"/>
      <c r="P19" s="3"/>
      <c r="Q19" s="3"/>
      <c r="R19" s="3"/>
      <c r="S19" s="3"/>
      <c r="T19" s="3"/>
      <c r="U19" s="3"/>
      <c r="V19" s="3"/>
      <c r="W19" s="2"/>
      <c r="X19" s="3"/>
      <c r="Y19" s="3"/>
      <c r="Z19" s="3"/>
      <c r="AA19" s="3"/>
      <c r="AB19" s="3"/>
      <c r="AC19" s="3"/>
      <c r="AD19" s="3"/>
      <c r="AE19" s="3"/>
      <c r="AF19" s="2"/>
      <c r="AG19" s="3"/>
      <c r="AH19" s="3"/>
      <c r="AI19" s="3"/>
      <c r="AJ19" s="3"/>
      <c r="AK19" s="3"/>
      <c r="AL19" s="3"/>
      <c r="AM19" s="3"/>
      <c r="AN19" s="3"/>
      <c r="AO19" s="3"/>
      <c r="AP19" s="3"/>
    </row>
    <row r="20" spans="1:42" ht="14.25" x14ac:dyDescent="0.2">
      <c r="B20" s="3"/>
      <c r="C20" s="3"/>
      <c r="D20" s="78" t="s">
        <v>177</v>
      </c>
      <c r="E20" s="79">
        <v>0</v>
      </c>
      <c r="F20" s="15" t="s">
        <v>95</v>
      </c>
      <c r="G20" s="272"/>
      <c r="H20" s="15" t="s">
        <v>95</v>
      </c>
      <c r="I20" s="79">
        <v>0</v>
      </c>
      <c r="J20" s="15" t="s">
        <v>95</v>
      </c>
      <c r="K20" s="272"/>
      <c r="L20" s="3" t="s">
        <v>95</v>
      </c>
      <c r="M20" s="3"/>
      <c r="N20" s="2"/>
      <c r="O20" s="3"/>
      <c r="P20" s="3"/>
      <c r="Q20" s="3"/>
      <c r="R20" s="3"/>
      <c r="S20" s="3"/>
      <c r="T20" s="3"/>
      <c r="U20" s="3"/>
      <c r="V20" s="3"/>
      <c r="W20" s="2"/>
      <c r="X20" s="3"/>
      <c r="Y20" s="3"/>
      <c r="Z20" s="3"/>
      <c r="AA20" s="3"/>
      <c r="AB20" s="3"/>
      <c r="AC20" s="3"/>
      <c r="AD20" s="3"/>
      <c r="AE20" s="3"/>
      <c r="AF20" s="2"/>
      <c r="AG20" s="3"/>
      <c r="AH20" s="3"/>
      <c r="AI20" s="3"/>
      <c r="AJ20" s="3"/>
      <c r="AK20" s="3"/>
      <c r="AL20" s="3"/>
      <c r="AM20" s="3"/>
      <c r="AN20" s="3"/>
      <c r="AO20" s="3"/>
      <c r="AP20" s="3"/>
    </row>
    <row r="21" spans="1:42" x14ac:dyDescent="0.2">
      <c r="B21" s="3"/>
      <c r="C21" s="3"/>
      <c r="D21" s="78"/>
      <c r="E21" s="78"/>
      <c r="F21" s="78"/>
      <c r="G21" s="78"/>
      <c r="H21" s="78"/>
      <c r="I21" s="78"/>
      <c r="J21" s="78"/>
      <c r="K21" s="78"/>
      <c r="L21" s="78"/>
      <c r="M21" s="3"/>
      <c r="N21" s="2"/>
      <c r="O21" s="3"/>
      <c r="P21" s="3"/>
      <c r="Q21" s="3"/>
      <c r="R21" s="3"/>
      <c r="S21" s="3"/>
      <c r="T21" s="3"/>
      <c r="U21" s="3"/>
      <c r="V21" s="3"/>
      <c r="W21" s="2"/>
      <c r="X21" s="3"/>
      <c r="Y21" s="3"/>
      <c r="Z21" s="3"/>
      <c r="AA21" s="3"/>
      <c r="AB21" s="3"/>
      <c r="AC21" s="3"/>
      <c r="AD21" s="3"/>
      <c r="AE21" s="3"/>
      <c r="AF21" s="2"/>
      <c r="AG21" s="3"/>
      <c r="AH21" s="3"/>
      <c r="AI21" s="3"/>
      <c r="AJ21" s="3"/>
      <c r="AK21" s="3"/>
      <c r="AL21" s="3"/>
      <c r="AM21" s="3"/>
      <c r="AN21" s="3"/>
      <c r="AO21" s="3"/>
      <c r="AP21" s="3"/>
    </row>
    <row r="22" spans="1:42" x14ac:dyDescent="0.2">
      <c r="B22" s="3"/>
      <c r="C22" s="3"/>
      <c r="D22" s="78"/>
      <c r="E22" s="15"/>
      <c r="F22" s="15"/>
      <c r="G22" s="15"/>
      <c r="H22" s="15"/>
      <c r="I22" s="15"/>
      <c r="J22" s="15"/>
      <c r="K22" s="15"/>
      <c r="L22" s="15"/>
      <c r="M22" s="3"/>
      <c r="N22" s="2"/>
      <c r="O22" s="3"/>
      <c r="P22" s="3"/>
      <c r="Q22" s="3"/>
      <c r="R22" s="3"/>
      <c r="S22" s="3"/>
      <c r="T22" s="3"/>
      <c r="U22" s="3"/>
      <c r="V22" s="3"/>
      <c r="W22" s="2"/>
      <c r="X22" s="3"/>
      <c r="Y22" s="3"/>
      <c r="Z22" s="3"/>
      <c r="AA22" s="3"/>
      <c r="AB22" s="3"/>
      <c r="AC22" s="3"/>
      <c r="AD22" s="3"/>
      <c r="AE22" s="3"/>
      <c r="AF22" s="2"/>
      <c r="AG22" s="3"/>
      <c r="AH22" s="3"/>
      <c r="AI22" s="3"/>
      <c r="AJ22" s="3"/>
      <c r="AK22" s="3"/>
      <c r="AL22" s="3"/>
      <c r="AM22" s="3"/>
      <c r="AN22" s="3"/>
      <c r="AO22" s="3"/>
      <c r="AP22" s="3"/>
    </row>
    <row r="23" spans="1:42" x14ac:dyDescent="0.2">
      <c r="B23" s="3"/>
      <c r="C23" s="3"/>
      <c r="D23" s="78" t="s">
        <v>23</v>
      </c>
      <c r="E23" s="79">
        <v>10</v>
      </c>
      <c r="F23" s="15" t="s">
        <v>88</v>
      </c>
      <c r="G23" s="113"/>
      <c r="H23" s="15" t="s">
        <v>88</v>
      </c>
      <c r="I23" s="79">
        <v>10</v>
      </c>
      <c r="J23" s="15" t="s">
        <v>88</v>
      </c>
      <c r="K23" s="113"/>
      <c r="L23" s="15" t="s">
        <v>88</v>
      </c>
      <c r="M23" s="3"/>
      <c r="N23" s="2"/>
      <c r="O23" s="3"/>
      <c r="P23" s="3"/>
      <c r="Q23" s="3"/>
      <c r="R23" s="3"/>
      <c r="S23" s="3"/>
      <c r="T23" s="3"/>
      <c r="U23" s="3"/>
      <c r="V23" s="3"/>
      <c r="W23" s="2"/>
      <c r="X23" s="3"/>
      <c r="Y23" s="3"/>
      <c r="Z23" s="3"/>
      <c r="AA23" s="3"/>
      <c r="AB23" s="3"/>
      <c r="AC23" s="3"/>
      <c r="AD23" s="3"/>
      <c r="AE23" s="3"/>
      <c r="AF23" s="2"/>
      <c r="AG23" s="3"/>
      <c r="AH23" s="3"/>
      <c r="AI23" s="3"/>
      <c r="AJ23" s="3"/>
      <c r="AK23" s="3"/>
      <c r="AL23" s="3"/>
      <c r="AM23" s="3"/>
      <c r="AN23" s="3"/>
      <c r="AO23" s="3"/>
      <c r="AP23" s="3"/>
    </row>
    <row r="24" spans="1:42" x14ac:dyDescent="0.2">
      <c r="B24" s="3"/>
      <c r="C24" s="3"/>
      <c r="D24" s="78" t="s">
        <v>24</v>
      </c>
      <c r="E24" s="81">
        <v>8</v>
      </c>
      <c r="F24" s="15" t="s">
        <v>89</v>
      </c>
      <c r="G24" s="273"/>
      <c r="H24" s="15" t="s">
        <v>89</v>
      </c>
      <c r="I24" s="81">
        <v>8</v>
      </c>
      <c r="J24" s="15" t="s">
        <v>89</v>
      </c>
      <c r="K24" s="273"/>
      <c r="L24" s="15" t="s">
        <v>89</v>
      </c>
      <c r="M24" s="3"/>
      <c r="N24" s="2"/>
      <c r="O24" s="3"/>
      <c r="P24" s="3"/>
      <c r="Q24" s="3"/>
      <c r="R24" s="3"/>
      <c r="S24" s="3"/>
      <c r="T24" s="3"/>
      <c r="U24" s="3"/>
      <c r="V24" s="3"/>
      <c r="W24" s="2"/>
      <c r="X24" s="3"/>
      <c r="Y24" s="3"/>
      <c r="Z24" s="3"/>
      <c r="AA24" s="3"/>
      <c r="AB24" s="3"/>
      <c r="AC24" s="3"/>
      <c r="AD24" s="3"/>
      <c r="AE24" s="3"/>
      <c r="AF24" s="2"/>
      <c r="AG24" s="3"/>
      <c r="AH24" s="3"/>
      <c r="AI24" s="3"/>
      <c r="AJ24" s="3"/>
      <c r="AK24" s="3"/>
      <c r="AL24" s="3"/>
      <c r="AM24" s="3"/>
      <c r="AN24" s="3"/>
      <c r="AO24" s="3"/>
      <c r="AP24" s="3"/>
    </row>
    <row r="25" spans="1:42" x14ac:dyDescent="0.2">
      <c r="B25" s="3"/>
      <c r="C25" s="3"/>
      <c r="D25" s="15"/>
      <c r="E25" s="81"/>
      <c r="F25" s="15"/>
      <c r="G25" s="15"/>
      <c r="H25" s="15"/>
      <c r="I25" s="80"/>
      <c r="J25" s="15"/>
      <c r="K25" s="15"/>
      <c r="L25" s="3"/>
      <c r="M25" s="3"/>
      <c r="N25" s="2"/>
      <c r="O25" s="3"/>
      <c r="P25" s="3"/>
      <c r="Q25" s="3"/>
      <c r="R25" s="3"/>
      <c r="S25" s="3"/>
      <c r="T25" s="3"/>
      <c r="U25" s="3"/>
      <c r="V25" s="3"/>
      <c r="W25" s="2"/>
      <c r="X25" s="3"/>
      <c r="Y25" s="3"/>
      <c r="Z25" s="3"/>
      <c r="AA25" s="3"/>
      <c r="AB25" s="3"/>
      <c r="AC25" s="3"/>
      <c r="AD25" s="3"/>
      <c r="AE25" s="3"/>
      <c r="AF25" s="2"/>
      <c r="AG25" s="3"/>
      <c r="AH25" s="3"/>
      <c r="AI25" s="3"/>
      <c r="AJ25" s="3"/>
      <c r="AK25" s="3"/>
      <c r="AL25" s="3"/>
      <c r="AM25" s="3"/>
      <c r="AN25" s="3"/>
      <c r="AO25" s="3"/>
      <c r="AP25" s="3"/>
    </row>
    <row r="26" spans="1:42" x14ac:dyDescent="0.2">
      <c r="B26" s="3"/>
      <c r="C26" s="3"/>
      <c r="D26" s="15"/>
      <c r="E26" s="10"/>
      <c r="F26" s="3"/>
      <c r="G26" s="3"/>
      <c r="H26" s="3"/>
      <c r="I26" s="16"/>
      <c r="J26" s="3"/>
      <c r="K26" s="3"/>
      <c r="L26" s="3"/>
      <c r="M26" s="3"/>
      <c r="N26" s="2"/>
      <c r="O26" s="3"/>
      <c r="P26" s="3"/>
      <c r="Q26" s="3"/>
      <c r="R26" s="3"/>
      <c r="S26" s="3"/>
      <c r="T26" s="3"/>
      <c r="U26" s="3"/>
      <c r="V26" s="3"/>
      <c r="W26" s="2"/>
      <c r="X26" s="3"/>
      <c r="Y26" s="3"/>
      <c r="Z26" s="3"/>
      <c r="AA26" s="3"/>
      <c r="AB26" s="3"/>
      <c r="AC26" s="3"/>
      <c r="AD26" s="3"/>
      <c r="AE26" s="3"/>
      <c r="AF26" s="2"/>
      <c r="AG26" s="3"/>
      <c r="AH26" s="3"/>
      <c r="AI26" s="3"/>
      <c r="AJ26" s="3"/>
      <c r="AK26" s="3"/>
      <c r="AL26" s="3"/>
      <c r="AM26" s="3"/>
      <c r="AN26" s="3"/>
      <c r="AO26" s="3"/>
      <c r="AP26" s="3"/>
    </row>
    <row r="27" spans="1:42" x14ac:dyDescent="0.2">
      <c r="B27" s="3"/>
      <c r="C27" s="3"/>
      <c r="D27" s="65" t="s">
        <v>493</v>
      </c>
      <c r="E27" s="10"/>
      <c r="F27" s="3"/>
      <c r="G27" s="3"/>
      <c r="H27" s="3"/>
      <c r="I27" s="16"/>
      <c r="J27" s="3"/>
      <c r="K27" s="3"/>
      <c r="L27" s="3"/>
      <c r="M27" s="3"/>
      <c r="N27" s="2"/>
      <c r="O27" s="3"/>
      <c r="P27" s="3"/>
      <c r="Q27" s="3"/>
      <c r="R27" s="3"/>
      <c r="S27" s="3"/>
      <c r="T27" s="3"/>
      <c r="U27" s="3"/>
      <c r="V27" s="3"/>
      <c r="W27" s="2"/>
      <c r="X27" s="3"/>
      <c r="Y27" s="3"/>
      <c r="Z27" s="3"/>
      <c r="AA27" s="3"/>
      <c r="AB27" s="3"/>
      <c r="AC27" s="3"/>
      <c r="AD27" s="3"/>
      <c r="AE27" s="3"/>
      <c r="AF27" s="2"/>
      <c r="AG27" s="3"/>
      <c r="AH27" s="3"/>
      <c r="AI27" s="3"/>
      <c r="AJ27" s="3"/>
      <c r="AK27" s="3"/>
      <c r="AL27" s="3"/>
      <c r="AM27" s="3"/>
      <c r="AN27" s="3"/>
      <c r="AO27" s="3"/>
      <c r="AP27" s="3"/>
    </row>
    <row r="28" spans="1:42" x14ac:dyDescent="0.2">
      <c r="B28" s="3"/>
      <c r="C28" s="3"/>
      <c r="D28" s="65" t="s">
        <v>494</v>
      </c>
      <c r="E28" s="10"/>
      <c r="F28" s="3"/>
      <c r="G28" s="3"/>
      <c r="H28" s="3"/>
      <c r="I28" s="16"/>
      <c r="J28" s="3"/>
      <c r="K28" s="3"/>
      <c r="L28" s="3"/>
      <c r="M28" s="3"/>
      <c r="N28" s="2"/>
      <c r="O28" s="3"/>
      <c r="P28" s="3"/>
      <c r="Q28" s="3"/>
      <c r="R28" s="3"/>
      <c r="S28" s="3"/>
      <c r="T28" s="3"/>
      <c r="U28" s="3"/>
      <c r="V28" s="3"/>
      <c r="W28" s="2"/>
      <c r="X28" s="3"/>
      <c r="Y28" s="3"/>
      <c r="Z28" s="3"/>
      <c r="AA28" s="3"/>
      <c r="AB28" s="3"/>
      <c r="AC28" s="3"/>
      <c r="AD28" s="3"/>
      <c r="AE28" s="3"/>
      <c r="AF28" s="2"/>
      <c r="AG28" s="3"/>
      <c r="AH28" s="3"/>
      <c r="AI28" s="3"/>
      <c r="AJ28" s="3"/>
      <c r="AK28" s="3"/>
      <c r="AL28" s="3"/>
      <c r="AM28" s="3"/>
      <c r="AN28" s="3"/>
      <c r="AO28" s="3"/>
      <c r="AP28" s="3"/>
    </row>
    <row r="29" spans="1:42" x14ac:dyDescent="0.2">
      <c r="B29" s="3"/>
      <c r="C29" s="3"/>
      <c r="D29" s="15"/>
      <c r="E29" s="10"/>
      <c r="F29" s="3"/>
      <c r="G29" s="3"/>
      <c r="H29" s="3"/>
      <c r="I29" s="16"/>
      <c r="J29" s="3"/>
      <c r="K29" s="3"/>
      <c r="L29" s="3"/>
      <c r="M29" s="3"/>
      <c r="N29" s="2"/>
      <c r="O29" s="3"/>
      <c r="P29" s="3"/>
      <c r="Q29" s="3"/>
      <c r="R29" s="3"/>
      <c r="S29" s="3"/>
      <c r="T29" s="3"/>
      <c r="U29" s="3"/>
      <c r="V29" s="3"/>
      <c r="W29" s="2"/>
      <c r="X29" s="3"/>
      <c r="Y29" s="3"/>
      <c r="Z29" s="3"/>
      <c r="AA29" s="3"/>
      <c r="AB29" s="3"/>
      <c r="AC29" s="3"/>
      <c r="AD29" s="3"/>
      <c r="AE29" s="3"/>
      <c r="AF29" s="2"/>
      <c r="AG29" s="3"/>
      <c r="AH29" s="3"/>
      <c r="AI29" s="3"/>
      <c r="AJ29" s="3"/>
      <c r="AK29" s="3"/>
      <c r="AL29" s="3"/>
      <c r="AM29" s="3"/>
      <c r="AN29" s="3"/>
      <c r="AO29" s="3"/>
      <c r="AP29" s="3"/>
    </row>
    <row r="30" spans="1:42" x14ac:dyDescent="0.2">
      <c r="A30" s="2"/>
      <c r="B30" s="2"/>
      <c r="C30" s="131"/>
      <c r="D30" s="2"/>
      <c r="E30" s="2"/>
      <c r="F30" s="2"/>
      <c r="G30" s="2"/>
      <c r="H30" s="2"/>
      <c r="I30" s="2"/>
      <c r="J30" s="2"/>
      <c r="K30" s="2"/>
      <c r="L30" s="2"/>
      <c r="M30" s="2"/>
      <c r="N30" s="2"/>
      <c r="O30" s="3"/>
      <c r="P30" s="3"/>
      <c r="Q30" s="3"/>
      <c r="R30" s="3"/>
      <c r="S30" s="3"/>
      <c r="T30" s="3"/>
      <c r="U30" s="3"/>
      <c r="V30" s="3"/>
      <c r="W30" s="2"/>
      <c r="X30" s="3"/>
      <c r="Y30" s="3"/>
      <c r="Z30" s="3"/>
      <c r="AA30" s="3"/>
      <c r="AB30" s="3"/>
      <c r="AC30" s="3"/>
      <c r="AD30" s="3"/>
      <c r="AE30" s="3"/>
      <c r="AF30" s="2"/>
      <c r="AG30" s="3"/>
      <c r="AH30" s="3"/>
      <c r="AI30" s="3"/>
      <c r="AJ30" s="3"/>
      <c r="AK30" s="3"/>
      <c r="AL30" s="3"/>
      <c r="AM30" s="3"/>
      <c r="AN30" s="3"/>
      <c r="AO30" s="3"/>
      <c r="AP30" s="3"/>
    </row>
    <row r="31" spans="1:42" x14ac:dyDescent="0.2">
      <c r="A31" s="2"/>
      <c r="B31" s="2"/>
      <c r="C31" s="2"/>
      <c r="D31" s="2"/>
      <c r="E31" s="2"/>
      <c r="F31" s="2"/>
      <c r="G31" s="2"/>
      <c r="H31" s="2"/>
      <c r="I31" s="2"/>
      <c r="J31" s="2"/>
      <c r="K31" s="2"/>
      <c r="L31" s="2"/>
      <c r="M31" s="2"/>
      <c r="N31" s="2"/>
      <c r="O31" s="3"/>
      <c r="P31" s="3"/>
      <c r="Q31" s="3"/>
      <c r="R31" s="3"/>
      <c r="S31" s="3"/>
      <c r="T31" s="3"/>
      <c r="U31" s="3"/>
      <c r="V31" s="3"/>
      <c r="W31" s="2"/>
      <c r="X31" s="3"/>
      <c r="Y31" s="3"/>
      <c r="Z31" s="3"/>
      <c r="AA31" s="3"/>
      <c r="AB31" s="3"/>
      <c r="AC31" s="3"/>
      <c r="AD31" s="3"/>
      <c r="AE31" s="3"/>
      <c r="AF31" s="2"/>
      <c r="AG31" s="3"/>
      <c r="AH31" s="3"/>
      <c r="AI31" s="3"/>
      <c r="AJ31" s="3"/>
      <c r="AK31" s="3"/>
      <c r="AL31" s="3"/>
      <c r="AM31" s="3"/>
      <c r="AN31" s="3"/>
      <c r="AO31" s="3"/>
      <c r="AP31" s="3"/>
    </row>
    <row r="32" spans="1:42" x14ac:dyDescent="0.2">
      <c r="A32" s="2"/>
      <c r="B32" s="2"/>
      <c r="C32" s="2"/>
      <c r="D32" s="2"/>
      <c r="E32" s="2"/>
      <c r="F32" s="2"/>
      <c r="G32" s="2"/>
      <c r="H32" s="2"/>
      <c r="I32" s="2"/>
      <c r="J32" s="2"/>
      <c r="K32" s="2"/>
      <c r="L32" s="2"/>
      <c r="M32" s="2"/>
      <c r="N32" s="2"/>
      <c r="O32" s="3"/>
      <c r="P32" s="3"/>
      <c r="Q32" s="3"/>
      <c r="R32" s="3"/>
      <c r="S32" s="3"/>
      <c r="T32" s="3"/>
      <c r="U32" s="3"/>
      <c r="V32" s="3"/>
      <c r="W32" s="2"/>
      <c r="X32" s="3"/>
      <c r="Y32" s="3"/>
      <c r="Z32" s="3"/>
      <c r="AA32" s="3"/>
      <c r="AB32" s="3"/>
      <c r="AC32" s="3"/>
      <c r="AD32" s="3"/>
      <c r="AE32" s="3"/>
      <c r="AF32" s="2"/>
      <c r="AG32" s="3"/>
      <c r="AH32" s="3"/>
      <c r="AI32" s="3"/>
      <c r="AJ32" s="3"/>
      <c r="AK32" s="3"/>
      <c r="AL32" s="3"/>
      <c r="AM32" s="3"/>
      <c r="AN32" s="3"/>
      <c r="AO32" s="3"/>
      <c r="AP32" s="3"/>
    </row>
    <row r="33" spans="1:42" x14ac:dyDescent="0.2">
      <c r="A33" s="2"/>
      <c r="B33" s="2"/>
      <c r="C33" s="2"/>
      <c r="D33" s="131"/>
      <c r="E33" s="2"/>
      <c r="F33" s="2"/>
      <c r="G33" s="2"/>
      <c r="H33" s="2"/>
      <c r="I33" s="2"/>
      <c r="J33" s="2"/>
      <c r="K33" s="2"/>
      <c r="L33" s="2"/>
      <c r="M33" s="2"/>
      <c r="N33" s="2"/>
      <c r="O33" s="3"/>
      <c r="P33" s="3"/>
      <c r="Q33" s="3"/>
      <c r="R33" s="3"/>
      <c r="S33" s="3"/>
      <c r="T33" s="3"/>
      <c r="U33" s="3"/>
      <c r="V33" s="3"/>
      <c r="W33" s="2"/>
      <c r="X33" s="3"/>
      <c r="Y33" s="3"/>
      <c r="Z33" s="3"/>
      <c r="AA33" s="3"/>
      <c r="AB33" s="3"/>
      <c r="AC33" s="3"/>
      <c r="AD33" s="3"/>
      <c r="AE33" s="3"/>
      <c r="AF33" s="2"/>
      <c r="AG33" s="3"/>
      <c r="AH33" s="3"/>
      <c r="AI33" s="3"/>
      <c r="AJ33" s="3"/>
      <c r="AK33" s="3"/>
      <c r="AL33" s="3"/>
      <c r="AM33" s="3"/>
      <c r="AN33" s="3"/>
      <c r="AO33" s="3"/>
      <c r="AP33" s="3"/>
    </row>
    <row r="34" spans="1:42" x14ac:dyDescent="0.2">
      <c r="A34" s="2"/>
      <c r="B34" s="2"/>
      <c r="C34" s="2"/>
      <c r="D34" s="2"/>
      <c r="E34" s="2"/>
      <c r="F34" s="2"/>
      <c r="G34" s="2"/>
      <c r="H34" s="2"/>
      <c r="I34" s="2"/>
      <c r="J34" s="2"/>
      <c r="K34" s="2"/>
      <c r="L34" s="2"/>
      <c r="M34" s="2"/>
      <c r="N34" s="2"/>
      <c r="O34" s="3"/>
      <c r="P34" s="3"/>
      <c r="Q34" s="3"/>
      <c r="R34" s="3"/>
      <c r="S34" s="3"/>
      <c r="T34" s="3"/>
      <c r="U34" s="3"/>
      <c r="V34" s="3"/>
      <c r="W34" s="2"/>
      <c r="X34" s="3"/>
      <c r="Y34" s="3"/>
      <c r="Z34" s="3"/>
      <c r="AA34" s="3"/>
      <c r="AB34" s="3"/>
      <c r="AC34" s="3"/>
      <c r="AD34" s="3"/>
      <c r="AE34" s="3"/>
      <c r="AF34" s="2"/>
      <c r="AG34" s="3"/>
      <c r="AH34" s="3"/>
      <c r="AI34" s="3"/>
      <c r="AJ34" s="3"/>
      <c r="AK34" s="3"/>
      <c r="AL34" s="3"/>
      <c r="AM34" s="3"/>
      <c r="AN34" s="3"/>
      <c r="AO34" s="3"/>
      <c r="AP34" s="3"/>
    </row>
    <row r="35" spans="1:42" x14ac:dyDescent="0.2">
      <c r="A35" s="2"/>
      <c r="B35" s="2"/>
      <c r="C35" s="2"/>
      <c r="D35" s="2"/>
      <c r="E35" s="2"/>
      <c r="F35" s="2"/>
      <c r="G35" s="2"/>
      <c r="H35" s="2"/>
      <c r="I35" s="2"/>
      <c r="J35" s="2"/>
      <c r="K35" s="2"/>
      <c r="L35" s="2"/>
      <c r="M35" s="2"/>
      <c r="N35" s="2"/>
      <c r="O35" s="3"/>
      <c r="P35" s="3"/>
      <c r="Q35" s="3"/>
      <c r="R35" s="3"/>
      <c r="S35" s="3"/>
      <c r="T35" s="3"/>
      <c r="U35" s="3"/>
      <c r="V35" s="3"/>
      <c r="W35" s="2"/>
      <c r="X35" s="3"/>
      <c r="Y35" s="3"/>
      <c r="Z35" s="3"/>
      <c r="AA35" s="3"/>
      <c r="AB35" s="3"/>
      <c r="AC35" s="3"/>
      <c r="AD35" s="3"/>
      <c r="AE35" s="3"/>
      <c r="AF35" s="2"/>
      <c r="AG35" s="3"/>
      <c r="AH35" s="3"/>
      <c r="AI35" s="3"/>
      <c r="AJ35" s="3"/>
      <c r="AK35" s="3"/>
      <c r="AL35" s="3"/>
      <c r="AM35" s="3"/>
      <c r="AN35" s="3"/>
      <c r="AO35" s="3"/>
      <c r="AP35" s="3"/>
    </row>
    <row r="36" spans="1:42" x14ac:dyDescent="0.2">
      <c r="A36" s="2"/>
      <c r="B36" s="2"/>
      <c r="C36" s="2"/>
      <c r="D36" s="2"/>
      <c r="E36" s="2"/>
      <c r="F36" s="2"/>
      <c r="G36" s="2"/>
      <c r="H36" s="2"/>
      <c r="I36" s="2"/>
      <c r="J36" s="2"/>
      <c r="K36" s="2"/>
      <c r="L36" s="2"/>
      <c r="M36" s="2"/>
      <c r="N36" s="2"/>
      <c r="O36" s="3"/>
      <c r="P36" s="3"/>
      <c r="Q36" s="3"/>
      <c r="R36" s="3"/>
      <c r="S36" s="3"/>
      <c r="T36" s="3"/>
      <c r="U36" s="3"/>
      <c r="V36" s="3"/>
      <c r="W36" s="2"/>
      <c r="X36" s="3"/>
      <c r="Y36" s="3"/>
      <c r="Z36" s="3"/>
      <c r="AA36" s="3"/>
      <c r="AB36" s="3"/>
      <c r="AC36" s="3"/>
      <c r="AD36" s="3"/>
      <c r="AE36" s="3"/>
      <c r="AF36" s="2"/>
      <c r="AG36" s="3"/>
      <c r="AH36" s="3"/>
      <c r="AI36" s="3"/>
      <c r="AJ36" s="3"/>
      <c r="AK36" s="3"/>
      <c r="AL36" s="3"/>
      <c r="AM36" s="3"/>
      <c r="AN36" s="3"/>
      <c r="AO36" s="3"/>
      <c r="AP36" s="3"/>
    </row>
    <row r="37" spans="1:42" ht="18" x14ac:dyDescent="0.25">
      <c r="A37" s="2"/>
      <c r="B37" s="2"/>
      <c r="C37" s="2"/>
      <c r="D37" s="2"/>
      <c r="E37" s="2"/>
      <c r="F37" s="2"/>
      <c r="G37" s="2"/>
      <c r="H37" s="2"/>
      <c r="I37" s="2"/>
      <c r="J37" s="2"/>
      <c r="K37" s="2"/>
      <c r="L37" s="2"/>
      <c r="M37" s="2"/>
      <c r="N37" s="2"/>
      <c r="O37" s="3"/>
      <c r="P37" s="96"/>
      <c r="Q37" s="61"/>
      <c r="R37" s="3"/>
      <c r="S37" s="3"/>
      <c r="T37" s="3"/>
      <c r="U37" s="3"/>
      <c r="V37" s="3"/>
      <c r="W37" s="2"/>
      <c r="X37" s="3"/>
      <c r="Y37" s="3"/>
      <c r="Z37" s="3"/>
      <c r="AA37" s="3"/>
      <c r="AB37" s="3"/>
      <c r="AC37" s="3"/>
      <c r="AD37" s="3"/>
      <c r="AE37" s="3"/>
      <c r="AF37" s="2"/>
      <c r="AG37" s="3"/>
      <c r="AH37" s="3"/>
      <c r="AI37" s="3"/>
      <c r="AJ37" s="3"/>
      <c r="AK37" s="3"/>
      <c r="AL37" s="3"/>
      <c r="AM37" s="3"/>
      <c r="AN37" s="84"/>
      <c r="AO37" s="84"/>
      <c r="AP37" s="3"/>
    </row>
    <row r="38" spans="1:42" x14ac:dyDescent="0.2">
      <c r="A38" s="2"/>
      <c r="B38" s="2"/>
      <c r="C38" s="2"/>
      <c r="D38" s="2"/>
      <c r="E38" s="2"/>
      <c r="F38" s="2"/>
      <c r="G38" s="2"/>
      <c r="H38" s="2"/>
      <c r="I38" s="2"/>
      <c r="J38" s="2"/>
      <c r="K38" s="2"/>
      <c r="L38" s="2"/>
      <c r="M38" s="2"/>
      <c r="N38" s="2"/>
      <c r="O38" s="3"/>
      <c r="P38" s="3"/>
      <c r="Q38" s="3"/>
      <c r="R38" s="3"/>
      <c r="S38" s="3"/>
      <c r="T38" s="3"/>
      <c r="U38" s="3"/>
      <c r="V38" s="3"/>
      <c r="W38" s="2"/>
      <c r="X38" s="3"/>
      <c r="Y38" s="3"/>
      <c r="Z38" s="3"/>
      <c r="AA38" s="3"/>
      <c r="AB38" s="3"/>
      <c r="AC38" s="3"/>
      <c r="AD38" s="3"/>
      <c r="AE38" s="3"/>
      <c r="AF38" s="2"/>
      <c r="AG38" s="3"/>
      <c r="AH38" s="3"/>
      <c r="AI38" s="3"/>
      <c r="AJ38" s="3"/>
      <c r="AK38" s="3"/>
      <c r="AL38" s="3"/>
      <c r="AM38" s="3"/>
      <c r="AN38" s="83"/>
      <c r="AO38" s="83"/>
      <c r="AP38" s="3"/>
    </row>
    <row r="39" spans="1:42" x14ac:dyDescent="0.2">
      <c r="A39" s="2"/>
      <c r="B39" s="2"/>
      <c r="C39" s="2"/>
      <c r="D39" s="2"/>
      <c r="E39" s="2"/>
      <c r="F39" s="2"/>
      <c r="G39" s="2"/>
      <c r="H39" s="2"/>
      <c r="I39" s="2"/>
      <c r="J39" s="2"/>
      <c r="K39" s="2"/>
      <c r="L39" s="2"/>
      <c r="M39" s="2"/>
      <c r="N39" s="2"/>
      <c r="O39" s="3"/>
      <c r="P39" s="3"/>
      <c r="Q39" s="3"/>
      <c r="R39" s="3"/>
      <c r="S39" s="3"/>
      <c r="T39" s="3"/>
      <c r="U39" s="3"/>
      <c r="V39" s="3"/>
      <c r="W39" s="2"/>
      <c r="X39" s="3"/>
      <c r="Y39" s="3"/>
      <c r="Z39" s="3"/>
      <c r="AA39" s="3"/>
      <c r="AB39" s="3"/>
      <c r="AC39" s="3"/>
      <c r="AD39" s="3"/>
      <c r="AE39" s="3"/>
      <c r="AF39" s="2"/>
      <c r="AG39" s="3"/>
      <c r="AH39" s="3"/>
      <c r="AI39" s="3"/>
      <c r="AJ39" s="3"/>
      <c r="AK39" s="3"/>
      <c r="AL39" s="3"/>
      <c r="AM39" s="3"/>
      <c r="AN39" s="83"/>
      <c r="AO39" s="83"/>
      <c r="AP39" s="3"/>
    </row>
    <row r="40" spans="1:42" ht="15" x14ac:dyDescent="0.25">
      <c r="A40" s="2"/>
      <c r="B40" s="2"/>
      <c r="C40" s="2"/>
      <c r="D40" s="2"/>
      <c r="E40" s="2"/>
      <c r="F40" s="2"/>
      <c r="G40" s="2"/>
      <c r="H40" s="2"/>
      <c r="I40" s="2"/>
      <c r="J40" s="2"/>
      <c r="K40" s="2"/>
      <c r="L40" s="2"/>
      <c r="M40" s="2"/>
      <c r="N40" s="2"/>
      <c r="O40" s="3"/>
      <c r="P40" s="3"/>
      <c r="Q40" s="23" t="s">
        <v>102</v>
      </c>
      <c r="R40" s="24"/>
      <c r="S40" s="24"/>
      <c r="T40" s="24"/>
      <c r="U40" s="24"/>
      <c r="V40" s="3"/>
      <c r="W40" s="2"/>
      <c r="X40" s="3"/>
      <c r="Y40" s="3"/>
      <c r="Z40" s="23" t="s">
        <v>180</v>
      </c>
      <c r="AA40" s="24"/>
      <c r="AB40" s="24"/>
      <c r="AC40" s="24"/>
      <c r="AD40" s="24"/>
      <c r="AE40" s="3"/>
      <c r="AF40" s="2"/>
      <c r="AG40" s="3"/>
      <c r="AH40" s="3"/>
      <c r="AI40" s="23" t="s">
        <v>185</v>
      </c>
      <c r="AJ40" s="24"/>
      <c r="AK40" s="24"/>
      <c r="AL40" s="24"/>
      <c r="AM40" s="3"/>
      <c r="AN40" s="83"/>
      <c r="AO40" s="83"/>
      <c r="AP40" s="3"/>
    </row>
    <row r="41" spans="1:42" ht="15" x14ac:dyDescent="0.25">
      <c r="A41" s="2"/>
      <c r="B41" s="2"/>
      <c r="C41" s="2"/>
      <c r="D41" s="2"/>
      <c r="E41" s="2"/>
      <c r="F41" s="2"/>
      <c r="G41" s="2"/>
      <c r="H41" s="2"/>
      <c r="I41" s="2"/>
      <c r="J41" s="2"/>
      <c r="K41" s="2"/>
      <c r="L41" s="2"/>
      <c r="M41" s="2"/>
      <c r="N41" s="2"/>
      <c r="O41" s="3"/>
      <c r="P41" s="483" t="s">
        <v>131</v>
      </c>
      <c r="Q41" s="45"/>
      <c r="R41" s="45">
        <f>'Referenz Plattenfertiger'!D9</f>
        <v>0</v>
      </c>
      <c r="S41" s="46">
        <f>R41+5</f>
        <v>5</v>
      </c>
      <c r="T41" s="46">
        <f>R41+10</f>
        <v>10</v>
      </c>
      <c r="U41" s="34"/>
      <c r="V41" s="3"/>
      <c r="W41" s="2"/>
      <c r="X41" s="3"/>
      <c r="Y41" s="3"/>
      <c r="Z41" s="34"/>
      <c r="AA41" s="45">
        <f>R$41</f>
        <v>0</v>
      </c>
      <c r="AB41" s="45">
        <f>S$41</f>
        <v>5</v>
      </c>
      <c r="AC41" s="45">
        <f>T$41</f>
        <v>10</v>
      </c>
      <c r="AD41" s="34"/>
      <c r="AE41" s="3"/>
      <c r="AF41" s="2"/>
      <c r="AG41" s="3"/>
      <c r="AH41" s="483" t="s">
        <v>131</v>
      </c>
      <c r="AI41" s="34"/>
      <c r="AJ41" s="45">
        <f>AA$41</f>
        <v>0</v>
      </c>
      <c r="AK41" s="45">
        <f>AB$41</f>
        <v>5</v>
      </c>
      <c r="AL41" s="45">
        <f>AC$41</f>
        <v>10</v>
      </c>
      <c r="AM41" s="46"/>
      <c r="AN41" s="46"/>
      <c r="AO41" s="83"/>
      <c r="AP41" s="62"/>
    </row>
    <row r="42" spans="1:42" x14ac:dyDescent="0.2">
      <c r="A42" s="2"/>
      <c r="B42" s="2"/>
      <c r="C42" s="2"/>
      <c r="D42" s="2"/>
      <c r="E42" s="2"/>
      <c r="F42" s="2"/>
      <c r="G42" s="2"/>
      <c r="H42" s="2"/>
      <c r="I42" s="2"/>
      <c r="J42" s="2"/>
      <c r="K42" s="2"/>
      <c r="L42" s="2"/>
      <c r="M42" s="2"/>
      <c r="N42" s="2"/>
      <c r="O42" s="3"/>
      <c r="P42" s="483"/>
      <c r="Q42" s="24"/>
      <c r="R42" s="47" t="s">
        <v>81</v>
      </c>
      <c r="S42" s="48"/>
      <c r="T42" s="48"/>
      <c r="U42" s="24"/>
      <c r="V42" s="3"/>
      <c r="W42" s="2"/>
      <c r="X42" s="3"/>
      <c r="Y42" s="3"/>
      <c r="Z42" s="24"/>
      <c r="AA42" s="47" t="s">
        <v>81</v>
      </c>
      <c r="AB42" s="48"/>
      <c r="AC42" s="48"/>
      <c r="AD42" s="24"/>
      <c r="AE42" s="3"/>
      <c r="AF42" s="2"/>
      <c r="AG42" s="3"/>
      <c r="AH42" s="483"/>
      <c r="AI42" s="24"/>
      <c r="AJ42" s="47" t="s">
        <v>81</v>
      </c>
      <c r="AK42" s="48"/>
      <c r="AL42" s="48"/>
      <c r="AM42" s="3"/>
      <c r="AN42" s="83"/>
      <c r="AO42" s="83"/>
      <c r="AP42" s="62"/>
    </row>
    <row r="43" spans="1:42" ht="15.75" x14ac:dyDescent="0.3">
      <c r="A43" s="2"/>
      <c r="B43" s="2"/>
      <c r="C43" s="2"/>
      <c r="D43" s="2"/>
      <c r="E43" s="2"/>
      <c r="F43" s="2"/>
      <c r="G43" s="2"/>
      <c r="H43" s="2"/>
      <c r="I43" s="2"/>
      <c r="J43" s="2"/>
      <c r="K43" s="2"/>
      <c r="L43" s="2"/>
      <c r="M43" s="2"/>
      <c r="N43" s="2"/>
      <c r="O43" s="3"/>
      <c r="P43" s="3"/>
      <c r="Q43" s="29" t="s">
        <v>29</v>
      </c>
      <c r="R43" s="32">
        <f>'Referenz Plattenfertiger'!$W$16+'Referenz Plattenfertiger'!W21</f>
        <v>43.0426</v>
      </c>
      <c r="S43" s="32">
        <f>X118+X123</f>
        <v>43.0426</v>
      </c>
      <c r="T43" s="32">
        <f>X193+X198</f>
        <v>43.0426</v>
      </c>
      <c r="U43" s="25" t="s">
        <v>148</v>
      </c>
      <c r="V43" s="3"/>
      <c r="W43" s="2"/>
      <c r="X43" s="3"/>
      <c r="Y43" s="3"/>
      <c r="Z43" s="29" t="s">
        <v>104</v>
      </c>
      <c r="AA43" s="26">
        <f>'Referenz Plattenfertiger'!S78</f>
        <v>94.932355060000006</v>
      </c>
      <c r="AB43" s="26">
        <f>S179</f>
        <v>94.932355060000006</v>
      </c>
      <c r="AC43" s="26">
        <f>S254</f>
        <v>94.932355060000006</v>
      </c>
      <c r="AD43" s="25" t="s">
        <v>148</v>
      </c>
      <c r="AE43" s="3"/>
      <c r="AF43" s="2"/>
      <c r="AG43" s="3"/>
      <c r="AH43" s="3"/>
      <c r="AI43" s="56" t="s">
        <v>144</v>
      </c>
      <c r="AJ43" s="57">
        <f>SUM(AJ44:AJ50)</f>
        <v>109669</v>
      </c>
      <c r="AK43" s="57">
        <f t="shared" ref="AK43:AL43" si="0">SUM(AK44:AK50)</f>
        <v>92469</v>
      </c>
      <c r="AL43" s="57">
        <f t="shared" si="0"/>
        <v>92469</v>
      </c>
      <c r="AM43" s="3"/>
      <c r="AN43" s="112"/>
      <c r="AO43" s="112"/>
      <c r="AP43" s="62"/>
    </row>
    <row r="44" spans="1:42" ht="15.75" x14ac:dyDescent="0.3">
      <c r="A44" s="2"/>
      <c r="B44" s="2"/>
      <c r="C44" s="2"/>
      <c r="D44" s="2"/>
      <c r="E44" s="2"/>
      <c r="F44" s="2"/>
      <c r="G44" s="2"/>
      <c r="H44" s="2"/>
      <c r="I44" s="2"/>
      <c r="J44" s="2"/>
      <c r="K44" s="2"/>
      <c r="L44" s="2"/>
      <c r="M44" s="2"/>
      <c r="N44" s="2"/>
      <c r="O44" s="3"/>
      <c r="P44" s="3"/>
      <c r="Q44" s="8" t="s">
        <v>30</v>
      </c>
      <c r="R44" s="10">
        <f>'Referenz Plattenfertiger'!$W$17+'Referenz Plattenfertiger'!W22</f>
        <v>16.005600000000001</v>
      </c>
      <c r="S44" s="10">
        <f>X119+X124</f>
        <v>16.005600000000001</v>
      </c>
      <c r="T44" s="10">
        <f>X194+X199</f>
        <v>16.005600000000001</v>
      </c>
      <c r="U44" s="3" t="s">
        <v>148</v>
      </c>
      <c r="V44" s="3"/>
      <c r="W44" s="2"/>
      <c r="X44" s="3"/>
      <c r="Y44" s="3"/>
      <c r="Z44" s="8" t="s">
        <v>26</v>
      </c>
      <c r="AA44" s="9">
        <f>'Referenz Plattenfertiger'!T78</f>
        <v>171.9</v>
      </c>
      <c r="AB44" s="9">
        <f>T179</f>
        <v>97.138569957888194</v>
      </c>
      <c r="AC44" s="9">
        <f>T254</f>
        <v>47.874209324752655</v>
      </c>
      <c r="AD44" s="3" t="s">
        <v>148</v>
      </c>
      <c r="AE44" s="3"/>
      <c r="AF44" s="2"/>
      <c r="AG44" s="3"/>
      <c r="AH44" s="3"/>
      <c r="AI44" s="31" t="s">
        <v>29</v>
      </c>
      <c r="AJ44" s="51">
        <f>'Referenz Plattenfertiger'!AD16</f>
        <v>14335</v>
      </c>
      <c r="AK44" s="51">
        <f>AH118+AH123</f>
        <v>14335</v>
      </c>
      <c r="AL44" s="51">
        <f>AH189+AH194</f>
        <v>14335</v>
      </c>
      <c r="AM44" s="3"/>
      <c r="AN44" s="112"/>
      <c r="AO44" s="112"/>
      <c r="AP44" s="62"/>
    </row>
    <row r="45" spans="1:42" ht="15.75" x14ac:dyDescent="0.3">
      <c r="A45" s="2"/>
      <c r="B45" s="2"/>
      <c r="C45" s="2"/>
      <c r="D45" s="2"/>
      <c r="E45" s="2"/>
      <c r="F45" s="2"/>
      <c r="G45" s="2"/>
      <c r="H45" s="2"/>
      <c r="I45" s="2"/>
      <c r="J45" s="2"/>
      <c r="K45" s="2"/>
      <c r="L45" s="2"/>
      <c r="M45" s="2"/>
      <c r="N45" s="2"/>
      <c r="O45" s="3"/>
      <c r="P45" s="3"/>
      <c r="Q45" s="29" t="s">
        <v>31</v>
      </c>
      <c r="R45" s="32">
        <f>'Referenz Plattenfertiger'!$W$18+'Referenz Plattenfertiger'!T24</f>
        <v>171.9</v>
      </c>
      <c r="S45" s="32">
        <f>X120+X126</f>
        <v>97.138569957888194</v>
      </c>
      <c r="T45" s="32">
        <f>X195+X201</f>
        <v>47.874209324752655</v>
      </c>
      <c r="U45" s="25" t="s">
        <v>148</v>
      </c>
      <c r="V45" s="3"/>
      <c r="W45" s="2"/>
      <c r="X45" s="3"/>
      <c r="Y45" s="3"/>
      <c r="Z45" s="29" t="s">
        <v>27</v>
      </c>
      <c r="AA45" s="26">
        <f>'Referenz Plattenfertiger'!U78</f>
        <v>5831.5296228095176</v>
      </c>
      <c r="AB45" s="26">
        <f>U179</f>
        <v>5745.822192018004</v>
      </c>
      <c r="AC45" s="26">
        <f>U254</f>
        <v>5738.6001915063407</v>
      </c>
      <c r="AD45" s="25" t="s">
        <v>148</v>
      </c>
      <c r="AE45" s="3"/>
      <c r="AF45" s="2"/>
      <c r="AG45" s="3"/>
      <c r="AH45" s="3"/>
      <c r="AI45" s="31" t="s">
        <v>30</v>
      </c>
      <c r="AJ45" s="51">
        <f>'Referenz Plattenfertiger'!AD17</f>
        <v>2760</v>
      </c>
      <c r="AK45" s="51">
        <f>AH119+AH124</f>
        <v>2760</v>
      </c>
      <c r="AL45" s="51">
        <f>AH190+AH195</f>
        <v>2760</v>
      </c>
      <c r="AM45" s="3"/>
      <c r="AN45" s="112"/>
      <c r="AO45" s="112"/>
      <c r="AP45" s="62"/>
    </row>
    <row r="46" spans="1:42" ht="16.5" thickBot="1" x14ac:dyDescent="0.35">
      <c r="A46" s="2"/>
      <c r="B46" s="2"/>
      <c r="C46" s="2"/>
      <c r="D46" s="2"/>
      <c r="E46" s="2"/>
      <c r="F46" s="2"/>
      <c r="G46" s="2"/>
      <c r="H46" s="2"/>
      <c r="I46" s="2"/>
      <c r="J46" s="2"/>
      <c r="K46" s="2"/>
      <c r="L46" s="2"/>
      <c r="M46" s="2"/>
      <c r="N46" s="2"/>
      <c r="O46" s="3"/>
      <c r="P46" s="3"/>
      <c r="Q46" s="8" t="s">
        <v>115</v>
      </c>
      <c r="R46" s="10">
        <f>'Referenz Plattenfertiger'!$W$19</f>
        <v>0</v>
      </c>
      <c r="S46" s="10">
        <f>X121</f>
        <v>0</v>
      </c>
      <c r="T46" s="10">
        <f>X196</f>
        <v>0</v>
      </c>
      <c r="U46" s="3" t="s">
        <v>148</v>
      </c>
      <c r="V46" s="3"/>
      <c r="W46" s="2"/>
      <c r="X46" s="3"/>
      <c r="Y46" s="3"/>
      <c r="Z46" s="27" t="s">
        <v>67</v>
      </c>
      <c r="AA46" s="28">
        <f>SUM(AA43:AA45)</f>
        <v>6098.3619778695174</v>
      </c>
      <c r="AB46" s="28">
        <f t="shared" ref="AB46:AC46" si="1">SUM(AB43:AB45)</f>
        <v>5937.8931170358919</v>
      </c>
      <c r="AC46" s="28">
        <f t="shared" si="1"/>
        <v>5881.4067558910938</v>
      </c>
      <c r="AD46" s="27" t="s">
        <v>149</v>
      </c>
      <c r="AE46" s="3"/>
      <c r="AF46" s="2"/>
      <c r="AG46" s="3"/>
      <c r="AH46" s="3"/>
      <c r="AI46" s="31" t="s">
        <v>31</v>
      </c>
      <c r="AJ46" s="51">
        <f>'Referenz Plattenfertiger'!AD18</f>
        <v>77400</v>
      </c>
      <c r="AK46" s="51">
        <f>AH120+AH126</f>
        <v>60200</v>
      </c>
      <c r="AL46" s="51">
        <f>AH191+AH197</f>
        <v>60200</v>
      </c>
      <c r="AM46" s="3"/>
      <c r="AN46" s="112"/>
      <c r="AO46" s="112"/>
      <c r="AP46" s="62"/>
    </row>
    <row r="47" spans="1:42" ht="16.5" thickTop="1" x14ac:dyDescent="0.3">
      <c r="A47" s="2"/>
      <c r="B47" s="2"/>
      <c r="C47" s="2"/>
      <c r="D47" s="2"/>
      <c r="E47" s="2"/>
      <c r="F47" s="2"/>
      <c r="G47" s="2"/>
      <c r="H47" s="2"/>
      <c r="I47" s="2"/>
      <c r="J47" s="2"/>
      <c r="K47" s="2"/>
      <c r="L47" s="2"/>
      <c r="M47" s="2"/>
      <c r="N47" s="2"/>
      <c r="O47" s="3"/>
      <c r="P47" s="3"/>
      <c r="Q47" s="29" t="s">
        <v>111</v>
      </c>
      <c r="R47" s="32">
        <f>'Referenz Plattenfertiger'!$W$25</f>
        <v>0</v>
      </c>
      <c r="S47" s="32">
        <f>X127</f>
        <v>0</v>
      </c>
      <c r="T47" s="32">
        <f>X202</f>
        <v>0</v>
      </c>
      <c r="U47" s="25" t="s">
        <v>148</v>
      </c>
      <c r="V47" s="3"/>
      <c r="W47" s="2"/>
      <c r="X47" s="3"/>
      <c r="Y47" s="3"/>
      <c r="Z47" s="3"/>
      <c r="AA47" s="3"/>
      <c r="AB47" s="3"/>
      <c r="AC47" s="3"/>
      <c r="AD47" s="3"/>
      <c r="AE47" s="3"/>
      <c r="AF47" s="2"/>
      <c r="AG47" s="3"/>
      <c r="AH47" s="3"/>
      <c r="AI47" s="31" t="s">
        <v>111</v>
      </c>
      <c r="AJ47" s="51">
        <f>'Referenz Plattenfertiger'!AD19</f>
        <v>0</v>
      </c>
      <c r="AK47" s="51">
        <f>AH127</f>
        <v>0</v>
      </c>
      <c r="AL47" s="51">
        <f>AH198</f>
        <v>0</v>
      </c>
      <c r="AM47" s="3"/>
      <c r="AN47" s="112"/>
      <c r="AO47" s="112"/>
      <c r="AP47" s="62"/>
    </row>
    <row r="48" spans="1:42" ht="15.75" x14ac:dyDescent="0.3">
      <c r="A48" s="2"/>
      <c r="B48" s="2"/>
      <c r="C48" s="2"/>
      <c r="D48" s="2"/>
      <c r="E48" s="2"/>
      <c r="F48" s="2"/>
      <c r="G48" s="2"/>
      <c r="H48" s="2"/>
      <c r="I48" s="2"/>
      <c r="J48" s="2"/>
      <c r="K48" s="2"/>
      <c r="L48" s="2"/>
      <c r="M48" s="2"/>
      <c r="N48" s="2"/>
      <c r="O48" s="3"/>
      <c r="P48" s="3"/>
      <c r="Q48" s="8" t="s">
        <v>135</v>
      </c>
      <c r="R48" s="10">
        <f>'Referenz Plattenfertiger'!$W$26</f>
        <v>0</v>
      </c>
      <c r="S48" s="10">
        <f>X128</f>
        <v>0</v>
      </c>
      <c r="T48" s="10">
        <f>X203</f>
        <v>0</v>
      </c>
      <c r="U48" s="3" t="s">
        <v>148</v>
      </c>
      <c r="V48" s="3"/>
      <c r="W48" s="2"/>
      <c r="X48" s="3"/>
      <c r="Y48" s="3"/>
      <c r="Z48" s="3"/>
      <c r="AA48" s="3"/>
      <c r="AB48" s="3"/>
      <c r="AC48" s="3"/>
      <c r="AD48" s="3"/>
      <c r="AE48" s="3"/>
      <c r="AF48" s="2"/>
      <c r="AG48" s="3"/>
      <c r="AH48" s="3"/>
      <c r="AI48" s="31" t="s">
        <v>112</v>
      </c>
      <c r="AJ48" s="51">
        <f>'Referenz Plattenfertiger'!AD20</f>
        <v>0</v>
      </c>
      <c r="AK48" s="51">
        <f>AH121</f>
        <v>0</v>
      </c>
      <c r="AL48" s="51">
        <f>AH192</f>
        <v>0</v>
      </c>
      <c r="AM48" s="3"/>
      <c r="AN48" s="112"/>
      <c r="AO48" s="112"/>
      <c r="AP48" s="62"/>
    </row>
    <row r="49" spans="1:42" ht="15.75" x14ac:dyDescent="0.3">
      <c r="A49" s="2"/>
      <c r="B49" s="2"/>
      <c r="C49" s="2"/>
      <c r="D49" s="2"/>
      <c r="E49" s="2"/>
      <c r="F49" s="2"/>
      <c r="G49" s="2"/>
      <c r="H49" s="2"/>
      <c r="I49" s="2"/>
      <c r="J49" s="2"/>
      <c r="K49" s="2"/>
      <c r="L49" s="2"/>
      <c r="M49" s="2"/>
      <c r="N49" s="2"/>
      <c r="O49" s="3"/>
      <c r="P49" s="3"/>
      <c r="Q49" s="29" t="s">
        <v>32</v>
      </c>
      <c r="R49" s="32">
        <f>'Referenz Plattenfertiger'!$W$28+'Referenz Plattenfertiger'!$W$29</f>
        <v>35.884155059999998</v>
      </c>
      <c r="S49" s="32">
        <f>X130+X131</f>
        <v>35.884155059999998</v>
      </c>
      <c r="T49" s="32">
        <f>X205+X206</f>
        <v>35.884155059999998</v>
      </c>
      <c r="U49" s="25" t="s">
        <v>148</v>
      </c>
      <c r="V49" s="3"/>
      <c r="W49" s="2"/>
      <c r="X49" s="3"/>
      <c r="Y49" s="3"/>
      <c r="Z49" s="23" t="s">
        <v>178</v>
      </c>
      <c r="AA49" s="24"/>
      <c r="AB49" s="24"/>
      <c r="AC49" s="24"/>
      <c r="AD49" s="24"/>
      <c r="AE49" s="3"/>
      <c r="AF49" s="2"/>
      <c r="AG49" s="3"/>
      <c r="AH49" s="3"/>
      <c r="AI49" s="31" t="s">
        <v>410</v>
      </c>
      <c r="AJ49" s="51">
        <f>'Referenz Plattenfertiger'!AD21</f>
        <v>0</v>
      </c>
      <c r="AK49" s="51">
        <f>AH128</f>
        <v>0</v>
      </c>
      <c r="AL49" s="51">
        <f>AH199</f>
        <v>0</v>
      </c>
      <c r="AM49" s="3"/>
      <c r="AN49" s="112"/>
      <c r="AO49" s="112"/>
      <c r="AP49" s="62"/>
    </row>
    <row r="50" spans="1:42" ht="15.75" thickBot="1" x14ac:dyDescent="0.3">
      <c r="A50" s="2"/>
      <c r="B50" s="2"/>
      <c r="C50" s="2"/>
      <c r="D50" s="2"/>
      <c r="E50" s="2"/>
      <c r="F50" s="2"/>
      <c r="G50" s="2"/>
      <c r="H50" s="2"/>
      <c r="I50" s="2"/>
      <c r="J50" s="2"/>
      <c r="K50" s="2"/>
      <c r="L50" s="2"/>
      <c r="M50" s="2"/>
      <c r="N50" s="2"/>
      <c r="O50" s="3"/>
      <c r="P50" s="3"/>
      <c r="Q50" s="27" t="s">
        <v>67</v>
      </c>
      <c r="R50" s="33">
        <f>SUM(R43:R49)</f>
        <v>266.83235506</v>
      </c>
      <c r="S50" s="33">
        <f>SUM(S43:S49)</f>
        <v>192.07092501788821</v>
      </c>
      <c r="T50" s="33">
        <f>SUM(T43:T49)</f>
        <v>142.80656438475268</v>
      </c>
      <c r="U50" s="27" t="s">
        <v>149</v>
      </c>
      <c r="V50" s="3"/>
      <c r="W50" s="2"/>
      <c r="X50" s="3"/>
      <c r="Y50" s="483" t="s">
        <v>131</v>
      </c>
      <c r="Z50" s="34"/>
      <c r="AA50" s="45">
        <f>R$41</f>
        <v>0</v>
      </c>
      <c r="AB50" s="45">
        <f>S$41</f>
        <v>5</v>
      </c>
      <c r="AC50" s="45">
        <f>T$41</f>
        <v>10</v>
      </c>
      <c r="AD50" s="34"/>
      <c r="AE50" s="3"/>
      <c r="AF50" s="2"/>
      <c r="AG50" s="3"/>
      <c r="AH50" s="3"/>
      <c r="AI50" s="50" t="s">
        <v>32</v>
      </c>
      <c r="AJ50" s="52">
        <f>'Referenz Plattenfertiger'!AD22</f>
        <v>15174.000000000002</v>
      </c>
      <c r="AK50" s="53">
        <f>AH130+AH131</f>
        <v>15174.000000000002</v>
      </c>
      <c r="AL50" s="53">
        <f>AH201+AH202</f>
        <v>15174.000000000002</v>
      </c>
      <c r="AM50" s="3"/>
      <c r="AN50" s="112"/>
      <c r="AO50" s="112"/>
      <c r="AP50" s="62"/>
    </row>
    <row r="51" spans="1:42" ht="13.5" thickTop="1" x14ac:dyDescent="0.2">
      <c r="A51" s="2"/>
      <c r="B51" s="2"/>
      <c r="C51" s="2"/>
      <c r="D51" s="2"/>
      <c r="E51" s="2"/>
      <c r="F51" s="2"/>
      <c r="G51" s="2"/>
      <c r="H51" s="2"/>
      <c r="I51" s="2"/>
      <c r="J51" s="2"/>
      <c r="K51" s="2"/>
      <c r="L51" s="2"/>
      <c r="M51" s="2"/>
      <c r="N51" s="2"/>
      <c r="O51" s="3"/>
      <c r="P51" s="3"/>
      <c r="Q51" s="3"/>
      <c r="R51" s="3"/>
      <c r="S51" s="3"/>
      <c r="T51" s="3"/>
      <c r="U51" s="3"/>
      <c r="V51" s="3"/>
      <c r="W51" s="2"/>
      <c r="X51" s="3"/>
      <c r="Y51" s="483"/>
      <c r="Z51" s="24"/>
      <c r="AA51" s="47" t="s">
        <v>81</v>
      </c>
      <c r="AB51" s="48"/>
      <c r="AC51" s="48"/>
      <c r="AD51" s="24"/>
      <c r="AE51" s="3"/>
      <c r="AF51" s="2"/>
      <c r="AG51" s="3"/>
      <c r="AH51" s="3"/>
      <c r="AI51" s="8" t="s">
        <v>28</v>
      </c>
      <c r="AJ51" s="54">
        <v>0</v>
      </c>
      <c r="AK51" s="54">
        <f>AH134</f>
        <v>36000</v>
      </c>
      <c r="AL51" s="54">
        <f>AH205</f>
        <v>36000</v>
      </c>
      <c r="AM51" s="3"/>
      <c r="AN51" s="112"/>
      <c r="AO51" s="112"/>
      <c r="AP51" s="62"/>
    </row>
    <row r="52" spans="1:42" ht="15.75" x14ac:dyDescent="0.3">
      <c r="A52" s="2"/>
      <c r="B52" s="2"/>
      <c r="C52" s="2"/>
      <c r="D52" s="2"/>
      <c r="E52" s="2"/>
      <c r="F52" s="2"/>
      <c r="G52" s="2"/>
      <c r="H52" s="2"/>
      <c r="I52" s="2"/>
      <c r="J52" s="2"/>
      <c r="K52" s="2"/>
      <c r="L52" s="2"/>
      <c r="M52" s="2"/>
      <c r="N52" s="2"/>
      <c r="O52" s="3"/>
      <c r="P52" s="3"/>
      <c r="Q52" s="3"/>
      <c r="R52" s="3"/>
      <c r="S52" s="3"/>
      <c r="T52" s="3"/>
      <c r="U52" s="3"/>
      <c r="V52" s="3"/>
      <c r="W52" s="2"/>
      <c r="X52" s="3"/>
      <c r="Y52" s="3"/>
      <c r="Z52" s="29" t="str">
        <f>P116</f>
        <v>Energieträger gesamt</v>
      </c>
      <c r="AA52" s="26">
        <f>SUM('Referenz Plattenfertiger'!U16:U29)</f>
        <v>41.281733459999998</v>
      </c>
      <c r="AB52" s="26">
        <f>U116</f>
        <v>35.893342668486227</v>
      </c>
      <c r="AC52" s="26">
        <f>U191</f>
        <v>28.671342156822377</v>
      </c>
      <c r="AD52" s="25" t="s">
        <v>148</v>
      </c>
      <c r="AE52" s="3"/>
      <c r="AF52" s="2"/>
      <c r="AG52" s="3"/>
      <c r="AH52" s="3"/>
      <c r="AI52" s="8" t="s">
        <v>139</v>
      </c>
      <c r="AJ52" s="54">
        <v>0</v>
      </c>
      <c r="AK52" s="54">
        <f>AH135</f>
        <v>1000</v>
      </c>
      <c r="AL52" s="54">
        <f>AH206</f>
        <v>1000</v>
      </c>
      <c r="AM52" s="3"/>
      <c r="AN52" s="112"/>
      <c r="AO52" s="112"/>
      <c r="AP52" s="62"/>
    </row>
    <row r="53" spans="1:42" ht="15.75" x14ac:dyDescent="0.3">
      <c r="A53" s="2"/>
      <c r="B53" s="2"/>
      <c r="C53" s="2"/>
      <c r="D53" s="2"/>
      <c r="E53" s="2"/>
      <c r="F53" s="2"/>
      <c r="G53" s="2"/>
      <c r="H53" s="2"/>
      <c r="I53" s="2"/>
      <c r="J53" s="2"/>
      <c r="K53" s="2"/>
      <c r="L53" s="2"/>
      <c r="M53" s="2"/>
      <c r="N53" s="2"/>
      <c r="O53" s="3"/>
      <c r="P53" s="3"/>
      <c r="Q53" s="3"/>
      <c r="R53" s="3"/>
      <c r="S53" s="3"/>
      <c r="T53" s="3"/>
      <c r="U53" s="3"/>
      <c r="V53" s="3"/>
      <c r="W53" s="2"/>
      <c r="X53" s="3"/>
      <c r="Y53" s="3"/>
      <c r="Z53" s="8" t="str">
        <f>P132</f>
        <v>Transport gesamt</v>
      </c>
      <c r="AA53" s="9">
        <f>'Referenz Plattenfertiger'!U32+'Referenz Plattenfertiger'!U33</f>
        <v>469.15642799999995</v>
      </c>
      <c r="AB53" s="9">
        <f>U132</f>
        <v>469.15642799999995</v>
      </c>
      <c r="AC53" s="9">
        <f>U207</f>
        <v>469.15642799999995</v>
      </c>
      <c r="AD53" s="3" t="s">
        <v>148</v>
      </c>
      <c r="AE53" s="3"/>
      <c r="AF53" s="2"/>
      <c r="AG53" s="3"/>
      <c r="AH53" s="3"/>
      <c r="AI53" s="58" t="s">
        <v>146</v>
      </c>
      <c r="AJ53" s="60">
        <v>0</v>
      </c>
      <c r="AK53" s="60">
        <f>AH136</f>
        <v>0</v>
      </c>
      <c r="AL53" s="60">
        <f>AH207</f>
        <v>0</v>
      </c>
      <c r="AM53" s="3"/>
      <c r="AN53" s="112"/>
      <c r="AO53" s="112"/>
      <c r="AP53" s="62"/>
    </row>
    <row r="54" spans="1:42" ht="15.75" x14ac:dyDescent="0.3">
      <c r="A54" s="2"/>
      <c r="B54" s="2"/>
      <c r="C54" s="2"/>
      <c r="D54" s="2"/>
      <c r="E54" s="2"/>
      <c r="F54" s="2"/>
      <c r="G54" s="2"/>
      <c r="H54" s="2"/>
      <c r="I54" s="2"/>
      <c r="J54" s="2"/>
      <c r="K54" s="2"/>
      <c r="L54" s="2"/>
      <c r="M54" s="2"/>
      <c r="N54" s="2"/>
      <c r="O54" s="3"/>
      <c r="P54" s="3"/>
      <c r="Q54" s="3"/>
      <c r="R54" s="3"/>
      <c r="S54" s="3"/>
      <c r="T54" s="3"/>
      <c r="U54" s="3"/>
      <c r="V54" s="3"/>
      <c r="W54" s="2"/>
      <c r="X54" s="3"/>
      <c r="Y54" s="3"/>
      <c r="Z54" s="29" t="str">
        <f>P136</f>
        <v>Zement</v>
      </c>
      <c r="AA54" s="26">
        <f>'Referenz Plattenfertiger'!U35</f>
        <v>4548.5439999999999</v>
      </c>
      <c r="AB54" s="26">
        <f>U136</f>
        <v>4548.5439999999999</v>
      </c>
      <c r="AC54" s="26">
        <f>U211</f>
        <v>4548.5439999999999</v>
      </c>
      <c r="AD54" s="25" t="s">
        <v>148</v>
      </c>
      <c r="AE54" s="3"/>
      <c r="AF54" s="2"/>
      <c r="AG54" s="3"/>
      <c r="AH54" s="3"/>
      <c r="AI54" s="56" t="s">
        <v>140</v>
      </c>
      <c r="AJ54" s="57">
        <f>SUM(AJ55:AJ57)</f>
        <v>152459.04944673795</v>
      </c>
      <c r="AK54" s="57">
        <f t="shared" ref="AK54:AL54" si="2">SUM(AK55:AK57)</f>
        <v>267205.19026661513</v>
      </c>
      <c r="AL54" s="57">
        <f t="shared" si="2"/>
        <v>470512.54047128744</v>
      </c>
      <c r="AM54" s="3"/>
      <c r="AN54" s="112"/>
      <c r="AO54" s="112"/>
      <c r="AP54" s="62"/>
    </row>
    <row r="55" spans="1:42" ht="15.75" x14ac:dyDescent="0.3">
      <c r="A55" s="2"/>
      <c r="B55" s="2"/>
      <c r="C55" s="2"/>
      <c r="D55" s="2"/>
      <c r="E55" s="2"/>
      <c r="F55" s="2"/>
      <c r="G55" s="2"/>
      <c r="H55" s="2"/>
      <c r="I55" s="2"/>
      <c r="J55" s="2"/>
      <c r="K55" s="2"/>
      <c r="L55" s="2"/>
      <c r="M55" s="2"/>
      <c r="N55" s="2"/>
      <c r="O55" s="3"/>
      <c r="P55" s="3"/>
      <c r="Q55" s="3"/>
      <c r="R55" s="3"/>
      <c r="S55" s="3"/>
      <c r="T55" s="3"/>
      <c r="U55" s="3"/>
      <c r="V55" s="3"/>
      <c r="W55" s="2"/>
      <c r="X55" s="3"/>
      <c r="Y55" s="3"/>
      <c r="Z55" s="8" t="str">
        <f>P142</f>
        <v>Gesteinskörnungen (Zuschlagsstoffe)</v>
      </c>
      <c r="AA55" s="9">
        <f>'Referenz Plattenfertiger'!U41</f>
        <v>129.59200000000001</v>
      </c>
      <c r="AB55" s="9">
        <f>U142</f>
        <v>129.59200000000001</v>
      </c>
      <c r="AC55" s="9">
        <f>U217</f>
        <v>129.59200000000001</v>
      </c>
      <c r="AD55" s="3" t="s">
        <v>148</v>
      </c>
      <c r="AE55" s="3"/>
      <c r="AF55" s="2"/>
      <c r="AG55" s="3"/>
      <c r="AH55" s="3"/>
      <c r="AI55" s="31" t="s">
        <v>141</v>
      </c>
      <c r="AJ55" s="51">
        <f>'Referenz Plattenfertiger'!AD26</f>
        <v>2373.3088765000002</v>
      </c>
      <c r="AK55" s="51">
        <f>AH139</f>
        <v>4271.9559777000004</v>
      </c>
      <c r="AL55" s="51">
        <f>AH210</f>
        <v>7594.5884048000007</v>
      </c>
      <c r="AM55" s="3"/>
      <c r="AN55" s="112"/>
      <c r="AO55" s="112"/>
      <c r="AP55" s="62"/>
    </row>
    <row r="56" spans="1:42" ht="15.75" x14ac:dyDescent="0.3">
      <c r="A56" s="2"/>
      <c r="B56" s="2"/>
      <c r="C56" s="2"/>
      <c r="D56" s="2"/>
      <c r="E56" s="2"/>
      <c r="F56" s="2"/>
      <c r="G56" s="2"/>
      <c r="H56" s="2"/>
      <c r="I56" s="2"/>
      <c r="J56" s="2"/>
      <c r="K56" s="2"/>
      <c r="L56" s="2"/>
      <c r="M56" s="2"/>
      <c r="N56" s="2"/>
      <c r="O56" s="3"/>
      <c r="P56" s="3"/>
      <c r="Q56" s="3"/>
      <c r="R56" s="3"/>
      <c r="S56" s="3"/>
      <c r="T56" s="3"/>
      <c r="U56" s="3"/>
      <c r="V56" s="3"/>
      <c r="W56" s="2"/>
      <c r="X56" s="3"/>
      <c r="Y56" s="3"/>
      <c r="Z56" s="29" t="str">
        <f>Q149</f>
        <v>Farben</v>
      </c>
      <c r="AA56" s="26">
        <f>'Referenz Plattenfertiger'!U48</f>
        <v>208</v>
      </c>
      <c r="AB56" s="26">
        <f>U149</f>
        <v>208</v>
      </c>
      <c r="AC56" s="26">
        <f>U224</f>
        <v>208</v>
      </c>
      <c r="AD56" s="25" t="s">
        <v>148</v>
      </c>
      <c r="AE56" s="3"/>
      <c r="AF56" s="2"/>
      <c r="AG56" s="3"/>
      <c r="AH56" s="3"/>
      <c r="AI56" s="31" t="s">
        <v>142</v>
      </c>
      <c r="AJ56" s="51">
        <f>'Referenz Plattenfertiger'!AD27</f>
        <v>4297.5</v>
      </c>
      <c r="AK56" s="51">
        <f>AH140</f>
        <v>4371.2356481049683</v>
      </c>
      <c r="AL56" s="51">
        <f>AH211</f>
        <v>3829.9367459802124</v>
      </c>
      <c r="AM56" s="3"/>
      <c r="AN56" s="112"/>
      <c r="AO56" s="112"/>
      <c r="AP56" s="62"/>
    </row>
    <row r="57" spans="1:42" ht="15.75" x14ac:dyDescent="0.3">
      <c r="A57" s="2"/>
      <c r="B57" s="2"/>
      <c r="C57" s="2"/>
      <c r="D57" s="2"/>
      <c r="E57" s="2"/>
      <c r="F57" s="2"/>
      <c r="G57" s="2"/>
      <c r="H57" s="2"/>
      <c r="I57" s="2"/>
      <c r="J57" s="2"/>
      <c r="K57" s="2"/>
      <c r="L57" s="2"/>
      <c r="M57" s="2"/>
      <c r="N57" s="2"/>
      <c r="O57" s="3"/>
      <c r="P57" s="3"/>
      <c r="Q57" s="3"/>
      <c r="R57" s="3"/>
      <c r="S57" s="3"/>
      <c r="T57" s="3"/>
      <c r="U57" s="3"/>
      <c r="V57" s="3"/>
      <c r="W57" s="2"/>
      <c r="X57" s="3"/>
      <c r="Y57" s="3"/>
      <c r="Z57" s="8" t="str">
        <f>P151</f>
        <v>Zusatzstoffe (Füllstoffe)</v>
      </c>
      <c r="AA57" s="9">
        <f>'Referenz Plattenfertiger'!U50</f>
        <v>81.003999999999991</v>
      </c>
      <c r="AB57" s="9">
        <f>U151</f>
        <v>81.003999999999991</v>
      </c>
      <c r="AC57" s="9">
        <f>U226</f>
        <v>81.003999999999991</v>
      </c>
      <c r="AD57" s="3" t="s">
        <v>148</v>
      </c>
      <c r="AE57" s="3"/>
      <c r="AF57" s="2"/>
      <c r="AG57" s="3"/>
      <c r="AH57" s="3"/>
      <c r="AI57" s="31" t="s">
        <v>143</v>
      </c>
      <c r="AJ57" s="51">
        <f>'Referenz Plattenfertiger'!AD28</f>
        <v>145788.24057023795</v>
      </c>
      <c r="AK57" s="51">
        <f>AH141</f>
        <v>258561.99864081017</v>
      </c>
      <c r="AL57" s="51">
        <f>AH212</f>
        <v>459088.01532050723</v>
      </c>
      <c r="AM57" s="3"/>
      <c r="AN57" s="112"/>
      <c r="AO57" s="112"/>
      <c r="AP57" s="62"/>
    </row>
    <row r="58" spans="1:42" ht="16.5" thickBot="1" x14ac:dyDescent="0.35">
      <c r="A58" s="2"/>
      <c r="B58" s="2"/>
      <c r="C58" s="2"/>
      <c r="D58" s="2"/>
      <c r="E58" s="2"/>
      <c r="F58" s="2"/>
      <c r="G58" s="2"/>
      <c r="H58" s="2"/>
      <c r="I58" s="2"/>
      <c r="J58" s="2"/>
      <c r="K58" s="2"/>
      <c r="L58" s="2"/>
      <c r="M58" s="2"/>
      <c r="N58" s="2"/>
      <c r="O58" s="3"/>
      <c r="P58" s="3"/>
      <c r="Q58" s="3"/>
      <c r="R58" s="3"/>
      <c r="S58" s="3"/>
      <c r="T58" s="3"/>
      <c r="U58" s="3"/>
      <c r="V58" s="3"/>
      <c r="W58" s="2"/>
      <c r="X58" s="3"/>
      <c r="Y58" s="3"/>
      <c r="Z58" s="29" t="str">
        <f>P158</f>
        <v>Zusatzmittel</v>
      </c>
      <c r="AA58" s="26">
        <f>'Referenz Plattenfertiger'!U57</f>
        <v>148.44746134951595</v>
      </c>
      <c r="AB58" s="26">
        <f>U158</f>
        <v>148.44746134951595</v>
      </c>
      <c r="AC58" s="26">
        <f>U233</f>
        <v>148.44746134951595</v>
      </c>
      <c r="AD58" s="25" t="s">
        <v>148</v>
      </c>
      <c r="AE58" s="3"/>
      <c r="AF58" s="2"/>
      <c r="AG58" s="3"/>
      <c r="AH58" s="3"/>
      <c r="AI58" s="27" t="s">
        <v>67</v>
      </c>
      <c r="AJ58" s="55">
        <f>AJ54+AJ53+AJ52+AJ51+AJ43</f>
        <v>262128.04944673795</v>
      </c>
      <c r="AK58" s="55">
        <f t="shared" ref="AK58:AL58" si="3">AK54+AK53+AK52+AK51+AK43</f>
        <v>396674.19026661513</v>
      </c>
      <c r="AL58" s="55">
        <f t="shared" si="3"/>
        <v>599981.54047128744</v>
      </c>
      <c r="AM58" s="3"/>
      <c r="AN58" s="112"/>
      <c r="AO58" s="112"/>
      <c r="AP58" s="62"/>
    </row>
    <row r="59" spans="1:42" ht="16.5" thickTop="1" x14ac:dyDescent="0.3">
      <c r="A59" s="2"/>
      <c r="B59" s="2"/>
      <c r="C59" s="2"/>
      <c r="D59" s="2"/>
      <c r="E59" s="2"/>
      <c r="F59" s="2"/>
      <c r="G59" s="2"/>
      <c r="H59" s="2"/>
      <c r="I59" s="2"/>
      <c r="J59" s="2"/>
      <c r="K59" s="2"/>
      <c r="L59" s="2"/>
      <c r="M59" s="2"/>
      <c r="N59" s="2"/>
      <c r="O59" s="3"/>
      <c r="P59" s="3"/>
      <c r="Q59" s="3"/>
      <c r="R59" s="3"/>
      <c r="S59" s="3"/>
      <c r="T59" s="3"/>
      <c r="U59" s="3"/>
      <c r="V59" s="3"/>
      <c r="W59" s="2"/>
      <c r="X59" s="3"/>
      <c r="Y59" s="3"/>
      <c r="Z59" s="8" t="s">
        <v>179</v>
      </c>
      <c r="AA59" s="9">
        <f>'Referenz Plattenfertiger'!U63+'Referenz Plattenfertiger'!U64</f>
        <v>0.54400000000000004</v>
      </c>
      <c r="AB59" s="9">
        <f>U164+U165</f>
        <v>0.54400000000000004</v>
      </c>
      <c r="AC59" s="9">
        <f>U239+U240</f>
        <v>0.54400000000000004</v>
      </c>
      <c r="AD59" s="3" t="s">
        <v>148</v>
      </c>
      <c r="AE59" s="3"/>
      <c r="AF59" s="2"/>
      <c r="AG59" s="3"/>
      <c r="AH59" s="3"/>
      <c r="AI59" s="3"/>
      <c r="AJ59" s="3"/>
      <c r="AK59" s="3"/>
      <c r="AL59" s="3"/>
      <c r="AM59" s="3"/>
      <c r="AN59" s="62"/>
      <c r="AO59" s="62"/>
      <c r="AP59" s="62"/>
    </row>
    <row r="60" spans="1:42" ht="16.5" thickBot="1" x14ac:dyDescent="0.35">
      <c r="A60" s="2"/>
      <c r="B60" s="2"/>
      <c r="C60" s="2"/>
      <c r="D60" s="2"/>
      <c r="E60" s="2"/>
      <c r="F60" s="2"/>
      <c r="G60" s="2"/>
      <c r="H60" s="2"/>
      <c r="I60" s="2"/>
      <c r="J60" s="2"/>
      <c r="K60" s="2"/>
      <c r="L60" s="2"/>
      <c r="M60" s="2"/>
      <c r="N60" s="2"/>
      <c r="O60" s="3"/>
      <c r="P60" s="3"/>
      <c r="Q60" s="3"/>
      <c r="R60" s="3"/>
      <c r="S60" s="3"/>
      <c r="T60" s="3"/>
      <c r="U60" s="3"/>
      <c r="V60" s="3"/>
      <c r="W60" s="2"/>
      <c r="X60" s="3"/>
      <c r="Y60" s="3"/>
      <c r="Z60" s="29" t="str">
        <f>P167</f>
        <v>Oberflächenschutzsysteme</v>
      </c>
      <c r="AA60" s="26">
        <f>'Referenz Plattenfertiger'!U66</f>
        <v>80.47999999999999</v>
      </c>
      <c r="AB60" s="26">
        <f>U167</f>
        <v>0.16095999999999999</v>
      </c>
      <c r="AC60" s="26">
        <f>U242</f>
        <v>0.16095999999999999</v>
      </c>
      <c r="AD60" s="25" t="s">
        <v>148</v>
      </c>
      <c r="AE60" s="3"/>
      <c r="AF60" s="2"/>
      <c r="AG60" s="3"/>
      <c r="AH60" s="3"/>
      <c r="AI60" s="104" t="s">
        <v>196</v>
      </c>
      <c r="AJ60" s="105">
        <f>AJ58-AJ57</f>
        <v>116339.8088765</v>
      </c>
      <c r="AK60" s="105">
        <f>AK58-AK57</f>
        <v>138112.19162580496</v>
      </c>
      <c r="AL60" s="105">
        <f>AL58-AL57</f>
        <v>140893.52515078022</v>
      </c>
      <c r="AM60" s="3"/>
      <c r="AN60" s="3"/>
      <c r="AO60" s="3"/>
      <c r="AP60" s="3"/>
    </row>
    <row r="61" spans="1:42" ht="16.5" thickBot="1" x14ac:dyDescent="0.35">
      <c r="A61" s="2"/>
      <c r="B61" s="2"/>
      <c r="C61" s="2"/>
      <c r="D61" s="2"/>
      <c r="E61" s="2"/>
      <c r="F61" s="2"/>
      <c r="G61" s="2"/>
      <c r="H61" s="2"/>
      <c r="I61" s="2"/>
      <c r="J61" s="2"/>
      <c r="K61" s="2"/>
      <c r="L61" s="2"/>
      <c r="M61" s="2"/>
      <c r="N61" s="2"/>
      <c r="O61" s="3"/>
      <c r="P61" s="3"/>
      <c r="Q61" s="3"/>
      <c r="R61" s="3"/>
      <c r="S61" s="3"/>
      <c r="T61" s="3"/>
      <c r="U61" s="3"/>
      <c r="V61" s="3"/>
      <c r="W61" s="2"/>
      <c r="X61" s="3"/>
      <c r="Y61" s="3"/>
      <c r="Z61" s="8" t="str">
        <f>P172</f>
        <v>Oberflächenbearbeitung (vor/nach Erhärtung)</v>
      </c>
      <c r="AA61" s="9">
        <f>'Referenz Plattenfertiger'!U71</f>
        <v>60</v>
      </c>
      <c r="AB61" s="9">
        <f>U172</f>
        <v>60</v>
      </c>
      <c r="AC61" s="9">
        <f>U247</f>
        <v>60</v>
      </c>
      <c r="AD61" s="3" t="s">
        <v>148</v>
      </c>
      <c r="AE61" s="3"/>
      <c r="AF61" s="2"/>
      <c r="AG61" s="3"/>
      <c r="AH61" s="3"/>
      <c r="AI61" s="106" t="s">
        <v>145</v>
      </c>
      <c r="AJ61" s="107">
        <f>AJ58-AJ54</f>
        <v>109669</v>
      </c>
      <c r="AK61" s="107">
        <f>AK58-AK54</f>
        <v>129469</v>
      </c>
      <c r="AL61" s="107">
        <f>AL58-AL54</f>
        <v>129469</v>
      </c>
      <c r="AM61" s="3"/>
      <c r="AN61" s="3"/>
      <c r="AO61" s="3"/>
      <c r="AP61" s="3"/>
    </row>
    <row r="62" spans="1:42" ht="15.75" x14ac:dyDescent="0.3">
      <c r="A62" s="2"/>
      <c r="B62" s="2"/>
      <c r="C62" s="2"/>
      <c r="D62" s="2"/>
      <c r="E62" s="2"/>
      <c r="F62" s="2"/>
      <c r="G62" s="2"/>
      <c r="H62" s="2"/>
      <c r="I62" s="2"/>
      <c r="J62" s="2"/>
      <c r="K62" s="2"/>
      <c r="L62" s="2"/>
      <c r="M62" s="2"/>
      <c r="N62" s="2"/>
      <c r="O62" s="3"/>
      <c r="P62" s="3"/>
      <c r="Q62" s="3"/>
      <c r="R62" s="3"/>
      <c r="S62" s="3"/>
      <c r="T62" s="3"/>
      <c r="U62" s="3"/>
      <c r="V62" s="3"/>
      <c r="W62" s="2"/>
      <c r="X62" s="3"/>
      <c r="Y62" s="3"/>
      <c r="Z62" s="29" t="str">
        <f>Q177</f>
        <v>Verpackungsmaterial</v>
      </c>
      <c r="AA62" s="26">
        <f>'Referenz Plattenfertiger'!U76</f>
        <v>64.48</v>
      </c>
      <c r="AB62" s="26">
        <f>U177</f>
        <v>64.48</v>
      </c>
      <c r="AC62" s="26">
        <f>U252</f>
        <v>64.48</v>
      </c>
      <c r="AD62" s="25" t="s">
        <v>148</v>
      </c>
      <c r="AE62" s="3"/>
      <c r="AF62" s="2"/>
      <c r="AG62" s="3"/>
      <c r="AH62" s="3"/>
      <c r="AI62" s="3"/>
      <c r="AJ62" s="3"/>
      <c r="AK62" s="3"/>
      <c r="AL62" s="3"/>
      <c r="AM62" s="3"/>
      <c r="AN62" s="3"/>
      <c r="AO62" s="3"/>
      <c r="AP62" s="3"/>
    </row>
    <row r="63" spans="1:42" ht="15" thickBot="1" x14ac:dyDescent="0.3">
      <c r="A63" s="2"/>
      <c r="B63" s="2"/>
      <c r="C63" s="2"/>
      <c r="D63" s="2"/>
      <c r="E63" s="2"/>
      <c r="F63" s="2"/>
      <c r="G63" s="2"/>
      <c r="H63" s="2"/>
      <c r="I63" s="2"/>
      <c r="J63" s="2"/>
      <c r="K63" s="2"/>
      <c r="L63" s="2"/>
      <c r="M63" s="2"/>
      <c r="N63" s="2"/>
      <c r="O63" s="3"/>
      <c r="P63" s="3"/>
      <c r="Q63" s="3"/>
      <c r="R63" s="3"/>
      <c r="S63" s="3"/>
      <c r="T63" s="3"/>
      <c r="U63" s="3"/>
      <c r="V63" s="3"/>
      <c r="W63" s="2"/>
      <c r="X63" s="3"/>
      <c r="Y63" s="3"/>
      <c r="Z63" s="27" t="s">
        <v>67</v>
      </c>
      <c r="AA63" s="28">
        <f>SUM(AA52:AA62)</f>
        <v>5831.529622809514</v>
      </c>
      <c r="AB63" s="28">
        <f t="shared" ref="AB63" si="4">SUM(AB52:AB62)</f>
        <v>5745.8221920180013</v>
      </c>
      <c r="AC63" s="28">
        <f>SUM(AC52:AC62)</f>
        <v>5738.6001915063371</v>
      </c>
      <c r="AD63" s="27" t="s">
        <v>149</v>
      </c>
      <c r="AE63" s="3"/>
      <c r="AF63" s="2"/>
      <c r="AG63" s="3"/>
      <c r="AH63" s="3"/>
      <c r="AI63" s="3"/>
      <c r="AJ63" s="3"/>
      <c r="AK63" s="3"/>
      <c r="AL63" s="3"/>
      <c r="AM63" s="3"/>
      <c r="AN63" s="3"/>
      <c r="AO63" s="3"/>
      <c r="AP63" s="3"/>
    </row>
    <row r="64" spans="1:42" ht="13.5" thickTop="1" x14ac:dyDescent="0.2">
      <c r="A64" s="2"/>
      <c r="B64" s="2"/>
      <c r="C64" s="2"/>
      <c r="D64" s="2"/>
      <c r="E64" s="2"/>
      <c r="F64" s="2"/>
      <c r="G64" s="2"/>
      <c r="H64" s="2"/>
      <c r="I64" s="2"/>
      <c r="J64" s="2"/>
      <c r="K64" s="2"/>
      <c r="L64" s="2"/>
      <c r="M64" s="2"/>
      <c r="N64" s="2"/>
      <c r="O64" s="3"/>
      <c r="P64" s="3"/>
      <c r="Q64" s="3"/>
      <c r="R64" s="3"/>
      <c r="S64" s="3"/>
      <c r="T64" s="3"/>
      <c r="U64" s="3"/>
      <c r="V64" s="3"/>
      <c r="W64" s="2"/>
      <c r="X64" s="3"/>
      <c r="Y64" s="3"/>
      <c r="Z64" s="8"/>
      <c r="AA64" s="82"/>
      <c r="AB64" s="82"/>
      <c r="AC64" s="82"/>
      <c r="AD64" s="8"/>
      <c r="AE64" s="3"/>
      <c r="AF64" s="2"/>
      <c r="AG64" s="3"/>
      <c r="AH64" s="3"/>
      <c r="AI64" s="3"/>
      <c r="AJ64" s="3"/>
      <c r="AK64" s="3"/>
      <c r="AL64" s="3"/>
      <c r="AM64" s="3"/>
      <c r="AN64" s="3"/>
      <c r="AO64" s="3"/>
      <c r="AP64" s="3"/>
    </row>
    <row r="65" spans="1:42" x14ac:dyDescent="0.2">
      <c r="A65" s="2"/>
      <c r="B65" s="2"/>
      <c r="C65" s="2"/>
      <c r="D65" s="2"/>
      <c r="E65" s="2"/>
      <c r="F65" s="2"/>
      <c r="G65" s="2"/>
      <c r="H65" s="2"/>
      <c r="I65" s="2"/>
      <c r="J65" s="2"/>
      <c r="K65" s="2"/>
      <c r="L65" s="2"/>
      <c r="M65" s="2"/>
      <c r="N65" s="2"/>
      <c r="O65" s="3"/>
      <c r="P65" s="3"/>
      <c r="Q65" s="3"/>
      <c r="R65" s="3"/>
      <c r="S65" s="3"/>
      <c r="T65" s="3"/>
      <c r="U65" s="3"/>
      <c r="V65" s="3"/>
      <c r="W65" s="2"/>
      <c r="X65" s="3"/>
      <c r="Y65" s="3"/>
      <c r="Z65" s="8"/>
      <c r="AA65" s="82"/>
      <c r="AB65" s="82"/>
      <c r="AC65" s="82"/>
      <c r="AD65" s="8"/>
      <c r="AE65" s="3"/>
      <c r="AF65" s="2"/>
      <c r="AG65" s="3"/>
      <c r="AH65" s="3"/>
      <c r="AI65" s="3"/>
      <c r="AJ65" s="3"/>
      <c r="AK65" s="3"/>
      <c r="AL65" s="3"/>
      <c r="AM65" s="3"/>
      <c r="AN65" s="3"/>
      <c r="AO65" s="3"/>
      <c r="AP65" s="3"/>
    </row>
    <row r="66" spans="1:42" ht="15" x14ac:dyDescent="0.25">
      <c r="A66" s="2"/>
      <c r="B66" s="2"/>
      <c r="C66" s="2"/>
      <c r="D66" s="2"/>
      <c r="E66" s="2"/>
      <c r="F66" s="2"/>
      <c r="G66" s="2"/>
      <c r="H66" s="2"/>
      <c r="I66" s="2"/>
      <c r="J66" s="2"/>
      <c r="K66" s="2"/>
      <c r="L66" s="2"/>
      <c r="M66" s="2"/>
      <c r="N66" s="2"/>
      <c r="O66" s="3"/>
      <c r="P66" s="3"/>
      <c r="Q66" s="3"/>
      <c r="R66" s="3"/>
      <c r="S66" s="3"/>
      <c r="T66" s="3"/>
      <c r="U66" s="3"/>
      <c r="V66" s="3"/>
      <c r="W66" s="2"/>
      <c r="X66" s="3"/>
      <c r="Y66" s="3"/>
      <c r="Z66" s="23" t="s">
        <v>194</v>
      </c>
      <c r="AA66" s="3"/>
      <c r="AB66" s="3"/>
      <c r="AC66" s="3"/>
      <c r="AD66" s="3"/>
      <c r="AE66" s="3"/>
      <c r="AF66" s="2"/>
      <c r="AG66" s="3"/>
      <c r="AH66" s="3"/>
      <c r="AI66" s="3"/>
      <c r="AJ66" s="3"/>
      <c r="AK66" s="3"/>
      <c r="AL66" s="3"/>
      <c r="AM66" s="3"/>
      <c r="AN66" s="3"/>
      <c r="AO66" s="3"/>
      <c r="AP66" s="3"/>
    </row>
    <row r="67" spans="1:42" ht="15" x14ac:dyDescent="0.25">
      <c r="A67" s="2"/>
      <c r="B67" s="2"/>
      <c r="C67" s="2"/>
      <c r="D67" s="2"/>
      <c r="E67" s="2"/>
      <c r="F67" s="2"/>
      <c r="G67" s="2"/>
      <c r="H67" s="2"/>
      <c r="I67" s="2"/>
      <c r="J67" s="2"/>
      <c r="K67" s="2"/>
      <c r="L67" s="2"/>
      <c r="M67" s="2"/>
      <c r="N67" s="2"/>
      <c r="O67" s="3"/>
      <c r="P67" s="3"/>
      <c r="Q67" s="3"/>
      <c r="R67" s="3"/>
      <c r="S67" s="3"/>
      <c r="T67" s="3"/>
      <c r="U67" s="3"/>
      <c r="V67" s="3"/>
      <c r="W67" s="2"/>
      <c r="X67" s="3"/>
      <c r="Y67" s="3"/>
      <c r="Z67" s="34"/>
      <c r="AA67" s="45">
        <f>R$41</f>
        <v>0</v>
      </c>
      <c r="AB67" s="45">
        <f>S$41</f>
        <v>5</v>
      </c>
      <c r="AC67" s="45">
        <f>T$41</f>
        <v>10</v>
      </c>
      <c r="AD67" s="34"/>
      <c r="AE67" s="3"/>
      <c r="AF67" s="2"/>
      <c r="AG67" s="3"/>
      <c r="AH67" s="3"/>
      <c r="AI67" s="3"/>
      <c r="AJ67" s="3"/>
      <c r="AK67" s="3"/>
      <c r="AL67" s="3"/>
      <c r="AM67" s="3"/>
      <c r="AN67" s="3"/>
      <c r="AO67" s="3"/>
      <c r="AP67" s="3"/>
    </row>
    <row r="68" spans="1:42" x14ac:dyDescent="0.2">
      <c r="A68" s="2"/>
      <c r="B68" s="2"/>
      <c r="C68" s="2"/>
      <c r="D68" s="2"/>
      <c r="E68" s="2"/>
      <c r="F68" s="2"/>
      <c r="G68" s="2"/>
      <c r="H68" s="2"/>
      <c r="I68" s="2"/>
      <c r="J68" s="2"/>
      <c r="K68" s="2"/>
      <c r="L68" s="2"/>
      <c r="M68" s="2"/>
      <c r="N68" s="2"/>
      <c r="O68" s="3"/>
      <c r="P68" s="3"/>
      <c r="Q68" s="3"/>
      <c r="R68" s="3"/>
      <c r="S68" s="3"/>
      <c r="T68" s="3"/>
      <c r="U68" s="3"/>
      <c r="V68" s="3"/>
      <c r="W68" s="2"/>
      <c r="X68" s="3"/>
      <c r="Y68" s="3"/>
      <c r="Z68" s="24"/>
      <c r="AA68" s="47" t="s">
        <v>81</v>
      </c>
      <c r="AB68" s="48"/>
      <c r="AC68" s="48"/>
      <c r="AD68" s="24"/>
      <c r="AE68" s="3"/>
      <c r="AF68" s="2"/>
      <c r="AG68" s="3"/>
      <c r="AH68" s="3"/>
      <c r="AI68" s="3"/>
      <c r="AJ68" s="3"/>
      <c r="AK68" s="3"/>
      <c r="AL68" s="3"/>
      <c r="AM68" s="3"/>
      <c r="AN68" s="3"/>
      <c r="AO68" s="3"/>
      <c r="AP68" s="3"/>
    </row>
    <row r="69" spans="1:42" ht="15.75" x14ac:dyDescent="0.3">
      <c r="A69" s="2"/>
      <c r="B69" s="2"/>
      <c r="C69" s="2"/>
      <c r="D69" s="2"/>
      <c r="E69" s="2"/>
      <c r="F69" s="2"/>
      <c r="G69" s="2"/>
      <c r="H69" s="2"/>
      <c r="I69" s="2"/>
      <c r="J69" s="2"/>
      <c r="K69" s="2"/>
      <c r="L69" s="2"/>
      <c r="M69" s="2"/>
      <c r="N69" s="2"/>
      <c r="O69" s="3"/>
      <c r="P69" s="3"/>
      <c r="Q69" s="3"/>
      <c r="R69" s="3"/>
      <c r="S69" s="3"/>
      <c r="T69" s="3"/>
      <c r="U69" s="3"/>
      <c r="V69" s="3"/>
      <c r="W69" s="2"/>
      <c r="X69" s="3"/>
      <c r="Y69" s="3"/>
      <c r="Z69" s="29" t="s">
        <v>104</v>
      </c>
      <c r="AA69" s="97">
        <f>AA43/IF(NOT(ISBLANK('Referenz Plattenfertiger'!$I$12)),'Referenz Plattenfertiger'!$I$12,'Referenz Plattenfertiger'!$F$12)</f>
        <v>2.3733088764999999E-3</v>
      </c>
      <c r="AB69" s="97">
        <f>AB43/IF(NOT(ISBLANK('Referenz Plattenfertiger'!$I$12)),'Referenz Plattenfertiger'!$I$12,'Referenz Plattenfertiger'!$F$12)</f>
        <v>2.3733088764999999E-3</v>
      </c>
      <c r="AC69" s="97">
        <f>AC43/IF(NOT(ISBLANK('Referenz Plattenfertiger'!$I$12)),'Referenz Plattenfertiger'!$I$12,'Referenz Plattenfertiger'!$F$12)</f>
        <v>2.3733088764999999E-3</v>
      </c>
      <c r="AD69" s="25" t="s">
        <v>193</v>
      </c>
      <c r="AE69" s="3"/>
      <c r="AF69" s="2"/>
      <c r="AG69" s="3"/>
      <c r="AH69" s="3"/>
      <c r="AI69" s="3"/>
      <c r="AJ69" s="3"/>
      <c r="AK69" s="3"/>
      <c r="AL69" s="3"/>
      <c r="AM69" s="3"/>
      <c r="AN69" s="3"/>
      <c r="AO69" s="3"/>
      <c r="AP69" s="3"/>
    </row>
    <row r="70" spans="1:42" ht="15.75" x14ac:dyDescent="0.3">
      <c r="A70" s="2"/>
      <c r="B70" s="2"/>
      <c r="C70" s="2"/>
      <c r="D70" s="2"/>
      <c r="E70" s="2"/>
      <c r="F70" s="2"/>
      <c r="G70" s="2"/>
      <c r="H70" s="2"/>
      <c r="I70" s="2"/>
      <c r="J70" s="2"/>
      <c r="K70" s="2"/>
      <c r="L70" s="2"/>
      <c r="M70" s="2"/>
      <c r="N70" s="2"/>
      <c r="O70" s="3"/>
      <c r="P70" s="3"/>
      <c r="Q70" s="3"/>
      <c r="R70" s="3"/>
      <c r="S70" s="3"/>
      <c r="T70" s="3"/>
      <c r="U70" s="3"/>
      <c r="V70" s="3"/>
      <c r="W70" s="2"/>
      <c r="X70" s="3"/>
      <c r="Y70" s="3"/>
      <c r="Z70" s="8" t="s">
        <v>26</v>
      </c>
      <c r="AA70" s="98">
        <f>AA44/IF(NOT(ISBLANK('Referenz Plattenfertiger'!$I$12)),'Referenz Plattenfertiger'!$I$12,'Referenz Plattenfertiger'!$F$12)</f>
        <v>4.2975000000000001E-3</v>
      </c>
      <c r="AB70" s="98">
        <f>AB44/IF(NOT(ISBLANK('Referenz Plattenfertiger'!$I$12)),'Referenz Plattenfertiger'!$I$12,'Referenz Plattenfertiger'!$F$12)</f>
        <v>2.4284642489472048E-3</v>
      </c>
      <c r="AC70" s="98">
        <f>AC44/IF(NOT(ISBLANK('Referenz Plattenfertiger'!$I$12)),'Referenz Plattenfertiger'!$I$12,'Referenz Plattenfertiger'!$F$12)</f>
        <v>1.1968552331188165E-3</v>
      </c>
      <c r="AD70" s="3" t="s">
        <v>193</v>
      </c>
      <c r="AE70" s="3"/>
      <c r="AF70" s="2"/>
      <c r="AG70" s="3"/>
      <c r="AH70" s="3"/>
      <c r="AI70" s="3"/>
      <c r="AJ70" s="3"/>
      <c r="AK70" s="3"/>
      <c r="AL70" s="3"/>
      <c r="AM70" s="3"/>
      <c r="AN70" s="3"/>
      <c r="AO70" s="3"/>
      <c r="AP70" s="3"/>
    </row>
    <row r="71" spans="1:42" ht="15.75" x14ac:dyDescent="0.3">
      <c r="A71" s="2"/>
      <c r="B71" s="2"/>
      <c r="C71" s="2"/>
      <c r="D71" s="2"/>
      <c r="E71" s="2"/>
      <c r="F71" s="2"/>
      <c r="G71" s="2"/>
      <c r="H71" s="2"/>
      <c r="I71" s="2"/>
      <c r="J71" s="2"/>
      <c r="K71" s="2"/>
      <c r="L71" s="2"/>
      <c r="M71" s="2"/>
      <c r="N71" s="2"/>
      <c r="O71" s="3"/>
      <c r="P71" s="3"/>
      <c r="Q71" s="3"/>
      <c r="R71" s="3"/>
      <c r="S71" s="3"/>
      <c r="T71" s="3"/>
      <c r="U71" s="3"/>
      <c r="V71" s="3"/>
      <c r="W71" s="2"/>
      <c r="X71" s="3"/>
      <c r="Y71" s="3"/>
      <c r="Z71" s="29" t="s">
        <v>27</v>
      </c>
      <c r="AA71" s="97">
        <f>AA45/IF(NOT(ISBLANK('Referenz Plattenfertiger'!$I$12)),'Referenz Plattenfertiger'!$I$12,'Referenz Plattenfertiger'!$F$12)</f>
        <v>0.14578824057023795</v>
      </c>
      <c r="AB71" s="97">
        <f>AB45/IF(NOT(ISBLANK('Referenz Plattenfertiger'!$I$12)),'Referenz Plattenfertiger'!$I$12,'Referenz Plattenfertiger'!$F$12)</f>
        <v>0.1436455548004501</v>
      </c>
      <c r="AC71" s="97">
        <f>AC45/IF(NOT(ISBLANK('Referenz Plattenfertiger'!$I$12)),'Referenz Plattenfertiger'!$I$12,'Referenz Plattenfertiger'!$F$12)</f>
        <v>0.14346500478765853</v>
      </c>
      <c r="AD71" s="25" t="s">
        <v>193</v>
      </c>
      <c r="AE71" s="3"/>
      <c r="AF71" s="2"/>
      <c r="AG71" s="3"/>
      <c r="AH71" s="3"/>
      <c r="AI71" s="3"/>
      <c r="AJ71" s="3"/>
      <c r="AK71" s="3"/>
      <c r="AL71" s="3"/>
      <c r="AM71" s="3"/>
      <c r="AN71" s="3"/>
      <c r="AO71" s="3"/>
      <c r="AP71" s="3"/>
    </row>
    <row r="72" spans="1:42" ht="15" thickBot="1" x14ac:dyDescent="0.3">
      <c r="A72" s="2"/>
      <c r="B72" s="2"/>
      <c r="C72" s="2"/>
      <c r="D72" s="2"/>
      <c r="E72" s="2"/>
      <c r="F72" s="2"/>
      <c r="G72" s="2"/>
      <c r="H72" s="2"/>
      <c r="I72" s="2"/>
      <c r="J72" s="2"/>
      <c r="K72" s="2"/>
      <c r="L72" s="2"/>
      <c r="M72" s="2"/>
      <c r="N72" s="2"/>
      <c r="O72" s="3"/>
      <c r="P72" s="3"/>
      <c r="Q72" s="3"/>
      <c r="R72" s="3"/>
      <c r="S72" s="3"/>
      <c r="T72" s="3"/>
      <c r="U72" s="3"/>
      <c r="V72" s="3"/>
      <c r="W72" s="2"/>
      <c r="X72" s="3"/>
      <c r="Y72" s="3"/>
      <c r="Z72" s="27" t="s">
        <v>67</v>
      </c>
      <c r="AA72" s="99">
        <f>AA46/IF(NOT(ISBLANK('Referenz Plattenfertiger'!$I$12)),'Referenz Plattenfertiger'!$I$12,'Referenz Plattenfertiger'!$F$12)</f>
        <v>0.15245904944673794</v>
      </c>
      <c r="AB72" s="99">
        <f>AB46/IF(NOT(ISBLANK('Referenz Plattenfertiger'!$I$12)),'Referenz Plattenfertiger'!$I$12,'Referenz Plattenfertiger'!$F$12)</f>
        <v>0.14844732792589729</v>
      </c>
      <c r="AC72" s="99">
        <f>AC46/IF(NOT(ISBLANK('Referenz Plattenfertiger'!$I$12)),'Referenz Plattenfertiger'!$I$12,'Referenz Plattenfertiger'!$F$12)</f>
        <v>0.14703516889727736</v>
      </c>
      <c r="AD72" s="27" t="s">
        <v>195</v>
      </c>
      <c r="AE72" s="3"/>
      <c r="AF72" s="2"/>
      <c r="AG72" s="3"/>
      <c r="AH72" s="3"/>
      <c r="AI72" s="3"/>
      <c r="AJ72" s="3"/>
      <c r="AK72" s="3"/>
      <c r="AL72" s="3"/>
      <c r="AM72" s="3"/>
      <c r="AN72" s="3"/>
      <c r="AO72" s="3"/>
      <c r="AP72" s="3"/>
    </row>
    <row r="73" spans="1:42" ht="13.5" thickTop="1" x14ac:dyDescent="0.2">
      <c r="A73" s="2"/>
      <c r="B73" s="2"/>
      <c r="C73" s="2"/>
      <c r="D73" s="2"/>
      <c r="E73" s="2"/>
      <c r="F73" s="2"/>
      <c r="G73" s="2"/>
      <c r="H73" s="2"/>
      <c r="I73" s="2"/>
      <c r="J73" s="2"/>
      <c r="K73" s="2"/>
      <c r="L73" s="2"/>
      <c r="M73" s="2"/>
      <c r="N73" s="2"/>
      <c r="O73" s="3"/>
      <c r="P73" s="3"/>
      <c r="Q73" s="3"/>
      <c r="R73" s="3"/>
      <c r="S73" s="3"/>
      <c r="T73" s="3"/>
      <c r="U73" s="3"/>
      <c r="V73" s="3"/>
      <c r="W73" s="2"/>
      <c r="X73" s="3"/>
      <c r="Y73" s="3"/>
      <c r="Z73" s="3"/>
      <c r="AA73" s="3"/>
      <c r="AB73" s="3"/>
      <c r="AC73" s="3"/>
      <c r="AD73" s="3"/>
      <c r="AE73" s="3"/>
      <c r="AF73" s="2"/>
      <c r="AG73" s="3"/>
      <c r="AH73" s="3"/>
      <c r="AI73" s="3"/>
      <c r="AJ73" s="3"/>
      <c r="AK73" s="3"/>
      <c r="AL73" s="3"/>
      <c r="AM73" s="3"/>
      <c r="AN73" s="3"/>
      <c r="AO73" s="3"/>
      <c r="AP73" s="3"/>
    </row>
    <row r="74" spans="1:42" x14ac:dyDescent="0.2">
      <c r="A74" s="2"/>
      <c r="B74" s="2"/>
      <c r="C74" s="2"/>
      <c r="D74" s="2"/>
      <c r="E74" s="2"/>
      <c r="F74" s="2"/>
      <c r="G74" s="2"/>
      <c r="H74" s="2"/>
      <c r="I74" s="2"/>
      <c r="J74" s="2"/>
      <c r="K74" s="2"/>
      <c r="L74" s="2"/>
      <c r="M74" s="2"/>
      <c r="N74" s="2"/>
      <c r="O74" s="3"/>
      <c r="P74" s="3"/>
      <c r="Q74" s="3"/>
      <c r="R74" s="3"/>
      <c r="S74" s="3"/>
      <c r="T74" s="3"/>
      <c r="U74" s="3"/>
      <c r="V74" s="3"/>
      <c r="W74" s="2"/>
      <c r="X74" s="3"/>
      <c r="Y74" s="3"/>
      <c r="Z74" s="3"/>
      <c r="AA74" s="3"/>
      <c r="AB74" s="3"/>
      <c r="AC74" s="3"/>
      <c r="AD74" s="3"/>
      <c r="AE74" s="3"/>
      <c r="AF74" s="2"/>
      <c r="AG74" s="3"/>
      <c r="AH74" s="3"/>
      <c r="AI74" s="3"/>
      <c r="AJ74" s="3"/>
      <c r="AK74" s="3"/>
      <c r="AL74" s="3"/>
      <c r="AM74" s="3"/>
      <c r="AN74" s="3"/>
      <c r="AO74" s="3"/>
      <c r="AP74" s="3"/>
    </row>
    <row r="75" spans="1:42" x14ac:dyDescent="0.2">
      <c r="A75" s="2"/>
      <c r="B75" s="2"/>
      <c r="C75" s="2"/>
      <c r="D75" s="2"/>
      <c r="E75" s="2"/>
      <c r="F75" s="2"/>
      <c r="G75" s="2"/>
      <c r="H75" s="2"/>
      <c r="I75" s="2"/>
      <c r="J75" s="2"/>
      <c r="K75" s="2"/>
      <c r="L75" s="2"/>
      <c r="M75" s="2"/>
      <c r="N75" s="2"/>
      <c r="O75" s="3"/>
      <c r="P75" s="3"/>
      <c r="Q75" s="3"/>
      <c r="R75" s="3"/>
      <c r="S75" s="3"/>
      <c r="T75" s="3"/>
      <c r="U75" s="3"/>
      <c r="V75" s="3"/>
      <c r="W75" s="2"/>
      <c r="X75" s="3"/>
      <c r="Y75" s="3"/>
      <c r="Z75" s="3"/>
      <c r="AA75" s="3"/>
      <c r="AB75" s="3"/>
      <c r="AC75" s="3"/>
      <c r="AD75" s="3"/>
      <c r="AE75" s="3"/>
      <c r="AF75" s="2"/>
      <c r="AG75" s="3"/>
      <c r="AH75" s="3"/>
      <c r="AI75" s="3"/>
      <c r="AJ75" s="3"/>
      <c r="AK75" s="3"/>
      <c r="AL75" s="3"/>
      <c r="AM75" s="3"/>
      <c r="AN75" s="3"/>
      <c r="AO75" s="3"/>
      <c r="AP75" s="3"/>
    </row>
    <row r="76" spans="1:42" x14ac:dyDescent="0.2">
      <c r="A76" s="2"/>
      <c r="B76" s="2" t="str">
        <f>IF(AND($F$16&gt;0,J16&lt;F16),"Bitte den Handeingabewert 'Reduktion' für 'Bilanzjahr +10 Jahre' auch anpassen. Dieser muss dem Werte Ihrer Handeingabe  'Bilanzjahr + 5 Jahre' entsprechen, sollte nur eine Maßnahme im  'Bilanzjahr + 5 Jahre' umgesetzt werden.","")</f>
        <v/>
      </c>
      <c r="C76" s="2"/>
      <c r="D76" s="2"/>
      <c r="E76" s="2"/>
      <c r="F76" s="2"/>
      <c r="G76" s="2"/>
      <c r="H76" s="2"/>
      <c r="I76" s="2"/>
      <c r="J76" s="2"/>
      <c r="K76" s="2"/>
      <c r="L76" s="2"/>
      <c r="M76" s="2"/>
      <c r="N76" s="2"/>
    </row>
    <row r="77" spans="1:42" x14ac:dyDescent="0.2">
      <c r="A77" s="2"/>
      <c r="B77" s="2"/>
      <c r="C77" s="2"/>
      <c r="D77" s="2"/>
      <c r="E77" s="2"/>
      <c r="F77" s="2"/>
      <c r="G77" s="2"/>
      <c r="H77" s="2"/>
      <c r="I77" s="2"/>
      <c r="J77" s="2"/>
      <c r="K77" s="2"/>
      <c r="L77" s="2"/>
      <c r="M77" s="2"/>
      <c r="N77" s="2"/>
    </row>
    <row r="78" spans="1:42" hidden="1" outlineLevel="1" x14ac:dyDescent="0.2">
      <c r="B78" s="3"/>
      <c r="C78" s="3"/>
      <c r="D78" s="3"/>
      <c r="E78" s="3"/>
      <c r="F78" s="3"/>
      <c r="G78" s="3"/>
      <c r="H78" s="3"/>
      <c r="I78" s="3"/>
      <c r="J78" s="3"/>
      <c r="K78" s="3"/>
      <c r="L78" s="3"/>
      <c r="M78" s="3"/>
      <c r="N78" s="2"/>
      <c r="O78" s="3"/>
      <c r="P78" s="3"/>
      <c r="Q78" s="3"/>
      <c r="R78" s="3"/>
      <c r="S78" s="3"/>
      <c r="T78" s="3"/>
      <c r="U78" s="3"/>
      <c r="V78" s="3"/>
      <c r="W78" s="3"/>
      <c r="X78" s="3"/>
      <c r="Y78" s="3"/>
      <c r="Z78" s="3"/>
      <c r="AA78" s="3"/>
      <c r="AB78" s="3"/>
      <c r="AC78" s="3"/>
      <c r="AD78" s="3"/>
      <c r="AE78" s="3"/>
      <c r="AF78" s="3"/>
      <c r="AG78" s="3"/>
      <c r="AH78" s="3"/>
      <c r="AI78" s="3"/>
      <c r="AJ78" s="3"/>
      <c r="AK78" s="3"/>
      <c r="AL78" s="3"/>
      <c r="AM78" s="3"/>
      <c r="AN78" s="3"/>
    </row>
    <row r="79" spans="1:42" ht="15.75" hidden="1" outlineLevel="1" x14ac:dyDescent="0.25">
      <c r="B79"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79" s="3"/>
      <c r="D79" s="3"/>
      <c r="E79" s="3"/>
      <c r="F79" s="3"/>
      <c r="G79" s="3"/>
      <c r="H79" s="3"/>
      <c r="I79" s="3"/>
      <c r="J79" s="3"/>
      <c r="K79" s="3"/>
      <c r="L79" s="3"/>
      <c r="M79" s="3"/>
      <c r="N79" s="2"/>
      <c r="O79" s="3"/>
      <c r="P79" s="3"/>
      <c r="Q79" s="61" t="s">
        <v>130</v>
      </c>
      <c r="R79" s="3"/>
      <c r="S79" s="3"/>
      <c r="T79" s="3"/>
      <c r="U79" s="3"/>
      <c r="V79" s="3"/>
      <c r="W79" s="3"/>
      <c r="X79" s="3"/>
      <c r="Y79" s="3"/>
      <c r="Z79" s="61" t="s">
        <v>130</v>
      </c>
      <c r="AA79" s="3" t="s">
        <v>475</v>
      </c>
      <c r="AB79" s="3" t="s">
        <v>474</v>
      </c>
      <c r="AC79" s="3" t="s">
        <v>474</v>
      </c>
      <c r="AD79" s="3"/>
      <c r="AE79" s="3"/>
      <c r="AF79" s="3"/>
      <c r="AG79" s="3"/>
      <c r="AH79" s="61" t="s">
        <v>130</v>
      </c>
      <c r="AI79" s="24"/>
      <c r="AJ79" s="24"/>
      <c r="AK79" s="24"/>
      <c r="AL79" s="24"/>
      <c r="AM79" s="3"/>
      <c r="AN79" s="3"/>
    </row>
    <row r="80" spans="1:42" ht="15" hidden="1" outlineLevel="1" x14ac:dyDescent="0.25">
      <c r="B80" s="3"/>
      <c r="C80" s="3"/>
      <c r="D80" s="3"/>
      <c r="E80" s="3"/>
      <c r="F80" s="3"/>
      <c r="G80" s="3"/>
      <c r="H80" s="3"/>
      <c r="I80" s="3"/>
      <c r="J80" s="3"/>
      <c r="K80" s="3"/>
      <c r="L80" s="3"/>
      <c r="M80" s="3"/>
      <c r="N80" s="2"/>
      <c r="O80" s="3"/>
      <c r="P80" s="3"/>
      <c r="Q80" s="35" t="s">
        <v>102</v>
      </c>
      <c r="R80" s="35">
        <f>R41</f>
        <v>0</v>
      </c>
      <c r="S80" s="35">
        <f t="shared" ref="S80:T80" si="5">S41</f>
        <v>5</v>
      </c>
      <c r="T80" s="35">
        <f t="shared" si="5"/>
        <v>10</v>
      </c>
      <c r="U80" s="34"/>
      <c r="V80" s="3"/>
      <c r="W80" s="3"/>
      <c r="X80" s="3"/>
      <c r="Y80" s="3"/>
      <c r="Z80" s="35" t="s">
        <v>239</v>
      </c>
      <c r="AA80" s="35">
        <v>2020</v>
      </c>
      <c r="AB80" s="35" t="s">
        <v>475</v>
      </c>
      <c r="AC80" s="35" t="s">
        <v>474</v>
      </c>
      <c r="AD80" s="34"/>
      <c r="AE80" s="3"/>
      <c r="AF80" s="3"/>
      <c r="AG80" s="3"/>
      <c r="AH80" s="3"/>
      <c r="AI80" s="45">
        <f>R80</f>
        <v>0</v>
      </c>
      <c r="AJ80" s="46">
        <f>S80</f>
        <v>5</v>
      </c>
      <c r="AK80" s="46">
        <f>T80</f>
        <v>10</v>
      </c>
      <c r="AL80" s="46"/>
      <c r="AM80" s="3"/>
      <c r="AN80" s="3"/>
    </row>
    <row r="81" spans="2:40" hidden="1" outlineLevel="1" x14ac:dyDescent="0.2">
      <c r="B81" s="3"/>
      <c r="C81" s="3"/>
      <c r="D81" s="3"/>
      <c r="E81" s="3"/>
      <c r="F81" s="3"/>
      <c r="G81" s="3"/>
      <c r="H81" s="3"/>
      <c r="I81" s="3"/>
      <c r="J81" s="3"/>
      <c r="K81" s="3"/>
      <c r="L81" s="3"/>
      <c r="M81" s="3"/>
      <c r="N81" s="2"/>
      <c r="O81" s="3"/>
      <c r="P81" s="3"/>
      <c r="Q81" s="24"/>
      <c r="R81" s="59" t="s">
        <v>81</v>
      </c>
      <c r="S81" s="58"/>
      <c r="T81" s="58"/>
      <c r="U81" s="24"/>
      <c r="V81" s="3"/>
      <c r="W81" s="3"/>
      <c r="X81" s="3"/>
      <c r="Y81" s="3"/>
      <c r="Z81" s="24"/>
      <c r="AA81" s="59" t="s">
        <v>81</v>
      </c>
      <c r="AB81" s="58"/>
      <c r="AC81" s="58"/>
      <c r="AD81" s="24"/>
      <c r="AE81" s="3"/>
      <c r="AF81" s="3"/>
      <c r="AG81" s="3"/>
      <c r="AH81" s="3"/>
      <c r="AI81" s="24"/>
      <c r="AJ81" s="49" t="s">
        <v>81</v>
      </c>
      <c r="AK81" s="49"/>
      <c r="AL81" s="58"/>
      <c r="AM81" s="3"/>
      <c r="AN81" s="3"/>
    </row>
    <row r="82" spans="2:40" ht="15.75" hidden="1" outlineLevel="1" x14ac:dyDescent="0.3">
      <c r="B82" s="3"/>
      <c r="C82" s="3"/>
      <c r="D82" s="3"/>
      <c r="E82" s="3"/>
      <c r="F82" s="3"/>
      <c r="G82" s="3"/>
      <c r="H82" s="3"/>
      <c r="I82" s="3"/>
      <c r="J82" s="3"/>
      <c r="K82" s="3"/>
      <c r="L82" s="3"/>
      <c r="M82" s="3"/>
      <c r="N82" s="2"/>
      <c r="O82" s="3"/>
      <c r="P82" s="3"/>
      <c r="Q82" s="3" t="str">
        <f t="shared" ref="Q82:Q88" si="6">IF($V82,Q43,"")</f>
        <v>Erdgas</v>
      </c>
      <c r="R82" s="10">
        <f t="shared" ref="R82:T88" si="7">IF($V82,R43,NA())</f>
        <v>43.0426</v>
      </c>
      <c r="S82" s="10">
        <f t="shared" si="7"/>
        <v>43.0426</v>
      </c>
      <c r="T82" s="10">
        <f t="shared" si="7"/>
        <v>43.0426</v>
      </c>
      <c r="U82" s="3" t="s">
        <v>148</v>
      </c>
      <c r="V82" s="374" t="b">
        <v>1</v>
      </c>
      <c r="W82" s="374"/>
      <c r="X82" s="3"/>
      <c r="Y82" s="3"/>
      <c r="Z82" s="3" t="str">
        <f t="shared" ref="Z82:Z92" si="8">IF($AF82,Z52,"")</f>
        <v>Energieträger gesamt</v>
      </c>
      <c r="AA82" s="9">
        <f t="shared" ref="AA82:AB92" si="9">IF($AF82,AA52,NA())</f>
        <v>41.281733459999998</v>
      </c>
      <c r="AB82" s="9">
        <f t="shared" si="9"/>
        <v>35.893342668486227</v>
      </c>
      <c r="AC82" s="9">
        <f t="shared" ref="AC82" si="10">IF($AF82,AC52,NA())</f>
        <v>28.671342156822377</v>
      </c>
      <c r="AD82" s="3" t="s">
        <v>148</v>
      </c>
      <c r="AE82" s="3"/>
      <c r="AF82" s="374" t="b">
        <v>1</v>
      </c>
      <c r="AG82" s="3"/>
      <c r="AH82" s="3"/>
      <c r="AI82" s="56" t="s">
        <v>144</v>
      </c>
      <c r="AJ82" s="57">
        <f>SUM(AJ83:AJ89)</f>
        <v>109669</v>
      </c>
      <c r="AK82" s="57">
        <f t="shared" ref="AK82:AL82" si="11">SUM(AK83:AK89)</f>
        <v>92469</v>
      </c>
      <c r="AL82" s="57">
        <f t="shared" si="11"/>
        <v>92469</v>
      </c>
      <c r="AM82" s="3"/>
      <c r="AN82" s="3"/>
    </row>
    <row r="83" spans="2:40" ht="15.75" hidden="1" outlineLevel="1" x14ac:dyDescent="0.3">
      <c r="B83" s="3"/>
      <c r="C83" s="3"/>
      <c r="D83" s="3"/>
      <c r="E83" s="3"/>
      <c r="F83" s="3"/>
      <c r="G83" s="3"/>
      <c r="H83" s="3"/>
      <c r="I83" s="3"/>
      <c r="J83" s="3"/>
      <c r="K83" s="3"/>
      <c r="L83" s="3"/>
      <c r="M83" s="3"/>
      <c r="N83" s="2"/>
      <c r="O83" s="3"/>
      <c r="P83" s="3"/>
      <c r="Q83" s="3" t="str">
        <f t="shared" si="6"/>
        <v>Heizöl</v>
      </c>
      <c r="R83" s="10">
        <f t="shared" si="7"/>
        <v>16.005600000000001</v>
      </c>
      <c r="S83" s="10">
        <f t="shared" si="7"/>
        <v>16.005600000000001</v>
      </c>
      <c r="T83" s="10">
        <f t="shared" si="7"/>
        <v>16.005600000000001</v>
      </c>
      <c r="U83" s="3" t="s">
        <v>148</v>
      </c>
      <c r="V83" s="374" t="b">
        <v>1</v>
      </c>
      <c r="W83" s="374"/>
      <c r="X83" s="3"/>
      <c r="Y83" s="3"/>
      <c r="Z83" s="3" t="str">
        <f t="shared" si="8"/>
        <v>Transport gesamt</v>
      </c>
      <c r="AA83" s="9">
        <f t="shared" si="9"/>
        <v>469.15642799999995</v>
      </c>
      <c r="AB83" s="9">
        <f t="shared" si="9"/>
        <v>469.15642799999995</v>
      </c>
      <c r="AC83" s="9">
        <f t="shared" ref="AC83:AC92" si="12">IF($AF83,AC53,NA())</f>
        <v>469.15642799999995</v>
      </c>
      <c r="AD83" s="3" t="s">
        <v>148</v>
      </c>
      <c r="AE83" s="3"/>
      <c r="AF83" s="374" t="b">
        <v>1</v>
      </c>
      <c r="AG83" s="3"/>
      <c r="AH83" s="3"/>
      <c r="AI83" s="31" t="s">
        <v>29</v>
      </c>
      <c r="AJ83" s="51">
        <f>AJ44</f>
        <v>14335</v>
      </c>
      <c r="AK83" s="51">
        <f t="shared" ref="AK83:AL83" si="13">AK44</f>
        <v>14335</v>
      </c>
      <c r="AL83" s="51">
        <f t="shared" si="13"/>
        <v>14335</v>
      </c>
      <c r="AM83" s="3"/>
      <c r="AN83" s="3"/>
    </row>
    <row r="84" spans="2:40" ht="15.75" hidden="1" outlineLevel="1" x14ac:dyDescent="0.3">
      <c r="B84" s="3"/>
      <c r="C84" s="3"/>
      <c r="D84" s="3"/>
      <c r="E84" s="3"/>
      <c r="F84" s="3"/>
      <c r="G84" s="3"/>
      <c r="H84" s="3"/>
      <c r="I84" s="3"/>
      <c r="J84" s="3"/>
      <c r="K84" s="3"/>
      <c r="L84" s="3"/>
      <c r="M84" s="3"/>
      <c r="N84" s="2"/>
      <c r="O84" s="3"/>
      <c r="P84" s="3"/>
      <c r="Q84" s="3" t="str">
        <f t="shared" si="6"/>
        <v>Strom</v>
      </c>
      <c r="R84" s="10">
        <f t="shared" si="7"/>
        <v>171.9</v>
      </c>
      <c r="S84" s="10">
        <f t="shared" si="7"/>
        <v>97.138569957888194</v>
      </c>
      <c r="T84" s="10">
        <f t="shared" si="7"/>
        <v>47.874209324752655</v>
      </c>
      <c r="U84" s="3" t="s">
        <v>148</v>
      </c>
      <c r="V84" s="374" t="b">
        <v>1</v>
      </c>
      <c r="W84" s="374"/>
      <c r="X84" s="3"/>
      <c r="Y84" s="3"/>
      <c r="Z84" s="3" t="str">
        <f t="shared" si="8"/>
        <v>Zement</v>
      </c>
      <c r="AA84" s="9">
        <f t="shared" si="9"/>
        <v>4548.5439999999999</v>
      </c>
      <c r="AB84" s="9">
        <f t="shared" si="9"/>
        <v>4548.5439999999999</v>
      </c>
      <c r="AC84" s="9">
        <f t="shared" si="12"/>
        <v>4548.5439999999999</v>
      </c>
      <c r="AD84" s="3" t="s">
        <v>148</v>
      </c>
      <c r="AE84" s="3"/>
      <c r="AF84" s="374" t="b">
        <v>1</v>
      </c>
      <c r="AG84" s="3"/>
      <c r="AH84" s="3"/>
      <c r="AI84" s="31" t="s">
        <v>30</v>
      </c>
      <c r="AJ84" s="51">
        <f t="shared" ref="AJ84:AL89" si="14">AJ45</f>
        <v>2760</v>
      </c>
      <c r="AK84" s="51">
        <f t="shared" si="14"/>
        <v>2760</v>
      </c>
      <c r="AL84" s="51">
        <f t="shared" si="14"/>
        <v>2760</v>
      </c>
      <c r="AM84" s="3"/>
      <c r="AN84" s="3"/>
    </row>
    <row r="85" spans="2:40" ht="15.75" hidden="1" outlineLevel="1" x14ac:dyDescent="0.3">
      <c r="B85" s="3"/>
      <c r="C85" s="3"/>
      <c r="D85" s="3"/>
      <c r="E85" s="3"/>
      <c r="F85" s="3"/>
      <c r="G85" s="3"/>
      <c r="H85" s="3"/>
      <c r="I85" s="3"/>
      <c r="J85" s="3"/>
      <c r="K85" s="3"/>
      <c r="L85" s="3"/>
      <c r="M85" s="3"/>
      <c r="N85" s="2"/>
      <c r="O85" s="3"/>
      <c r="P85" s="3"/>
      <c r="Q85" s="3" t="str">
        <f t="shared" si="6"/>
        <v>Alternativer Energieträger Härtekammer</v>
      </c>
      <c r="R85" s="10">
        <f t="shared" si="7"/>
        <v>0</v>
      </c>
      <c r="S85" s="10">
        <f t="shared" si="7"/>
        <v>0</v>
      </c>
      <c r="T85" s="10">
        <f t="shared" si="7"/>
        <v>0</v>
      </c>
      <c r="U85" s="3" t="s">
        <v>148</v>
      </c>
      <c r="V85" s="374" t="b">
        <v>1</v>
      </c>
      <c r="W85" s="374"/>
      <c r="X85" s="3"/>
      <c r="Y85" s="3"/>
      <c r="Z85" s="3" t="str">
        <f t="shared" si="8"/>
        <v>Gesteinskörnungen (Zuschlagsstoffe)</v>
      </c>
      <c r="AA85" s="9">
        <f t="shared" si="9"/>
        <v>129.59200000000001</v>
      </c>
      <c r="AB85" s="9">
        <f t="shared" si="9"/>
        <v>129.59200000000001</v>
      </c>
      <c r="AC85" s="9">
        <f t="shared" si="12"/>
        <v>129.59200000000001</v>
      </c>
      <c r="AD85" s="3" t="s">
        <v>148</v>
      </c>
      <c r="AE85" s="3"/>
      <c r="AF85" s="374" t="b">
        <v>1</v>
      </c>
      <c r="AG85" s="3"/>
      <c r="AH85" s="3"/>
      <c r="AI85" s="31" t="s">
        <v>31</v>
      </c>
      <c r="AJ85" s="51">
        <f t="shared" si="14"/>
        <v>77400</v>
      </c>
      <c r="AK85" s="51">
        <f t="shared" si="14"/>
        <v>60200</v>
      </c>
      <c r="AL85" s="51">
        <f t="shared" si="14"/>
        <v>60200</v>
      </c>
      <c r="AM85" s="3"/>
      <c r="AN85" s="3"/>
    </row>
    <row r="86" spans="2:40" ht="15.75" hidden="1" outlineLevel="1" x14ac:dyDescent="0.3">
      <c r="B86" s="3"/>
      <c r="C86" s="3"/>
      <c r="D86" s="3"/>
      <c r="E86" s="3"/>
      <c r="F86" s="3"/>
      <c r="G86" s="3"/>
      <c r="H86" s="3"/>
      <c r="I86" s="3"/>
      <c r="J86" s="3"/>
      <c r="K86" s="3"/>
      <c r="L86" s="3"/>
      <c r="M86" s="3"/>
      <c r="N86" s="2"/>
      <c r="O86" s="3"/>
      <c r="P86" s="3"/>
      <c r="Q86" s="3" t="str">
        <f t="shared" si="6"/>
        <v>Flüssiggas</v>
      </c>
      <c r="R86" s="10">
        <f t="shared" si="7"/>
        <v>0</v>
      </c>
      <c r="S86" s="10">
        <f t="shared" si="7"/>
        <v>0</v>
      </c>
      <c r="T86" s="10">
        <f t="shared" si="7"/>
        <v>0</v>
      </c>
      <c r="U86" s="3" t="s">
        <v>148</v>
      </c>
      <c r="V86" s="374" t="b">
        <v>1</v>
      </c>
      <c r="W86" s="374"/>
      <c r="X86" s="3"/>
      <c r="Y86" s="3"/>
      <c r="Z86" s="3" t="str">
        <f t="shared" si="8"/>
        <v>Farben</v>
      </c>
      <c r="AA86" s="9">
        <f t="shared" si="9"/>
        <v>208</v>
      </c>
      <c r="AB86" s="9">
        <f t="shared" si="9"/>
        <v>208</v>
      </c>
      <c r="AC86" s="9">
        <f t="shared" si="12"/>
        <v>208</v>
      </c>
      <c r="AD86" s="3" t="s">
        <v>148</v>
      </c>
      <c r="AE86" s="3"/>
      <c r="AF86" s="374" t="b">
        <v>1</v>
      </c>
      <c r="AG86" s="3"/>
      <c r="AH86" s="3"/>
      <c r="AI86" s="31" t="s">
        <v>111</v>
      </c>
      <c r="AJ86" s="51">
        <f t="shared" si="14"/>
        <v>0</v>
      </c>
      <c r="AK86" s="51">
        <f t="shared" si="14"/>
        <v>0</v>
      </c>
      <c r="AL86" s="51">
        <f t="shared" si="14"/>
        <v>0</v>
      </c>
      <c r="AM86" s="3"/>
      <c r="AN86" s="3"/>
    </row>
    <row r="87" spans="2:40" ht="15.75" hidden="1" outlineLevel="1" x14ac:dyDescent="0.3">
      <c r="B87" s="3"/>
      <c r="C87" s="3"/>
      <c r="D87" s="3"/>
      <c r="E87" s="3"/>
      <c r="F87" s="3"/>
      <c r="G87" s="3"/>
      <c r="H87" s="3"/>
      <c r="I87" s="3"/>
      <c r="J87" s="3"/>
      <c r="K87" s="3"/>
      <c r="L87" s="3"/>
      <c r="M87" s="3"/>
      <c r="N87" s="2"/>
      <c r="O87" s="3"/>
      <c r="P87" s="3"/>
      <c r="Q87" s="3" t="str">
        <f t="shared" si="6"/>
        <v>Alternativer Energieträger restliches Werk</v>
      </c>
      <c r="R87" s="10">
        <f t="shared" si="7"/>
        <v>0</v>
      </c>
      <c r="S87" s="10">
        <f t="shared" si="7"/>
        <v>0</v>
      </c>
      <c r="T87" s="10">
        <f t="shared" si="7"/>
        <v>0</v>
      </c>
      <c r="U87" s="3" t="s">
        <v>148</v>
      </c>
      <c r="V87" s="374" t="b">
        <v>1</v>
      </c>
      <c r="W87" s="374"/>
      <c r="X87" s="3"/>
      <c r="Y87" s="3"/>
      <c r="Z87" s="3" t="str">
        <f t="shared" si="8"/>
        <v>Zusatzstoffe (Füllstoffe)</v>
      </c>
      <c r="AA87" s="9">
        <f t="shared" si="9"/>
        <v>81.003999999999991</v>
      </c>
      <c r="AB87" s="9">
        <f t="shared" si="9"/>
        <v>81.003999999999991</v>
      </c>
      <c r="AC87" s="9">
        <f t="shared" si="12"/>
        <v>81.003999999999991</v>
      </c>
      <c r="AD87" s="3" t="s">
        <v>148</v>
      </c>
      <c r="AE87" s="3"/>
      <c r="AF87" s="374" t="b">
        <v>1</v>
      </c>
      <c r="AG87" s="3"/>
      <c r="AH87" s="3"/>
      <c r="AI87" s="31" t="s">
        <v>112</v>
      </c>
      <c r="AJ87" s="51">
        <f t="shared" si="14"/>
        <v>0</v>
      </c>
      <c r="AK87" s="51">
        <f t="shared" si="14"/>
        <v>0</v>
      </c>
      <c r="AL87" s="51">
        <f t="shared" si="14"/>
        <v>0</v>
      </c>
      <c r="AM87" s="3"/>
      <c r="AN87" s="3"/>
    </row>
    <row r="88" spans="2:40" ht="15.75" hidden="1" outlineLevel="1" x14ac:dyDescent="0.3">
      <c r="B88" s="3"/>
      <c r="C88" s="3"/>
      <c r="D88" s="3"/>
      <c r="E88" s="3"/>
      <c r="F88" s="3"/>
      <c r="G88" s="3"/>
      <c r="H88" s="3"/>
      <c r="I88" s="3"/>
      <c r="J88" s="3"/>
      <c r="K88" s="3"/>
      <c r="L88" s="3"/>
      <c r="M88" s="3"/>
      <c r="N88" s="2"/>
      <c r="O88" s="3"/>
      <c r="P88" s="3"/>
      <c r="Q88" s="3" t="str">
        <f t="shared" si="6"/>
        <v>Diesel</v>
      </c>
      <c r="R88" s="10">
        <f t="shared" si="7"/>
        <v>35.884155059999998</v>
      </c>
      <c r="S88" s="10">
        <f t="shared" si="7"/>
        <v>35.884155059999998</v>
      </c>
      <c r="T88" s="10">
        <f t="shared" si="7"/>
        <v>35.884155059999998</v>
      </c>
      <c r="U88" s="3" t="s">
        <v>148</v>
      </c>
      <c r="V88" s="374" t="b">
        <v>1</v>
      </c>
      <c r="W88" s="374"/>
      <c r="X88" s="3"/>
      <c r="Y88" s="3"/>
      <c r="Z88" s="3" t="str">
        <f t="shared" si="8"/>
        <v>Zusatzmittel</v>
      </c>
      <c r="AA88" s="9">
        <f t="shared" si="9"/>
        <v>148.44746134951595</v>
      </c>
      <c r="AB88" s="9">
        <f t="shared" si="9"/>
        <v>148.44746134951595</v>
      </c>
      <c r="AC88" s="9">
        <f t="shared" si="12"/>
        <v>148.44746134951595</v>
      </c>
      <c r="AD88" s="3" t="s">
        <v>148</v>
      </c>
      <c r="AE88" s="3"/>
      <c r="AF88" s="374" t="b">
        <v>1</v>
      </c>
      <c r="AG88" s="3"/>
      <c r="AH88" s="3"/>
      <c r="AI88" s="31" t="s">
        <v>113</v>
      </c>
      <c r="AJ88" s="51">
        <f t="shared" si="14"/>
        <v>0</v>
      </c>
      <c r="AK88" s="51">
        <f t="shared" si="14"/>
        <v>0</v>
      </c>
      <c r="AL88" s="51">
        <f t="shared" si="14"/>
        <v>0</v>
      </c>
      <c r="AM88" s="3"/>
      <c r="AN88" s="3"/>
    </row>
    <row r="89" spans="2:40" ht="16.5" hidden="1" outlineLevel="1" thickBot="1" x14ac:dyDescent="0.35">
      <c r="B89" s="3"/>
      <c r="C89" s="3"/>
      <c r="D89" s="3"/>
      <c r="E89" s="3"/>
      <c r="F89" s="3"/>
      <c r="G89" s="3"/>
      <c r="H89" s="3"/>
      <c r="I89" s="3"/>
      <c r="J89" s="3"/>
      <c r="K89" s="3"/>
      <c r="L89" s="3"/>
      <c r="M89" s="3"/>
      <c r="N89" s="2"/>
      <c r="O89" s="3"/>
      <c r="P89" s="3"/>
      <c r="Q89" s="27" t="s">
        <v>67</v>
      </c>
      <c r="R89" s="33">
        <f>SUMIF($V$82:$V$88,TRUE,R82:R88)</f>
        <v>266.83235506</v>
      </c>
      <c r="S89" s="33">
        <f>SUMIF($V$82:$V$88,TRUE,S82:S88)</f>
        <v>192.07092501788821</v>
      </c>
      <c r="T89" s="33">
        <f>SUMIF($V$82:$V$88,TRUE,T82:T88)</f>
        <v>142.80656438475268</v>
      </c>
      <c r="U89" s="27" t="s">
        <v>149</v>
      </c>
      <c r="V89" s="3"/>
      <c r="W89" s="3"/>
      <c r="X89" s="3"/>
      <c r="Y89" s="3"/>
      <c r="Z89" s="3" t="str">
        <f t="shared" si="8"/>
        <v/>
      </c>
      <c r="AA89" s="9" t="e">
        <f t="shared" si="9"/>
        <v>#N/A</v>
      </c>
      <c r="AB89" s="9" t="e">
        <f t="shared" si="9"/>
        <v>#N/A</v>
      </c>
      <c r="AC89" s="9" t="e">
        <f t="shared" si="12"/>
        <v>#N/A</v>
      </c>
      <c r="AD89" s="3" t="s">
        <v>148</v>
      </c>
      <c r="AE89" s="3"/>
      <c r="AF89" s="374" t="b">
        <v>0</v>
      </c>
      <c r="AG89" s="3"/>
      <c r="AH89" s="3"/>
      <c r="AI89" s="50" t="s">
        <v>32</v>
      </c>
      <c r="AJ89" s="52">
        <f t="shared" si="14"/>
        <v>15174.000000000002</v>
      </c>
      <c r="AK89" s="53">
        <f t="shared" si="14"/>
        <v>15174.000000000002</v>
      </c>
      <c r="AL89" s="53">
        <f t="shared" si="14"/>
        <v>15174.000000000002</v>
      </c>
      <c r="AM89" s="3"/>
      <c r="AN89" s="3"/>
    </row>
    <row r="90" spans="2:40" ht="16.5" hidden="1" outlineLevel="1" thickTop="1" x14ac:dyDescent="0.3">
      <c r="B90" s="3"/>
      <c r="C90" s="3"/>
      <c r="D90" s="3"/>
      <c r="E90" s="3"/>
      <c r="F90" s="3"/>
      <c r="G90" s="3"/>
      <c r="H90" s="3"/>
      <c r="I90" s="3"/>
      <c r="J90" s="3"/>
      <c r="K90" s="3"/>
      <c r="L90" s="3"/>
      <c r="M90" s="3"/>
      <c r="N90" s="2"/>
      <c r="O90" s="3"/>
      <c r="P90" s="3"/>
      <c r="Q90" s="3"/>
      <c r="R90" s="3"/>
      <c r="S90" s="3"/>
      <c r="T90" s="3"/>
      <c r="U90" s="3"/>
      <c r="V90" s="3"/>
      <c r="W90" s="3"/>
      <c r="X90" s="3"/>
      <c r="Y90" s="3"/>
      <c r="Z90" s="3" t="str">
        <f t="shared" si="8"/>
        <v/>
      </c>
      <c r="AA90" s="9" t="e">
        <f t="shared" si="9"/>
        <v>#N/A</v>
      </c>
      <c r="AB90" s="9" t="e">
        <f t="shared" si="9"/>
        <v>#N/A</v>
      </c>
      <c r="AC90" s="9" t="e">
        <f t="shared" si="12"/>
        <v>#N/A</v>
      </c>
      <c r="AD90" s="3" t="s">
        <v>148</v>
      </c>
      <c r="AE90" s="3"/>
      <c r="AF90" s="374" t="b">
        <v>0</v>
      </c>
      <c r="AG90" s="3"/>
      <c r="AH90" s="3"/>
      <c r="AI90" s="8" t="str">
        <f>IF(AM90,"CAPEX","")</f>
        <v>CAPEX</v>
      </c>
      <c r="AJ90" s="54">
        <f>IF($AM90,AJ51,NA())</f>
        <v>0</v>
      </c>
      <c r="AK90" s="54">
        <f t="shared" ref="AK90:AL92" si="15">IF($AM90,AK51,NA())</f>
        <v>36000</v>
      </c>
      <c r="AL90" s="54">
        <f t="shared" si="15"/>
        <v>36000</v>
      </c>
      <c r="AM90" s="374" t="b">
        <v>1</v>
      </c>
      <c r="AN90" s="3"/>
    </row>
    <row r="91" spans="2:40" ht="15.75" hidden="1" outlineLevel="1" x14ac:dyDescent="0.3">
      <c r="B91" s="3"/>
      <c r="C91" s="3"/>
      <c r="D91" s="3"/>
      <c r="E91" s="3"/>
      <c r="F91" s="3"/>
      <c r="G91" s="3"/>
      <c r="H91" s="3"/>
      <c r="I91" s="3"/>
      <c r="J91" s="3"/>
      <c r="K91" s="3"/>
      <c r="L91" s="3"/>
      <c r="M91" s="3"/>
      <c r="N91" s="2"/>
      <c r="O91" s="3"/>
      <c r="P91" s="3"/>
      <c r="Q91" s="3"/>
      <c r="R91" s="3"/>
      <c r="S91" s="3"/>
      <c r="T91" s="3"/>
      <c r="U91" s="3"/>
      <c r="V91" s="3"/>
      <c r="W91" s="3"/>
      <c r="X91" s="3"/>
      <c r="Y91" s="3"/>
      <c r="Z91" s="3" t="str">
        <f t="shared" si="8"/>
        <v/>
      </c>
      <c r="AA91" s="9" t="e">
        <f t="shared" si="9"/>
        <v>#N/A</v>
      </c>
      <c r="AB91" s="9" t="e">
        <f t="shared" si="9"/>
        <v>#N/A</v>
      </c>
      <c r="AC91" s="9" t="e">
        <f t="shared" si="12"/>
        <v>#N/A</v>
      </c>
      <c r="AD91" s="3" t="s">
        <v>148</v>
      </c>
      <c r="AE91" s="3"/>
      <c r="AF91" s="374" t="b">
        <v>0</v>
      </c>
      <c r="AG91" s="3"/>
      <c r="AH91" s="3"/>
      <c r="AI91" s="8" t="str">
        <f>IF(AM91,"Zusätzliche jährliche Kosten","")</f>
        <v>Zusätzliche jährliche Kosten</v>
      </c>
      <c r="AJ91" s="54">
        <f>IF($AM91,AJ52,NA())</f>
        <v>0</v>
      </c>
      <c r="AK91" s="54">
        <f t="shared" si="15"/>
        <v>1000</v>
      </c>
      <c r="AL91" s="54">
        <f t="shared" si="15"/>
        <v>1000</v>
      </c>
      <c r="AM91" s="374" t="b">
        <v>1</v>
      </c>
      <c r="AN91" s="3"/>
    </row>
    <row r="92" spans="2:40" ht="15.75" hidden="1" outlineLevel="1" x14ac:dyDescent="0.3">
      <c r="B92" s="3"/>
      <c r="C92" s="3"/>
      <c r="D92" s="3"/>
      <c r="E92" s="3"/>
      <c r="F92" s="3"/>
      <c r="G92" s="3"/>
      <c r="H92" s="3"/>
      <c r="I92" s="3"/>
      <c r="J92" s="3"/>
      <c r="K92" s="3"/>
      <c r="L92" s="3"/>
      <c r="M92" s="3"/>
      <c r="N92" s="2"/>
      <c r="O92" s="3"/>
      <c r="P92" s="3"/>
      <c r="Q92" s="3"/>
      <c r="R92" s="3"/>
      <c r="S92" s="3"/>
      <c r="T92" s="3"/>
      <c r="U92" s="3"/>
      <c r="V92" s="3"/>
      <c r="W92" s="3"/>
      <c r="X92" s="3"/>
      <c r="Y92" s="3"/>
      <c r="Z92" s="3" t="str">
        <f t="shared" si="8"/>
        <v>Verpackungsmaterial</v>
      </c>
      <c r="AA92" s="9">
        <f t="shared" si="9"/>
        <v>64.48</v>
      </c>
      <c r="AB92" s="9">
        <f t="shared" si="9"/>
        <v>64.48</v>
      </c>
      <c r="AC92" s="9">
        <f t="shared" si="12"/>
        <v>64.48</v>
      </c>
      <c r="AD92" s="3" t="s">
        <v>148</v>
      </c>
      <c r="AE92" s="3"/>
      <c r="AF92" s="374" t="b">
        <v>1</v>
      </c>
      <c r="AG92" s="3"/>
      <c r="AH92" s="3"/>
      <c r="AI92" s="58" t="str">
        <f>IF(AM92,"Einmalige Kosten","")</f>
        <v>Einmalige Kosten</v>
      </c>
      <c r="AJ92" s="54">
        <f>IF($AM92,AJ53,NA())</f>
        <v>0</v>
      </c>
      <c r="AK92" s="54">
        <f t="shared" si="15"/>
        <v>0</v>
      </c>
      <c r="AL92" s="54">
        <f t="shared" si="15"/>
        <v>0</v>
      </c>
      <c r="AM92" s="374" t="b">
        <v>1</v>
      </c>
      <c r="AN92" s="3"/>
    </row>
    <row r="93" spans="2:40" ht="15" hidden="1" outlineLevel="1" thickBot="1" x14ac:dyDescent="0.3">
      <c r="B93" s="3"/>
      <c r="C93" s="3"/>
      <c r="D93" s="3"/>
      <c r="E93" s="3"/>
      <c r="F93" s="3"/>
      <c r="G93" s="3"/>
      <c r="H93" s="3"/>
      <c r="I93" s="3"/>
      <c r="J93" s="3"/>
      <c r="K93" s="3"/>
      <c r="L93" s="3"/>
      <c r="M93" s="3"/>
      <c r="N93" s="2"/>
      <c r="O93" s="3"/>
      <c r="P93" s="3"/>
      <c r="Q93" s="3"/>
      <c r="R93" s="3"/>
      <c r="S93" s="3"/>
      <c r="T93" s="3"/>
      <c r="U93" s="3"/>
      <c r="V93" s="3"/>
      <c r="W93" s="3"/>
      <c r="X93" s="3"/>
      <c r="Y93" s="3"/>
      <c r="Z93" s="27" t="s">
        <v>67</v>
      </c>
      <c r="AA93" s="28">
        <f>SUMIF($AF$82:$AF$92,TRUE,AA82:AA92)</f>
        <v>5690.5056228095145</v>
      </c>
      <c r="AB93" s="28">
        <f>SUMIF($AF$82:$AF$92,TRUE,AB82:AB92)</f>
        <v>5685.1172320180012</v>
      </c>
      <c r="AC93" s="28">
        <f>SUMIF($AF$82:$AF$92,TRUE,AC82:AC92)</f>
        <v>5677.895231506337</v>
      </c>
      <c r="AD93" s="27" t="s">
        <v>149</v>
      </c>
      <c r="AE93" s="8"/>
      <c r="AF93" s="3"/>
      <c r="AG93" s="3"/>
      <c r="AH93" s="3"/>
      <c r="AI93" s="56" t="str">
        <f>IF(AM93,"CO2-Kosten","")</f>
        <v>CO2-Kosten</v>
      </c>
      <c r="AJ93" s="57">
        <f>IF($AM$93,SUMIF($AM$94:$AM$96,TRUE,AJ94:AJ96),NA())</f>
        <v>152459.04944673795</v>
      </c>
      <c r="AK93" s="57">
        <f>IF($AM$93,SUMIF($AM$94:$AM$96,TRUE,AK94:AK96),NA())</f>
        <v>267205.19026661513</v>
      </c>
      <c r="AL93" s="57">
        <f>IF($AM$93,SUMIF($AM$94:$AM$96,TRUE,AL94:AL96),NA())</f>
        <v>470512.54047128744</v>
      </c>
      <c r="AM93" s="374" t="b">
        <v>1</v>
      </c>
      <c r="AN93" s="3"/>
    </row>
    <row r="94" spans="2:40" ht="16.5" hidden="1" outlineLevel="1" thickTop="1" x14ac:dyDescent="0.3">
      <c r="B94" s="3"/>
      <c r="C94" s="3"/>
      <c r="D94" s="3"/>
      <c r="E94" s="3"/>
      <c r="F94" s="3"/>
      <c r="G94" s="3"/>
      <c r="H94" s="3"/>
      <c r="I94" s="3"/>
      <c r="J94" s="3"/>
      <c r="K94" s="3"/>
      <c r="L94" s="3"/>
      <c r="M94" s="3"/>
      <c r="N94" s="2"/>
      <c r="O94" s="3"/>
      <c r="P94" s="3"/>
      <c r="Q94" s="3"/>
      <c r="R94" s="3"/>
      <c r="S94" s="3"/>
      <c r="T94" s="3"/>
      <c r="U94" s="3"/>
      <c r="V94" s="3"/>
      <c r="W94" s="3"/>
      <c r="X94" s="3"/>
      <c r="Y94" s="3"/>
      <c r="Z94" s="3"/>
      <c r="AA94" s="3"/>
      <c r="AB94" s="3"/>
      <c r="AC94" s="3"/>
      <c r="AD94" s="3"/>
      <c r="AE94" s="3"/>
      <c r="AF94" s="3"/>
      <c r="AG94" s="3"/>
      <c r="AH94" s="3"/>
      <c r="AI94" s="31" t="s">
        <v>141</v>
      </c>
      <c r="AJ94" s="51">
        <f>IF($AM94,AJ55,NA())</f>
        <v>2373.3088765000002</v>
      </c>
      <c r="AK94" s="51">
        <f t="shared" ref="AK94:AL94" si="16">IF($AM94,AK55,NA())</f>
        <v>4271.9559777000004</v>
      </c>
      <c r="AL94" s="51">
        <f t="shared" si="16"/>
        <v>7594.5884048000007</v>
      </c>
      <c r="AM94" s="374" t="b">
        <v>1</v>
      </c>
      <c r="AN94" s="3"/>
    </row>
    <row r="95" spans="2:40" ht="15.75" hidden="1" outlineLevel="1" x14ac:dyDescent="0.3">
      <c r="B95" s="3"/>
      <c r="C95" s="3"/>
      <c r="D95" s="3"/>
      <c r="E95" s="3"/>
      <c r="F95" s="3"/>
      <c r="G95" s="3"/>
      <c r="H95" s="3"/>
      <c r="I95" s="3"/>
      <c r="J95" s="3"/>
      <c r="K95" s="3"/>
      <c r="L95" s="3"/>
      <c r="M95" s="3"/>
      <c r="N95" s="2"/>
      <c r="O95" s="3"/>
      <c r="P95" s="3"/>
      <c r="Q95" s="3"/>
      <c r="R95" s="3"/>
      <c r="S95" s="3"/>
      <c r="T95" s="3"/>
      <c r="U95" s="3"/>
      <c r="V95" s="3"/>
      <c r="W95" s="3"/>
      <c r="X95" s="3"/>
      <c r="Y95" s="3"/>
      <c r="Z95" s="3"/>
      <c r="AA95" s="3"/>
      <c r="AB95" s="3"/>
      <c r="AC95" s="3"/>
      <c r="AD95" s="3"/>
      <c r="AE95" s="3"/>
      <c r="AF95" s="3"/>
      <c r="AG95" s="3"/>
      <c r="AH95" s="3"/>
      <c r="AI95" s="31" t="s">
        <v>142</v>
      </c>
      <c r="AJ95" s="51">
        <f t="shared" ref="AJ95:AL96" si="17">IF($AM95,AJ56,NA())</f>
        <v>4297.5</v>
      </c>
      <c r="AK95" s="51">
        <f t="shared" si="17"/>
        <v>4371.2356481049683</v>
      </c>
      <c r="AL95" s="51">
        <f t="shared" si="17"/>
        <v>3829.9367459802124</v>
      </c>
      <c r="AM95" s="374" t="b">
        <v>1</v>
      </c>
      <c r="AN95" s="3"/>
    </row>
    <row r="96" spans="2:40" ht="15.75" hidden="1" outlineLevel="1" x14ac:dyDescent="0.3">
      <c r="B96" s="3"/>
      <c r="C96" s="3"/>
      <c r="D96" s="3"/>
      <c r="E96" s="3"/>
      <c r="F96" s="3"/>
      <c r="G96" s="3"/>
      <c r="H96" s="3"/>
      <c r="I96" s="3"/>
      <c r="J96" s="3"/>
      <c r="K96" s="3"/>
      <c r="L96" s="3"/>
      <c r="M96" s="3"/>
      <c r="N96" s="2"/>
      <c r="O96" s="3"/>
      <c r="P96" s="3"/>
      <c r="Q96" s="3"/>
      <c r="R96" s="3"/>
      <c r="S96" s="3"/>
      <c r="T96" s="3"/>
      <c r="U96" s="3"/>
      <c r="V96" s="3"/>
      <c r="W96" s="3"/>
      <c r="X96" s="3"/>
      <c r="Y96" s="3"/>
      <c r="Z96" s="3"/>
      <c r="AA96" s="3"/>
      <c r="AB96" s="3"/>
      <c r="AC96" s="3"/>
      <c r="AD96" s="3"/>
      <c r="AE96" s="3"/>
      <c r="AF96" s="3"/>
      <c r="AG96" s="3"/>
      <c r="AH96" s="3"/>
      <c r="AI96" s="31" t="s">
        <v>143</v>
      </c>
      <c r="AJ96" s="51">
        <f t="shared" si="17"/>
        <v>145788.24057023795</v>
      </c>
      <c r="AK96" s="51">
        <f t="shared" si="17"/>
        <v>258561.99864081017</v>
      </c>
      <c r="AL96" s="51">
        <f t="shared" si="17"/>
        <v>459088.01532050723</v>
      </c>
      <c r="AM96" s="374" t="b">
        <v>1</v>
      </c>
      <c r="AN96" s="3"/>
    </row>
    <row r="97" spans="2:40" ht="13.5" hidden="1" outlineLevel="1" thickBot="1" x14ac:dyDescent="0.25">
      <c r="B97" s="3"/>
      <c r="C97" s="3"/>
      <c r="D97" s="3"/>
      <c r="E97" s="3"/>
      <c r="F97" s="3"/>
      <c r="G97" s="3"/>
      <c r="H97" s="3"/>
      <c r="I97" s="3"/>
      <c r="J97" s="3"/>
      <c r="K97" s="3"/>
      <c r="L97" s="3"/>
      <c r="M97" s="3"/>
      <c r="N97" s="2"/>
      <c r="O97" s="3"/>
      <c r="P97" s="3"/>
      <c r="Q97" s="6"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W97" s="3"/>
      <c r="X97" s="3"/>
      <c r="Y97" s="3"/>
      <c r="Z97" s="3"/>
      <c r="AA97" s="3"/>
      <c r="AB97" s="3"/>
      <c r="AC97" s="3"/>
      <c r="AD97" s="3"/>
      <c r="AE97" s="3"/>
      <c r="AF97" s="3"/>
      <c r="AG97" s="3"/>
      <c r="AH97" s="3"/>
      <c r="AI97" s="27" t="s">
        <v>67</v>
      </c>
      <c r="AJ97" s="55">
        <f>IF($AM$93,AJ93,0)+IF($AM$92,AJ92,0)+IF($AM$91,AJ91,0)+IF($AM$90,AJ90,0)+AJ82</f>
        <v>262128.04944673795</v>
      </c>
      <c r="AK97" s="55">
        <f t="shared" ref="AK97:AL97" si="18">IF($AM$93,AK93,0)+IF($AM$92,AK92,0)+IF($AM$91,AK91,0)+IF($AM$90,AK90,0)+AK82</f>
        <v>396674.19026661513</v>
      </c>
      <c r="AL97" s="55">
        <f t="shared" si="18"/>
        <v>599981.54047128744</v>
      </c>
      <c r="AM97" s="374"/>
      <c r="AN97" s="3"/>
    </row>
    <row r="98" spans="2:40" ht="13.5" hidden="1" outlineLevel="1" thickTop="1" x14ac:dyDescent="0.2">
      <c r="B98" s="3"/>
      <c r="C98" s="3"/>
      <c r="D98" s="3"/>
      <c r="E98" s="3"/>
      <c r="F98" s="3"/>
      <c r="G98" s="3"/>
      <c r="H98" s="3"/>
      <c r="I98" s="3"/>
      <c r="J98" s="3"/>
      <c r="K98" s="3"/>
      <c r="L98" s="3"/>
      <c r="M98" s="3"/>
      <c r="N98" s="2"/>
      <c r="O98" s="3"/>
      <c r="P98" s="3"/>
      <c r="Q98" s="3"/>
      <c r="R98" s="3"/>
      <c r="S98" s="3"/>
      <c r="T98" s="3"/>
      <c r="U98" s="3"/>
      <c r="V98" s="3"/>
      <c r="W98" s="3"/>
      <c r="X98" s="3"/>
      <c r="Y98" s="3"/>
      <c r="Z98" s="3"/>
      <c r="AA98" s="3"/>
      <c r="AB98" s="3"/>
      <c r="AC98" s="3"/>
      <c r="AD98" s="3"/>
      <c r="AE98" s="3"/>
      <c r="AF98" s="3"/>
      <c r="AG98" s="3"/>
      <c r="AH98" s="3"/>
      <c r="AI98" s="3"/>
      <c r="AJ98" s="3"/>
      <c r="AK98" s="3"/>
      <c r="AL98" s="3"/>
      <c r="AM98" s="3"/>
      <c r="AN98" s="3"/>
    </row>
    <row r="99" spans="2:40" hidden="1" outlineLevel="1" x14ac:dyDescent="0.2">
      <c r="B99" s="3"/>
      <c r="C99" s="3"/>
      <c r="D99" s="3"/>
      <c r="E99" s="3"/>
      <c r="F99" s="3"/>
      <c r="G99" s="3"/>
      <c r="H99" s="3"/>
      <c r="I99" s="3"/>
      <c r="J99" s="3"/>
      <c r="K99" s="3"/>
      <c r="L99" s="3"/>
      <c r="M99" s="3"/>
      <c r="N99" s="2"/>
      <c r="O99" s="3"/>
      <c r="P99" s="3"/>
      <c r="Q99" s="3"/>
      <c r="R99" s="3"/>
      <c r="S99" s="3"/>
      <c r="T99" s="3"/>
      <c r="U99" s="3"/>
      <c r="V99" s="3"/>
      <c r="W99" s="3"/>
      <c r="X99" s="3"/>
      <c r="Y99" s="3"/>
      <c r="Z99" s="3"/>
      <c r="AA99" s="3"/>
      <c r="AB99" s="3"/>
      <c r="AC99" s="3"/>
      <c r="AD99" s="3"/>
      <c r="AE99" s="3"/>
      <c r="AF99" s="3"/>
      <c r="AG99" s="3"/>
      <c r="AH99" s="3"/>
      <c r="AI99" s="3"/>
      <c r="AJ99" s="3"/>
      <c r="AK99" s="3"/>
      <c r="AL99" s="3"/>
      <c r="AM99" s="3"/>
      <c r="AN99" s="3"/>
    </row>
    <row r="100" spans="2:40" hidden="1" outlineLevel="1" x14ac:dyDescent="0.2">
      <c r="B100" s="3"/>
      <c r="C100" s="3"/>
      <c r="D100" s="3"/>
      <c r="E100" s="3"/>
      <c r="F100" s="3"/>
      <c r="G100" s="3"/>
      <c r="H100" s="3"/>
      <c r="I100" s="3"/>
      <c r="J100" s="3"/>
      <c r="K100" s="3"/>
      <c r="L100" s="3"/>
      <c r="M100" s="3"/>
      <c r="N100" s="2"/>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row>
    <row r="101" spans="2:40" hidden="1" outlineLevel="1" x14ac:dyDescent="0.2">
      <c r="B101" s="3"/>
      <c r="C101" s="3"/>
      <c r="D101" s="3"/>
      <c r="E101" s="3"/>
      <c r="F101" s="3"/>
      <c r="G101" s="3"/>
      <c r="H101" s="3"/>
      <c r="I101" s="3"/>
      <c r="J101" s="3"/>
      <c r="K101" s="3"/>
      <c r="L101" s="3"/>
      <c r="M101" s="3"/>
      <c r="N101" s="2"/>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row>
    <row r="102" spans="2:40" hidden="1" outlineLevel="1" x14ac:dyDescent="0.2">
      <c r="B102" s="3"/>
      <c r="C102" s="3"/>
      <c r="D102" s="3"/>
      <c r="E102" s="3"/>
      <c r="F102" s="3"/>
      <c r="G102" s="3"/>
      <c r="H102" s="3"/>
      <c r="I102" s="3"/>
      <c r="J102" s="3"/>
      <c r="K102" s="3"/>
      <c r="L102" s="3"/>
      <c r="M102" s="3"/>
      <c r="N102" s="2"/>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row>
    <row r="103" spans="2:40" hidden="1" outlineLevel="1" x14ac:dyDescent="0.2">
      <c r="B103" s="3"/>
      <c r="C103" s="3"/>
      <c r="D103" s="3"/>
      <c r="E103" s="3"/>
      <c r="F103" s="3"/>
      <c r="G103" s="3"/>
      <c r="H103" s="3"/>
      <c r="I103" s="3"/>
      <c r="J103" s="3"/>
      <c r="K103" s="3"/>
      <c r="L103" s="3"/>
      <c r="M103" s="3"/>
      <c r="N103" s="2"/>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row>
    <row r="104" spans="2:40" hidden="1" outlineLevel="1" x14ac:dyDescent="0.2">
      <c r="B104" s="3"/>
      <c r="C104" s="3"/>
      <c r="D104" s="3"/>
      <c r="E104" s="3"/>
      <c r="F104" s="3"/>
      <c r="G104" s="3"/>
      <c r="H104" s="3"/>
      <c r="I104" s="3"/>
      <c r="J104" s="3"/>
      <c r="K104" s="3"/>
      <c r="L104" s="3"/>
      <c r="M104" s="3"/>
      <c r="N104" s="2"/>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row>
    <row r="105" spans="2:40" hidden="1" outlineLevel="1" x14ac:dyDescent="0.2">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row>
    <row r="106" spans="2:40" hidden="1" outlineLevel="1" x14ac:dyDescent="0.2"/>
    <row r="107" spans="2:40" hidden="1" outlineLevel="1" x14ac:dyDescent="0.2">
      <c r="B107" s="102" t="str">
        <f>IF(AND($G$16&gt;0,K16&lt;G16),"Bitte den Handeingabewert 'selbsterzeugte Strommenge' für 'Bilanzjahr +10 Jahre' auch anpassen. Dieser muss dem Werte Ihrer Handeingabe 'Bilanzjahr +5 Jahre' entsprechen, sollte nur eine Maßnahme in 'Bilanzjahr +5 Jahre' umgesetzt werden.","")</f>
        <v/>
      </c>
    </row>
    <row r="108" spans="2:40" ht="15.75" hidden="1" outlineLevel="1" x14ac:dyDescent="0.25">
      <c r="O108" s="22"/>
      <c r="P108" s="22" t="s">
        <v>103</v>
      </c>
      <c r="Q108" s="17"/>
      <c r="R108" s="17"/>
      <c r="S108" s="17"/>
      <c r="T108" s="17"/>
      <c r="U108" s="17"/>
      <c r="V108" s="17"/>
      <c r="W108" s="17"/>
      <c r="X108" s="17"/>
      <c r="Y108" s="17"/>
      <c r="Z108" s="17"/>
      <c r="AB108" s="22" t="s">
        <v>488</v>
      </c>
      <c r="AC108" s="17"/>
      <c r="AD108" s="17"/>
      <c r="AE108" s="17"/>
      <c r="AF108" s="17"/>
      <c r="AG108" s="17"/>
      <c r="AH108" s="17"/>
      <c r="AI108" s="17"/>
    </row>
    <row r="109" spans="2:40" ht="15" hidden="1" outlineLevel="1" x14ac:dyDescent="0.25">
      <c r="O109" s="64"/>
      <c r="P109" s="64">
        <f>S80</f>
        <v>5</v>
      </c>
      <c r="Q109" s="17"/>
      <c r="R109" s="17"/>
      <c r="S109" s="17"/>
      <c r="T109" s="17"/>
      <c r="U109" s="17"/>
      <c r="V109" s="17"/>
      <c r="W109" s="17"/>
      <c r="X109" s="17"/>
      <c r="Y109" s="17"/>
      <c r="Z109" s="17"/>
      <c r="AB109" s="64">
        <f>P109</f>
        <v>5</v>
      </c>
      <c r="AC109" s="17"/>
      <c r="AD109" s="17"/>
      <c r="AE109" s="17"/>
      <c r="AF109" s="17"/>
      <c r="AG109" s="17"/>
      <c r="AH109" s="17"/>
      <c r="AI109" s="17"/>
    </row>
    <row r="110" spans="2:40" ht="15" hidden="1" outlineLevel="1" x14ac:dyDescent="0.25">
      <c r="O110" s="64"/>
      <c r="P110" s="64"/>
      <c r="Q110" s="17"/>
      <c r="R110" s="17" t="s">
        <v>37</v>
      </c>
      <c r="S110" s="17" t="s">
        <v>126</v>
      </c>
      <c r="T110" s="17" t="s">
        <v>227</v>
      </c>
      <c r="U110" s="17"/>
      <c r="V110" s="17"/>
      <c r="W110" s="17"/>
      <c r="X110" s="17"/>
      <c r="Y110" s="17"/>
      <c r="Z110" s="17"/>
      <c r="AB110" s="64"/>
      <c r="AC110" s="17"/>
      <c r="AD110" s="17"/>
      <c r="AE110" s="17"/>
      <c r="AF110" s="17"/>
      <c r="AG110" s="17"/>
      <c r="AH110" s="17"/>
      <c r="AI110" s="17"/>
    </row>
    <row r="111" spans="2:40" ht="15" hidden="1" outlineLevel="1" x14ac:dyDescent="0.25">
      <c r="O111" s="64"/>
      <c r="P111" s="64"/>
      <c r="Q111" s="17" t="s">
        <v>226</v>
      </c>
      <c r="R111" s="283">
        <f>IF(NOT(ISBLANK($G$16)),$G$16,$E$16)</f>
        <v>100000</v>
      </c>
      <c r="S111" s="25"/>
      <c r="T111" s="25"/>
      <c r="U111" s="17" t="s">
        <v>40</v>
      </c>
      <c r="V111" s="17"/>
      <c r="W111" s="17"/>
      <c r="X111" s="17"/>
      <c r="Y111" s="17"/>
      <c r="Z111" s="17"/>
      <c r="AB111" s="64"/>
      <c r="AC111" s="17"/>
      <c r="AD111" s="17"/>
      <c r="AE111" s="17"/>
      <c r="AF111" s="17"/>
      <c r="AG111" s="17"/>
      <c r="AH111" s="17"/>
      <c r="AI111" s="17"/>
    </row>
    <row r="112" spans="2:40" hidden="1" outlineLevel="1" x14ac:dyDescent="0.2">
      <c r="O112" s="17"/>
      <c r="P112" s="17"/>
      <c r="Q112" s="17" t="s">
        <v>224</v>
      </c>
      <c r="R112" s="283">
        <f>IF(NOT(ISBLANK('Referenz Plattenfertiger'!$I$18)),'Referenz Plattenfertiger'!$I$18,'Referenz Plattenfertiger'!$F$18)</f>
        <v>45000</v>
      </c>
      <c r="S112" s="283">
        <f>IF($R$111&lt;R112,$R$111,R112)</f>
        <v>45000</v>
      </c>
      <c r="T112" s="283">
        <f>IF(S112&lt;R112,R112-S112,0)</f>
        <v>0</v>
      </c>
      <c r="U112" s="17" t="s">
        <v>40</v>
      </c>
      <c r="V112" s="17"/>
      <c r="W112" s="17"/>
      <c r="X112" s="17"/>
      <c r="Y112" s="17"/>
      <c r="Z112" s="17"/>
      <c r="AB112" s="21"/>
      <c r="AC112" s="17"/>
      <c r="AD112" s="17"/>
      <c r="AE112" s="17"/>
      <c r="AF112" s="17"/>
      <c r="AG112" s="17"/>
      <c r="AH112" s="17"/>
      <c r="AI112" s="17"/>
    </row>
    <row r="113" spans="2:35" hidden="1" outlineLevel="1" x14ac:dyDescent="0.2">
      <c r="B113" s="6" t="str">
        <f>IF(AND($G$21&gt;0,K21&lt;G21),"Bitte den Handeingabewert 'Reduktion' für 'Bilanzjahr +10 Jahre' auch anpassen. Dieser muss dem Werte Ihrer Handeingabe 'Bilanzjahr +5 Jahre' entsprechen, sollte nur eine Maßnahme in 'Bilanzjahr +5 Jahre' umgesetzt werden.","")</f>
        <v/>
      </c>
      <c r="O113" s="17"/>
      <c r="P113" s="17"/>
      <c r="Q113" s="17" t="s">
        <v>225</v>
      </c>
      <c r="R113" s="283">
        <f>IF(NOT(ISBLANK('Referenz Plattenfertiger'!$I$24)),'Referenz Plattenfertiger'!$I$24,'Referenz Plattenfertiger'!$F$24)</f>
        <v>405000</v>
      </c>
      <c r="S113" s="283">
        <f>IF(S112=R111,0,R111-S112)</f>
        <v>55000</v>
      </c>
      <c r="T113" s="283">
        <f>IF(S113&lt;R113,R113-S113,0)</f>
        <v>350000</v>
      </c>
      <c r="U113" s="20" t="s">
        <v>40</v>
      </c>
      <c r="V113" s="17"/>
      <c r="W113" s="17"/>
      <c r="X113" s="17"/>
      <c r="Y113" s="17"/>
      <c r="Z113" s="17"/>
      <c r="AB113" s="17"/>
      <c r="AC113" s="17"/>
      <c r="AD113" s="17"/>
      <c r="AE113" s="17"/>
      <c r="AF113" s="17"/>
      <c r="AG113" s="17"/>
      <c r="AH113" s="17"/>
      <c r="AI113" s="17"/>
    </row>
    <row r="114" spans="2:35" hidden="1" outlineLevel="1" x14ac:dyDescent="0.2">
      <c r="O114" s="17"/>
      <c r="P114" s="17"/>
      <c r="Q114" s="17"/>
      <c r="R114" s="17"/>
      <c r="S114" s="20"/>
      <c r="T114" s="20"/>
      <c r="U114" s="20"/>
      <c r="V114" s="17"/>
      <c r="W114" s="17"/>
      <c r="X114" s="17"/>
      <c r="Y114" s="17"/>
      <c r="Z114" s="17"/>
      <c r="AB114" s="17"/>
      <c r="AC114" s="17"/>
      <c r="AD114" s="17"/>
      <c r="AE114" s="17"/>
      <c r="AF114" s="17"/>
      <c r="AG114" s="17"/>
      <c r="AH114" s="17"/>
      <c r="AI114" s="17"/>
    </row>
    <row r="115" spans="2:35" ht="63.75" hidden="1" outlineLevel="1" x14ac:dyDescent="0.2">
      <c r="O115" s="17"/>
      <c r="P115" s="17"/>
      <c r="Q115" s="17"/>
      <c r="R115" s="17"/>
      <c r="S115" s="36" t="s">
        <v>25</v>
      </c>
      <c r="T115" s="36" t="s">
        <v>77</v>
      </c>
      <c r="U115" s="36" t="s">
        <v>27</v>
      </c>
      <c r="V115" s="17"/>
      <c r="W115" s="17"/>
      <c r="X115" s="39" t="s">
        <v>100</v>
      </c>
      <c r="Y115" s="40" t="s">
        <v>37</v>
      </c>
      <c r="Z115" s="17"/>
      <c r="AB115" s="17"/>
      <c r="AC115" s="17"/>
      <c r="AD115" s="17"/>
      <c r="AE115" s="17"/>
      <c r="AF115" s="18"/>
      <c r="AG115" s="18"/>
      <c r="AH115" s="18"/>
      <c r="AI115" s="18"/>
    </row>
    <row r="116" spans="2:35" ht="14.25" hidden="1" outlineLevel="1" x14ac:dyDescent="0.25">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116" s="76"/>
      <c r="P116" s="76" t="s">
        <v>176</v>
      </c>
      <c r="Q116" s="76"/>
      <c r="R116" s="76"/>
      <c r="S116" s="77">
        <f>SUM(S118:S131)</f>
        <v>94.932355060000006</v>
      </c>
      <c r="T116" s="77">
        <f t="shared" ref="T116:U116" si="19">SUM(T118:T131)</f>
        <v>97.138569957888194</v>
      </c>
      <c r="U116" s="77">
        <f t="shared" si="19"/>
        <v>35.893342668486227</v>
      </c>
      <c r="V116" s="76"/>
      <c r="W116" s="76"/>
      <c r="X116" s="77">
        <f>S116+T116</f>
        <v>192.07092501788821</v>
      </c>
      <c r="Y116" s="77">
        <f>SUM(S116:U116)</f>
        <v>227.96426768637446</v>
      </c>
      <c r="Z116" s="76" t="s">
        <v>183</v>
      </c>
      <c r="AB116" s="17"/>
      <c r="AC116" s="17"/>
      <c r="AD116" s="17"/>
      <c r="AE116" s="17"/>
      <c r="AF116" s="18"/>
      <c r="AG116" s="18"/>
      <c r="AH116" s="18"/>
      <c r="AI116" s="18"/>
    </row>
    <row r="117" spans="2:35" hidden="1" outlineLevel="1" x14ac:dyDescent="0.2">
      <c r="O117" s="17"/>
      <c r="P117" s="17" t="s">
        <v>132</v>
      </c>
      <c r="Q117" s="17"/>
      <c r="R117" s="17"/>
      <c r="S117" s="17"/>
      <c r="T117" s="17"/>
      <c r="U117" s="17"/>
      <c r="V117" s="17"/>
      <c r="W117" s="17"/>
      <c r="X117" s="17"/>
      <c r="Y117" s="17"/>
      <c r="Z117" s="17"/>
      <c r="AB117" s="17" t="s">
        <v>132</v>
      </c>
      <c r="AC117" s="17"/>
      <c r="AD117" s="17"/>
      <c r="AE117" s="17"/>
      <c r="AF117" s="18"/>
      <c r="AG117" s="18"/>
      <c r="AH117" s="18"/>
      <c r="AI117" s="18"/>
    </row>
    <row r="118" spans="2:35" ht="15.75" hidden="1" outlineLevel="1" x14ac:dyDescent="0.3">
      <c r="O118" s="274"/>
      <c r="P118" s="17"/>
      <c r="Q118" s="17" t="s">
        <v>114</v>
      </c>
      <c r="R118" s="17"/>
      <c r="S118" s="37">
        <f>IF(NOT(ISBLANK('Referenz Plattenfertiger'!$I16)),'Referenz Plattenfertiger'!$I16,'Referenz Plattenfertiger'!$F16)*IF(NOT(ISBLANK('Eingabe EF'!$AA9)),'Eingabe EF'!$AA9,'Eingabe EF'!$Y9)</f>
        <v>34.434080000000002</v>
      </c>
      <c r="T118" s="37">
        <f>IF(NOT(ISBLANK('Referenz Plattenfertiger'!$I16)),'Referenz Plattenfertiger'!$I16,'Referenz Plattenfertiger'!$F16)*IF(NOT(ISBLANK('Eingabe EF'!$AE9)),'Eingabe EF'!$AE9,'Eingabe EF'!$AC9)</f>
        <v>0</v>
      </c>
      <c r="U118" s="37">
        <f>IF(NOT(ISBLANK('Referenz Plattenfertiger'!$I16)),'Referenz Plattenfertiger'!$I16,'Referenz Plattenfertiger'!$F16)*IF(NOT(ISBLANK('Eingabe EF'!$AI9)),'Eingabe EF'!$AI9,'Eingabe EF'!$AG9)</f>
        <v>5.8938000000000006</v>
      </c>
      <c r="V118" s="17"/>
      <c r="W118" s="17"/>
      <c r="X118" s="37">
        <f>S118+T118</f>
        <v>34.434080000000002</v>
      </c>
      <c r="Y118" s="37">
        <f>SUM(S118:U118)</f>
        <v>40.32788</v>
      </c>
      <c r="Z118" s="17" t="s">
        <v>184</v>
      </c>
      <c r="AB118" s="274"/>
      <c r="AC118" s="17" t="s">
        <v>114</v>
      </c>
      <c r="AD118" s="17"/>
      <c r="AE118" s="17"/>
      <c r="AF118" s="19"/>
      <c r="AG118" s="20"/>
      <c r="AH118" s="41">
        <f>IF(NOT(ISBLANK('Referenz Plattenfertiger'!$I16)),'Referenz Plattenfertiger'!$I16,'Referenz Plattenfertiger'!$F16)/1000*IF(NOT(ISBLANK('Eingabe Preise'!$K10)),'Eingabe Preise'!$K10,'Eingabe Preise'!$I10)</f>
        <v>11468</v>
      </c>
      <c r="AI118" s="20" t="s">
        <v>96</v>
      </c>
    </row>
    <row r="119" spans="2:35" ht="15.75" hidden="1" outlineLevel="1" x14ac:dyDescent="0.3">
      <c r="O119" s="274"/>
      <c r="P119" s="17"/>
      <c r="Q119" s="17" t="s">
        <v>151</v>
      </c>
      <c r="R119" s="17"/>
      <c r="S119" s="37">
        <f>IF(NOT(ISBLANK('Referenz Plattenfertiger'!$I17)),'Referenz Plattenfertiger'!$I17,'Referenz Plattenfertiger'!$F17)*IF(NOT(ISBLANK('Eingabe EF'!$AA10)),'Eingabe EF'!$AA10,'Eingabe EF'!$Y10)</f>
        <v>6.4022399999999999</v>
      </c>
      <c r="T119" s="37">
        <f>IF(NOT(ISBLANK('Referenz Plattenfertiger'!$I17)),'Referenz Plattenfertiger'!$I17,'Referenz Plattenfertiger'!$F17)*IF(NOT(ISBLANK('Eingabe EF'!$AE10)),'Eingabe EF'!$AE10,'Eingabe EF'!$AC10)</f>
        <v>0</v>
      </c>
      <c r="U119" s="37">
        <f>IF(NOT(ISBLANK('Referenz Plattenfertiger'!$I17)),'Referenz Plattenfertiger'!$I17,'Referenz Plattenfertiger'!$F17)*IF(NOT(ISBLANK('Eingabe EF'!$AI10)),'Eingabe EF'!$AI10,'Eingabe EF'!$AG10)</f>
        <v>0.949824</v>
      </c>
      <c r="V119" s="17"/>
      <c r="W119" s="17"/>
      <c r="X119" s="37">
        <f>S119+T119</f>
        <v>6.4022399999999999</v>
      </c>
      <c r="Y119" s="37">
        <f>SUM(S119:U119)</f>
        <v>7.3520640000000004</v>
      </c>
      <c r="Z119" s="17" t="s">
        <v>184</v>
      </c>
      <c r="AB119" s="274"/>
      <c r="AC119" s="17" t="s">
        <v>151</v>
      </c>
      <c r="AD119" s="17"/>
      <c r="AE119" s="17"/>
      <c r="AF119" s="20"/>
      <c r="AG119" s="20"/>
      <c r="AH119" s="41">
        <f>IF(NOT(ISBLANK('Referenz Plattenfertiger'!$I17)),'Referenz Plattenfertiger'!$I17,'Referenz Plattenfertiger'!$F17)/1000*IF(NOT(ISBLANK('Eingabe Preise'!$K11)),'Eingabe Preise'!$K11,'Eingabe Preise'!$I11)</f>
        <v>1104</v>
      </c>
      <c r="AI119" s="20" t="s">
        <v>96</v>
      </c>
    </row>
    <row r="120" spans="2:35" ht="15.75" hidden="1" outlineLevel="1" x14ac:dyDescent="0.3">
      <c r="B120" s="6"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
      </c>
      <c r="O120" s="284"/>
      <c r="P120" s="17"/>
      <c r="Q120" s="17" t="s">
        <v>152</v>
      </c>
      <c r="R120" s="17"/>
      <c r="S120" s="37">
        <f>T112*IF(NOT(ISBLANK('Eingabe EF'!$AA$11)),'Eingabe EF'!$AA$11,'Eingabe EF'!$Y$11)+S112*IF(NOT(ISBLANK('Eingabe EF'!$AA$65)),'Eingabe EF'!$AA$65,'Eingabe EF'!$Y$65)</f>
        <v>0</v>
      </c>
      <c r="T120" s="37">
        <f>T112*IF(NOT(ISBLANK('Eingabe EF'!$AE$11)),'Eingabe EF'!$AE$11,'Eingabe EF'!$AC$11)+S112*IF(NOT(ISBLANK('Eingabe EF'!$AE$65)),'Eingabe EF'!$AE$65,'Eingabe EF'!$AC$65)</f>
        <v>0</v>
      </c>
      <c r="U120" s="37">
        <f>T112*IF(NOT(ISBLANK('Eingabe EF'!$AI$11)),'Eingabe EF'!$AI$11,'Eingabe EF'!$AG$11)+S112*IF(NOT(ISBLANK('Eingabe EF'!$AI$65)),'Eingabe EF'!$AI$65,'Eingabe EF'!$AG$65)</f>
        <v>2.5071299999999996</v>
      </c>
      <c r="V120" s="17"/>
      <c r="W120" s="17"/>
      <c r="X120" s="37">
        <f>S120+T120</f>
        <v>0</v>
      </c>
      <c r="Y120" s="37">
        <f>SUM(S120:U120)</f>
        <v>2.5071299999999996</v>
      </c>
      <c r="Z120" s="17" t="s">
        <v>184</v>
      </c>
      <c r="AB120" s="284"/>
      <c r="AC120" s="17" t="s">
        <v>152</v>
      </c>
      <c r="AD120" s="17"/>
      <c r="AE120" s="17"/>
      <c r="AF120" s="20"/>
      <c r="AG120" s="20"/>
      <c r="AH120" s="41">
        <f>T112/1000*IF(NOT(ISBLANK('Eingabe Preise'!$K12)),'Eingabe Preise'!$K12,'Eingabe Preise'!$I12)</f>
        <v>0</v>
      </c>
      <c r="AI120" s="20" t="s">
        <v>96</v>
      </c>
    </row>
    <row r="121" spans="2:35" ht="15.75" hidden="1" outlineLevel="1" x14ac:dyDescent="0.3">
      <c r="O121" s="274"/>
      <c r="P121" s="17"/>
      <c r="Q121" s="17" t="s">
        <v>115</v>
      </c>
      <c r="R121" s="17"/>
      <c r="S121" s="43">
        <f>IF(NOT(ISBLANK('Referenz Plattenfertiger'!$I19)),'Referenz Plattenfertiger'!$I19,'Referenz Plattenfertiger'!$F19)*IF(NOT(ISBLANK('Eingabe EF'!$AA12)),'Eingabe EF'!$AA12,0)</f>
        <v>0</v>
      </c>
      <c r="T121" s="43">
        <f>IF(NOT(ISBLANK('Referenz Plattenfertiger'!$I19)),'Referenz Plattenfertiger'!$I19,'Referenz Plattenfertiger'!$F19)*IF(NOT(ISBLANK('Eingabe EF'!$AE12)),'Eingabe EF'!$AE12,0)</f>
        <v>0</v>
      </c>
      <c r="U121" s="43">
        <f>IF(NOT(ISBLANK('Referenz Plattenfertiger'!$I19)),'Referenz Plattenfertiger'!$I19,'Referenz Plattenfertiger'!$F19)*IF(NOT(ISBLANK('Eingabe EF'!$AI12)),'Eingabe EF'!$AI12,0)</f>
        <v>0</v>
      </c>
      <c r="V121" s="17"/>
      <c r="W121" s="17"/>
      <c r="X121" s="37">
        <f>S121+T121</f>
        <v>0</v>
      </c>
      <c r="Y121" s="37">
        <f>SUM(S121:U121)</f>
        <v>0</v>
      </c>
      <c r="Z121" s="17" t="s">
        <v>184</v>
      </c>
      <c r="AB121" s="274"/>
      <c r="AC121" s="17" t="s">
        <v>115</v>
      </c>
      <c r="AD121" s="17"/>
      <c r="AE121" s="17"/>
      <c r="AF121" s="20"/>
      <c r="AG121" s="20"/>
      <c r="AH121" s="41">
        <f>IF(NOT(ISBLANK('Referenz Plattenfertiger'!$I19)),'Referenz Plattenfertiger'!$I19,'Referenz Plattenfertiger'!$F19)/1000*IF(NOT(ISBLANK('Eingabe Preise'!$K16)),'Eingabe Preise'!$K16,0)</f>
        <v>0</v>
      </c>
      <c r="AI121" s="20" t="s">
        <v>96</v>
      </c>
    </row>
    <row r="122" spans="2:35" hidden="1" outlineLevel="1" x14ac:dyDescent="0.2">
      <c r="O122" s="17"/>
      <c r="P122" s="17" t="s">
        <v>133</v>
      </c>
      <c r="Q122" s="17"/>
      <c r="R122" s="17"/>
      <c r="S122" s="20"/>
      <c r="T122" s="20"/>
      <c r="U122" s="20"/>
      <c r="V122" s="17"/>
      <c r="W122" s="17"/>
      <c r="X122" s="17"/>
      <c r="Y122" s="17"/>
      <c r="Z122" s="17"/>
      <c r="AB122" s="17" t="s">
        <v>133</v>
      </c>
      <c r="AC122" s="17"/>
      <c r="AD122" s="17"/>
      <c r="AE122" s="17"/>
      <c r="AF122" s="20"/>
      <c r="AG122" s="20"/>
      <c r="AH122" s="20"/>
      <c r="AI122" s="20"/>
    </row>
    <row r="123" spans="2:35" ht="15.75" hidden="1" outlineLevel="1" x14ac:dyDescent="0.3">
      <c r="O123" s="17"/>
      <c r="P123" s="17"/>
      <c r="Q123" s="17" t="s">
        <v>29</v>
      </c>
      <c r="R123" s="17"/>
      <c r="S123" s="37">
        <f>IF(NOT(ISBLANK('Referenz Plattenfertiger'!$I21)),'Referenz Plattenfertiger'!$I21,'Referenz Plattenfertiger'!$F21)*IF(NOT(ISBLANK('Eingabe EF'!$AA9)),'Eingabe EF'!$AA9,'Eingabe EF'!$Y9)</f>
        <v>8.6085200000000004</v>
      </c>
      <c r="T123" s="37">
        <f>IF(NOT(ISBLANK('Referenz Plattenfertiger'!$I21)),'Referenz Plattenfertiger'!$I21,'Referenz Plattenfertiger'!$F21)*IF(NOT(ISBLANK('Eingabe EF'!$AE9)),'Eingabe EF'!$AE9,'Eingabe EF'!$AC9)</f>
        <v>0</v>
      </c>
      <c r="U123" s="37">
        <f>IF(NOT(ISBLANK('Referenz Plattenfertiger'!$I21)),'Referenz Plattenfertiger'!$I21,'Referenz Plattenfertiger'!$F21)*IF(NOT(ISBLANK('Eingabe EF'!$AG9)),'Eingabe EF'!$AG9,'Eingabe EF'!$AIC9)</f>
        <v>1.4734500000000001</v>
      </c>
      <c r="V123" s="17"/>
      <c r="W123" s="17"/>
      <c r="X123" s="37">
        <f t="shared" ref="X123:X124" si="20">S123+T123</f>
        <v>8.6085200000000004</v>
      </c>
      <c r="Y123" s="37">
        <f t="shared" ref="Y123:Y134" si="21">SUM(S123:U123)</f>
        <v>10.08197</v>
      </c>
      <c r="Z123" s="17" t="s">
        <v>184</v>
      </c>
      <c r="AA123" s="42"/>
      <c r="AB123" s="17"/>
      <c r="AC123" s="17" t="s">
        <v>29</v>
      </c>
      <c r="AD123" s="17"/>
      <c r="AE123" s="17"/>
      <c r="AF123" s="20"/>
      <c r="AG123" s="20"/>
      <c r="AH123" s="41">
        <f>IF(NOT(ISBLANK('Referenz Plattenfertiger'!$I21)),'Referenz Plattenfertiger'!$I21,'Referenz Plattenfertiger'!$F21)/1000*IF(NOT(ISBLANK('Eingabe Preise'!$K10)),'Eingabe Preise'!$K10,'Eingabe Preise'!$I10)</f>
        <v>2867</v>
      </c>
      <c r="AI123" s="20" t="s">
        <v>96</v>
      </c>
    </row>
    <row r="124" spans="2:35"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O124" s="17"/>
      <c r="P124" s="17"/>
      <c r="Q124" s="17" t="s">
        <v>30</v>
      </c>
      <c r="R124" s="17"/>
      <c r="S124" s="37">
        <f>IF(NOT(ISBLANK('Referenz Plattenfertiger'!$I22)),'Referenz Plattenfertiger'!$I22,'Referenz Plattenfertiger'!$F22)*IF(NOT(ISBLANK('Eingabe EF'!$AA10)),'Eingabe EF'!$AA10,'Eingabe EF'!$Y10)</f>
        <v>9.6033600000000003</v>
      </c>
      <c r="T124" s="37">
        <f>IF(NOT(ISBLANK('Referenz Plattenfertiger'!$I22)),'Referenz Plattenfertiger'!$I22,'Referenz Plattenfertiger'!$F22)*IF(NOT(ISBLANK('Eingabe EF'!$AE10)),'Eingabe EF'!$AE10,'Eingabe EF'!$AC10)</f>
        <v>0</v>
      </c>
      <c r="U124" s="37">
        <f>IF(NOT(ISBLANK('Referenz Plattenfertiger'!$I22)),'Referenz Plattenfertiger'!$I22,'Referenz Plattenfertiger'!$F22)*IF(NOT(ISBLANK('Eingabe EF'!$AG10)),'Eingabe EF'!$AG10,'Eingabe EF'!$AIC10)</f>
        <v>1.424736</v>
      </c>
      <c r="V124" s="17"/>
      <c r="W124" s="17"/>
      <c r="X124" s="37">
        <f t="shared" si="20"/>
        <v>9.6033600000000003</v>
      </c>
      <c r="Y124" s="37">
        <f t="shared" si="21"/>
        <v>11.028096</v>
      </c>
      <c r="Z124" s="17" t="s">
        <v>184</v>
      </c>
      <c r="AA124" s="42"/>
      <c r="AB124" s="17"/>
      <c r="AC124" s="17" t="s">
        <v>30</v>
      </c>
      <c r="AD124" s="17"/>
      <c r="AE124" s="17"/>
      <c r="AF124" s="20"/>
      <c r="AG124" s="20"/>
      <c r="AH124" s="41">
        <f>IF(NOT(ISBLANK('Referenz Plattenfertiger'!$I22)),'Referenz Plattenfertiger'!$I22,'Referenz Plattenfertiger'!$F22)/1000*IF(NOT(ISBLANK('Eingabe Preise'!$K11)),'Eingabe Preise'!$K11,'Eingabe Preise'!$I11)</f>
        <v>1656</v>
      </c>
      <c r="AI124" s="20" t="s">
        <v>96</v>
      </c>
    </row>
    <row r="125" spans="2:35" hidden="1" outlineLevel="1" x14ac:dyDescent="0.2">
      <c r="O125" s="17"/>
      <c r="P125" s="17" t="s">
        <v>134</v>
      </c>
      <c r="Q125" s="17"/>
      <c r="R125" s="17"/>
      <c r="S125" s="20"/>
      <c r="T125" s="20"/>
      <c r="U125" s="20"/>
      <c r="V125" s="17"/>
      <c r="W125" s="17"/>
      <c r="X125" s="17"/>
      <c r="Y125" s="17"/>
      <c r="Z125" s="17"/>
      <c r="AB125" s="17" t="s">
        <v>134</v>
      </c>
      <c r="AC125" s="17"/>
      <c r="AD125" s="17"/>
      <c r="AE125" s="17"/>
      <c r="AF125" s="20"/>
      <c r="AG125" s="20"/>
      <c r="AH125" s="20"/>
      <c r="AI125" s="20"/>
    </row>
    <row r="126" spans="2:35" ht="15.75" hidden="1" outlineLevel="1" x14ac:dyDescent="0.3">
      <c r="O126" s="284"/>
      <c r="P126" s="17"/>
      <c r="Q126" s="17" t="s">
        <v>136</v>
      </c>
      <c r="R126" s="17"/>
      <c r="S126" s="37">
        <f>T113*IF(NOT(ISBLANK('Eingabe EF'!$AA$11)),'Eingabe EF'!$AA$11,'Eingabe EF'!$Y$11)+S113*IF(NOT(ISBLANK('Eingabe EF'!$AA$65)),'Eingabe EF'!$AA$65,'Eingabe EF'!$Y$65)</f>
        <v>0</v>
      </c>
      <c r="T126" s="37">
        <f>T113*IF(NOT(ISBLANK('Eingabe EF'!$AE$11)),'Eingabe EF'!$AE$11,'Eingabe EF'!$AC$11)+S113*IF(NOT(ISBLANK('Eingabe EF'!$AE$65)),'Eingabe EF'!$AE$65,'Eingabe EF'!$AC$65)</f>
        <v>97.138569957888194</v>
      </c>
      <c r="U126" s="37">
        <f>T113*IF(NOT(ISBLANK('Eingabe EF'!$AI$11)),'Eingabe EF'!$AI$11,'Eingabe EF'!$AG$11)+S113*IF(NOT(ISBLANK('Eingabe EF'!$AI$65)),'Eingabe EF'!$AI$65,'Eingabe EF'!$AG$65)</f>
        <v>17.304479208486228</v>
      </c>
      <c r="V126" s="17"/>
      <c r="W126" s="17"/>
      <c r="X126" s="37">
        <f t="shared" ref="X126:X134" si="22">S126+T126</f>
        <v>97.138569957888194</v>
      </c>
      <c r="Y126" s="37">
        <f t="shared" si="21"/>
        <v>114.44304916637442</v>
      </c>
      <c r="Z126" s="17" t="s">
        <v>184</v>
      </c>
      <c r="AA126" s="42"/>
      <c r="AB126" s="284"/>
      <c r="AC126" s="17" t="s">
        <v>153</v>
      </c>
      <c r="AD126" s="17"/>
      <c r="AE126" s="17"/>
      <c r="AF126" s="20"/>
      <c r="AG126" s="20"/>
      <c r="AH126" s="41">
        <f>T113/1000*IF(NOT(ISBLANK('Eingabe Preise'!$K12)),'Eingabe Preise'!$K12,'Eingabe Preise'!$I12)</f>
        <v>60200</v>
      </c>
      <c r="AI126" s="20" t="s">
        <v>96</v>
      </c>
    </row>
    <row r="127" spans="2:35" ht="15.75" hidden="1" outlineLevel="1" x14ac:dyDescent="0.3">
      <c r="O127" s="17"/>
      <c r="P127" s="17"/>
      <c r="Q127" s="17" t="s">
        <v>111</v>
      </c>
      <c r="R127" s="17"/>
      <c r="S127" s="37">
        <f>IF(NOT(ISBLANK('Referenz Plattenfertiger'!$I25)),'Referenz Plattenfertiger'!$I25,'Referenz Plattenfertiger'!$F25)*IF(NOT(ISBLANK('Eingabe EF'!$AA13)),'Eingabe EF'!$AA13,'Eingabe EF'!$Y13)</f>
        <v>0</v>
      </c>
      <c r="T127" s="37">
        <f>IF(NOT(ISBLANK('Referenz Plattenfertiger'!$I25)),'Referenz Plattenfertiger'!$I25,'Referenz Plattenfertiger'!$F25)*IF(NOT(ISBLANK('Eingabe EF'!$AE13)),'Eingabe EF'!$AE13,'Eingabe EF'!$AC13)</f>
        <v>0</v>
      </c>
      <c r="U127" s="37">
        <f>IF(NOT(ISBLANK('Referenz Plattenfertiger'!$I25)),'Referenz Plattenfertiger'!$I25,'Referenz Plattenfertiger'!$F25)*IF(NOT(ISBLANK('Eingabe EF'!$AI13)),'Eingabe EF'!$AI13,'Eingabe EF'!$AG13)</f>
        <v>0</v>
      </c>
      <c r="V127" s="17"/>
      <c r="W127" s="17"/>
      <c r="X127" s="37">
        <f t="shared" si="22"/>
        <v>0</v>
      </c>
      <c r="Y127" s="37">
        <f t="shared" si="21"/>
        <v>0</v>
      </c>
      <c r="Z127" s="17" t="s">
        <v>184</v>
      </c>
      <c r="AA127" s="42"/>
      <c r="AB127" s="17"/>
      <c r="AC127" s="17" t="s">
        <v>111</v>
      </c>
      <c r="AD127" s="17"/>
      <c r="AE127" s="17"/>
      <c r="AF127" s="20"/>
      <c r="AG127" s="20"/>
      <c r="AH127" s="41">
        <f>IF(NOT(ISBLANK('Referenz Plattenfertiger'!$I25)),'Referenz Plattenfertiger'!$I25,'Referenz Plattenfertiger'!$F25)/1000*IF(NOT(ISBLANK('Eingabe Preise'!$K13)),'Eingabe Preise'!$K13,'Eingabe Preise'!$I13)</f>
        <v>0</v>
      </c>
      <c r="AI127" s="20" t="s">
        <v>96</v>
      </c>
    </row>
    <row r="128" spans="2:35" ht="15.75" hidden="1" outlineLevel="1" x14ac:dyDescent="0.3">
      <c r="O128" s="17"/>
      <c r="P128" s="17"/>
      <c r="Q128" s="17" t="s">
        <v>135</v>
      </c>
      <c r="R128" s="17"/>
      <c r="S128" s="37">
        <f>IF(NOT(ISBLANK('Referenz Plattenfertiger'!$I26)),'Referenz Plattenfertiger'!$I26,'Referenz Plattenfertiger'!$F26)*IF(NOT(ISBLANK('Eingabe EF'!$AA14)),'Eingabe EF'!$AA14,0)</f>
        <v>0</v>
      </c>
      <c r="T128" s="37">
        <f>IF(NOT(ISBLANK('Referenz Plattenfertiger'!$I26)),'Referenz Plattenfertiger'!$I26,'Referenz Plattenfertiger'!$F26)*IF(NOT(ISBLANK('Eingabe EF'!$AE14)),'Eingabe EF'!$AE14,0)</f>
        <v>0</v>
      </c>
      <c r="U128" s="37">
        <f>IF(NOT(ISBLANK('Referenz Plattenfertiger'!$I26)),'Referenz Plattenfertiger'!$I26,'Referenz Plattenfertiger'!$F26)*IF(NOT(ISBLANK('Eingabe EF'!$AI14)),'Eingabe EF'!$AI14,0)</f>
        <v>0</v>
      </c>
      <c r="V128" s="17"/>
      <c r="W128" s="17"/>
      <c r="X128" s="37">
        <f t="shared" si="22"/>
        <v>0</v>
      </c>
      <c r="Y128" s="37">
        <f t="shared" si="21"/>
        <v>0</v>
      </c>
      <c r="Z128" s="17" t="s">
        <v>184</v>
      </c>
      <c r="AA128" s="42"/>
      <c r="AB128" s="17"/>
      <c r="AC128" s="17" t="s">
        <v>135</v>
      </c>
      <c r="AD128" s="17"/>
      <c r="AE128" s="17"/>
      <c r="AF128" s="30"/>
      <c r="AG128" s="17"/>
      <c r="AH128" s="41">
        <f>IF(NOT(ISBLANK('Referenz Plattenfertiger'!$I26)),'Referenz Plattenfertiger'!$I26,'Referenz Plattenfertiger'!$F26)/1000*IF(NOT(ISBLANK('Eingabe Preise'!$K17)),'Eingabe Preise'!$K17,0)</f>
        <v>0</v>
      </c>
      <c r="AI128" s="20" t="s">
        <v>96</v>
      </c>
    </row>
    <row r="129" spans="15:43" hidden="1" outlineLevel="1" x14ac:dyDescent="0.2">
      <c r="O129" s="17"/>
      <c r="P129" s="17"/>
      <c r="Q129" s="17"/>
      <c r="R129" s="17"/>
      <c r="S129" s="20"/>
      <c r="T129" s="20"/>
      <c r="U129" s="20"/>
      <c r="V129" s="17"/>
      <c r="W129" s="17"/>
      <c r="X129" s="17"/>
      <c r="Y129" s="17"/>
      <c r="Z129" s="17"/>
      <c r="AB129" s="17"/>
      <c r="AC129" s="17"/>
      <c r="AD129" s="17"/>
      <c r="AE129" s="17"/>
      <c r="AF129" s="30"/>
      <c r="AG129" s="17"/>
      <c r="AH129" s="17"/>
      <c r="AI129" s="17"/>
    </row>
    <row r="130" spans="15:43" ht="15.75" hidden="1" outlineLevel="1" x14ac:dyDescent="0.3">
      <c r="O130" s="17"/>
      <c r="P130" s="17" t="s">
        <v>408</v>
      </c>
      <c r="Q130" s="17" t="s">
        <v>32</v>
      </c>
      <c r="R130" s="17"/>
      <c r="S130" s="37">
        <f>IF(NOT(ISBLANK('Referenz Plattenfertiger'!$I28)),'Referenz Plattenfertiger'!$I28,'Referenz Plattenfertiger'!$F28)*IF(NOT(ISBLANK('Eingabe EF'!$AA15)),'Eingabe EF'!$AA15,'Eingabe EF'!$Y15)</f>
        <v>29.238941159999996</v>
      </c>
      <c r="T130" s="37">
        <f>IF(NOT(ISBLANK('Referenz Plattenfertiger'!$I28)),'Referenz Plattenfertiger'!$I28,'Referenz Plattenfertiger'!$F28)*IF(NOT(ISBLANK('Eingabe EF'!$AE15)),'Eingabe EF'!$AE15,'Eingabe EF'!$AC15)</f>
        <v>0</v>
      </c>
      <c r="U130" s="37">
        <f>IF(NOT(ISBLANK('Referenz Plattenfertiger'!$I28)),'Referenz Plattenfertiger'!$I28,'Referenz Plattenfertiger'!$F28)*IF(NOT(ISBLANK('Eingabe EF'!$AI15)),'Eingabe EF'!$AI15,'Eingabe EF'!$AG15)</f>
        <v>5.1658635600000009</v>
      </c>
      <c r="V130" s="17"/>
      <c r="W130" s="17"/>
      <c r="X130" s="37">
        <f t="shared" si="22"/>
        <v>29.238941159999996</v>
      </c>
      <c r="Y130" s="37">
        <f t="shared" si="21"/>
        <v>34.404804719999994</v>
      </c>
      <c r="Z130" s="17" t="s">
        <v>184</v>
      </c>
      <c r="AA130" s="42"/>
      <c r="AB130" s="17"/>
      <c r="AC130" s="17" t="s">
        <v>32</v>
      </c>
      <c r="AD130" s="17" t="s">
        <v>408</v>
      </c>
      <c r="AE130" s="17"/>
      <c r="AF130" s="30"/>
      <c r="AG130" s="17"/>
      <c r="AH130" s="41">
        <f>IF(NOT(ISBLANK('Referenz Plattenfertiger'!$I28)),'Referenz Plattenfertiger'!$I28,'Referenz Plattenfertiger'!$F28)*IF(NOT(ISBLANK('Eingabe Preise'!$K14)),'Eingabe Preise'!$K14,'Eingabe Preise'!$I14)</f>
        <v>12364.000000000002</v>
      </c>
      <c r="AI130" s="20" t="s">
        <v>96</v>
      </c>
    </row>
    <row r="131" spans="15:43" ht="15.75" hidden="1" outlineLevel="1" x14ac:dyDescent="0.3">
      <c r="O131" s="17"/>
      <c r="P131" s="17" t="s">
        <v>70</v>
      </c>
      <c r="Q131" s="17" t="s">
        <v>32</v>
      </c>
      <c r="R131" s="17"/>
      <c r="S131" s="37">
        <f>IF(NOT(ISBLANK('Referenz Plattenfertiger'!$I29)),'Referenz Plattenfertiger'!$I29,'Referenz Plattenfertiger'!$F29)*IF(NOT(ISBLANK('Eingabe EF'!$AA15)),'Eingabe EF'!$AA15,'Eingabe EF'!$Y15)</f>
        <v>6.645213899999999</v>
      </c>
      <c r="T131" s="37">
        <f>IF(NOT(ISBLANK('Referenz Plattenfertiger'!$I29)),'Referenz Plattenfertiger'!$I29,'Referenz Plattenfertiger'!$F29)*IF(NOT(ISBLANK('Eingabe EF'!$AE15)),'Eingabe EF'!$AE15,'Eingabe EF'!$AC15)</f>
        <v>0</v>
      </c>
      <c r="U131" s="37">
        <f>IF(NOT(ISBLANK('Referenz Plattenfertiger'!$I29)),'Referenz Plattenfertiger'!$I29,'Referenz Plattenfertiger'!$F29)*IF(NOT(ISBLANK('Eingabe EF'!$AI15)),'Eingabe EF'!$AI15,'Eingabe EF'!$AG15)</f>
        <v>1.1740599000000003</v>
      </c>
      <c r="V131" s="17"/>
      <c r="W131" s="17"/>
      <c r="X131" s="37">
        <f t="shared" si="22"/>
        <v>6.645213899999999</v>
      </c>
      <c r="Y131" s="37">
        <f t="shared" si="21"/>
        <v>7.8192737999999995</v>
      </c>
      <c r="Z131" s="17" t="s">
        <v>184</v>
      </c>
      <c r="AA131" s="42"/>
      <c r="AB131" s="17"/>
      <c r="AC131" s="17" t="s">
        <v>32</v>
      </c>
      <c r="AD131" s="17" t="s">
        <v>70</v>
      </c>
      <c r="AE131" s="17"/>
      <c r="AF131" s="30"/>
      <c r="AG131" s="17"/>
      <c r="AH131" s="41">
        <f>IF(NOT(ISBLANK('Referenz Plattenfertiger'!$I29)),'Referenz Plattenfertiger'!$I29,'Referenz Plattenfertiger'!$F29)*IF(NOT(ISBLANK('Eingabe Preise'!$K14)),'Eingabe Preise'!$K14,'Eingabe Preise'!$I14)</f>
        <v>2810.0000000000005</v>
      </c>
      <c r="AI131" s="20" t="s">
        <v>96</v>
      </c>
    </row>
    <row r="132" spans="15:43" ht="14.25" hidden="1" outlineLevel="1" x14ac:dyDescent="0.25">
      <c r="O132" s="69"/>
      <c r="P132" s="69" t="s">
        <v>175</v>
      </c>
      <c r="Q132" s="69"/>
      <c r="R132" s="69"/>
      <c r="S132" s="71"/>
      <c r="T132" s="71"/>
      <c r="U132" s="71">
        <f t="shared" ref="U132" si="23">U133+U134</f>
        <v>469.15642799999995</v>
      </c>
      <c r="V132" s="69"/>
      <c r="W132" s="69"/>
      <c r="X132" s="71">
        <f t="shared" si="22"/>
        <v>0</v>
      </c>
      <c r="Y132" s="71">
        <f t="shared" si="21"/>
        <v>469.15642799999995</v>
      </c>
      <c r="Z132" s="76" t="s">
        <v>183</v>
      </c>
      <c r="AA132" s="72"/>
      <c r="AB132" s="21"/>
      <c r="AC132" s="21"/>
      <c r="AD132" s="21"/>
      <c r="AE132" s="21"/>
      <c r="AF132" s="73"/>
      <c r="AG132" s="21"/>
      <c r="AH132" s="21"/>
      <c r="AI132" s="21"/>
      <c r="AK132" s="72"/>
      <c r="AL132" s="72"/>
      <c r="AM132" s="72"/>
      <c r="AN132" s="72"/>
      <c r="AO132" s="72"/>
      <c r="AP132" s="72"/>
      <c r="AQ132" s="72"/>
    </row>
    <row r="133" spans="15:43" ht="15.75" hidden="1" outlineLevel="1" x14ac:dyDescent="0.3">
      <c r="O133" s="17"/>
      <c r="P133" s="17"/>
      <c r="Q133" s="17" t="s">
        <v>43</v>
      </c>
      <c r="R133" s="17"/>
      <c r="S133" s="37"/>
      <c r="T133" s="37"/>
      <c r="U133" s="37">
        <f>IF(NOT(ISBLANK('Referenz Plattenfertiger'!$I32)),'Referenz Plattenfertiger'!$I32,'Referenz Plattenfertiger'!$F32)*IF(NOT(ISBLANK('Eingabe EF'!$AI17)),'Eingabe EF'!$AI17,'Eingabe EF'!$AG17)</f>
        <v>109.4698332</v>
      </c>
      <c r="V133" s="17"/>
      <c r="W133" s="17"/>
      <c r="X133" s="37">
        <f t="shared" si="22"/>
        <v>0</v>
      </c>
      <c r="Y133" s="37">
        <f t="shared" si="21"/>
        <v>109.4698332</v>
      </c>
      <c r="Z133" s="17" t="s">
        <v>184</v>
      </c>
      <c r="AA133" s="42"/>
      <c r="AB133" s="17"/>
      <c r="AC133" s="17"/>
      <c r="AD133" s="17"/>
      <c r="AE133" s="17"/>
      <c r="AF133" s="30"/>
      <c r="AG133" s="17"/>
      <c r="AH133" s="17"/>
      <c r="AI133" s="17"/>
    </row>
    <row r="134" spans="15:43" ht="15.75" hidden="1" outlineLevel="1" x14ac:dyDescent="0.3">
      <c r="O134" s="17"/>
      <c r="P134" s="17"/>
      <c r="Q134" s="17" t="s">
        <v>44</v>
      </c>
      <c r="R134" s="17"/>
      <c r="S134" s="37"/>
      <c r="T134" s="37"/>
      <c r="U134" s="37">
        <f>IF(NOT(ISBLANK('Referenz Plattenfertiger'!$I33)),'Referenz Plattenfertiger'!$I33,'Referenz Plattenfertiger'!$F33)*IF(NOT(ISBLANK('Eingabe EF'!$AI18)),'Eingabe EF'!$AI18,'Eingabe EF'!$AG18)</f>
        <v>359.68659479999997</v>
      </c>
      <c r="V134" s="17"/>
      <c r="W134" s="17"/>
      <c r="X134" s="37">
        <f t="shared" si="22"/>
        <v>0</v>
      </c>
      <c r="Y134" s="37">
        <f t="shared" si="21"/>
        <v>359.68659479999997</v>
      </c>
      <c r="Z134" s="17" t="s">
        <v>184</v>
      </c>
      <c r="AA134" s="42"/>
      <c r="AB134" s="17"/>
      <c r="AC134" s="17" t="s">
        <v>28</v>
      </c>
      <c r="AD134" s="17"/>
      <c r="AE134" s="17"/>
      <c r="AF134" s="30"/>
      <c r="AG134" s="17"/>
      <c r="AH134" s="41">
        <f>IF(NOT(ISBLANK($G$18)),$G$18,$E$18)/IF(NOT(ISBLANK($G$23)),$G$23,$E$23)+IF(NOT(ISBLANK($G$18)),$G$18,$E$18)*(IF(NOT(ISBLANK($G$24)),$G$24,$E$24)/100)</f>
        <v>36000</v>
      </c>
      <c r="AI134" s="20" t="s">
        <v>96</v>
      </c>
    </row>
    <row r="135" spans="15:43" hidden="1" outlineLevel="1" x14ac:dyDescent="0.2">
      <c r="O135" s="17"/>
      <c r="P135" s="17"/>
      <c r="Q135" s="17"/>
      <c r="R135" s="17"/>
      <c r="S135" s="20"/>
      <c r="T135" s="20"/>
      <c r="U135" s="20"/>
      <c r="V135" s="17"/>
      <c r="W135" s="17"/>
      <c r="X135" s="20"/>
      <c r="Y135" s="20"/>
      <c r="Z135" s="17"/>
      <c r="AB135" s="17"/>
      <c r="AC135" s="44" t="s">
        <v>139</v>
      </c>
      <c r="AD135" s="17"/>
      <c r="AE135" s="17"/>
      <c r="AF135" s="30"/>
      <c r="AG135" s="17"/>
      <c r="AH135" s="41">
        <f>IF(NOT(ISBLANK($G$19)),$G$19,$E$19)</f>
        <v>1000</v>
      </c>
      <c r="AI135" s="20" t="s">
        <v>96</v>
      </c>
    </row>
    <row r="136" spans="15:43" ht="14.25" hidden="1" outlineLevel="1" x14ac:dyDescent="0.25">
      <c r="O136" s="69"/>
      <c r="P136" s="69" t="s">
        <v>66</v>
      </c>
      <c r="Q136" s="70"/>
      <c r="R136" s="70"/>
      <c r="S136" s="71"/>
      <c r="T136" s="71"/>
      <c r="U136" s="71">
        <f>SUM(U137:U140)</f>
        <v>4548.5439999999999</v>
      </c>
      <c r="V136" s="70"/>
      <c r="W136" s="70"/>
      <c r="X136" s="71">
        <f t="shared" ref="X136:X140" si="24">S136+T136</f>
        <v>0</v>
      </c>
      <c r="Y136" s="71">
        <f t="shared" ref="Y136:Y139" si="25">SUM(S136:U136)</f>
        <v>4548.5439999999999</v>
      </c>
      <c r="Z136" s="76" t="s">
        <v>183</v>
      </c>
      <c r="AB136" s="17"/>
      <c r="AC136" s="44" t="s">
        <v>146</v>
      </c>
      <c r="AD136" s="17"/>
      <c r="AE136" s="17"/>
      <c r="AF136" s="30"/>
      <c r="AG136" s="17"/>
      <c r="AH136" s="41">
        <f>IF(NOT(ISBLANK($G$20)),$G$20,$E$20)/IF(NOT(ISBLANK($G$23)),$G$23,$E$23)+IF(NOT(ISBLANK($G$20)),$G$20,$E$20)*(IF(NOT(ISBLANK($G$24)),$G$24,$E$24)/100)</f>
        <v>0</v>
      </c>
      <c r="AI136" s="20" t="s">
        <v>96</v>
      </c>
    </row>
    <row r="137" spans="15:43" ht="15.75" hidden="1" outlineLevel="1" x14ac:dyDescent="0.3">
      <c r="O137" s="17"/>
      <c r="P137" s="17"/>
      <c r="Q137" s="17" t="s">
        <v>45</v>
      </c>
      <c r="R137" s="17"/>
      <c r="S137" s="37"/>
      <c r="T137" s="37"/>
      <c r="U137" s="37">
        <f>'M1 Härtekammern'!T134</f>
        <v>1210.3</v>
      </c>
      <c r="V137" s="17"/>
      <c r="W137" s="17"/>
      <c r="X137" s="37">
        <f t="shared" si="24"/>
        <v>0</v>
      </c>
      <c r="Y137" s="37">
        <f t="shared" si="25"/>
        <v>1210.3</v>
      </c>
      <c r="Z137" s="17" t="s">
        <v>184</v>
      </c>
      <c r="AA137" s="42"/>
      <c r="AB137" s="17"/>
      <c r="AC137" s="17"/>
      <c r="AD137" s="17"/>
      <c r="AE137" s="17"/>
      <c r="AF137" s="17"/>
      <c r="AG137" s="17"/>
      <c r="AH137" s="17"/>
      <c r="AI137" s="17"/>
    </row>
    <row r="138" spans="15:43" ht="15.75" hidden="1" outlineLevel="1" x14ac:dyDescent="0.3">
      <c r="O138" s="17"/>
      <c r="P138" s="17"/>
      <c r="Q138" s="17" t="s">
        <v>47</v>
      </c>
      <c r="R138" s="17"/>
      <c r="S138" s="37"/>
      <c r="T138" s="37"/>
      <c r="U138" s="37">
        <f>'M1 Härtekammern'!T135</f>
        <v>2415.5039999999999</v>
      </c>
      <c r="V138" s="17"/>
      <c r="W138" s="17"/>
      <c r="X138" s="37">
        <f t="shared" si="24"/>
        <v>0</v>
      </c>
      <c r="Y138" s="37">
        <f t="shared" si="25"/>
        <v>2415.5039999999999</v>
      </c>
      <c r="Z138" s="17" t="s">
        <v>184</v>
      </c>
      <c r="AA138" s="42"/>
      <c r="AB138" s="17"/>
      <c r="AC138" s="17"/>
      <c r="AD138" s="17"/>
      <c r="AE138" s="17"/>
      <c r="AF138" s="17"/>
      <c r="AG138" s="17"/>
      <c r="AH138" s="17"/>
      <c r="AI138" s="17"/>
    </row>
    <row r="139" spans="15:43" ht="15.75" hidden="1" outlineLevel="1" x14ac:dyDescent="0.3">
      <c r="O139" s="17"/>
      <c r="P139" s="17"/>
      <c r="Q139" s="17" t="s">
        <v>48</v>
      </c>
      <c r="R139" s="17"/>
      <c r="S139" s="37"/>
      <c r="T139" s="37"/>
      <c r="U139" s="37">
        <f>'M1 Härtekammern'!T136</f>
        <v>922.7399999999999</v>
      </c>
      <c r="V139" s="17"/>
      <c r="W139" s="17"/>
      <c r="X139" s="37">
        <f t="shared" si="24"/>
        <v>0</v>
      </c>
      <c r="Y139" s="37">
        <f t="shared" si="25"/>
        <v>922.7399999999999</v>
      </c>
      <c r="Z139" s="17" t="s">
        <v>184</v>
      </c>
      <c r="AA139" s="42"/>
      <c r="AB139" s="17"/>
      <c r="AC139" s="17" t="s">
        <v>186</v>
      </c>
      <c r="AD139" s="17"/>
      <c r="AE139" s="17"/>
      <c r="AF139" s="30"/>
      <c r="AG139" s="17"/>
      <c r="AH139" s="41">
        <f>S179*IF(NOT(ISBLANK('Eingabe Preise'!$K21)),'Eingabe Preise'!$K21,'Eingabe Preise'!$I21)</f>
        <v>4271.9559777000004</v>
      </c>
      <c r="AI139" s="20" t="s">
        <v>96</v>
      </c>
    </row>
    <row r="140" spans="15:43" ht="15.75" hidden="1" outlineLevel="1" x14ac:dyDescent="0.3">
      <c r="O140" s="17"/>
      <c r="P140" s="17"/>
      <c r="Q140" s="17" t="s">
        <v>147</v>
      </c>
      <c r="R140" s="17"/>
      <c r="S140" s="37"/>
      <c r="T140" s="37"/>
      <c r="U140" s="37">
        <f>'M1 Härtekammern'!T137</f>
        <v>0</v>
      </c>
      <c r="V140" s="17"/>
      <c r="W140" s="17"/>
      <c r="X140" s="37">
        <f t="shared" si="24"/>
        <v>0</v>
      </c>
      <c r="Y140" s="37">
        <f t="shared" ref="Y140" si="26">SUM(S140:U140)</f>
        <v>0</v>
      </c>
      <c r="Z140" s="17" t="s">
        <v>184</v>
      </c>
      <c r="AA140" s="42"/>
      <c r="AB140" s="17"/>
      <c r="AC140" s="17" t="s">
        <v>187</v>
      </c>
      <c r="AD140" s="17"/>
      <c r="AE140" s="17"/>
      <c r="AF140" s="30"/>
      <c r="AG140" s="17"/>
      <c r="AH140" s="41">
        <f>T179*IF(NOT(ISBLANK('Eingabe Preise'!$K22)),'Eingabe Preise'!$K22,'Eingabe Preise'!$I22)</f>
        <v>4371.2356481049683</v>
      </c>
      <c r="AI140" s="20" t="s">
        <v>96</v>
      </c>
    </row>
    <row r="141" spans="15:43" ht="15.75" hidden="1" outlineLevel="1" x14ac:dyDescent="0.3">
      <c r="O141" s="17"/>
      <c r="P141" s="17"/>
      <c r="Q141" s="17"/>
      <c r="R141" s="17"/>
      <c r="S141" s="20"/>
      <c r="T141" s="20"/>
      <c r="U141" s="20"/>
      <c r="V141" s="17"/>
      <c r="W141" s="17"/>
      <c r="X141" s="17"/>
      <c r="Y141" s="20"/>
      <c r="Z141" s="20"/>
      <c r="AA141" s="42"/>
      <c r="AB141" s="17"/>
      <c r="AC141" s="17" t="s">
        <v>188</v>
      </c>
      <c r="AD141" s="17"/>
      <c r="AE141" s="17"/>
      <c r="AF141" s="30"/>
      <c r="AG141" s="17"/>
      <c r="AH141" s="41">
        <f>U179*IF(NOT(ISBLANK('Eingabe Preise'!$K23)),'Eingabe Preise'!$K23,'Eingabe Preise'!$I23)</f>
        <v>258561.99864081017</v>
      </c>
      <c r="AI141" s="20" t="s">
        <v>96</v>
      </c>
    </row>
    <row r="142" spans="15:43" ht="14.25" hidden="1" outlineLevel="1" x14ac:dyDescent="0.25">
      <c r="O142" s="69"/>
      <c r="P142" s="69" t="s">
        <v>163</v>
      </c>
      <c r="Q142" s="70"/>
      <c r="R142" s="70"/>
      <c r="S142" s="71"/>
      <c r="T142" s="71"/>
      <c r="U142" s="71">
        <f>SUM(U143:U147)</f>
        <v>129.59200000000001</v>
      </c>
      <c r="V142" s="70"/>
      <c r="W142" s="70"/>
      <c r="X142" s="71">
        <f t="shared" ref="X142" si="27">S142+T142</f>
        <v>0</v>
      </c>
      <c r="Y142" s="71">
        <f t="shared" ref="Y142" si="28">SUM(S142:U142)</f>
        <v>129.59200000000001</v>
      </c>
      <c r="Z142" s="76" t="s">
        <v>183</v>
      </c>
      <c r="AA142" s="42"/>
      <c r="AB142" s="17"/>
      <c r="AC142" s="17"/>
      <c r="AD142" s="17"/>
      <c r="AE142" s="17"/>
      <c r="AF142" s="30"/>
      <c r="AG142" s="17"/>
      <c r="AH142" s="66"/>
      <c r="AI142" s="17"/>
    </row>
    <row r="143" spans="15:43" ht="15.75" hidden="1" outlineLevel="1" x14ac:dyDescent="0.3">
      <c r="O143" s="17"/>
      <c r="P143" s="17"/>
      <c r="Q143" s="17" t="s">
        <v>164</v>
      </c>
      <c r="R143" s="17"/>
      <c r="S143" s="37"/>
      <c r="T143" s="37"/>
      <c r="U143" s="37">
        <f>'M1 Härtekammern'!T140</f>
        <v>129.59200000000001</v>
      </c>
      <c r="V143" s="17"/>
      <c r="W143" s="17"/>
      <c r="X143" s="37">
        <f>S143+T143</f>
        <v>0</v>
      </c>
      <c r="Y143" s="37">
        <f>SUM(S143:U143)</f>
        <v>129.59200000000001</v>
      </c>
      <c r="Z143" s="17" t="s">
        <v>184</v>
      </c>
      <c r="AA143" s="42"/>
      <c r="AB143" s="17"/>
      <c r="AC143" s="17"/>
      <c r="AD143" s="17"/>
      <c r="AE143" s="17"/>
      <c r="AF143" s="30"/>
      <c r="AG143" s="17"/>
      <c r="AH143" s="17"/>
      <c r="AI143" s="17"/>
    </row>
    <row r="144" spans="15:43" ht="15.75" hidden="1" outlineLevel="1" x14ac:dyDescent="0.3">
      <c r="O144" s="17"/>
      <c r="P144" s="17"/>
      <c r="Q144" s="17" t="s">
        <v>165</v>
      </c>
      <c r="R144" s="17"/>
      <c r="S144" s="37"/>
      <c r="T144" s="37"/>
      <c r="U144" s="37">
        <f>'M1 Härtekammern'!T141</f>
        <v>0</v>
      </c>
      <c r="V144" s="17"/>
      <c r="W144" s="17"/>
      <c r="X144" s="37">
        <f t="shared" ref="X144:X145" si="29">S144+T144</f>
        <v>0</v>
      </c>
      <c r="Y144" s="37">
        <f t="shared" ref="Y144:Y145" si="30">SUM(S144:U144)</f>
        <v>0</v>
      </c>
      <c r="Z144" s="17" t="s">
        <v>184</v>
      </c>
      <c r="AA144" s="42"/>
      <c r="AB144" s="17"/>
      <c r="AC144" s="17"/>
      <c r="AD144" s="17"/>
      <c r="AE144" s="17"/>
      <c r="AF144" s="30"/>
      <c r="AG144" s="17"/>
      <c r="AH144" s="66"/>
      <c r="AI144" s="17"/>
    </row>
    <row r="145" spans="15:34" ht="15.75" hidden="1" outlineLevel="1" x14ac:dyDescent="0.3">
      <c r="O145" s="17"/>
      <c r="P145" s="17"/>
      <c r="Q145" s="17" t="s">
        <v>166</v>
      </c>
      <c r="R145" s="17"/>
      <c r="S145" s="37"/>
      <c r="T145" s="37"/>
      <c r="U145" s="37">
        <f>'M1 Härtekammern'!T142</f>
        <v>0</v>
      </c>
      <c r="V145" s="17"/>
      <c r="W145" s="17"/>
      <c r="X145" s="37">
        <f t="shared" si="29"/>
        <v>0</v>
      </c>
      <c r="Y145" s="37">
        <f t="shared" si="30"/>
        <v>0</v>
      </c>
      <c r="Z145" s="17" t="s">
        <v>184</v>
      </c>
      <c r="AA145" s="42"/>
      <c r="AB145" s="42"/>
      <c r="AC145" s="42"/>
      <c r="AD145" s="42"/>
      <c r="AE145" s="42"/>
      <c r="AF145" s="42"/>
      <c r="AG145" s="42"/>
      <c r="AH145" s="42"/>
    </row>
    <row r="146" spans="15:34" ht="15.75" hidden="1" outlineLevel="1" x14ac:dyDescent="0.3">
      <c r="O146" s="17"/>
      <c r="P146" s="17"/>
      <c r="Q146" s="17" t="str">
        <f>'M1 Härtekammern'!P143</f>
        <v>Weiterer Zuschlagstoff 1</v>
      </c>
      <c r="R146" s="17"/>
      <c r="S146" s="37"/>
      <c r="T146" s="37"/>
      <c r="U146" s="37">
        <f>'M1 Härtekammern'!T143</f>
        <v>0</v>
      </c>
      <c r="V146" s="17"/>
      <c r="W146" s="17"/>
      <c r="X146" s="37">
        <f t="shared" ref="X146:X147" si="31">S146+T146</f>
        <v>0</v>
      </c>
      <c r="Y146" s="37">
        <f t="shared" ref="Y146:Y147" si="32">SUM(S146:U146)</f>
        <v>0</v>
      </c>
      <c r="Z146" s="17" t="s">
        <v>184</v>
      </c>
      <c r="AA146" s="42"/>
      <c r="AB146" s="42"/>
      <c r="AC146" s="42"/>
      <c r="AD146" s="42"/>
      <c r="AE146" s="42"/>
      <c r="AF146" s="42"/>
      <c r="AG146" s="42"/>
      <c r="AH146" s="42"/>
    </row>
    <row r="147" spans="15:34" ht="15.75" hidden="1" outlineLevel="1" x14ac:dyDescent="0.3">
      <c r="O147" s="17"/>
      <c r="P147" s="17"/>
      <c r="Q147" s="17" t="str">
        <f>'M1 Härtekammern'!P144</f>
        <v>Weiterer Zuschlagstoff 2</v>
      </c>
      <c r="R147" s="17"/>
      <c r="S147" s="37"/>
      <c r="T147" s="37"/>
      <c r="U147" s="37">
        <f>'M1 Härtekammern'!T144</f>
        <v>0</v>
      </c>
      <c r="V147" s="17"/>
      <c r="W147" s="17"/>
      <c r="X147" s="37">
        <f t="shared" si="31"/>
        <v>0</v>
      </c>
      <c r="Y147" s="37">
        <f t="shared" si="32"/>
        <v>0</v>
      </c>
      <c r="Z147" s="17" t="s">
        <v>184</v>
      </c>
      <c r="AA147" s="42"/>
      <c r="AB147" s="42"/>
      <c r="AC147" s="42"/>
      <c r="AD147" s="42"/>
      <c r="AE147" s="42"/>
      <c r="AF147" s="42"/>
      <c r="AG147" s="42"/>
      <c r="AH147" s="42"/>
    </row>
    <row r="148" spans="15:34" hidden="1" outlineLevel="1" x14ac:dyDescent="0.2">
      <c r="O148" s="17"/>
      <c r="P148" s="17"/>
      <c r="Q148" s="17"/>
      <c r="R148" s="17"/>
      <c r="S148" s="20"/>
      <c r="T148" s="20"/>
      <c r="U148" s="20"/>
      <c r="V148" s="17"/>
      <c r="W148" s="17"/>
      <c r="X148" s="17"/>
      <c r="Y148" s="20"/>
      <c r="Z148" s="20"/>
      <c r="AA148" s="42"/>
      <c r="AB148" s="42"/>
      <c r="AC148" s="42"/>
      <c r="AD148" s="42"/>
      <c r="AE148" s="42"/>
      <c r="AF148" s="42"/>
      <c r="AG148" s="42"/>
      <c r="AH148" s="42"/>
    </row>
    <row r="149" spans="15:34" ht="14.25" hidden="1" outlineLevel="1" x14ac:dyDescent="0.25">
      <c r="O149" s="17"/>
      <c r="P149" s="17"/>
      <c r="Q149" s="21" t="s">
        <v>55</v>
      </c>
      <c r="R149" s="21"/>
      <c r="S149" s="74"/>
      <c r="T149" s="74"/>
      <c r="U149" s="37">
        <f>'M1 Härtekammern'!T146</f>
        <v>208</v>
      </c>
      <c r="V149" s="21"/>
      <c r="W149" s="21"/>
      <c r="X149" s="74">
        <f>S149+T149</f>
        <v>0</v>
      </c>
      <c r="Y149" s="74">
        <f t="shared" ref="Y149" si="33">SUM(S149:U149)</f>
        <v>208</v>
      </c>
      <c r="Z149" s="21" t="s">
        <v>183</v>
      </c>
      <c r="AA149" s="42"/>
      <c r="AB149" s="42"/>
      <c r="AC149" s="42"/>
      <c r="AD149" s="42"/>
      <c r="AE149" s="42"/>
      <c r="AF149" s="42"/>
      <c r="AG149" s="42"/>
      <c r="AH149" s="42"/>
    </row>
    <row r="150" spans="15:34" hidden="1" outlineLevel="1" x14ac:dyDescent="0.2">
      <c r="O150" s="17"/>
      <c r="P150" s="17"/>
      <c r="Q150" s="17"/>
      <c r="R150" s="17"/>
      <c r="S150" s="20"/>
      <c r="T150" s="20"/>
      <c r="U150" s="20"/>
      <c r="V150" s="17"/>
      <c r="W150" s="17"/>
      <c r="X150" s="17"/>
      <c r="Y150" s="20"/>
      <c r="Z150" s="20"/>
      <c r="AA150" s="42"/>
      <c r="AB150" s="42"/>
      <c r="AC150" s="42"/>
      <c r="AD150" s="42"/>
      <c r="AE150" s="42"/>
      <c r="AF150" s="42"/>
      <c r="AG150" s="42"/>
      <c r="AH150" s="42"/>
    </row>
    <row r="151" spans="15:34" ht="14.25" hidden="1" outlineLevel="1" x14ac:dyDescent="0.25">
      <c r="O151" s="69"/>
      <c r="P151" s="69" t="s">
        <v>167</v>
      </c>
      <c r="Q151" s="70"/>
      <c r="R151" s="70"/>
      <c r="S151" s="71"/>
      <c r="T151" s="71"/>
      <c r="U151" s="71">
        <f>SUM(U152:U156)</f>
        <v>81.003999999999991</v>
      </c>
      <c r="V151" s="70"/>
      <c r="W151" s="70"/>
      <c r="X151" s="71">
        <f t="shared" ref="X151" si="34">S151+T151</f>
        <v>0</v>
      </c>
      <c r="Y151" s="71">
        <f t="shared" ref="Y151" si="35">SUM(S151:U151)</f>
        <v>81.003999999999991</v>
      </c>
      <c r="Z151" s="76" t="s">
        <v>183</v>
      </c>
      <c r="AA151" s="42"/>
      <c r="AB151" s="42"/>
      <c r="AC151" s="42"/>
      <c r="AD151" s="42"/>
      <c r="AE151" s="42"/>
      <c r="AF151" s="42"/>
      <c r="AG151" s="42"/>
      <c r="AH151" s="42"/>
    </row>
    <row r="152" spans="15:34" ht="15.75" hidden="1" outlineLevel="1" x14ac:dyDescent="0.3">
      <c r="O152" s="17"/>
      <c r="P152" s="17"/>
      <c r="Q152" s="17" t="s">
        <v>57</v>
      </c>
      <c r="R152" s="17"/>
      <c r="S152" s="37"/>
      <c r="T152" s="37"/>
      <c r="U152" s="37">
        <f>'M1 Härtekammern'!T149</f>
        <v>0</v>
      </c>
      <c r="V152" s="17"/>
      <c r="W152" s="17"/>
      <c r="X152" s="37">
        <f>S152+T152</f>
        <v>0</v>
      </c>
      <c r="Y152" s="37">
        <f>SUM(S152:U152)</f>
        <v>0</v>
      </c>
      <c r="Z152" s="17" t="s">
        <v>184</v>
      </c>
      <c r="AA152" s="42"/>
      <c r="AB152" s="42"/>
      <c r="AC152" s="42"/>
      <c r="AD152" s="42"/>
      <c r="AE152" s="42"/>
      <c r="AF152" s="42"/>
      <c r="AG152" s="42"/>
      <c r="AH152" s="42"/>
    </row>
    <row r="153" spans="15:34" ht="15.75" hidden="1" outlineLevel="1" x14ac:dyDescent="0.3">
      <c r="O153" s="17"/>
      <c r="P153" s="17"/>
      <c r="Q153" s="17" t="s">
        <v>58</v>
      </c>
      <c r="R153" s="17"/>
      <c r="S153" s="37"/>
      <c r="T153" s="37"/>
      <c r="U153" s="37">
        <f>'M1 Härtekammern'!T150</f>
        <v>8.6840000000000011</v>
      </c>
      <c r="V153" s="17"/>
      <c r="W153" s="17"/>
      <c r="X153" s="37">
        <f>S153+T153</f>
        <v>0</v>
      </c>
      <c r="Y153" s="37">
        <f>SUM(S153:U153)</f>
        <v>8.6840000000000011</v>
      </c>
      <c r="Z153" s="17" t="s">
        <v>184</v>
      </c>
      <c r="AA153" s="42"/>
      <c r="AB153" s="42"/>
      <c r="AC153" s="42"/>
      <c r="AD153" s="42"/>
      <c r="AE153" s="42"/>
      <c r="AF153" s="42"/>
      <c r="AG153" s="42"/>
      <c r="AH153" s="42"/>
    </row>
    <row r="154" spans="15:34" ht="15.75" hidden="1" outlineLevel="1" x14ac:dyDescent="0.3">
      <c r="O154" s="17"/>
      <c r="P154" s="17"/>
      <c r="Q154" s="17" t="s">
        <v>59</v>
      </c>
      <c r="R154" s="17"/>
      <c r="S154" s="37"/>
      <c r="T154" s="37"/>
      <c r="U154" s="37">
        <f>'M1 Härtekammern'!T151</f>
        <v>72.319999999999993</v>
      </c>
      <c r="V154" s="17"/>
      <c r="W154" s="17"/>
      <c r="X154" s="37">
        <f>S154+T154</f>
        <v>0</v>
      </c>
      <c r="Y154" s="37">
        <f>SUM(S154:U154)</f>
        <v>72.319999999999993</v>
      </c>
      <c r="Z154" s="17" t="s">
        <v>184</v>
      </c>
      <c r="AA154" s="42"/>
      <c r="AB154" s="42"/>
      <c r="AC154" s="42"/>
      <c r="AD154" s="42"/>
      <c r="AE154" s="42"/>
      <c r="AF154" s="42"/>
      <c r="AG154" s="42"/>
      <c r="AH154" s="42"/>
    </row>
    <row r="155" spans="15:34" ht="15.75" hidden="1" outlineLevel="1" x14ac:dyDescent="0.3">
      <c r="O155" s="17"/>
      <c r="P155" s="17"/>
      <c r="Q155" s="17" t="str">
        <f>'M1 Härtekammern'!P152</f>
        <v>Weiterer Zusatzstoff 1</v>
      </c>
      <c r="R155" s="17"/>
      <c r="S155" s="37"/>
      <c r="T155" s="37"/>
      <c r="U155" s="37">
        <f>'M1 Härtekammern'!T152</f>
        <v>0</v>
      </c>
      <c r="V155" s="17"/>
      <c r="W155" s="17"/>
      <c r="X155" s="37">
        <f>S155+T155</f>
        <v>0</v>
      </c>
      <c r="Y155" s="37">
        <f>SUM(S155:U155)</f>
        <v>0</v>
      </c>
      <c r="Z155" s="17" t="s">
        <v>184</v>
      </c>
      <c r="AA155" s="42"/>
      <c r="AB155" s="42"/>
      <c r="AC155" s="42"/>
      <c r="AD155" s="42"/>
      <c r="AE155" s="42"/>
      <c r="AF155" s="42"/>
      <c r="AG155" s="42"/>
      <c r="AH155" s="42"/>
    </row>
    <row r="156" spans="15:34" ht="15.75" hidden="1" outlineLevel="1" x14ac:dyDescent="0.3">
      <c r="O156" s="17"/>
      <c r="P156" s="17"/>
      <c r="Q156" s="17" t="str">
        <f>'M1 Härtekammern'!P153</f>
        <v>Weiterer Zusatzstoff 2</v>
      </c>
      <c r="R156" s="17"/>
      <c r="S156" s="37"/>
      <c r="T156" s="37"/>
      <c r="U156" s="37">
        <f>'M1 Härtekammern'!T153</f>
        <v>0</v>
      </c>
      <c r="V156" s="17"/>
      <c r="W156" s="17"/>
      <c r="X156" s="37">
        <f>S156+T156</f>
        <v>0</v>
      </c>
      <c r="Y156" s="37">
        <f>SUM(S156:U156)</f>
        <v>0</v>
      </c>
      <c r="Z156" s="17" t="s">
        <v>184</v>
      </c>
      <c r="AA156" s="42"/>
      <c r="AB156" s="42"/>
      <c r="AC156" s="42"/>
      <c r="AD156" s="42"/>
      <c r="AE156" s="42"/>
      <c r="AF156" s="42"/>
      <c r="AG156" s="42"/>
      <c r="AH156" s="42"/>
    </row>
    <row r="157" spans="15:34" hidden="1" outlineLevel="1" x14ac:dyDescent="0.2">
      <c r="O157" s="17"/>
      <c r="P157" s="17"/>
      <c r="Q157" s="17"/>
      <c r="R157" s="17"/>
      <c r="S157" s="20"/>
      <c r="T157" s="20"/>
      <c r="U157" s="20"/>
      <c r="V157" s="17"/>
      <c r="W157" s="17"/>
      <c r="X157" s="17"/>
      <c r="Y157" s="20"/>
      <c r="Z157" s="20"/>
      <c r="AA157" s="42"/>
      <c r="AB157" s="42"/>
      <c r="AC157" s="42"/>
      <c r="AD157" s="42"/>
      <c r="AE157" s="42"/>
      <c r="AF157" s="42"/>
      <c r="AG157" s="42"/>
      <c r="AH157" s="42"/>
    </row>
    <row r="158" spans="15:34" ht="14.25" hidden="1" outlineLevel="1" x14ac:dyDescent="0.25">
      <c r="O158" s="69"/>
      <c r="P158" s="69" t="s">
        <v>49</v>
      </c>
      <c r="Q158" s="70"/>
      <c r="R158" s="70"/>
      <c r="S158" s="71"/>
      <c r="T158" s="71"/>
      <c r="U158" s="71">
        <f>SUM(U159:U162)</f>
        <v>148.44746134951595</v>
      </c>
      <c r="V158" s="70"/>
      <c r="W158" s="70"/>
      <c r="X158" s="71">
        <f t="shared" ref="X158:X162" si="36">S158+T158</f>
        <v>0</v>
      </c>
      <c r="Y158" s="71">
        <f t="shared" ref="Y158" si="37">SUM(S158:U158)</f>
        <v>148.44746134951595</v>
      </c>
      <c r="Z158" s="76" t="s">
        <v>183</v>
      </c>
      <c r="AA158" s="42"/>
      <c r="AB158" s="42"/>
      <c r="AC158" s="42"/>
      <c r="AD158" s="42"/>
      <c r="AE158" s="42"/>
      <c r="AF158" s="42"/>
      <c r="AG158" s="42"/>
      <c r="AH158" s="42"/>
    </row>
    <row r="159" spans="15:34" ht="15.75" hidden="1" outlineLevel="1" x14ac:dyDescent="0.3">
      <c r="O159" s="17"/>
      <c r="P159" s="17"/>
      <c r="Q159" s="17" t="s">
        <v>50</v>
      </c>
      <c r="R159" s="17"/>
      <c r="S159" s="37"/>
      <c r="T159" s="37"/>
      <c r="U159" s="37">
        <f>'M1 Härtekammern'!T156</f>
        <v>47.997919375812742</v>
      </c>
      <c r="V159" s="17"/>
      <c r="W159" s="17"/>
      <c r="X159" s="37">
        <f t="shared" si="36"/>
        <v>0</v>
      </c>
      <c r="Y159" s="37">
        <f t="shared" ref="Y159:Y162" si="38">SUM(S159:U159)</f>
        <v>47.997919375812742</v>
      </c>
      <c r="Z159" s="17" t="s">
        <v>184</v>
      </c>
      <c r="AA159" s="42"/>
      <c r="AB159" s="42"/>
      <c r="AC159" s="42"/>
      <c r="AD159" s="42"/>
      <c r="AE159" s="42"/>
      <c r="AF159" s="42"/>
      <c r="AG159" s="42"/>
      <c r="AH159" s="42"/>
    </row>
    <row r="160" spans="15:34" ht="15.75" hidden="1" outlineLevel="1" x14ac:dyDescent="0.3">
      <c r="O160" s="17"/>
      <c r="P160" s="17"/>
      <c r="Q160" s="17" t="s">
        <v>52</v>
      </c>
      <c r="R160" s="17"/>
      <c r="S160" s="37"/>
      <c r="T160" s="37"/>
      <c r="U160" s="37">
        <f>'M1 Härtekammern'!T157</f>
        <v>5.7797543707556596</v>
      </c>
      <c r="V160" s="17"/>
      <c r="W160" s="17"/>
      <c r="X160" s="37">
        <f t="shared" si="36"/>
        <v>0</v>
      </c>
      <c r="Y160" s="37">
        <f t="shared" si="38"/>
        <v>5.7797543707556596</v>
      </c>
      <c r="Z160" s="17" t="s">
        <v>184</v>
      </c>
      <c r="AA160" s="42"/>
      <c r="AB160" s="42"/>
      <c r="AC160" s="42"/>
      <c r="AD160" s="42"/>
      <c r="AE160" s="42"/>
      <c r="AF160" s="42"/>
      <c r="AG160" s="42"/>
      <c r="AH160" s="42"/>
    </row>
    <row r="161" spans="15:43" s="72" customFormat="1" ht="15.75" hidden="1" outlineLevel="1" x14ac:dyDescent="0.3">
      <c r="O161" s="17"/>
      <c r="P161" s="17"/>
      <c r="Q161" s="17" t="s">
        <v>53</v>
      </c>
      <c r="R161" s="17"/>
      <c r="S161" s="37"/>
      <c r="T161" s="37"/>
      <c r="U161" s="37">
        <f>'M1 Härtekammern'!T158</f>
        <v>1.4217598612917211E-2</v>
      </c>
      <c r="V161" s="17"/>
      <c r="W161" s="17"/>
      <c r="X161" s="37">
        <f t="shared" si="36"/>
        <v>0</v>
      </c>
      <c r="Y161" s="37">
        <f t="shared" si="38"/>
        <v>1.4217598612917211E-2</v>
      </c>
      <c r="Z161" s="17" t="s">
        <v>184</v>
      </c>
      <c r="AA161" s="42"/>
      <c r="AB161" s="42"/>
      <c r="AC161" s="42"/>
      <c r="AD161" s="42"/>
      <c r="AE161" s="42"/>
      <c r="AF161" s="42"/>
      <c r="AG161" s="42"/>
      <c r="AH161" s="42"/>
      <c r="AI161" s="6"/>
      <c r="AJ161" s="6"/>
      <c r="AK161" s="6"/>
      <c r="AL161" s="6"/>
      <c r="AM161" s="6"/>
      <c r="AN161" s="6"/>
      <c r="AO161" s="6"/>
      <c r="AP161" s="6"/>
      <c r="AQ161" s="6"/>
    </row>
    <row r="162" spans="15:43" ht="15.75" hidden="1" outlineLevel="1" x14ac:dyDescent="0.3">
      <c r="O162" s="17"/>
      <c r="P162" s="17"/>
      <c r="Q162" s="17" t="s">
        <v>54</v>
      </c>
      <c r="R162" s="17"/>
      <c r="S162" s="37"/>
      <c r="T162" s="37"/>
      <c r="U162" s="37">
        <f>'M1 Härtekammern'!T159</f>
        <v>94.655570004334635</v>
      </c>
      <c r="V162" s="17"/>
      <c r="W162" s="17"/>
      <c r="X162" s="37">
        <f t="shared" si="36"/>
        <v>0</v>
      </c>
      <c r="Y162" s="37">
        <f t="shared" si="38"/>
        <v>94.655570004334635</v>
      </c>
      <c r="Z162" s="17" t="s">
        <v>184</v>
      </c>
      <c r="AA162" s="42"/>
      <c r="AB162" s="42"/>
      <c r="AC162" s="42"/>
      <c r="AD162" s="42"/>
      <c r="AE162" s="42"/>
      <c r="AF162" s="42"/>
      <c r="AG162" s="42"/>
      <c r="AH162" s="42"/>
    </row>
    <row r="163" spans="15:43" hidden="1" outlineLevel="1" x14ac:dyDescent="0.2">
      <c r="O163" s="17"/>
      <c r="P163" s="17"/>
      <c r="Q163" s="17"/>
      <c r="R163" s="17"/>
      <c r="S163" s="20"/>
      <c r="T163" s="20"/>
      <c r="U163" s="20"/>
      <c r="V163" s="17"/>
      <c r="W163" s="17"/>
      <c r="X163" s="20"/>
      <c r="Y163" s="20"/>
      <c r="Z163" s="17"/>
      <c r="AA163" s="42"/>
      <c r="AB163" s="42"/>
      <c r="AC163" s="42"/>
      <c r="AD163" s="42"/>
      <c r="AE163" s="42"/>
      <c r="AF163" s="42"/>
      <c r="AG163" s="42"/>
      <c r="AH163" s="42"/>
    </row>
    <row r="164" spans="15:43" ht="14.25" hidden="1" outlineLevel="1" x14ac:dyDescent="0.25">
      <c r="O164" s="17"/>
      <c r="P164" s="17"/>
      <c r="Q164" s="21" t="s">
        <v>99</v>
      </c>
      <c r="R164" s="21"/>
      <c r="S164" s="74"/>
      <c r="T164" s="74"/>
      <c r="U164" s="37">
        <f>'M1 Härtekammern'!T161</f>
        <v>0</v>
      </c>
      <c r="V164" s="21"/>
      <c r="W164" s="21"/>
      <c r="X164" s="74">
        <f>S164+T164</f>
        <v>0</v>
      </c>
      <c r="Y164" s="74">
        <f>SUM(S164:U164)</f>
        <v>0</v>
      </c>
      <c r="Z164" s="21" t="s">
        <v>183</v>
      </c>
      <c r="AA164" s="42"/>
      <c r="AB164" s="42"/>
      <c r="AC164" s="42"/>
      <c r="AD164" s="42"/>
      <c r="AE164" s="42"/>
      <c r="AF164" s="42"/>
      <c r="AG164" s="42"/>
      <c r="AH164" s="42"/>
    </row>
    <row r="165" spans="15:43" ht="14.25" hidden="1" outlineLevel="1" x14ac:dyDescent="0.25">
      <c r="O165" s="17"/>
      <c r="P165" s="17"/>
      <c r="Q165" s="21" t="s">
        <v>62</v>
      </c>
      <c r="R165" s="21"/>
      <c r="S165" s="74"/>
      <c r="T165" s="74"/>
      <c r="U165" s="37">
        <f>'M1 Härtekammern'!T162</f>
        <v>0.54400000000000004</v>
      </c>
      <c r="V165" s="21"/>
      <c r="W165" s="21"/>
      <c r="X165" s="74">
        <f>S165+T165</f>
        <v>0</v>
      </c>
      <c r="Y165" s="74">
        <f>SUM(S165:U165)</f>
        <v>0.54400000000000004</v>
      </c>
      <c r="Z165" s="21" t="s">
        <v>183</v>
      </c>
      <c r="AA165" s="42"/>
      <c r="AB165" s="42"/>
      <c r="AC165" s="42"/>
      <c r="AD165" s="42"/>
      <c r="AE165" s="42"/>
      <c r="AF165" s="42"/>
      <c r="AG165" s="42"/>
      <c r="AH165" s="42"/>
    </row>
    <row r="166" spans="15:43" hidden="1" outlineLevel="1" x14ac:dyDescent="0.2">
      <c r="O166" s="17"/>
      <c r="P166" s="17"/>
      <c r="Q166" s="17"/>
      <c r="R166" s="17"/>
      <c r="S166" s="20"/>
      <c r="T166" s="20"/>
      <c r="U166" s="20"/>
      <c r="V166" s="17"/>
      <c r="W166" s="17"/>
      <c r="X166" s="20"/>
      <c r="Y166" s="20"/>
      <c r="Z166" s="17"/>
      <c r="AA166" s="42"/>
      <c r="AB166" s="42"/>
      <c r="AC166" s="42"/>
      <c r="AD166" s="42"/>
      <c r="AE166" s="42"/>
      <c r="AF166" s="42"/>
      <c r="AG166" s="42"/>
      <c r="AH166" s="42"/>
    </row>
    <row r="167" spans="15:43" ht="14.25" hidden="1" outlineLevel="1" x14ac:dyDescent="0.25">
      <c r="O167" s="69"/>
      <c r="P167" s="69" t="s">
        <v>168</v>
      </c>
      <c r="Q167" s="70"/>
      <c r="R167" s="70"/>
      <c r="S167" s="71"/>
      <c r="T167" s="71"/>
      <c r="U167" s="71">
        <f>SUM(U168:U170)</f>
        <v>0.16095999999999999</v>
      </c>
      <c r="V167" s="70"/>
      <c r="W167" s="70"/>
      <c r="X167" s="71">
        <f t="shared" ref="X167:X170" si="39">S167+T167</f>
        <v>0</v>
      </c>
      <c r="Y167" s="71">
        <f t="shared" ref="Y167" si="40">SUM(S167:U167)</f>
        <v>0.16095999999999999</v>
      </c>
      <c r="Z167" s="76" t="s">
        <v>183</v>
      </c>
      <c r="AA167" s="42"/>
      <c r="AB167" s="42"/>
      <c r="AC167" s="42"/>
      <c r="AD167" s="42"/>
      <c r="AE167" s="42"/>
      <c r="AF167" s="42"/>
      <c r="AG167" s="42"/>
      <c r="AH167" s="42"/>
    </row>
    <row r="168" spans="15:43" ht="15.75" hidden="1" outlineLevel="1" x14ac:dyDescent="0.3">
      <c r="O168" s="17"/>
      <c r="P168" s="17"/>
      <c r="Q168" s="17" t="s">
        <v>169</v>
      </c>
      <c r="R168" s="17"/>
      <c r="S168" s="37"/>
      <c r="T168" s="37"/>
      <c r="U168" s="37">
        <f>'M1 Härtekammern'!T165</f>
        <v>0</v>
      </c>
      <c r="V168" s="17"/>
      <c r="W168" s="17"/>
      <c r="X168" s="37">
        <f t="shared" si="39"/>
        <v>0</v>
      </c>
      <c r="Y168" s="37">
        <f t="shared" ref="Y168:Y170" si="41">SUM(S168:U168)</f>
        <v>0</v>
      </c>
      <c r="Z168" s="17" t="s">
        <v>184</v>
      </c>
      <c r="AA168" s="42"/>
      <c r="AB168" s="42"/>
      <c r="AC168" s="42"/>
      <c r="AD168" s="42"/>
      <c r="AE168" s="42"/>
      <c r="AF168" s="42"/>
      <c r="AG168" s="42"/>
      <c r="AH168" s="42"/>
    </row>
    <row r="169" spans="15:43" ht="15.75" hidden="1" outlineLevel="1" x14ac:dyDescent="0.3">
      <c r="O169" s="17"/>
      <c r="P169" s="17"/>
      <c r="Q169" s="17" t="s">
        <v>60</v>
      </c>
      <c r="R169" s="17"/>
      <c r="S169" s="37"/>
      <c r="T169" s="37"/>
      <c r="U169" s="37">
        <f>'M1 Härtekammern'!T166</f>
        <v>0.16095999999999999</v>
      </c>
      <c r="V169" s="17"/>
      <c r="W169" s="17"/>
      <c r="X169" s="37">
        <f t="shared" si="39"/>
        <v>0</v>
      </c>
      <c r="Y169" s="37">
        <f t="shared" si="41"/>
        <v>0.16095999999999999</v>
      </c>
      <c r="Z169" s="17" t="s">
        <v>184</v>
      </c>
      <c r="AA169" s="42"/>
      <c r="AB169" s="42"/>
      <c r="AC169" s="42"/>
      <c r="AD169" s="42"/>
      <c r="AE169" s="42"/>
      <c r="AF169" s="42"/>
      <c r="AG169" s="42"/>
      <c r="AH169" s="42"/>
    </row>
    <row r="170" spans="15:43" ht="15.75" hidden="1" outlineLevel="1" x14ac:dyDescent="0.3">
      <c r="O170" s="17"/>
      <c r="P170" s="17"/>
      <c r="Q170" s="17" t="s">
        <v>170</v>
      </c>
      <c r="R170" s="17"/>
      <c r="S170" s="37"/>
      <c r="T170" s="37"/>
      <c r="U170" s="37">
        <f>'M1 Härtekammern'!T167</f>
        <v>0</v>
      </c>
      <c r="V170" s="17"/>
      <c r="W170" s="17"/>
      <c r="X170" s="37">
        <f t="shared" si="39"/>
        <v>0</v>
      </c>
      <c r="Y170" s="37">
        <f t="shared" si="41"/>
        <v>0</v>
      </c>
      <c r="Z170" s="17" t="s">
        <v>184</v>
      </c>
      <c r="AA170" s="42"/>
      <c r="AB170" s="42"/>
      <c r="AC170" s="42"/>
      <c r="AD170" s="42"/>
      <c r="AE170" s="42"/>
      <c r="AF170" s="42"/>
      <c r="AG170" s="42"/>
      <c r="AH170" s="42"/>
    </row>
    <row r="171" spans="15:43" hidden="1" outlineLevel="1" x14ac:dyDescent="0.2">
      <c r="O171" s="17"/>
      <c r="P171" s="17"/>
      <c r="Q171" s="17"/>
      <c r="R171" s="17"/>
      <c r="S171" s="20"/>
      <c r="T171" s="20"/>
      <c r="U171" s="20"/>
      <c r="V171" s="17"/>
      <c r="W171" s="17"/>
      <c r="X171" s="17"/>
      <c r="Y171" s="17"/>
      <c r="Z171" s="20"/>
      <c r="AA171" s="42"/>
      <c r="AB171" s="42"/>
      <c r="AC171" s="42"/>
      <c r="AD171" s="42"/>
      <c r="AE171" s="42"/>
      <c r="AF171" s="42"/>
      <c r="AG171" s="42"/>
      <c r="AH171" s="42"/>
    </row>
    <row r="172" spans="15:43" ht="14.25" hidden="1" outlineLevel="1" x14ac:dyDescent="0.25">
      <c r="O172" s="69"/>
      <c r="P172" s="69" t="s">
        <v>171</v>
      </c>
      <c r="Q172" s="70"/>
      <c r="R172" s="70"/>
      <c r="S172" s="71"/>
      <c r="T172" s="71"/>
      <c r="U172" s="71">
        <f>SUM(U173:U175)</f>
        <v>60</v>
      </c>
      <c r="V172" s="70"/>
      <c r="W172" s="70"/>
      <c r="X172" s="71">
        <f>S172+T172</f>
        <v>0</v>
      </c>
      <c r="Y172" s="71">
        <f t="shared" ref="Y172" si="42">SUM(S172:U172)</f>
        <v>60</v>
      </c>
      <c r="Z172" s="76" t="s">
        <v>183</v>
      </c>
      <c r="AA172" s="42"/>
      <c r="AB172" s="42"/>
      <c r="AC172" s="42"/>
      <c r="AD172" s="42"/>
      <c r="AE172" s="42"/>
      <c r="AF172" s="42"/>
      <c r="AG172" s="42"/>
      <c r="AH172" s="42"/>
    </row>
    <row r="173" spans="15:43" ht="15.75" hidden="1" outlineLevel="1" x14ac:dyDescent="0.3">
      <c r="O173" s="17"/>
      <c r="P173" s="17"/>
      <c r="Q173" s="17" t="s">
        <v>64</v>
      </c>
      <c r="R173" s="17"/>
      <c r="S173" s="37"/>
      <c r="T173" s="37"/>
      <c r="U173" s="37">
        <f>'M1 Härtekammern'!T170</f>
        <v>60</v>
      </c>
      <c r="V173" s="17"/>
      <c r="W173" s="17"/>
      <c r="X173" s="37">
        <f>S173+T173</f>
        <v>0</v>
      </c>
      <c r="Y173" s="37">
        <f>SUM(S173:U173)</f>
        <v>60</v>
      </c>
      <c r="Z173" s="17" t="s">
        <v>184</v>
      </c>
      <c r="AA173" s="42"/>
      <c r="AB173" s="42"/>
      <c r="AC173" s="42"/>
      <c r="AD173" s="42"/>
      <c r="AE173" s="42"/>
      <c r="AF173" s="42"/>
      <c r="AG173" s="42"/>
      <c r="AH173" s="42"/>
    </row>
    <row r="174" spans="15:43" ht="15.75" hidden="1" outlineLevel="1" x14ac:dyDescent="0.3">
      <c r="O174" s="17"/>
      <c r="P174" s="17"/>
      <c r="Q174" s="17" t="s">
        <v>173</v>
      </c>
      <c r="R174" s="17"/>
      <c r="S174" s="37"/>
      <c r="T174" s="37"/>
      <c r="U174" s="37">
        <f>'M1 Härtekammern'!T171</f>
        <v>0</v>
      </c>
      <c r="V174" s="17"/>
      <c r="W174" s="17"/>
      <c r="X174" s="37">
        <f t="shared" ref="X174:X175" si="43">S174+T174</f>
        <v>0</v>
      </c>
      <c r="Y174" s="37">
        <f t="shared" ref="Y174:Y175" si="44">SUM(S174:U174)</f>
        <v>0</v>
      </c>
      <c r="Z174" s="17" t="s">
        <v>184</v>
      </c>
      <c r="AA174" s="42"/>
      <c r="AB174" s="42"/>
      <c r="AC174" s="42"/>
      <c r="AD174" s="42"/>
      <c r="AE174" s="42"/>
      <c r="AF174" s="42"/>
      <c r="AG174" s="42"/>
      <c r="AH174" s="42"/>
    </row>
    <row r="175" spans="15:43" ht="15.75" hidden="1" outlineLevel="1" x14ac:dyDescent="0.3">
      <c r="O175" s="17"/>
      <c r="P175" s="17"/>
      <c r="Q175" s="17" t="s">
        <v>172</v>
      </c>
      <c r="R175" s="17"/>
      <c r="S175" s="37"/>
      <c r="T175" s="37"/>
      <c r="U175" s="37">
        <f>'M1 Härtekammern'!T172</f>
        <v>0</v>
      </c>
      <c r="V175" s="17"/>
      <c r="W175" s="17"/>
      <c r="X175" s="37">
        <f t="shared" si="43"/>
        <v>0</v>
      </c>
      <c r="Y175" s="37">
        <f t="shared" si="44"/>
        <v>0</v>
      </c>
      <c r="Z175" s="17" t="s">
        <v>184</v>
      </c>
      <c r="AA175" s="42"/>
      <c r="AB175" s="42"/>
      <c r="AC175" s="42"/>
      <c r="AD175" s="42"/>
      <c r="AE175" s="42"/>
      <c r="AF175" s="42"/>
      <c r="AG175" s="42"/>
      <c r="AH175" s="42"/>
    </row>
    <row r="176" spans="15:43" hidden="1" outlineLevel="1" x14ac:dyDescent="0.2">
      <c r="O176" s="17"/>
      <c r="P176" s="17"/>
      <c r="Q176" s="17"/>
      <c r="R176" s="17"/>
      <c r="S176" s="20"/>
      <c r="T176" s="20"/>
      <c r="U176" s="20"/>
      <c r="V176" s="17"/>
      <c r="W176" s="17"/>
      <c r="X176" s="17"/>
      <c r="Y176" s="17"/>
      <c r="Z176" s="20"/>
      <c r="AA176" s="42"/>
      <c r="AB176" s="42"/>
      <c r="AC176" s="42"/>
      <c r="AD176" s="42"/>
      <c r="AE176" s="42"/>
      <c r="AF176" s="42"/>
      <c r="AG176" s="42"/>
      <c r="AH176" s="42"/>
    </row>
    <row r="177" spans="15:35" ht="14.25" hidden="1" outlineLevel="1" x14ac:dyDescent="0.25">
      <c r="O177" s="17"/>
      <c r="P177" s="17"/>
      <c r="Q177" s="21" t="s">
        <v>61</v>
      </c>
      <c r="R177" s="21"/>
      <c r="S177" s="74"/>
      <c r="T177" s="74"/>
      <c r="U177" s="37">
        <f>'M1 Härtekammern'!T174</f>
        <v>64.48</v>
      </c>
      <c r="V177" s="21"/>
      <c r="W177" s="21"/>
      <c r="X177" s="74">
        <f t="shared" ref="X177" si="45">S177+T177</f>
        <v>0</v>
      </c>
      <c r="Y177" s="74">
        <f t="shared" ref="Y177" si="46">SUM(S177:U177)</f>
        <v>64.48</v>
      </c>
      <c r="Z177" s="21" t="s">
        <v>183</v>
      </c>
    </row>
    <row r="178" spans="15:35" hidden="1" outlineLevel="1" x14ac:dyDescent="0.2">
      <c r="O178" s="17"/>
      <c r="P178" s="17"/>
      <c r="Q178" s="17"/>
      <c r="R178" s="17"/>
      <c r="S178" s="20"/>
      <c r="T178" s="20"/>
      <c r="U178" s="20"/>
      <c r="V178" s="17"/>
      <c r="W178" s="17"/>
      <c r="X178" s="17"/>
      <c r="Y178" s="17"/>
      <c r="Z178" s="20"/>
    </row>
    <row r="179" spans="15:35" ht="16.5" hidden="1" outlineLevel="1" thickBot="1" x14ac:dyDescent="0.3">
      <c r="O179" s="17"/>
      <c r="P179" s="17"/>
      <c r="Q179" s="67" t="s">
        <v>67</v>
      </c>
      <c r="R179" s="67"/>
      <c r="S179" s="68">
        <f>SUM(S118:S177)-S132-S136-S142-S151-S158-S167-S172</f>
        <v>94.932355060000006</v>
      </c>
      <c r="T179" s="68">
        <f>SUM(T118:T177)-T132-T136-T142-T151-T158-T167-T172</f>
        <v>97.138569957888194</v>
      </c>
      <c r="U179" s="68">
        <f>SUM(U118:U177)-U132-U136-U142-U151-U158-U167-U172</f>
        <v>5745.822192018004</v>
      </c>
      <c r="V179" s="21"/>
      <c r="W179" s="21"/>
      <c r="X179" s="68">
        <f>SUM(X118:X177)-X132-X136-X142-X151-X158-X167-X172</f>
        <v>192.07092501788819</v>
      </c>
      <c r="Y179" s="68">
        <f>SUM(Y118:Y177)-Y132-Y136-Y142-Y151-Y158-Y167-Y172</f>
        <v>5937.8931170358937</v>
      </c>
      <c r="Z179" s="68" t="s">
        <v>183</v>
      </c>
      <c r="AB179" s="22" t="s">
        <v>106</v>
      </c>
      <c r="AC179" s="17"/>
      <c r="AD179" s="17"/>
      <c r="AE179" s="17"/>
      <c r="AF179" s="17"/>
      <c r="AG179" s="17"/>
      <c r="AH179" s="17"/>
      <c r="AI179" s="17"/>
    </row>
    <row r="180" spans="15:35" ht="15.75" hidden="1" outlineLevel="1" thickTop="1" x14ac:dyDescent="0.25">
      <c r="O180" s="17"/>
      <c r="P180" s="17"/>
      <c r="Q180" s="17"/>
      <c r="R180" s="17"/>
      <c r="S180" s="20"/>
      <c r="T180" s="20"/>
      <c r="U180" s="20"/>
      <c r="V180" s="17"/>
      <c r="W180" s="17"/>
      <c r="X180" s="17"/>
      <c r="Y180" s="17"/>
      <c r="Z180" s="20"/>
      <c r="AB180" s="64">
        <f>P184</f>
        <v>10</v>
      </c>
      <c r="AC180" s="17"/>
      <c r="AD180" s="17"/>
      <c r="AE180" s="17"/>
      <c r="AF180" s="17"/>
      <c r="AG180" s="17"/>
      <c r="AH180" s="17"/>
      <c r="AI180" s="17"/>
    </row>
    <row r="181" spans="15:35" hidden="1" outlineLevel="1" x14ac:dyDescent="0.2">
      <c r="AB181" s="17"/>
      <c r="AC181" s="17"/>
      <c r="AD181" s="17"/>
      <c r="AE181" s="17"/>
      <c r="AF181" s="17"/>
      <c r="AG181" s="17"/>
      <c r="AH181" s="17"/>
      <c r="AI181" s="17"/>
    </row>
    <row r="182" spans="15:35" hidden="1" outlineLevel="1" x14ac:dyDescent="0.2">
      <c r="AB182" s="17"/>
      <c r="AC182" s="17"/>
      <c r="AD182" s="17"/>
      <c r="AE182" s="17"/>
      <c r="AF182" s="17"/>
      <c r="AG182" s="17"/>
      <c r="AH182" s="17"/>
      <c r="AI182" s="17"/>
    </row>
    <row r="183" spans="15:35" ht="15.75" hidden="1" outlineLevel="1" x14ac:dyDescent="0.25">
      <c r="O183" s="22"/>
      <c r="P183" s="22" t="s">
        <v>103</v>
      </c>
      <c r="Q183" s="17"/>
      <c r="R183" s="17"/>
      <c r="S183" s="17"/>
      <c r="T183" s="17"/>
      <c r="U183" s="17"/>
      <c r="V183" s="17"/>
      <c r="W183" s="17"/>
      <c r="X183" s="17"/>
      <c r="Y183" s="17"/>
      <c r="Z183" s="17"/>
      <c r="AB183" s="17"/>
      <c r="AC183" s="17"/>
      <c r="AD183" s="17"/>
      <c r="AE183" s="17"/>
      <c r="AF183" s="17"/>
      <c r="AG183" s="17"/>
      <c r="AH183" s="17"/>
      <c r="AI183" s="17"/>
    </row>
    <row r="184" spans="15:35" ht="15" hidden="1" outlineLevel="1" x14ac:dyDescent="0.25">
      <c r="O184" s="64"/>
      <c r="P184" s="64">
        <f>T80</f>
        <v>10</v>
      </c>
      <c r="Q184" s="25"/>
      <c r="R184" s="25"/>
      <c r="S184" s="25"/>
      <c r="T184" s="25"/>
      <c r="U184" s="25"/>
      <c r="V184" s="25"/>
      <c r="W184" s="25"/>
      <c r="X184" s="25"/>
      <c r="Y184" s="25"/>
      <c r="Z184" s="25"/>
      <c r="AB184" s="17"/>
      <c r="AC184" s="17"/>
      <c r="AD184" s="17"/>
      <c r="AE184" s="17"/>
      <c r="AF184" s="17"/>
      <c r="AG184" s="17"/>
      <c r="AH184" s="17"/>
      <c r="AI184" s="17"/>
    </row>
    <row r="185" spans="15:35" hidden="1" outlineLevel="1" x14ac:dyDescent="0.2">
      <c r="O185" s="17"/>
      <c r="P185" s="17"/>
      <c r="Q185" s="17"/>
      <c r="R185" s="17" t="s">
        <v>37</v>
      </c>
      <c r="S185" s="17" t="s">
        <v>126</v>
      </c>
      <c r="T185" s="17" t="s">
        <v>227</v>
      </c>
      <c r="U185" s="17"/>
      <c r="V185" s="17"/>
      <c r="W185" s="17"/>
      <c r="X185" s="17"/>
      <c r="Y185" s="17"/>
      <c r="Z185" s="17"/>
      <c r="AB185" s="17"/>
      <c r="AC185" s="17"/>
      <c r="AD185" s="17"/>
      <c r="AE185" s="17"/>
      <c r="AF185" s="17"/>
      <c r="AG185" s="17"/>
      <c r="AH185" s="17"/>
      <c r="AI185" s="17"/>
    </row>
    <row r="186" spans="15:35" hidden="1" outlineLevel="1" x14ac:dyDescent="0.2">
      <c r="O186" s="17"/>
      <c r="P186" s="17"/>
      <c r="Q186" s="17" t="s">
        <v>226</v>
      </c>
      <c r="R186" s="283">
        <f>IF(NOT(ISBLANK($K$16)),$K$16,$I$16)</f>
        <v>100000</v>
      </c>
      <c r="S186" s="25"/>
      <c r="T186" s="25"/>
      <c r="U186" s="17" t="s">
        <v>40</v>
      </c>
      <c r="V186" s="17"/>
      <c r="W186" s="17"/>
      <c r="X186" s="17"/>
      <c r="Y186" s="17"/>
      <c r="Z186" s="17"/>
      <c r="AB186" s="17"/>
      <c r="AC186" s="17"/>
      <c r="AD186" s="17"/>
      <c r="AE186" s="17"/>
      <c r="AF186" s="18"/>
      <c r="AG186" s="17"/>
      <c r="AH186" s="18"/>
      <c r="AI186" s="18"/>
    </row>
    <row r="187" spans="15:35" hidden="1" outlineLevel="1" x14ac:dyDescent="0.2">
      <c r="O187" s="17"/>
      <c r="P187" s="17"/>
      <c r="Q187" s="17" t="s">
        <v>224</v>
      </c>
      <c r="R187" s="283">
        <f>IF(NOT(ISBLANK('Referenz Plattenfertiger'!$I$18)),'Referenz Plattenfertiger'!$I$18,'Referenz Plattenfertiger'!$F$18)</f>
        <v>45000</v>
      </c>
      <c r="S187" s="283">
        <f>IF(R186&lt;R187,R186,R187)</f>
        <v>45000</v>
      </c>
      <c r="T187" s="283">
        <f>IF(S187&lt;R187,R187-S187,0)</f>
        <v>0</v>
      </c>
      <c r="U187" s="17" t="s">
        <v>40</v>
      </c>
      <c r="V187" s="17"/>
      <c r="W187" s="17"/>
      <c r="X187" s="17"/>
      <c r="Y187" s="17"/>
      <c r="Z187" s="17"/>
      <c r="AB187" s="17"/>
      <c r="AC187" s="17"/>
      <c r="AD187" s="17"/>
      <c r="AE187" s="17"/>
      <c r="AF187" s="18"/>
      <c r="AG187" s="17"/>
      <c r="AH187" s="18"/>
      <c r="AI187" s="18"/>
    </row>
    <row r="188" spans="15:35" hidden="1" outlineLevel="1" x14ac:dyDescent="0.2">
      <c r="O188" s="17"/>
      <c r="P188" s="17"/>
      <c r="Q188" s="17" t="s">
        <v>225</v>
      </c>
      <c r="R188" s="283">
        <f>IF(NOT(ISBLANK('Referenz Plattenfertiger'!$I$24)),'Referenz Plattenfertiger'!$I$24,'Referenz Plattenfertiger'!$F$24)</f>
        <v>405000</v>
      </c>
      <c r="S188" s="283">
        <f>IF(S187=R186,0,R186-S187)</f>
        <v>55000</v>
      </c>
      <c r="T188" s="283">
        <f>IF(S188&lt;R188,R188-S188,0)</f>
        <v>350000</v>
      </c>
      <c r="U188" s="20" t="s">
        <v>40</v>
      </c>
      <c r="V188" s="17"/>
      <c r="W188" s="17"/>
      <c r="X188" s="17"/>
      <c r="Y188" s="17"/>
      <c r="Z188" s="17"/>
      <c r="AB188" s="17" t="s">
        <v>132</v>
      </c>
      <c r="AC188" s="17"/>
      <c r="AD188" s="17"/>
      <c r="AE188" s="17"/>
      <c r="AF188" s="18"/>
      <c r="AG188" s="17"/>
      <c r="AH188" s="18"/>
      <c r="AI188" s="18"/>
    </row>
    <row r="189" spans="15:35" hidden="1" outlineLevel="1" x14ac:dyDescent="0.2">
      <c r="O189" s="17"/>
      <c r="P189" s="17"/>
      <c r="Q189" s="17"/>
      <c r="R189" s="17"/>
      <c r="S189" s="17"/>
      <c r="T189" s="17"/>
      <c r="U189" s="17"/>
      <c r="V189" s="17"/>
      <c r="W189" s="17"/>
      <c r="X189" s="17"/>
      <c r="Y189" s="17"/>
      <c r="Z189" s="17"/>
      <c r="AB189" s="274"/>
      <c r="AC189" s="17" t="s">
        <v>114</v>
      </c>
      <c r="AD189" s="17"/>
      <c r="AE189" s="17"/>
      <c r="AF189" s="19"/>
      <c r="AG189" s="17"/>
      <c r="AH189" s="41">
        <f>IF(NOT(ISBLANK('Referenz Plattenfertiger'!$I16)),'Referenz Plattenfertiger'!$I16,'Referenz Plattenfertiger'!$F16)/1000*IF(NOT(ISBLANK('Eingabe Preise'!$O10)),'Eingabe Preise'!$O10,'Eingabe Preise'!$M10)</f>
        <v>11468</v>
      </c>
      <c r="AI189" s="20" t="s">
        <v>96</v>
      </c>
    </row>
    <row r="190" spans="15:35" ht="63.75" hidden="1" outlineLevel="1" x14ac:dyDescent="0.2">
      <c r="O190" s="17"/>
      <c r="P190" s="17"/>
      <c r="Q190" s="17"/>
      <c r="R190" s="17"/>
      <c r="S190" s="36" t="s">
        <v>25</v>
      </c>
      <c r="T190" s="36" t="s">
        <v>77</v>
      </c>
      <c r="U190" s="36" t="s">
        <v>27</v>
      </c>
      <c r="V190" s="17"/>
      <c r="W190" s="17"/>
      <c r="X190" s="39" t="s">
        <v>100</v>
      </c>
      <c r="Y190" s="40" t="s">
        <v>37</v>
      </c>
      <c r="Z190" s="17"/>
      <c r="AB190" s="274"/>
      <c r="AC190" s="17" t="s">
        <v>151</v>
      </c>
      <c r="AD190" s="17"/>
      <c r="AE190" s="17"/>
      <c r="AF190" s="20"/>
      <c r="AG190" s="17"/>
      <c r="AH190" s="41">
        <f>IF(NOT(ISBLANK('Referenz Plattenfertiger'!$I17)),'Referenz Plattenfertiger'!$I17,'Referenz Plattenfertiger'!$F17)/1000*IF(NOT(ISBLANK('Eingabe Preise'!$O11)),'Eingabe Preise'!$O11,'Eingabe Preise'!$M11)</f>
        <v>1104</v>
      </c>
      <c r="AI190" s="20" t="s">
        <v>96</v>
      </c>
    </row>
    <row r="191" spans="15:35" ht="14.25" hidden="1" outlineLevel="1" x14ac:dyDescent="0.25">
      <c r="O191" s="76"/>
      <c r="P191" s="76" t="s">
        <v>176</v>
      </c>
      <c r="Q191" s="76"/>
      <c r="R191" s="76"/>
      <c r="S191" s="77">
        <f>SUM(S193:S206)</f>
        <v>94.932355060000006</v>
      </c>
      <c r="T191" s="77">
        <f>SUM(T193:T206)</f>
        <v>47.874209324752655</v>
      </c>
      <c r="U191" s="77">
        <f>SUM(U193:U206)</f>
        <v>28.671342156822377</v>
      </c>
      <c r="V191" s="76"/>
      <c r="W191" s="76"/>
      <c r="X191" s="77">
        <f>S191+T191</f>
        <v>142.80656438475268</v>
      </c>
      <c r="Y191" s="77">
        <f>SUM(S191:U191)</f>
        <v>171.47790654157507</v>
      </c>
      <c r="Z191" s="76" t="s">
        <v>183</v>
      </c>
      <c r="AB191" s="284"/>
      <c r="AC191" s="17" t="s">
        <v>138</v>
      </c>
      <c r="AD191" s="17"/>
      <c r="AE191" s="17"/>
      <c r="AF191" s="20"/>
      <c r="AG191" s="17"/>
      <c r="AH191" s="41">
        <f>T187/1000*IF(NOT(ISBLANK('Eingabe Preise'!$O12)),'Eingabe Preise'!$O12,'Eingabe Preise'!$M12)</f>
        <v>0</v>
      </c>
      <c r="AI191" s="20" t="s">
        <v>96</v>
      </c>
    </row>
    <row r="192" spans="15:35" hidden="1" outlineLevel="1" x14ac:dyDescent="0.2">
      <c r="O192" s="17"/>
      <c r="P192" s="17" t="s">
        <v>132</v>
      </c>
      <c r="Q192" s="17"/>
      <c r="R192" s="17"/>
      <c r="S192" s="17"/>
      <c r="T192" s="17"/>
      <c r="U192" s="17"/>
      <c r="V192" s="17"/>
      <c r="W192" s="17"/>
      <c r="X192" s="17"/>
      <c r="Y192" s="17"/>
      <c r="Z192" s="17"/>
      <c r="AB192" s="274"/>
      <c r="AC192" s="17" t="s">
        <v>115</v>
      </c>
      <c r="AD192" s="17"/>
      <c r="AE192" s="17"/>
      <c r="AF192" s="20"/>
      <c r="AG192" s="17"/>
      <c r="AH192" s="41">
        <f>IF(NOT(ISBLANK('Referenz Plattenfertiger'!$I19)),'Referenz Plattenfertiger'!$I19,'Referenz Plattenfertiger'!$F19)/1000*IF(NOT(ISBLANK('Eingabe Preise'!$O16)),'Eingabe Preise'!$O16,0)</f>
        <v>0</v>
      </c>
      <c r="AI192" s="20" t="s">
        <v>96</v>
      </c>
    </row>
    <row r="193" spans="15:35" ht="15.75" hidden="1" outlineLevel="1" x14ac:dyDescent="0.3">
      <c r="O193" s="274"/>
      <c r="P193" s="17"/>
      <c r="Q193" s="17" t="s">
        <v>114</v>
      </c>
      <c r="R193" s="17"/>
      <c r="S193" s="37">
        <f>IF(NOT(ISBLANK('Referenz Plattenfertiger'!$I16)),'Referenz Plattenfertiger'!$I16,'Referenz Plattenfertiger'!$F16)*IF(NOT(ISBLANK('Eingabe EF'!$AS9)),'Eingabe EF'!$AS9,'Eingabe EF'!$AQ9)</f>
        <v>34.434080000000002</v>
      </c>
      <c r="T193" s="37">
        <f>IF(NOT(ISBLANK('Referenz Plattenfertiger'!$I16)),'Referenz Plattenfertiger'!$I16,'Referenz Plattenfertiger'!$F16)*IF(NOT(ISBLANK('Eingabe EF'!$AW9)),'Eingabe EF'!$AW9,'Eingabe EF'!$AU9)</f>
        <v>0</v>
      </c>
      <c r="U193" s="37">
        <f>IF(NOT(ISBLANK('Referenz Plattenfertiger'!$I16)),'Referenz Plattenfertiger'!$I16,'Referenz Plattenfertiger'!$F16)*IF(NOT(ISBLANK('Eingabe EF'!$BA9)),'Eingabe EF'!$BA9,'Eingabe EF'!$AY9)</f>
        <v>5.8938000000000006</v>
      </c>
      <c r="V193" s="17"/>
      <c r="W193" s="17"/>
      <c r="X193" s="37">
        <f>S193+T193</f>
        <v>34.434080000000002</v>
      </c>
      <c r="Y193" s="37">
        <f>SUM(S193:U193)</f>
        <v>40.32788</v>
      </c>
      <c r="Z193" s="17" t="s">
        <v>184</v>
      </c>
      <c r="AB193" s="17" t="s">
        <v>133</v>
      </c>
      <c r="AC193" s="17"/>
      <c r="AD193" s="17"/>
      <c r="AE193" s="17"/>
      <c r="AF193" s="20"/>
      <c r="AG193" s="17"/>
      <c r="AH193" s="20"/>
      <c r="AI193" s="20"/>
    </row>
    <row r="194" spans="15:35" ht="15.75" hidden="1" outlineLevel="1" x14ac:dyDescent="0.3">
      <c r="O194" s="274"/>
      <c r="P194" s="17"/>
      <c r="Q194" s="17" t="s">
        <v>151</v>
      </c>
      <c r="R194" s="17"/>
      <c r="S194" s="37">
        <f>IF(NOT(ISBLANK('Referenz Plattenfertiger'!$I17)),'Referenz Plattenfertiger'!$I17,'Referenz Plattenfertiger'!$F17)*IF(NOT(ISBLANK('Eingabe EF'!$AS10)),'Eingabe EF'!$AS10,'Eingabe EF'!$AQ10)</f>
        <v>6.4022399999999999</v>
      </c>
      <c r="T194" s="37">
        <f>IF(NOT(ISBLANK('Referenz Plattenfertiger'!$I17)),'Referenz Plattenfertiger'!$I17,'Referenz Plattenfertiger'!$F17)*IF(NOT(ISBLANK('Eingabe EF'!$AW10)),'Eingabe EF'!$AW10,'Eingabe EF'!$AU10)</f>
        <v>0</v>
      </c>
      <c r="U194" s="37">
        <f>IF(NOT(ISBLANK('Referenz Plattenfertiger'!$I17)),'Referenz Plattenfertiger'!$I17,'Referenz Plattenfertiger'!$F17)*IF(NOT(ISBLANK('Eingabe EF'!$BA10)),'Eingabe EF'!$BA10,'Eingabe EF'!$AY10)</f>
        <v>0.949824</v>
      </c>
      <c r="V194" s="17"/>
      <c r="W194" s="17"/>
      <c r="X194" s="37">
        <f>S194+T194</f>
        <v>6.4022399999999999</v>
      </c>
      <c r="Y194" s="37">
        <f>SUM(S194:U194)</f>
        <v>7.3520640000000004</v>
      </c>
      <c r="Z194" s="17" t="s">
        <v>184</v>
      </c>
      <c r="AB194" s="17"/>
      <c r="AC194" s="17" t="s">
        <v>29</v>
      </c>
      <c r="AD194" s="17"/>
      <c r="AE194" s="17"/>
      <c r="AF194" s="20"/>
      <c r="AG194" s="17"/>
      <c r="AH194" s="41">
        <f>IF(NOT(ISBLANK('Referenz Plattenfertiger'!$I21)),'Referenz Plattenfertiger'!$I21,'Referenz Plattenfertiger'!$F21)/1000*IF(NOT(ISBLANK('Eingabe Preise'!$O10)),'Eingabe Preise'!$O10,'Eingabe Preise'!$M10)</f>
        <v>2867</v>
      </c>
      <c r="AI194" s="20" t="s">
        <v>96</v>
      </c>
    </row>
    <row r="195" spans="15:35" ht="15.75" hidden="1" outlineLevel="1" x14ac:dyDescent="0.3">
      <c r="O195" s="284"/>
      <c r="P195" s="17"/>
      <c r="Q195" s="17" t="s">
        <v>138</v>
      </c>
      <c r="R195" s="17"/>
      <c r="S195" s="450">
        <f>T187*IF(NOT(ISBLANK('Eingabe EF'!$AS11)),'Eingabe EF'!$AS11,'Eingabe EF'!$AQ11)+S187*IF(NOT(ISBLANK('Eingabe EF'!$AS65)),'Eingabe EF'!$AS65,'Eingabe EF'!$AQ65)</f>
        <v>0</v>
      </c>
      <c r="T195" s="450">
        <f>T187*IF(NOT(ISBLANK('Eingabe EF'!$AW$11)),'Eingabe EF'!$AW$11,'Eingabe EF'!$AU$11)+S187*IF(NOT(ISBLANK('Eingabe EF'!$AW$65)),'Eingabe EF'!$AW$65,'Eingabe EF'!$AU$65)</f>
        <v>0</v>
      </c>
      <c r="U195" s="450">
        <f>T187*IF(NOT(ISBLANK('Eingabe EF'!$BA$11)),'Eingabe EF'!$BA$11,'Eingabe EF'!$AY$11)+S187*IF(NOT(ISBLANK('Eingabe EF'!$BA$65)),'Eingabe EF'!$BA$65,'Eingabe EF'!$AY$65)</f>
        <v>2.5071299999999996</v>
      </c>
      <c r="V195" s="17"/>
      <c r="W195" s="17"/>
      <c r="X195" s="37">
        <f>S195+T195</f>
        <v>0</v>
      </c>
      <c r="Y195" s="37">
        <f>SUM(S195:U195)</f>
        <v>2.5071299999999996</v>
      </c>
      <c r="Z195" s="17" t="s">
        <v>184</v>
      </c>
      <c r="AB195" s="17"/>
      <c r="AC195" s="17" t="s">
        <v>30</v>
      </c>
      <c r="AD195" s="17"/>
      <c r="AE195" s="17"/>
      <c r="AF195" s="20"/>
      <c r="AG195" s="17"/>
      <c r="AH195" s="41">
        <f>IF(NOT(ISBLANK('Referenz Plattenfertiger'!$I22)),'Referenz Plattenfertiger'!$I22,'Referenz Plattenfertiger'!$F22)/1000*IF(NOT(ISBLANK('Eingabe Preise'!$O11)),'Eingabe Preise'!$O11,'Eingabe Preise'!$M11)</f>
        <v>1656</v>
      </c>
      <c r="AI195" s="20" t="s">
        <v>96</v>
      </c>
    </row>
    <row r="196" spans="15:35" ht="15.75" hidden="1" outlineLevel="1" x14ac:dyDescent="0.3">
      <c r="O196" s="274"/>
      <c r="P196" s="17"/>
      <c r="Q196" s="17" t="s">
        <v>115</v>
      </c>
      <c r="R196" s="17"/>
      <c r="S196" s="43">
        <f>IF(NOT(ISBLANK('Referenz Plattenfertiger'!$I19)),'Referenz Plattenfertiger'!$I19,'Referenz Plattenfertiger'!$F19)*IF(NOT(ISBLANK('Eingabe EF'!$AS12)),'Eingabe EF'!$AS12,0)</f>
        <v>0</v>
      </c>
      <c r="T196" s="43">
        <f>IF(NOT(ISBLANK('Referenz Plattenfertiger'!$I19)),'Referenz Plattenfertiger'!$I19,'Referenz Plattenfertiger'!$F19)*IF(NOT(ISBLANK('Eingabe EF'!$AW12)),'Eingabe EF'!$AW12,0)</f>
        <v>0</v>
      </c>
      <c r="U196" s="43">
        <f>IF(NOT(ISBLANK('Referenz Plattenfertiger'!$I19)),'Referenz Plattenfertiger'!$I19,'Referenz Plattenfertiger'!$F19)*IF(NOT(ISBLANK('Eingabe EF'!$BA12)),'Eingabe EF'!$BA12,0)</f>
        <v>0</v>
      </c>
      <c r="V196" s="17"/>
      <c r="W196" s="17"/>
      <c r="X196" s="37">
        <f>S196+T196</f>
        <v>0</v>
      </c>
      <c r="Y196" s="37">
        <f>SUM(S196:U196)</f>
        <v>0</v>
      </c>
      <c r="Z196" s="17" t="s">
        <v>184</v>
      </c>
      <c r="AB196" s="17" t="s">
        <v>134</v>
      </c>
      <c r="AC196" s="17"/>
      <c r="AD196" s="17"/>
      <c r="AE196" s="17"/>
      <c r="AF196" s="20"/>
      <c r="AG196" s="17"/>
      <c r="AH196" s="20"/>
      <c r="AI196" s="20"/>
    </row>
    <row r="197" spans="15:35" hidden="1" outlineLevel="1" x14ac:dyDescent="0.2">
      <c r="O197" s="17"/>
      <c r="P197" s="17" t="s">
        <v>133</v>
      </c>
      <c r="Q197" s="17"/>
      <c r="R197" s="17"/>
      <c r="S197" s="17"/>
      <c r="T197" s="17"/>
      <c r="U197" s="17"/>
      <c r="V197" s="17"/>
      <c r="W197" s="17"/>
      <c r="X197" s="17"/>
      <c r="Y197" s="17"/>
      <c r="Z197" s="17"/>
      <c r="AB197" s="284"/>
      <c r="AC197" s="17" t="s">
        <v>136</v>
      </c>
      <c r="AD197" s="17"/>
      <c r="AE197" s="17"/>
      <c r="AF197" s="20"/>
      <c r="AG197" s="17"/>
      <c r="AH197" s="41">
        <f>T188/1000*IF(NOT(ISBLANK('Eingabe Preise'!$O12)),'Eingabe Preise'!$O12,'Eingabe Preise'!$M12)</f>
        <v>60200</v>
      </c>
      <c r="AI197" s="20" t="s">
        <v>96</v>
      </c>
    </row>
    <row r="198" spans="15:35" ht="15.75" hidden="1" outlineLevel="1" x14ac:dyDescent="0.3">
      <c r="O198" s="17"/>
      <c r="P198" s="17"/>
      <c r="Q198" s="17" t="s">
        <v>29</v>
      </c>
      <c r="R198" s="17"/>
      <c r="S198" s="43">
        <f>IF(NOT(ISBLANK('Referenz Plattenfertiger'!$I21)),'Referenz Plattenfertiger'!$I21,'Referenz Plattenfertiger'!$F21)*IF(NOT(ISBLANK('Eingabe EF'!$AS9)),'Eingabe EF'!$AS9,'Eingabe EF'!$AQ9)</f>
        <v>8.6085200000000004</v>
      </c>
      <c r="T198" s="43">
        <f>IF(NOT(ISBLANK('Referenz Plattenfertiger'!$I21)),'Referenz Plattenfertiger'!$I21,'Referenz Plattenfertiger'!$F21)*IF(NOT(ISBLANK('Eingabe EF'!$AW9)),'Eingabe EF'!$AW9,'Eingabe EF'!$AU9)</f>
        <v>0</v>
      </c>
      <c r="U198" s="43">
        <f>IF(NOT(ISBLANK('Referenz Plattenfertiger'!$I21)),'Referenz Plattenfertiger'!$I21,'Referenz Plattenfertiger'!$F21)*IF(NOT(ISBLANK('Eingabe EF'!$BA9)),'Eingabe EF'!$BA9,'Eingabe EF'!$AY9)</f>
        <v>1.4734500000000001</v>
      </c>
      <c r="V198" s="17"/>
      <c r="W198" s="17"/>
      <c r="X198" s="37">
        <f t="shared" ref="X198:X199" si="47">S198+T198</f>
        <v>8.6085200000000004</v>
      </c>
      <c r="Y198" s="37">
        <f t="shared" ref="Y198:Y199" si="48">SUM(S198:U198)</f>
        <v>10.08197</v>
      </c>
      <c r="Z198" s="17" t="s">
        <v>184</v>
      </c>
      <c r="AB198" s="17"/>
      <c r="AC198" s="17" t="s">
        <v>111</v>
      </c>
      <c r="AD198" s="17"/>
      <c r="AE198" s="17"/>
      <c r="AF198" s="20"/>
      <c r="AG198" s="17"/>
      <c r="AH198" s="41">
        <f>IF(NOT(ISBLANK('Referenz Plattenfertiger'!$I25)),'Referenz Plattenfertiger'!$I25,'Referenz Plattenfertiger'!$F25)/1000*IF(NOT(ISBLANK('Eingabe Preise'!$O13)),'Eingabe Preise'!$O13,'Eingabe Preise'!$M13)</f>
        <v>0</v>
      </c>
      <c r="AI198" s="20" t="s">
        <v>96</v>
      </c>
    </row>
    <row r="199" spans="15:35" ht="15.75" hidden="1" outlineLevel="1" x14ac:dyDescent="0.3">
      <c r="O199" s="17"/>
      <c r="P199" s="17"/>
      <c r="Q199" s="17" t="s">
        <v>30</v>
      </c>
      <c r="R199" s="17"/>
      <c r="S199" s="43">
        <f>IF(NOT(ISBLANK('Referenz Plattenfertiger'!$I22)),'Referenz Plattenfertiger'!$I22,'Referenz Plattenfertiger'!$F22)*IF(NOT(ISBLANK('Eingabe EF'!$AS10)),'Eingabe EF'!$AS10,'Eingabe EF'!$AQ10)</f>
        <v>9.6033600000000003</v>
      </c>
      <c r="T199" s="43">
        <f>IF(NOT(ISBLANK('Referenz Plattenfertiger'!$I22)),'Referenz Plattenfertiger'!$I22,'Referenz Plattenfertiger'!$F22)*IF(NOT(ISBLANK('Eingabe EF'!$AW10)),'Eingabe EF'!$AW10,'Eingabe EF'!$AU10)</f>
        <v>0</v>
      </c>
      <c r="U199" s="43">
        <f>IF(NOT(ISBLANK('Referenz Plattenfertiger'!$I22)),'Referenz Plattenfertiger'!$I22,'Referenz Plattenfertiger'!$F22)*IF(NOT(ISBLANK('Eingabe EF'!$BA10)),'Eingabe EF'!$BA10,'Eingabe EF'!$AY10)</f>
        <v>1.424736</v>
      </c>
      <c r="V199" s="17"/>
      <c r="W199" s="17"/>
      <c r="X199" s="37">
        <f t="shared" si="47"/>
        <v>9.6033600000000003</v>
      </c>
      <c r="Y199" s="37">
        <f t="shared" si="48"/>
        <v>11.028096</v>
      </c>
      <c r="Z199" s="17" t="s">
        <v>184</v>
      </c>
      <c r="AB199" s="17"/>
      <c r="AC199" s="17" t="s">
        <v>135</v>
      </c>
      <c r="AD199" s="17"/>
      <c r="AE199" s="17"/>
      <c r="AF199" s="30"/>
      <c r="AG199" s="17"/>
      <c r="AH199" s="41">
        <f>IF(NOT(ISBLANK('Referenz Plattenfertiger'!$I26)),'Referenz Plattenfertiger'!$I26,'Referenz Plattenfertiger'!$F26)/1000*IF(NOT(ISBLANK('Eingabe Preise'!$O17)),'Eingabe Preise'!$O17,0)</f>
        <v>0</v>
      </c>
      <c r="AI199" s="20" t="s">
        <v>96</v>
      </c>
    </row>
    <row r="200" spans="15:35" hidden="1" outlineLevel="1" x14ac:dyDescent="0.2">
      <c r="O200" s="17"/>
      <c r="P200" s="17" t="s">
        <v>134</v>
      </c>
      <c r="Q200" s="17"/>
      <c r="R200" s="17"/>
      <c r="S200" s="17"/>
      <c r="T200" s="17"/>
      <c r="U200" s="17"/>
      <c r="V200" s="17"/>
      <c r="W200" s="17"/>
      <c r="X200" s="17"/>
      <c r="Y200" s="17"/>
      <c r="Z200" s="17"/>
      <c r="AB200" s="17"/>
      <c r="AC200" s="17"/>
      <c r="AD200" s="17"/>
      <c r="AE200" s="17"/>
      <c r="AF200" s="30"/>
      <c r="AG200" s="17"/>
      <c r="AH200" s="17"/>
      <c r="AI200" s="17"/>
    </row>
    <row r="201" spans="15:35" ht="15.75" hidden="1" outlineLevel="1" x14ac:dyDescent="0.3">
      <c r="O201" s="284"/>
      <c r="P201" s="17"/>
      <c r="Q201" s="17" t="s">
        <v>136</v>
      </c>
      <c r="R201" s="17"/>
      <c r="S201" s="450">
        <f>T188*IF(NOT(ISBLANK('Eingabe EF'!$AS11)),'Eingabe EF'!$AS11,'Eingabe EF'!$AQ11)+S188*IF(NOT(ISBLANK('Eingabe EF'!$AS65)),'Eingabe EF'!$AS65,'Eingabe EF'!$AQ65)</f>
        <v>0</v>
      </c>
      <c r="T201" s="450">
        <f>T188*IF(NOT(ISBLANK('Eingabe EF'!$AW$11)),'Eingabe EF'!$AW$11,'Eingabe EF'!$AU$11)+S188*IF(NOT(ISBLANK('Eingabe EF'!$AW$65)),'Eingabe EF'!$AW$65,'Eingabe EF'!$AU$65)</f>
        <v>47.874209324752655</v>
      </c>
      <c r="U201" s="450">
        <f>T188*IF(NOT(ISBLANK('Eingabe EF'!$BA$11)),'Eingabe EF'!$BA$11,'Eingabe EF'!$AY$11)+S188*IF(NOT(ISBLANK('Eingabe EF'!$BA$65)),'Eingabe EF'!$BA$65,'Eingabe EF'!$AY$65)</f>
        <v>10.082478696822378</v>
      </c>
      <c r="V201" s="452"/>
      <c r="W201" s="17"/>
      <c r="X201" s="37">
        <f t="shared" ref="X201:X209" si="49">S201+T201</f>
        <v>47.874209324752655</v>
      </c>
      <c r="Y201" s="37">
        <f t="shared" ref="Y201:Y209" si="50">SUM(S201:U201)</f>
        <v>57.956688021575033</v>
      </c>
      <c r="Z201" s="17" t="s">
        <v>184</v>
      </c>
      <c r="AB201" s="17"/>
      <c r="AC201" s="17" t="s">
        <v>32</v>
      </c>
      <c r="AD201" s="17" t="s">
        <v>408</v>
      </c>
      <c r="AE201" s="17"/>
      <c r="AF201" s="30"/>
      <c r="AG201" s="17"/>
      <c r="AH201" s="41">
        <f>IF(NOT(ISBLANK('Referenz Plattenfertiger'!$I28)),'Referenz Plattenfertiger'!$I28,'Referenz Plattenfertiger'!$F28)*IF(NOT(ISBLANK('Eingabe Preise'!$O14)),'Eingabe Preise'!$O14,'Eingabe Preise'!$M14)</f>
        <v>12364.000000000002</v>
      </c>
      <c r="AI201" s="20" t="s">
        <v>96</v>
      </c>
    </row>
    <row r="202" spans="15:35" ht="15.75" hidden="1" outlineLevel="1" x14ac:dyDescent="0.3">
      <c r="O202" s="17"/>
      <c r="P202" s="17"/>
      <c r="Q202" s="17" t="s">
        <v>111</v>
      </c>
      <c r="R202" s="17"/>
      <c r="S202" s="43">
        <f>IF(NOT(ISBLANK('Referenz Plattenfertiger'!$I25)),'Referenz Plattenfertiger'!$I25,'Referenz Plattenfertiger'!$F25)*IF(NOT(ISBLANK('Eingabe EF'!$AS13)),'Eingabe EF'!$AS13,'Eingabe EF'!$AQ13)</f>
        <v>0</v>
      </c>
      <c r="T202" s="43">
        <f>IF(NOT(ISBLANK('Referenz Plattenfertiger'!$I25)),'Referenz Plattenfertiger'!$I25,'Referenz Plattenfertiger'!$F25)*IF(NOT(ISBLANK('Eingabe EF'!$AW13)),'Eingabe EF'!$AW13,'Eingabe EF'!$AU13)</f>
        <v>0</v>
      </c>
      <c r="U202" s="43">
        <f>IF(NOT(ISBLANK('Referenz Plattenfertiger'!$I25)),'Referenz Plattenfertiger'!$I25,'Referenz Plattenfertiger'!$F25)*IF(NOT(ISBLANK('Eingabe EF'!$BA13)),'Eingabe EF'!$BA13,'Eingabe EF'!$AY13)</f>
        <v>0</v>
      </c>
      <c r="V202" s="17"/>
      <c r="W202" s="17"/>
      <c r="X202" s="37">
        <f t="shared" si="49"/>
        <v>0</v>
      </c>
      <c r="Y202" s="37">
        <f t="shared" si="50"/>
        <v>0</v>
      </c>
      <c r="Z202" s="17" t="s">
        <v>184</v>
      </c>
      <c r="AB202" s="17"/>
      <c r="AC202" s="17" t="s">
        <v>32</v>
      </c>
      <c r="AD202" s="17" t="s">
        <v>70</v>
      </c>
      <c r="AE202" s="17"/>
      <c r="AF202" s="30"/>
      <c r="AG202" s="17"/>
      <c r="AH202" s="41">
        <f>IF(NOT(ISBLANK('Referenz Plattenfertiger'!$I29)),'Referenz Plattenfertiger'!$I29,'Referenz Plattenfertiger'!$F29)*IF(NOT(ISBLANK('Eingabe Preise'!$O14)),'Eingabe Preise'!$O14,'Eingabe Preise'!$M14)</f>
        <v>2810.0000000000005</v>
      </c>
      <c r="AI202" s="20" t="s">
        <v>96</v>
      </c>
    </row>
    <row r="203" spans="15:35" ht="15.75" hidden="1" outlineLevel="1" x14ac:dyDescent="0.3">
      <c r="O203" s="17"/>
      <c r="P203" s="17"/>
      <c r="Q203" s="17" t="s">
        <v>135</v>
      </c>
      <c r="R203" s="17"/>
      <c r="S203" s="43">
        <f>IF(NOT(ISBLANK('Referenz Plattenfertiger'!$I26)),'Referenz Plattenfertiger'!$I26,'Referenz Plattenfertiger'!$F26)*IF(NOT(ISBLANK('Eingabe EF'!$AS14)),'Eingabe EF'!$AS14,0)</f>
        <v>0</v>
      </c>
      <c r="T203" s="43">
        <f>IF(NOT(ISBLANK('Referenz Plattenfertiger'!$I26)),'Referenz Plattenfertiger'!$I26,'Referenz Plattenfertiger'!$F26)*IF(NOT(ISBLANK('Eingabe EF'!$AW14)),'Eingabe EF'!$AW14,0)</f>
        <v>0</v>
      </c>
      <c r="U203" s="43">
        <f>IF(NOT(ISBLANK('Referenz Plattenfertiger'!$I26)),'Referenz Plattenfertiger'!$I26,'Referenz Plattenfertiger'!$F26)*IF(NOT(ISBLANK('Eingabe EF'!$BA14)),'Eingabe EF'!$BA14,0)</f>
        <v>0</v>
      </c>
      <c r="V203" s="17"/>
      <c r="W203" s="17"/>
      <c r="X203" s="37">
        <f t="shared" si="49"/>
        <v>0</v>
      </c>
      <c r="Y203" s="37">
        <f t="shared" si="50"/>
        <v>0</v>
      </c>
      <c r="Z203" s="17" t="s">
        <v>184</v>
      </c>
      <c r="AB203" s="17"/>
      <c r="AC203" s="17"/>
      <c r="AD203" s="17"/>
      <c r="AE203" s="17"/>
      <c r="AF203" s="30"/>
      <c r="AG203" s="17"/>
      <c r="AH203" s="17"/>
      <c r="AI203" s="17"/>
    </row>
    <row r="204" spans="15:35" hidden="1" outlineLevel="1" x14ac:dyDescent="0.2">
      <c r="O204" s="17"/>
      <c r="P204" s="17"/>
      <c r="Q204" s="17"/>
      <c r="R204" s="17"/>
      <c r="S204" s="17"/>
      <c r="T204" s="17"/>
      <c r="U204" s="17"/>
      <c r="V204" s="17"/>
      <c r="W204" s="17"/>
      <c r="X204" s="17"/>
      <c r="Y204" s="17"/>
      <c r="Z204" s="17"/>
      <c r="AB204" s="17"/>
      <c r="AC204" s="17"/>
      <c r="AD204" s="17"/>
      <c r="AE204" s="17"/>
      <c r="AF204" s="30"/>
      <c r="AG204" s="17"/>
      <c r="AH204" s="17"/>
      <c r="AI204" s="17"/>
    </row>
    <row r="205" spans="15:35" ht="15.75" hidden="1" outlineLevel="1" x14ac:dyDescent="0.3">
      <c r="O205" s="17"/>
      <c r="P205" s="17" t="s">
        <v>408</v>
      </c>
      <c r="Q205" s="17" t="s">
        <v>32</v>
      </c>
      <c r="R205" s="17"/>
      <c r="S205" s="43">
        <f>IF(NOT(ISBLANK('Referenz Plattenfertiger'!$I28)),'Referenz Plattenfertiger'!$I28,'Referenz Plattenfertiger'!$F28)*IF(NOT(ISBLANK('Eingabe EF'!$AS15)),'Eingabe EF'!$AS15,'Eingabe EF'!$AQ15)</f>
        <v>29.238941159999996</v>
      </c>
      <c r="T205" s="43">
        <f>IF(NOT(ISBLANK('Referenz Plattenfertiger'!$I28)),'Referenz Plattenfertiger'!$I28,'Referenz Plattenfertiger'!$F28)*IF(NOT(ISBLANK('Eingabe EF'!$AW15)),'Eingabe EF'!$AW15,'Eingabe EF'!$AU15)</f>
        <v>0</v>
      </c>
      <c r="U205" s="43">
        <f>IF(NOT(ISBLANK('Referenz Plattenfertiger'!$I28)),'Referenz Plattenfertiger'!$I28,'Referenz Plattenfertiger'!$F28)*IF(NOT(ISBLANK('Eingabe EF'!$BA15)),'Eingabe EF'!$BA15,'Eingabe EF'!$AY15)</f>
        <v>5.1658635600000009</v>
      </c>
      <c r="V205" s="17"/>
      <c r="W205" s="17"/>
      <c r="X205" s="37">
        <f t="shared" ref="X205:X207" si="51">S205+T205</f>
        <v>29.238941159999996</v>
      </c>
      <c r="Y205" s="37">
        <f t="shared" ref="Y205:Y207" si="52">SUM(S205:U205)</f>
        <v>34.404804719999994</v>
      </c>
      <c r="Z205" s="17" t="s">
        <v>184</v>
      </c>
      <c r="AB205" s="17"/>
      <c r="AC205" s="17" t="s">
        <v>28</v>
      </c>
      <c r="AD205" s="17"/>
      <c r="AE205" s="17"/>
      <c r="AF205" s="30"/>
      <c r="AG205" s="17"/>
      <c r="AH205" s="41">
        <f>AH217+AH218</f>
        <v>36000</v>
      </c>
      <c r="AI205" s="20" t="s">
        <v>96</v>
      </c>
    </row>
    <row r="206" spans="15:35" ht="15.75" hidden="1" outlineLevel="1" x14ac:dyDescent="0.3">
      <c r="O206" s="17"/>
      <c r="P206" s="17" t="s">
        <v>70</v>
      </c>
      <c r="Q206" s="17" t="s">
        <v>32</v>
      </c>
      <c r="R206" s="17"/>
      <c r="S206" s="43">
        <f>IF(NOT(ISBLANK('Referenz Plattenfertiger'!$I29)),'Referenz Plattenfertiger'!$I29,'Referenz Plattenfertiger'!$F29)*IF(NOT(ISBLANK('Eingabe EF'!$AS15)),'Eingabe EF'!$AS15,'Eingabe EF'!$AQ15)</f>
        <v>6.645213899999999</v>
      </c>
      <c r="T206" s="43">
        <f>IF(NOT(ISBLANK('Referenz Plattenfertiger'!$I29)),'Referenz Plattenfertiger'!$I29,'Referenz Plattenfertiger'!$F29)*IF(NOT(ISBLANK('Eingabe EF'!$AW15)),'Eingabe EF'!$AW15,'Eingabe EF'!$AU15)</f>
        <v>0</v>
      </c>
      <c r="U206" s="43">
        <f>IF(NOT(ISBLANK('Referenz Plattenfertiger'!$I29)),'Referenz Plattenfertiger'!$I29,'Referenz Plattenfertiger'!$F29)*IF(NOT(ISBLANK('Eingabe EF'!$BA15)),'Eingabe EF'!$BA15,'Eingabe EF'!$AY15)</f>
        <v>1.1740599000000003</v>
      </c>
      <c r="V206" s="17"/>
      <c r="W206" s="17"/>
      <c r="X206" s="37">
        <f t="shared" si="51"/>
        <v>6.645213899999999</v>
      </c>
      <c r="Y206" s="37">
        <f t="shared" si="52"/>
        <v>7.8192737999999995</v>
      </c>
      <c r="Z206" s="17" t="s">
        <v>184</v>
      </c>
      <c r="AB206" s="17"/>
      <c r="AC206" s="44" t="s">
        <v>139</v>
      </c>
      <c r="AD206" s="17"/>
      <c r="AE206" s="17"/>
      <c r="AF206" s="30"/>
      <c r="AG206" s="17"/>
      <c r="AH206" s="41">
        <f>IF(NOT(ISBLANK($K$19)),$K$19,$I$19)</f>
        <v>1000</v>
      </c>
      <c r="AI206" s="20" t="s">
        <v>96</v>
      </c>
    </row>
    <row r="207" spans="15:35" ht="14.25" hidden="1" outlineLevel="1" x14ac:dyDescent="0.25">
      <c r="O207" s="69"/>
      <c r="P207" s="69" t="s">
        <v>175</v>
      </c>
      <c r="Q207" s="69"/>
      <c r="R207" s="69"/>
      <c r="S207" s="71"/>
      <c r="T207" s="71"/>
      <c r="U207" s="71">
        <f t="shared" ref="U207" si="53">U208+U209</f>
        <v>469.15642799999995</v>
      </c>
      <c r="V207" s="69"/>
      <c r="W207" s="69"/>
      <c r="X207" s="71">
        <f t="shared" si="51"/>
        <v>0</v>
      </c>
      <c r="Y207" s="71">
        <f t="shared" si="52"/>
        <v>469.15642799999995</v>
      </c>
      <c r="Z207" s="76" t="s">
        <v>183</v>
      </c>
      <c r="AB207" s="17"/>
      <c r="AC207" s="44" t="s">
        <v>146</v>
      </c>
      <c r="AD207" s="17"/>
      <c r="AE207" s="17"/>
      <c r="AF207" s="30"/>
      <c r="AG207" s="17"/>
      <c r="AH207" s="41">
        <f>AH220+AH221</f>
        <v>0</v>
      </c>
      <c r="AI207" s="20" t="s">
        <v>96</v>
      </c>
    </row>
    <row r="208" spans="15:35" ht="15.75" hidden="1" outlineLevel="1" x14ac:dyDescent="0.3">
      <c r="O208" s="17"/>
      <c r="P208" s="17"/>
      <c r="Q208" s="17" t="s">
        <v>43</v>
      </c>
      <c r="R208" s="17"/>
      <c r="S208" s="43"/>
      <c r="T208" s="43"/>
      <c r="U208" s="43">
        <f>IF(NOT(ISBLANK('Referenz Plattenfertiger'!$I32)),'Referenz Plattenfertiger'!$I32,'Referenz Plattenfertiger'!$F32)*IF(NOT(ISBLANK('Eingabe EF'!$BA17)),'Eingabe EF'!$BA17,'Eingabe EF'!$AY17)</f>
        <v>109.4698332</v>
      </c>
      <c r="V208" s="17"/>
      <c r="W208" s="17"/>
      <c r="X208" s="37">
        <f t="shared" si="49"/>
        <v>0</v>
      </c>
      <c r="Y208" s="37">
        <f t="shared" si="50"/>
        <v>109.4698332</v>
      </c>
      <c r="Z208" s="17" t="s">
        <v>184</v>
      </c>
      <c r="AB208" s="17"/>
      <c r="AC208" s="17"/>
      <c r="AD208" s="17"/>
      <c r="AE208" s="17"/>
      <c r="AF208" s="17"/>
      <c r="AG208" s="17"/>
      <c r="AH208" s="17"/>
      <c r="AI208" s="17"/>
    </row>
    <row r="209" spans="15:35" ht="15.75" hidden="1" outlineLevel="1" x14ac:dyDescent="0.3">
      <c r="O209" s="17"/>
      <c r="P209" s="17"/>
      <c r="Q209" s="17" t="s">
        <v>44</v>
      </c>
      <c r="R209" s="17"/>
      <c r="S209" s="43"/>
      <c r="T209" s="43"/>
      <c r="U209" s="43">
        <f>IF(NOT(ISBLANK('Referenz Plattenfertiger'!$I33)),'Referenz Plattenfertiger'!$I33,'Referenz Plattenfertiger'!$F33)*IF(NOT(ISBLANK('Eingabe EF'!$BA18)),'Eingabe EF'!$BA18,'Eingabe EF'!$AY18)</f>
        <v>359.68659479999997</v>
      </c>
      <c r="V209" s="17"/>
      <c r="W209" s="17"/>
      <c r="X209" s="37">
        <f t="shared" si="49"/>
        <v>0</v>
      </c>
      <c r="Y209" s="37">
        <f t="shared" si="50"/>
        <v>359.68659479999997</v>
      </c>
      <c r="Z209" s="17" t="s">
        <v>184</v>
      </c>
      <c r="AB209" s="17"/>
      <c r="AC209" s="17"/>
      <c r="AD209" s="17"/>
      <c r="AE209" s="17"/>
      <c r="AF209" s="17"/>
      <c r="AG209" s="17"/>
      <c r="AH209" s="17"/>
      <c r="AI209" s="17"/>
    </row>
    <row r="210" spans="15:35" ht="15.75" hidden="1" outlineLevel="1" x14ac:dyDescent="0.3">
      <c r="O210" s="17"/>
      <c r="P210" s="17"/>
      <c r="Q210" s="17"/>
      <c r="R210" s="17"/>
      <c r="S210" s="20"/>
      <c r="T210" s="20"/>
      <c r="U210" s="20"/>
      <c r="V210" s="17"/>
      <c r="W210" s="17"/>
      <c r="X210" s="20"/>
      <c r="Y210" s="20"/>
      <c r="Z210" s="17"/>
      <c r="AB210" s="17"/>
      <c r="AC210" s="17" t="s">
        <v>186</v>
      </c>
      <c r="AD210" s="17"/>
      <c r="AE210" s="17"/>
      <c r="AF210" s="30"/>
      <c r="AG210" s="17"/>
      <c r="AH210" s="41">
        <f>S254*IF(NOT(ISBLANK('Eingabe Preise'!$O21)),'Eingabe Preise'!$O21,'Eingabe Preise'!$M21)</f>
        <v>7594.5884048000007</v>
      </c>
      <c r="AI210" s="20" t="s">
        <v>96</v>
      </c>
    </row>
    <row r="211" spans="15:35" ht="15.75" hidden="1" outlineLevel="1" x14ac:dyDescent="0.3">
      <c r="O211" s="69"/>
      <c r="P211" s="69" t="s">
        <v>66</v>
      </c>
      <c r="Q211" s="70"/>
      <c r="R211" s="70"/>
      <c r="S211" s="71"/>
      <c r="T211" s="71"/>
      <c r="U211" s="71">
        <f>SUM(U212:U215)</f>
        <v>4548.5439999999999</v>
      </c>
      <c r="V211" s="70"/>
      <c r="W211" s="70"/>
      <c r="X211" s="71">
        <f t="shared" ref="X211:X215" si="54">S211+T211</f>
        <v>0</v>
      </c>
      <c r="Y211" s="71">
        <f t="shared" ref="Y211" si="55">SUM(S211:U211)</f>
        <v>4548.5439999999999</v>
      </c>
      <c r="Z211" s="76" t="s">
        <v>183</v>
      </c>
      <c r="AB211" s="17"/>
      <c r="AC211" s="17" t="s">
        <v>187</v>
      </c>
      <c r="AD211" s="17"/>
      <c r="AE211" s="17"/>
      <c r="AF211" s="30"/>
      <c r="AG211" s="17"/>
      <c r="AH211" s="41">
        <f>T254*IF(NOT(ISBLANK('Eingabe Preise'!$O22)),'Eingabe Preise'!$O22,'Eingabe Preise'!$M22)</f>
        <v>3829.9367459802124</v>
      </c>
      <c r="AI211" s="20" t="s">
        <v>96</v>
      </c>
    </row>
    <row r="212" spans="15:35" ht="15.75" hidden="1" outlineLevel="1" x14ac:dyDescent="0.3">
      <c r="O212" s="17"/>
      <c r="P212" s="17"/>
      <c r="Q212" s="17" t="s">
        <v>45</v>
      </c>
      <c r="R212" s="17"/>
      <c r="S212" s="37"/>
      <c r="T212" s="37"/>
      <c r="U212" s="37">
        <f>'M1 Härtekammern'!T206</f>
        <v>1210.3</v>
      </c>
      <c r="V212" s="17"/>
      <c r="W212" s="17"/>
      <c r="X212" s="37">
        <f t="shared" si="54"/>
        <v>0</v>
      </c>
      <c r="Y212" s="37">
        <f t="shared" ref="Y212:Y215" si="56">SUM(S212:U212)</f>
        <v>1210.3</v>
      </c>
      <c r="Z212" s="17" t="s">
        <v>184</v>
      </c>
      <c r="AB212" s="17"/>
      <c r="AC212" s="17" t="s">
        <v>188</v>
      </c>
      <c r="AD212" s="17"/>
      <c r="AE212" s="17"/>
      <c r="AF212" s="30"/>
      <c r="AG212" s="17"/>
      <c r="AH212" s="41">
        <f>U254*IF(NOT(ISBLANK('Eingabe Preise'!$O23)),'Eingabe Preise'!$O23,'Eingabe Preise'!$M23)</f>
        <v>459088.01532050723</v>
      </c>
      <c r="AI212" s="20" t="s">
        <v>96</v>
      </c>
    </row>
    <row r="213" spans="15:35" ht="15.75" hidden="1" outlineLevel="1" x14ac:dyDescent="0.3">
      <c r="O213" s="17"/>
      <c r="P213" s="17"/>
      <c r="Q213" s="17" t="s">
        <v>47</v>
      </c>
      <c r="R213" s="17"/>
      <c r="S213" s="37"/>
      <c r="T213" s="37"/>
      <c r="U213" s="37">
        <f>'M1 Härtekammern'!T207</f>
        <v>2415.5039999999999</v>
      </c>
      <c r="V213" s="17"/>
      <c r="W213" s="17"/>
      <c r="X213" s="37">
        <f t="shared" si="54"/>
        <v>0</v>
      </c>
      <c r="Y213" s="37">
        <f t="shared" si="56"/>
        <v>2415.5039999999999</v>
      </c>
      <c r="Z213" s="17" t="s">
        <v>184</v>
      </c>
      <c r="AB213" s="17"/>
      <c r="AC213" s="17" t="s">
        <v>470</v>
      </c>
      <c r="AD213" s="17"/>
      <c r="AE213" s="17"/>
      <c r="AF213" s="17"/>
      <c r="AG213" s="17"/>
      <c r="AH213" s="17"/>
      <c r="AI213" s="17"/>
    </row>
    <row r="214" spans="15:35" ht="15.75" hidden="1" outlineLevel="1" x14ac:dyDescent="0.3">
      <c r="O214" s="17"/>
      <c r="P214" s="17"/>
      <c r="Q214" s="17" t="s">
        <v>48</v>
      </c>
      <c r="R214" s="17"/>
      <c r="S214" s="37"/>
      <c r="T214" s="37"/>
      <c r="U214" s="37">
        <f>'M1 Härtekammern'!T208</f>
        <v>922.7399999999999</v>
      </c>
      <c r="V214" s="17"/>
      <c r="W214" s="17"/>
      <c r="X214" s="37">
        <f t="shared" si="54"/>
        <v>0</v>
      </c>
      <c r="Y214" s="37">
        <f t="shared" si="56"/>
        <v>922.7399999999999</v>
      </c>
      <c r="Z214" s="17" t="s">
        <v>184</v>
      </c>
      <c r="AB214" s="17"/>
      <c r="AC214" s="17" t="s">
        <v>471</v>
      </c>
      <c r="AD214" s="17"/>
      <c r="AE214" s="17"/>
      <c r="AF214" s="17"/>
      <c r="AG214" s="17"/>
      <c r="AH214" s="17"/>
      <c r="AI214" s="17"/>
    </row>
    <row r="215" spans="15:35" ht="15.75" hidden="1" outlineLevel="1" x14ac:dyDescent="0.3">
      <c r="O215" s="17"/>
      <c r="P215" s="17"/>
      <c r="Q215" s="17" t="s">
        <v>147</v>
      </c>
      <c r="R215" s="17"/>
      <c r="S215" s="37"/>
      <c r="T215" s="37"/>
      <c r="U215" s="37">
        <f>'M1 Härtekammern'!T209</f>
        <v>0</v>
      </c>
      <c r="V215" s="17"/>
      <c r="W215" s="17"/>
      <c r="X215" s="37">
        <f t="shared" si="54"/>
        <v>0</v>
      </c>
      <c r="Y215" s="37">
        <f t="shared" si="56"/>
        <v>0</v>
      </c>
      <c r="Z215" s="17" t="s">
        <v>184</v>
      </c>
      <c r="AB215" s="17"/>
      <c r="AC215" s="17"/>
      <c r="AD215" s="17"/>
      <c r="AE215" s="17"/>
      <c r="AF215" s="18"/>
      <c r="AG215" s="17"/>
      <c r="AH215" s="18"/>
      <c r="AI215" s="18"/>
    </row>
    <row r="216" spans="15:35" hidden="1" outlineLevel="1" x14ac:dyDescent="0.2">
      <c r="O216" s="17"/>
      <c r="P216" s="17"/>
      <c r="Q216" s="17"/>
      <c r="R216" s="17"/>
      <c r="S216" s="17"/>
      <c r="T216" s="17"/>
      <c r="U216" s="17"/>
      <c r="V216" s="17"/>
      <c r="W216" s="17"/>
      <c r="X216" s="20"/>
      <c r="Y216" s="20"/>
      <c r="Z216" s="17"/>
      <c r="AB216" s="21" t="s">
        <v>209</v>
      </c>
      <c r="AC216" s="17" t="s">
        <v>472</v>
      </c>
      <c r="AD216" s="17"/>
      <c r="AE216" s="17"/>
      <c r="AF216" s="17"/>
      <c r="AG216" s="17"/>
      <c r="AH216" s="17"/>
      <c r="AI216" s="17"/>
    </row>
    <row r="217" spans="15:35" ht="14.25" hidden="1" outlineLevel="1" x14ac:dyDescent="0.25">
      <c r="O217" s="69"/>
      <c r="P217" s="69" t="s">
        <v>163</v>
      </c>
      <c r="Q217" s="70"/>
      <c r="R217" s="70"/>
      <c r="S217" s="71"/>
      <c r="T217" s="71"/>
      <c r="U217" s="71">
        <f>SUM(U218:U222)</f>
        <v>129.59200000000001</v>
      </c>
      <c r="V217" s="70"/>
      <c r="W217" s="70"/>
      <c r="X217" s="71">
        <f t="shared" ref="X217" si="57">S217+T217</f>
        <v>0</v>
      </c>
      <c r="Y217" s="71">
        <f t="shared" ref="Y217" si="58">SUM(S217:U217)</f>
        <v>129.59200000000001</v>
      </c>
      <c r="Z217" s="76" t="s">
        <v>183</v>
      </c>
      <c r="AB217" s="17"/>
      <c r="AC217" s="17" t="s">
        <v>473</v>
      </c>
      <c r="AD217" s="17"/>
      <c r="AE217" s="17"/>
      <c r="AF217" s="18">
        <f>S80</f>
        <v>5</v>
      </c>
      <c r="AG217" s="17"/>
      <c r="AH217" s="41">
        <f>IF(IF(NOT(ISBLANK($G$23)),$G$23,$E$23)&gt;5,AH134,0)</f>
        <v>36000</v>
      </c>
      <c r="AI217" s="20" t="s">
        <v>96</v>
      </c>
    </row>
    <row r="218" spans="15:35" ht="15.75" hidden="1" outlineLevel="1" x14ac:dyDescent="0.3">
      <c r="O218" s="17"/>
      <c r="P218" s="17"/>
      <c r="Q218" s="17" t="s">
        <v>164</v>
      </c>
      <c r="R218" s="17"/>
      <c r="S218" s="37"/>
      <c r="T218" s="37"/>
      <c r="U218" s="37">
        <f>'M1 Härtekammern'!T212</f>
        <v>129.59200000000001</v>
      </c>
      <c r="V218" s="17"/>
      <c r="W218" s="17"/>
      <c r="X218" s="37">
        <f>S218+T218</f>
        <v>0</v>
      </c>
      <c r="Y218" s="37">
        <f>SUM(S218:U218)</f>
        <v>129.59200000000001</v>
      </c>
      <c r="Z218" s="17" t="s">
        <v>184</v>
      </c>
      <c r="AB218" s="17"/>
      <c r="AC218" s="17" t="s">
        <v>440</v>
      </c>
      <c r="AD218" s="17"/>
      <c r="AE218" s="17"/>
      <c r="AF218" s="17">
        <f>T80</f>
        <v>10</v>
      </c>
      <c r="AG218" s="17"/>
      <c r="AH218" s="41">
        <f>IF(NOT(ISBLANK($K$18)),$K$18,$I$18)/IF(NOT(ISBLANK($K$23)),$K$23,$I$23)+IF(NOT(ISBLANK($K$18)),$K$18,$I$18)*(IF(NOT(ISBLANK($K$24)),$K$24,$I$24)/100)</f>
        <v>0</v>
      </c>
      <c r="AI218" s="20" t="s">
        <v>96</v>
      </c>
    </row>
    <row r="219" spans="15:35" ht="15.75" hidden="1" outlineLevel="1" x14ac:dyDescent="0.3">
      <c r="O219" s="17"/>
      <c r="P219" s="17"/>
      <c r="Q219" s="17" t="s">
        <v>165</v>
      </c>
      <c r="R219" s="17"/>
      <c r="S219" s="37"/>
      <c r="T219" s="37"/>
      <c r="U219" s="37">
        <f>'M1 Härtekammern'!T213</f>
        <v>0</v>
      </c>
      <c r="V219" s="17"/>
      <c r="W219" s="17"/>
      <c r="X219" s="37">
        <f>S219+T219</f>
        <v>0</v>
      </c>
      <c r="Y219" s="37">
        <f t="shared" ref="Y219:Y220" si="59">SUM(S219:U219)</f>
        <v>0</v>
      </c>
      <c r="Z219" s="17" t="s">
        <v>184</v>
      </c>
      <c r="AB219" s="17"/>
      <c r="AC219" s="17"/>
      <c r="AD219" s="17"/>
      <c r="AE219" s="17"/>
      <c r="AF219" s="18"/>
      <c r="AG219" s="17"/>
      <c r="AH219" s="18"/>
      <c r="AI219" s="18"/>
    </row>
    <row r="220" spans="15:35" ht="15.75" hidden="1" outlineLevel="1" x14ac:dyDescent="0.3">
      <c r="O220" s="17"/>
      <c r="P220" s="17"/>
      <c r="Q220" s="17" t="s">
        <v>166</v>
      </c>
      <c r="R220" s="17"/>
      <c r="S220" s="37"/>
      <c r="T220" s="37"/>
      <c r="U220" s="37">
        <f>'M1 Härtekammern'!T214</f>
        <v>0</v>
      </c>
      <c r="V220" s="17"/>
      <c r="W220" s="17"/>
      <c r="X220" s="37">
        <f t="shared" ref="X220" si="60">S220+T220</f>
        <v>0</v>
      </c>
      <c r="Y220" s="37">
        <f t="shared" si="59"/>
        <v>0</v>
      </c>
      <c r="Z220" s="17" t="s">
        <v>184</v>
      </c>
      <c r="AB220" s="17"/>
      <c r="AC220" s="17" t="s">
        <v>442</v>
      </c>
      <c r="AD220" s="17"/>
      <c r="AE220" s="17"/>
      <c r="AF220" s="17">
        <f>AF217</f>
        <v>5</v>
      </c>
      <c r="AG220" s="17"/>
      <c r="AH220" s="41">
        <f>IF(IF(NOT(ISBLANK($G$23)),$G$23,$E$23)&gt;5,AH136,0)</f>
        <v>0</v>
      </c>
      <c r="AI220" s="20" t="s">
        <v>96</v>
      </c>
    </row>
    <row r="221" spans="15:35" ht="15.75" hidden="1" outlineLevel="1" x14ac:dyDescent="0.3">
      <c r="O221" s="17"/>
      <c r="P221" s="17"/>
      <c r="Q221" s="17" t="str">
        <f>'M1 Härtekammern'!P215</f>
        <v>Weiterer Zuschlagstoff 1</v>
      </c>
      <c r="R221" s="17"/>
      <c r="S221" s="37"/>
      <c r="T221" s="37"/>
      <c r="U221" s="37">
        <f>'M1 Härtekammern'!T215</f>
        <v>0</v>
      </c>
      <c r="V221" s="17"/>
      <c r="W221" s="17"/>
      <c r="X221" s="37">
        <f t="shared" ref="X221:X222" si="61">S221+T221</f>
        <v>0</v>
      </c>
      <c r="Y221" s="37">
        <f t="shared" ref="Y221:Y222" si="62">SUM(S221:U221)</f>
        <v>0</v>
      </c>
      <c r="Z221" s="17" t="s">
        <v>184</v>
      </c>
      <c r="AB221" s="17"/>
      <c r="AC221" s="17" t="s">
        <v>442</v>
      </c>
      <c r="AD221" s="17"/>
      <c r="AE221" s="17"/>
      <c r="AF221" s="17">
        <f>AF218</f>
        <v>10</v>
      </c>
      <c r="AG221" s="17"/>
      <c r="AH221" s="41">
        <f>IF(NOT(ISBLANK($K$20)),$K$20,$I$20)/IF(NOT(ISBLANK($K$23)),$K$23,$I$23)+IF(NOT(ISBLANK($K$20)),$K$20,$I$20)*(IF(NOT(ISBLANK($K$24)),$K$24,$I$24)/100)</f>
        <v>0</v>
      </c>
      <c r="AI221" s="20" t="s">
        <v>96</v>
      </c>
    </row>
    <row r="222" spans="15:35" ht="15.75" hidden="1" outlineLevel="1" x14ac:dyDescent="0.3">
      <c r="O222" s="17"/>
      <c r="P222" s="17"/>
      <c r="Q222" s="17" t="str">
        <f>'M1 Härtekammern'!P216</f>
        <v>Weiterer Zuschlagstoff 2</v>
      </c>
      <c r="R222" s="17"/>
      <c r="S222" s="37"/>
      <c r="T222" s="37"/>
      <c r="U222" s="37">
        <f>'M1 Härtekammern'!T216</f>
        <v>0</v>
      </c>
      <c r="V222" s="17"/>
      <c r="W222" s="17"/>
      <c r="X222" s="37">
        <f t="shared" si="61"/>
        <v>0</v>
      </c>
      <c r="Y222" s="37">
        <f t="shared" si="62"/>
        <v>0</v>
      </c>
      <c r="Z222" s="17" t="s">
        <v>184</v>
      </c>
      <c r="AB222" s="17"/>
      <c r="AC222" s="17"/>
      <c r="AD222" s="17"/>
      <c r="AE222" s="17"/>
      <c r="AF222" s="18"/>
      <c r="AG222" s="17"/>
      <c r="AH222" s="18"/>
      <c r="AI222" s="18"/>
    </row>
    <row r="223" spans="15:35" hidden="1" outlineLevel="1" x14ac:dyDescent="0.2">
      <c r="O223" s="17"/>
      <c r="P223" s="17"/>
      <c r="Q223" s="17"/>
      <c r="R223" s="17"/>
      <c r="S223" s="17"/>
      <c r="T223" s="17"/>
      <c r="U223" s="17"/>
      <c r="V223" s="17"/>
      <c r="W223" s="17"/>
      <c r="X223" s="20"/>
      <c r="Y223" s="20"/>
      <c r="Z223" s="17"/>
      <c r="AB223" s="17"/>
      <c r="AC223" s="17"/>
      <c r="AD223" s="17"/>
      <c r="AE223" s="17"/>
      <c r="AF223" s="17"/>
      <c r="AG223" s="17"/>
      <c r="AH223" s="17"/>
      <c r="AI223" s="17"/>
    </row>
    <row r="224" spans="15:35" ht="14.25" hidden="1" outlineLevel="1" x14ac:dyDescent="0.25">
      <c r="O224" s="17"/>
      <c r="P224" s="17"/>
      <c r="Q224" s="21" t="s">
        <v>55</v>
      </c>
      <c r="R224" s="21"/>
      <c r="S224" s="74"/>
      <c r="T224" s="74"/>
      <c r="U224" s="37">
        <f>'M1 Härtekammern'!T218</f>
        <v>208</v>
      </c>
      <c r="V224" s="21"/>
      <c r="W224" s="21"/>
      <c r="X224" s="74">
        <f>S224+T224</f>
        <v>0</v>
      </c>
      <c r="Y224" s="74">
        <f t="shared" ref="Y224" si="63">SUM(S224:U224)</f>
        <v>208</v>
      </c>
      <c r="Z224" s="21" t="s">
        <v>183</v>
      </c>
      <c r="AB224" s="17"/>
      <c r="AC224" s="17"/>
      <c r="AD224" s="17"/>
      <c r="AE224" s="17"/>
      <c r="AF224" s="18"/>
      <c r="AG224" s="17"/>
      <c r="AH224" s="18"/>
      <c r="AI224" s="18"/>
    </row>
    <row r="225" spans="15:26" hidden="1" outlineLevel="1" x14ac:dyDescent="0.2">
      <c r="O225" s="17"/>
      <c r="P225" s="17"/>
      <c r="Q225" s="17"/>
      <c r="R225" s="17"/>
      <c r="S225" s="17"/>
      <c r="T225" s="17"/>
      <c r="U225" s="17"/>
      <c r="V225" s="17"/>
      <c r="W225" s="17"/>
      <c r="X225" s="20"/>
      <c r="Y225" s="20"/>
      <c r="Z225" s="17"/>
    </row>
    <row r="226" spans="15:26" ht="14.25" hidden="1" outlineLevel="1" x14ac:dyDescent="0.25">
      <c r="O226" s="69"/>
      <c r="P226" s="69" t="s">
        <v>167</v>
      </c>
      <c r="Q226" s="70"/>
      <c r="R226" s="70"/>
      <c r="S226" s="71"/>
      <c r="T226" s="71"/>
      <c r="U226" s="71">
        <f>SUM(U227:U231)</f>
        <v>81.003999999999991</v>
      </c>
      <c r="V226" s="70"/>
      <c r="W226" s="70"/>
      <c r="X226" s="71">
        <f t="shared" ref="X226" si="64">S226+T226</f>
        <v>0</v>
      </c>
      <c r="Y226" s="71">
        <f t="shared" ref="Y226" si="65">SUM(S226:U226)</f>
        <v>81.003999999999991</v>
      </c>
      <c r="Z226" s="76" t="s">
        <v>183</v>
      </c>
    </row>
    <row r="227" spans="15:26" ht="15.75" hidden="1" outlineLevel="1" x14ac:dyDescent="0.3">
      <c r="O227" s="17"/>
      <c r="P227" s="17"/>
      <c r="Q227" s="17" t="s">
        <v>57</v>
      </c>
      <c r="R227" s="17"/>
      <c r="S227" s="37"/>
      <c r="T227" s="37"/>
      <c r="U227" s="37">
        <f>'M1 Härtekammern'!T221</f>
        <v>0</v>
      </c>
      <c r="V227" s="17"/>
      <c r="W227" s="17"/>
      <c r="X227" s="37">
        <f>S227+T227</f>
        <v>0</v>
      </c>
      <c r="Y227" s="37">
        <f>SUM(S227:U227)</f>
        <v>0</v>
      </c>
      <c r="Z227" s="17" t="s">
        <v>184</v>
      </c>
    </row>
    <row r="228" spans="15:26" ht="15.75" hidden="1" outlineLevel="1" x14ac:dyDescent="0.3">
      <c r="O228" s="17"/>
      <c r="P228" s="17"/>
      <c r="Q228" s="17" t="s">
        <v>58</v>
      </c>
      <c r="R228" s="17"/>
      <c r="S228" s="37"/>
      <c r="T228" s="37"/>
      <c r="U228" s="37">
        <f>'M1 Härtekammern'!T222</f>
        <v>8.6840000000000011</v>
      </c>
      <c r="V228" s="17"/>
      <c r="W228" s="17"/>
      <c r="X228" s="37">
        <f>S228+T228</f>
        <v>0</v>
      </c>
      <c r="Y228" s="37">
        <f>SUM(S228:U228)</f>
        <v>8.6840000000000011</v>
      </c>
      <c r="Z228" s="17" t="s">
        <v>184</v>
      </c>
    </row>
    <row r="229" spans="15:26" ht="15.75" hidden="1" outlineLevel="1" x14ac:dyDescent="0.3">
      <c r="O229" s="17"/>
      <c r="P229" s="17"/>
      <c r="Q229" s="17" t="s">
        <v>59</v>
      </c>
      <c r="R229" s="17"/>
      <c r="S229" s="37"/>
      <c r="T229" s="37"/>
      <c r="U229" s="37">
        <f>'M1 Härtekammern'!T223</f>
        <v>72.319999999999993</v>
      </c>
      <c r="V229" s="17"/>
      <c r="W229" s="17"/>
      <c r="X229" s="37">
        <f>S229+T229</f>
        <v>0</v>
      </c>
      <c r="Y229" s="37">
        <f>SUM(S229:U229)</f>
        <v>72.319999999999993</v>
      </c>
      <c r="Z229" s="17" t="s">
        <v>184</v>
      </c>
    </row>
    <row r="230" spans="15:26" ht="15.75" hidden="1" outlineLevel="1" x14ac:dyDescent="0.3">
      <c r="O230" s="17"/>
      <c r="P230" s="17"/>
      <c r="Q230" s="17" t="str">
        <f>'M1 Härtekammern'!P224</f>
        <v>Weiterer Zusatzstoff 1</v>
      </c>
      <c r="R230" s="17"/>
      <c r="S230" s="37"/>
      <c r="T230" s="37"/>
      <c r="U230" s="37">
        <f>'M1 Härtekammern'!T224</f>
        <v>0</v>
      </c>
      <c r="V230" s="17"/>
      <c r="W230" s="17"/>
      <c r="X230" s="37">
        <f t="shared" ref="X230:X231" si="66">S230+T230</f>
        <v>0</v>
      </c>
      <c r="Y230" s="37">
        <f t="shared" ref="Y230:Y231" si="67">SUM(S230:U230)</f>
        <v>0</v>
      </c>
      <c r="Z230" s="17" t="s">
        <v>184</v>
      </c>
    </row>
    <row r="231" spans="15:26" ht="15.75" hidden="1" outlineLevel="1" x14ac:dyDescent="0.3">
      <c r="O231" s="17"/>
      <c r="P231" s="17"/>
      <c r="Q231" s="17" t="str">
        <f>'M1 Härtekammern'!P225</f>
        <v>Weiterer Zusatzstoff 2</v>
      </c>
      <c r="R231" s="17"/>
      <c r="S231" s="37"/>
      <c r="T231" s="37"/>
      <c r="U231" s="37">
        <f>'M1 Härtekammern'!T225</f>
        <v>0</v>
      </c>
      <c r="V231" s="17"/>
      <c r="W231" s="17"/>
      <c r="X231" s="37">
        <f t="shared" si="66"/>
        <v>0</v>
      </c>
      <c r="Y231" s="37">
        <f t="shared" si="67"/>
        <v>0</v>
      </c>
      <c r="Z231" s="17" t="s">
        <v>184</v>
      </c>
    </row>
    <row r="232" spans="15:26" hidden="1" outlineLevel="1" x14ac:dyDescent="0.2">
      <c r="O232" s="17"/>
      <c r="P232" s="17"/>
      <c r="Q232" s="17"/>
      <c r="R232" s="17"/>
      <c r="S232" s="17"/>
      <c r="T232" s="17"/>
      <c r="U232" s="17"/>
      <c r="V232" s="17"/>
      <c r="W232" s="17"/>
      <c r="X232" s="17"/>
      <c r="Y232" s="20"/>
      <c r="Z232" s="20"/>
    </row>
    <row r="233" spans="15:26" ht="14.25" hidden="1" outlineLevel="1" x14ac:dyDescent="0.25">
      <c r="O233" s="69"/>
      <c r="P233" s="69" t="s">
        <v>49</v>
      </c>
      <c r="Q233" s="70"/>
      <c r="R233" s="70"/>
      <c r="S233" s="71"/>
      <c r="T233" s="71"/>
      <c r="U233" s="71">
        <f t="shared" ref="U233" si="68">SUM(U234:U237)</f>
        <v>148.44746134951595</v>
      </c>
      <c r="V233" s="70"/>
      <c r="W233" s="70"/>
      <c r="X233" s="71">
        <f t="shared" ref="X233:X237" si="69">S233+T233</f>
        <v>0</v>
      </c>
      <c r="Y233" s="71">
        <f t="shared" ref="Y233" si="70">SUM(S233:U233)</f>
        <v>148.44746134951595</v>
      </c>
      <c r="Z233" s="76" t="s">
        <v>183</v>
      </c>
    </row>
    <row r="234" spans="15:26" ht="15.75" hidden="1" outlineLevel="1" x14ac:dyDescent="0.3">
      <c r="O234" s="17"/>
      <c r="P234" s="17"/>
      <c r="Q234" s="17" t="s">
        <v>50</v>
      </c>
      <c r="R234" s="17"/>
      <c r="S234" s="37"/>
      <c r="T234" s="37"/>
      <c r="U234" s="37">
        <f>'M1 Härtekammern'!T228</f>
        <v>47.997919375812742</v>
      </c>
      <c r="V234" s="17"/>
      <c r="W234" s="17"/>
      <c r="X234" s="37">
        <f t="shared" si="69"/>
        <v>0</v>
      </c>
      <c r="Y234" s="37">
        <f t="shared" ref="Y234:Y237" si="71">SUM(S234:U234)</f>
        <v>47.997919375812742</v>
      </c>
      <c r="Z234" s="17" t="s">
        <v>184</v>
      </c>
    </row>
    <row r="235" spans="15:26" ht="15.75" hidden="1" outlineLevel="1" x14ac:dyDescent="0.3">
      <c r="O235" s="17"/>
      <c r="P235" s="17"/>
      <c r="Q235" s="17" t="s">
        <v>52</v>
      </c>
      <c r="R235" s="17"/>
      <c r="S235" s="37"/>
      <c r="T235" s="37"/>
      <c r="U235" s="37">
        <f>'M1 Härtekammern'!T229</f>
        <v>5.7797543707556596</v>
      </c>
      <c r="V235" s="17"/>
      <c r="W235" s="17"/>
      <c r="X235" s="37">
        <f t="shared" si="69"/>
        <v>0</v>
      </c>
      <c r="Y235" s="37">
        <f t="shared" si="71"/>
        <v>5.7797543707556596</v>
      </c>
      <c r="Z235" s="17" t="s">
        <v>184</v>
      </c>
    </row>
    <row r="236" spans="15:26" ht="15.75" hidden="1" outlineLevel="1" x14ac:dyDescent="0.3">
      <c r="O236" s="17"/>
      <c r="P236" s="17"/>
      <c r="Q236" s="17" t="s">
        <v>53</v>
      </c>
      <c r="R236" s="17"/>
      <c r="S236" s="37"/>
      <c r="T236" s="37"/>
      <c r="U236" s="37">
        <f>'M1 Härtekammern'!T230</f>
        <v>1.4217598612917211E-2</v>
      </c>
      <c r="V236" s="17"/>
      <c r="W236" s="17"/>
      <c r="X236" s="37">
        <f t="shared" si="69"/>
        <v>0</v>
      </c>
      <c r="Y236" s="37">
        <f t="shared" si="71"/>
        <v>1.4217598612917211E-2</v>
      </c>
      <c r="Z236" s="17" t="s">
        <v>184</v>
      </c>
    </row>
    <row r="237" spans="15:26" ht="15.75" hidden="1" outlineLevel="1" x14ac:dyDescent="0.3">
      <c r="O237" s="17"/>
      <c r="P237" s="17"/>
      <c r="Q237" s="17" t="s">
        <v>54</v>
      </c>
      <c r="R237" s="17"/>
      <c r="S237" s="37"/>
      <c r="T237" s="37"/>
      <c r="U237" s="37">
        <f>'M1 Härtekammern'!T231</f>
        <v>94.655570004334635</v>
      </c>
      <c r="V237" s="17"/>
      <c r="W237" s="17"/>
      <c r="X237" s="37">
        <f t="shared" si="69"/>
        <v>0</v>
      </c>
      <c r="Y237" s="37">
        <f t="shared" si="71"/>
        <v>94.655570004334635</v>
      </c>
      <c r="Z237" s="17" t="s">
        <v>184</v>
      </c>
    </row>
    <row r="238" spans="15:26" hidden="1" outlineLevel="1" x14ac:dyDescent="0.2">
      <c r="O238" s="17"/>
      <c r="P238" s="17"/>
      <c r="Q238" s="17"/>
      <c r="R238" s="17"/>
      <c r="S238" s="17"/>
      <c r="T238" s="17"/>
      <c r="U238" s="17"/>
      <c r="V238" s="17"/>
      <c r="W238" s="17"/>
      <c r="X238" s="17"/>
      <c r="Y238" s="17"/>
      <c r="Z238" s="20"/>
    </row>
    <row r="239" spans="15:26" ht="14.25" hidden="1" outlineLevel="1" x14ac:dyDescent="0.25">
      <c r="O239" s="17"/>
      <c r="P239" s="17"/>
      <c r="Q239" s="21" t="s">
        <v>99</v>
      </c>
      <c r="R239" s="21"/>
      <c r="S239" s="74"/>
      <c r="T239" s="74"/>
      <c r="U239" s="37">
        <f>'M1 Härtekammern'!T233</f>
        <v>0</v>
      </c>
      <c r="V239" s="21"/>
      <c r="W239" s="21"/>
      <c r="X239" s="74">
        <f>S239+T239</f>
        <v>0</v>
      </c>
      <c r="Y239" s="74">
        <f>SUM(S239:U239)</f>
        <v>0</v>
      </c>
      <c r="Z239" s="21" t="s">
        <v>183</v>
      </c>
    </row>
    <row r="240" spans="15:26" ht="14.25" hidden="1" outlineLevel="1" x14ac:dyDescent="0.25">
      <c r="O240" s="17"/>
      <c r="P240" s="17"/>
      <c r="Q240" s="21" t="s">
        <v>62</v>
      </c>
      <c r="R240" s="21"/>
      <c r="S240" s="75"/>
      <c r="T240" s="75"/>
      <c r="U240" s="37">
        <f>'M1 Härtekammern'!T234</f>
        <v>0.54400000000000004</v>
      </c>
      <c r="V240" s="21"/>
      <c r="W240" s="21"/>
      <c r="X240" s="74">
        <f>S240+T240</f>
        <v>0</v>
      </c>
      <c r="Y240" s="74">
        <f>SUM(S240:U240)</f>
        <v>0.54400000000000004</v>
      </c>
      <c r="Z240" s="21" t="s">
        <v>183</v>
      </c>
    </row>
    <row r="241" spans="15:26" hidden="1" outlineLevel="1" x14ac:dyDescent="0.2">
      <c r="O241" s="17"/>
      <c r="P241" s="17"/>
      <c r="Q241" s="17"/>
      <c r="R241" s="17"/>
      <c r="S241" s="17"/>
      <c r="T241" s="17"/>
      <c r="U241" s="17"/>
      <c r="V241" s="17"/>
      <c r="W241" s="17"/>
      <c r="X241" s="17"/>
      <c r="Y241" s="17"/>
      <c r="Z241" s="20"/>
    </row>
    <row r="242" spans="15:26" ht="14.25" hidden="1" outlineLevel="1" x14ac:dyDescent="0.25">
      <c r="O242" s="69"/>
      <c r="P242" s="69" t="s">
        <v>168</v>
      </c>
      <c r="Q242" s="70"/>
      <c r="R242" s="70"/>
      <c r="S242" s="71"/>
      <c r="T242" s="71"/>
      <c r="U242" s="71">
        <f t="shared" ref="U242" si="72">SUM(U243:U245)</f>
        <v>0.16095999999999999</v>
      </c>
      <c r="V242" s="70"/>
      <c r="W242" s="70"/>
      <c r="X242" s="71">
        <f t="shared" ref="X242" si="73">S242+T242</f>
        <v>0</v>
      </c>
      <c r="Y242" s="71">
        <f t="shared" ref="Y242" si="74">SUM(S242:U242)</f>
        <v>0.16095999999999999</v>
      </c>
      <c r="Z242" s="76" t="s">
        <v>183</v>
      </c>
    </row>
    <row r="243" spans="15:26" ht="15.75" hidden="1" outlineLevel="1" x14ac:dyDescent="0.3">
      <c r="O243" s="17"/>
      <c r="P243" s="17"/>
      <c r="Q243" s="17" t="s">
        <v>169</v>
      </c>
      <c r="R243" s="17"/>
      <c r="S243" s="37"/>
      <c r="T243" s="37"/>
      <c r="U243" s="37">
        <f>'M1 Härtekammern'!T237</f>
        <v>0</v>
      </c>
      <c r="V243" s="17"/>
      <c r="W243" s="17"/>
      <c r="X243" s="37">
        <f>S243+T243</f>
        <v>0</v>
      </c>
      <c r="Y243" s="37">
        <f>SUM(S243:U243)</f>
        <v>0</v>
      </c>
      <c r="Z243" s="17" t="s">
        <v>184</v>
      </c>
    </row>
    <row r="244" spans="15:26" ht="15.75" hidden="1" outlineLevel="1" x14ac:dyDescent="0.3">
      <c r="O244" s="17"/>
      <c r="P244" s="17"/>
      <c r="Q244" s="17" t="s">
        <v>60</v>
      </c>
      <c r="R244" s="17"/>
      <c r="S244" s="37"/>
      <c r="T244" s="37"/>
      <c r="U244" s="37">
        <f>'M1 Härtekammern'!T238</f>
        <v>0.16095999999999999</v>
      </c>
      <c r="V244" s="17"/>
      <c r="W244" s="17"/>
      <c r="X244" s="37">
        <f t="shared" ref="X244" si="75">S244+T244</f>
        <v>0</v>
      </c>
      <c r="Y244" s="37">
        <f t="shared" ref="Y244" si="76">SUM(S244:U244)</f>
        <v>0.16095999999999999</v>
      </c>
      <c r="Z244" s="17" t="s">
        <v>184</v>
      </c>
    </row>
    <row r="245" spans="15:26" ht="15.75" hidden="1" outlineLevel="1" x14ac:dyDescent="0.3">
      <c r="O245" s="17"/>
      <c r="P245" s="17"/>
      <c r="Q245" s="17" t="s">
        <v>170</v>
      </c>
      <c r="R245" s="17"/>
      <c r="S245" s="37"/>
      <c r="T245" s="37"/>
      <c r="U245" s="37">
        <f>'M1 Härtekammern'!T239</f>
        <v>0</v>
      </c>
      <c r="V245" s="17"/>
      <c r="W245" s="17"/>
      <c r="X245" s="37">
        <f>S245+T245</f>
        <v>0</v>
      </c>
      <c r="Y245" s="37">
        <f>SUM(S245:U245)</f>
        <v>0</v>
      </c>
      <c r="Z245" s="17" t="s">
        <v>184</v>
      </c>
    </row>
    <row r="246" spans="15:26" hidden="1" outlineLevel="1" x14ac:dyDescent="0.2">
      <c r="O246" s="17"/>
      <c r="P246" s="17"/>
      <c r="Q246" s="17"/>
      <c r="R246" s="17"/>
      <c r="S246" s="17"/>
      <c r="T246" s="17"/>
      <c r="U246" s="17"/>
      <c r="V246" s="17"/>
      <c r="W246" s="17"/>
      <c r="X246" s="17"/>
      <c r="Y246" s="17"/>
      <c r="Z246" s="20"/>
    </row>
    <row r="247" spans="15:26" ht="14.25" hidden="1" outlineLevel="1" x14ac:dyDescent="0.25">
      <c r="O247" s="69"/>
      <c r="P247" s="69" t="s">
        <v>171</v>
      </c>
      <c r="Q247" s="70"/>
      <c r="R247" s="70"/>
      <c r="S247" s="71"/>
      <c r="T247" s="71"/>
      <c r="U247" s="71">
        <f t="shared" ref="U247" si="77">SUM(U248:U250)</f>
        <v>60</v>
      </c>
      <c r="V247" s="70"/>
      <c r="W247" s="70"/>
      <c r="X247" s="71">
        <f t="shared" ref="X247" si="78">S247+T247</f>
        <v>0</v>
      </c>
      <c r="Y247" s="71">
        <f t="shared" ref="Y247" si="79">SUM(S247:U247)</f>
        <v>60</v>
      </c>
      <c r="Z247" s="76" t="s">
        <v>183</v>
      </c>
    </row>
    <row r="248" spans="15:26" ht="15.75" hidden="1" outlineLevel="1" x14ac:dyDescent="0.3">
      <c r="O248" s="17"/>
      <c r="P248" s="17"/>
      <c r="Q248" s="17" t="s">
        <v>64</v>
      </c>
      <c r="R248" s="17"/>
      <c r="S248" s="43"/>
      <c r="T248" s="43"/>
      <c r="U248" s="37">
        <f>'M1 Härtekammern'!T242</f>
        <v>60</v>
      </c>
      <c r="V248" s="17"/>
      <c r="W248" s="17"/>
      <c r="X248" s="37">
        <f>S248+T248</f>
        <v>0</v>
      </c>
      <c r="Y248" s="37">
        <f>SUM(S248:U248)</f>
        <v>60</v>
      </c>
      <c r="Z248" s="17" t="s">
        <v>184</v>
      </c>
    </row>
    <row r="249" spans="15:26" ht="15.75" hidden="1" outlineLevel="1" x14ac:dyDescent="0.3">
      <c r="O249" s="17"/>
      <c r="P249" s="17"/>
      <c r="Q249" s="17" t="s">
        <v>173</v>
      </c>
      <c r="R249" s="17"/>
      <c r="S249" s="43"/>
      <c r="T249" s="43"/>
      <c r="U249" s="37">
        <f>'M1 Härtekammern'!T243</f>
        <v>0</v>
      </c>
      <c r="V249" s="17"/>
      <c r="W249" s="17"/>
      <c r="X249" s="37">
        <f t="shared" ref="X249:X250" si="80">S249+T249</f>
        <v>0</v>
      </c>
      <c r="Y249" s="37">
        <f t="shared" ref="Y249:Y250" si="81">SUM(S249:U249)</f>
        <v>0</v>
      </c>
      <c r="Z249" s="17" t="s">
        <v>184</v>
      </c>
    </row>
    <row r="250" spans="15:26" ht="15.75" hidden="1" outlineLevel="1" x14ac:dyDescent="0.3">
      <c r="O250" s="17"/>
      <c r="P250" s="17"/>
      <c r="Q250" s="17" t="s">
        <v>172</v>
      </c>
      <c r="R250" s="17"/>
      <c r="S250" s="43"/>
      <c r="T250" s="43"/>
      <c r="U250" s="37">
        <f>'M1 Härtekammern'!T244</f>
        <v>0</v>
      </c>
      <c r="V250" s="17"/>
      <c r="W250" s="17"/>
      <c r="X250" s="37">
        <f t="shared" si="80"/>
        <v>0</v>
      </c>
      <c r="Y250" s="37">
        <f t="shared" si="81"/>
        <v>0</v>
      </c>
      <c r="Z250" s="17" t="s">
        <v>184</v>
      </c>
    </row>
    <row r="251" spans="15:26" hidden="1" outlineLevel="1" x14ac:dyDescent="0.2">
      <c r="O251" s="17"/>
      <c r="P251" s="17"/>
      <c r="Q251" s="17"/>
      <c r="R251" s="17"/>
      <c r="S251" s="17"/>
      <c r="T251" s="17"/>
      <c r="U251" s="17"/>
      <c r="V251" s="17"/>
      <c r="W251" s="17"/>
      <c r="X251" s="17"/>
      <c r="Y251" s="17"/>
      <c r="Z251" s="20"/>
    </row>
    <row r="252" spans="15:26" ht="14.25" hidden="1" outlineLevel="1" x14ac:dyDescent="0.25">
      <c r="O252" s="17"/>
      <c r="P252" s="17"/>
      <c r="Q252" s="21" t="s">
        <v>61</v>
      </c>
      <c r="R252" s="21"/>
      <c r="S252" s="75"/>
      <c r="T252" s="75"/>
      <c r="U252" s="37">
        <f>'M1 Härtekammern'!T246</f>
        <v>64.48</v>
      </c>
      <c r="V252" s="21"/>
      <c r="W252" s="21"/>
      <c r="X252" s="74">
        <f t="shared" ref="X252" si="82">S252+T252</f>
        <v>0</v>
      </c>
      <c r="Y252" s="74">
        <f t="shared" ref="Y252" si="83">SUM(S252:U252)</f>
        <v>64.48</v>
      </c>
      <c r="Z252" s="21" t="s">
        <v>183</v>
      </c>
    </row>
    <row r="253" spans="15:26" hidden="1" outlineLevel="1" x14ac:dyDescent="0.2">
      <c r="O253" s="17"/>
      <c r="P253" s="17"/>
      <c r="Q253" s="17"/>
      <c r="R253" s="17"/>
      <c r="S253" s="20"/>
      <c r="T253" s="20"/>
      <c r="U253" s="20"/>
      <c r="V253" s="17"/>
      <c r="W253" s="17"/>
      <c r="X253" s="17"/>
      <c r="Y253" s="20"/>
      <c r="Z253" s="20"/>
    </row>
    <row r="254" spans="15:26" ht="15" hidden="1" outlineLevel="1" thickBot="1" x14ac:dyDescent="0.3">
      <c r="O254" s="17"/>
      <c r="P254" s="17"/>
      <c r="Q254" s="67" t="s">
        <v>67</v>
      </c>
      <c r="R254" s="67"/>
      <c r="S254" s="68">
        <f>SUM(S193:S252)-S207-S211-S217-S226-S233-S242-S247</f>
        <v>94.932355060000006</v>
      </c>
      <c r="T254" s="68">
        <f>SUM(T193:T252)-T207-T211-T217-T226-T233-T242-T247</f>
        <v>47.874209324752655</v>
      </c>
      <c r="U254" s="68">
        <f>SUM(U193:U252)-U207-U211-U217-U226-U233-U242-U247</f>
        <v>5738.6001915063407</v>
      </c>
      <c r="V254" s="21"/>
      <c r="W254" s="21"/>
      <c r="X254" s="68">
        <f>SUM(X193:X252)-X207-X211-X217-X226-X233-X242-X247</f>
        <v>142.80656438475265</v>
      </c>
      <c r="Y254" s="68">
        <f>SUM(Y193:Y252)-Y207-Y211-Y217-Y226-Y233-Y242-Y247</f>
        <v>5881.4067558910938</v>
      </c>
      <c r="Z254" s="68" t="s">
        <v>183</v>
      </c>
    </row>
    <row r="255" spans="15:26" ht="13.5" hidden="1" outlineLevel="1" thickTop="1" x14ac:dyDescent="0.2">
      <c r="O255" s="17"/>
      <c r="P255" s="17"/>
      <c r="Q255" s="17"/>
      <c r="R255" s="17"/>
      <c r="S255" s="20"/>
      <c r="T255" s="20"/>
      <c r="U255" s="20"/>
      <c r="V255" s="17"/>
      <c r="W255" s="17"/>
      <c r="X255" s="17"/>
      <c r="Y255" s="20"/>
      <c r="Z255" s="20"/>
    </row>
    <row r="256" spans="15:26" hidden="1" outlineLevel="1" x14ac:dyDescent="0.2"/>
    <row r="257" hidden="1" outlineLevel="1" x14ac:dyDescent="0.2"/>
    <row r="258" hidden="1" outlineLevel="1" x14ac:dyDescent="0.2"/>
    <row r="259" hidden="1" outlineLevel="1" x14ac:dyDescent="0.2"/>
    <row r="260" hidden="1" outlineLevel="1" x14ac:dyDescent="0.2"/>
    <row r="261" hidden="1" outlineLevel="1" x14ac:dyDescent="0.2"/>
    <row r="262" hidden="1" outlineLevel="1" x14ac:dyDescent="0.2"/>
    <row r="263" hidden="1" outlineLevel="1" x14ac:dyDescent="0.2"/>
    <row r="264" hidden="1" outlineLevel="1" x14ac:dyDescent="0.2"/>
    <row r="265" hidden="1" outlineLevel="1" x14ac:dyDescent="0.2"/>
    <row r="266" hidden="1" outlineLevel="1" x14ac:dyDescent="0.2"/>
    <row r="267" hidden="1" outlineLevel="1" x14ac:dyDescent="0.2"/>
    <row r="268" hidden="1" outlineLevel="1" x14ac:dyDescent="0.2"/>
    <row r="269" hidden="1" outlineLevel="1" x14ac:dyDescent="0.2"/>
    <row r="270" hidden="1" outlineLevel="1" x14ac:dyDescent="0.2"/>
    <row r="271" hidden="1" outlineLevel="1" x14ac:dyDescent="0.2"/>
    <row r="272" hidden="1" outlineLevel="1" x14ac:dyDescent="0.2"/>
    <row r="273" hidden="1" outlineLevel="1" x14ac:dyDescent="0.2"/>
    <row r="274" hidden="1" outlineLevel="1" x14ac:dyDescent="0.2"/>
    <row r="275" hidden="1" outlineLevel="1" x14ac:dyDescent="0.2"/>
    <row r="276" hidden="1" outlineLevel="1" x14ac:dyDescent="0.2"/>
    <row r="277" collapsed="1" x14ac:dyDescent="0.2"/>
  </sheetData>
  <sheetProtection algorithmName="SHA-512" hashValue="qlKXLR6z4O9MxeAyV1gY9EjhybsS50Ya7gBHL8CfXAGZK+dGwORgwas7DwGbL9l6xLW9eGDX+vr7IMFr3gxNIw==" saltValue="RGxKAdyknRrQ8+F4wkykXg==" spinCount="100000" sheet="1" selectLockedCells="1"/>
  <mergeCells count="6">
    <mergeCell ref="AH41:AH42"/>
    <mergeCell ref="Y50:Y51"/>
    <mergeCell ref="D6:L6"/>
    <mergeCell ref="E13:G13"/>
    <mergeCell ref="I13:K13"/>
    <mergeCell ref="P41:P42"/>
  </mergeCells>
  <hyperlinks>
    <hyperlink ref="A1" location="Cockpit!A1" display="zurück zu Cockpit" xr:uid="{768E938A-C626-4AB5-86CE-A436FA446E64}"/>
  </hyperlinks>
  <printOptions horizontalCentered="1"/>
  <pageMargins left="0.39370078740157483" right="0.39370078740157483" top="0.39370078740157483" bottom="0.59055118110236227" header="0.19685039370078741" footer="0.19685039370078741"/>
  <pageSetup paperSize="9" scale="48" fitToWidth="4" fitToHeight="0" orientation="portrait" verticalDpi="601" r:id="rId1"/>
  <colBreaks count="3" manualBreakCount="3">
    <brk id="13" max="76" man="1"/>
    <brk id="22" max="76" man="1"/>
    <brk id="31" max="76" man="1"/>
  </col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15</xdr:col>
                    <xdr:colOff>523875</xdr:colOff>
                    <xdr:row>42</xdr:row>
                    <xdr:rowOff>28575</xdr:rowOff>
                  </from>
                  <to>
                    <xdr:col>15</xdr:col>
                    <xdr:colOff>695325</xdr:colOff>
                    <xdr:row>43</xdr:row>
                    <xdr:rowOff>0</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15</xdr:col>
                    <xdr:colOff>523875</xdr:colOff>
                    <xdr:row>43</xdr:row>
                    <xdr:rowOff>28575</xdr:rowOff>
                  </from>
                  <to>
                    <xdr:col>15</xdr:col>
                    <xdr:colOff>695325</xdr:colOff>
                    <xdr:row>43</xdr:row>
                    <xdr:rowOff>190500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15</xdr:col>
                    <xdr:colOff>523875</xdr:colOff>
                    <xdr:row>44</xdr:row>
                    <xdr:rowOff>28575</xdr:rowOff>
                  </from>
                  <to>
                    <xdr:col>15</xdr:col>
                    <xdr:colOff>695325</xdr:colOff>
                    <xdr:row>44</xdr:row>
                    <xdr:rowOff>171450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15</xdr:col>
                    <xdr:colOff>523875</xdr:colOff>
                    <xdr:row>45</xdr:row>
                    <xdr:rowOff>19050</xdr:rowOff>
                  </from>
                  <to>
                    <xdr:col>15</xdr:col>
                    <xdr:colOff>695325</xdr:colOff>
                    <xdr:row>45</xdr:row>
                    <xdr:rowOff>190500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15</xdr:col>
                    <xdr:colOff>523875</xdr:colOff>
                    <xdr:row>46</xdr:row>
                    <xdr:rowOff>19050</xdr:rowOff>
                  </from>
                  <to>
                    <xdr:col>15</xdr:col>
                    <xdr:colOff>695325</xdr:colOff>
                    <xdr:row>46</xdr:row>
                    <xdr:rowOff>171450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15</xdr:col>
                    <xdr:colOff>523875</xdr:colOff>
                    <xdr:row>47</xdr:row>
                    <xdr:rowOff>0</xdr:rowOff>
                  </from>
                  <to>
                    <xdr:col>15</xdr:col>
                    <xdr:colOff>695325</xdr:colOff>
                    <xdr:row>47</xdr:row>
                    <xdr:rowOff>171450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15</xdr:col>
                    <xdr:colOff>523875</xdr:colOff>
                    <xdr:row>48</xdr:row>
                    <xdr:rowOff>9525</xdr:rowOff>
                  </from>
                  <to>
                    <xdr:col>15</xdr:col>
                    <xdr:colOff>695325</xdr:colOff>
                    <xdr:row>48</xdr:row>
                    <xdr:rowOff>190500</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33</xdr:col>
                    <xdr:colOff>457200</xdr:colOff>
                    <xdr:row>53</xdr:row>
                    <xdr:rowOff>0</xdr:rowOff>
                  </from>
                  <to>
                    <xdr:col>33</xdr:col>
                    <xdr:colOff>685800</xdr:colOff>
                    <xdr:row>53</xdr:row>
                    <xdr:rowOff>171450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33</xdr:col>
                    <xdr:colOff>571500</xdr:colOff>
                    <xdr:row>54</xdr:row>
                    <xdr:rowOff>19050</xdr:rowOff>
                  </from>
                  <to>
                    <xdr:col>34</xdr:col>
                    <xdr:colOff>0</xdr:colOff>
                    <xdr:row>55</xdr:row>
                    <xdr:rowOff>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33</xdr:col>
                    <xdr:colOff>571500</xdr:colOff>
                    <xdr:row>55</xdr:row>
                    <xdr:rowOff>19050</xdr:rowOff>
                  </from>
                  <to>
                    <xdr:col>34</xdr:col>
                    <xdr:colOff>0</xdr:colOff>
                    <xdr:row>56</xdr:row>
                    <xdr:rowOff>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33</xdr:col>
                    <xdr:colOff>571500</xdr:colOff>
                    <xdr:row>56</xdr:row>
                    <xdr:rowOff>9525</xdr:rowOff>
                  </from>
                  <to>
                    <xdr:col>34</xdr:col>
                    <xdr:colOff>0</xdr:colOff>
                    <xdr:row>56</xdr:row>
                    <xdr:rowOff>190500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33</xdr:col>
                    <xdr:colOff>457200</xdr:colOff>
                    <xdr:row>51</xdr:row>
                    <xdr:rowOff>9525</xdr:rowOff>
                  </from>
                  <to>
                    <xdr:col>33</xdr:col>
                    <xdr:colOff>685800</xdr:colOff>
                    <xdr:row>52</xdr:row>
                    <xdr:rowOff>19050</xdr:rowOff>
                  </to>
                </anchor>
              </controlPr>
            </control>
          </mc:Choice>
        </mc:AlternateContent>
        <mc:AlternateContent xmlns:mc="http://schemas.openxmlformats.org/markup-compatibility/2006">
          <mc:Choice Requires="x14">
            <control shapeId="122893" r:id="rId16" name="Check Box 13">
              <controlPr defaultSize="0" autoFill="0" autoLine="0" autoPict="0">
                <anchor moveWithCells="1">
                  <from>
                    <xdr:col>33</xdr:col>
                    <xdr:colOff>457200</xdr:colOff>
                    <xdr:row>50</xdr:row>
                    <xdr:rowOff>0</xdr:rowOff>
                  </from>
                  <to>
                    <xdr:col>33</xdr:col>
                    <xdr:colOff>685800</xdr:colOff>
                    <xdr:row>51</xdr:row>
                    <xdr:rowOff>19050</xdr:rowOff>
                  </to>
                </anchor>
              </controlPr>
            </control>
          </mc:Choice>
        </mc:AlternateContent>
        <mc:AlternateContent xmlns:mc="http://schemas.openxmlformats.org/markup-compatibility/2006">
          <mc:Choice Requires="x14">
            <control shapeId="122894" r:id="rId17" name="Check Box 14">
              <controlPr defaultSize="0" autoFill="0" autoLine="0" autoPict="0">
                <anchor moveWithCells="1">
                  <from>
                    <xdr:col>33</xdr:col>
                    <xdr:colOff>457200</xdr:colOff>
                    <xdr:row>52</xdr:row>
                    <xdr:rowOff>9525</xdr:rowOff>
                  </from>
                  <to>
                    <xdr:col>33</xdr:col>
                    <xdr:colOff>685800</xdr:colOff>
                    <xdr:row>53</xdr:row>
                    <xdr:rowOff>0</xdr:rowOff>
                  </to>
                </anchor>
              </controlPr>
            </control>
          </mc:Choice>
        </mc:AlternateContent>
        <mc:AlternateContent xmlns:mc="http://schemas.openxmlformats.org/markup-compatibility/2006">
          <mc:Choice Requires="x14">
            <control shapeId="122895" r:id="rId18" name="Check Box 15">
              <controlPr defaultSize="0" autoFill="0" autoLine="0" autoPict="0">
                <anchor moveWithCells="1">
                  <from>
                    <xdr:col>24</xdr:col>
                    <xdr:colOff>514350</xdr:colOff>
                    <xdr:row>50</xdr:row>
                    <xdr:rowOff>152400</xdr:rowOff>
                  </from>
                  <to>
                    <xdr:col>24</xdr:col>
                    <xdr:colOff>733425</xdr:colOff>
                    <xdr:row>52</xdr:row>
                    <xdr:rowOff>0</xdr:rowOff>
                  </to>
                </anchor>
              </controlPr>
            </control>
          </mc:Choice>
        </mc:AlternateContent>
        <mc:AlternateContent xmlns:mc="http://schemas.openxmlformats.org/markup-compatibility/2006">
          <mc:Choice Requires="x14">
            <control shapeId="122896" r:id="rId19" name="Check Box 16">
              <controlPr defaultSize="0" autoFill="0" autoLine="0" autoPict="0">
                <anchor moveWithCells="1">
                  <from>
                    <xdr:col>24</xdr:col>
                    <xdr:colOff>514350</xdr:colOff>
                    <xdr:row>51</xdr:row>
                    <xdr:rowOff>171450</xdr:rowOff>
                  </from>
                  <to>
                    <xdr:col>24</xdr:col>
                    <xdr:colOff>733425</xdr:colOff>
                    <xdr:row>52</xdr:row>
                    <xdr:rowOff>190500</xdr:rowOff>
                  </to>
                </anchor>
              </controlPr>
            </control>
          </mc:Choice>
        </mc:AlternateContent>
        <mc:AlternateContent xmlns:mc="http://schemas.openxmlformats.org/markup-compatibility/2006">
          <mc:Choice Requires="x14">
            <control shapeId="122897" r:id="rId20" name="Check Box 17">
              <controlPr defaultSize="0" autoFill="0" autoLine="0" autoPict="0">
                <anchor moveWithCells="1">
                  <from>
                    <xdr:col>24</xdr:col>
                    <xdr:colOff>514350</xdr:colOff>
                    <xdr:row>52</xdr:row>
                    <xdr:rowOff>180975</xdr:rowOff>
                  </from>
                  <to>
                    <xdr:col>24</xdr:col>
                    <xdr:colOff>733425</xdr:colOff>
                    <xdr:row>53</xdr:row>
                    <xdr:rowOff>190500</xdr:rowOff>
                  </to>
                </anchor>
              </controlPr>
            </control>
          </mc:Choice>
        </mc:AlternateContent>
        <mc:AlternateContent xmlns:mc="http://schemas.openxmlformats.org/markup-compatibility/2006">
          <mc:Choice Requires="x14">
            <control shapeId="122898" r:id="rId21" name="Check Box 18">
              <controlPr defaultSize="0" autoFill="0" autoLine="0" autoPict="0">
                <anchor moveWithCells="1">
                  <from>
                    <xdr:col>24</xdr:col>
                    <xdr:colOff>514350</xdr:colOff>
                    <xdr:row>53</xdr:row>
                    <xdr:rowOff>180975</xdr:rowOff>
                  </from>
                  <to>
                    <xdr:col>24</xdr:col>
                    <xdr:colOff>733425</xdr:colOff>
                    <xdr:row>55</xdr:row>
                    <xdr:rowOff>0</xdr:rowOff>
                  </to>
                </anchor>
              </controlPr>
            </control>
          </mc:Choice>
        </mc:AlternateContent>
        <mc:AlternateContent xmlns:mc="http://schemas.openxmlformats.org/markup-compatibility/2006">
          <mc:Choice Requires="x14">
            <control shapeId="122899" r:id="rId22" name="Check Box 19">
              <controlPr defaultSize="0" autoFill="0" autoLine="0" autoPict="0">
                <anchor moveWithCells="1">
                  <from>
                    <xdr:col>24</xdr:col>
                    <xdr:colOff>514350</xdr:colOff>
                    <xdr:row>54</xdr:row>
                    <xdr:rowOff>180975</xdr:rowOff>
                  </from>
                  <to>
                    <xdr:col>24</xdr:col>
                    <xdr:colOff>733425</xdr:colOff>
                    <xdr:row>56</xdr:row>
                    <xdr:rowOff>0</xdr:rowOff>
                  </to>
                </anchor>
              </controlPr>
            </control>
          </mc:Choice>
        </mc:AlternateContent>
        <mc:AlternateContent xmlns:mc="http://schemas.openxmlformats.org/markup-compatibility/2006">
          <mc:Choice Requires="x14">
            <control shapeId="122900" r:id="rId23" name="Check Box 20">
              <controlPr defaultSize="0" autoFill="0" autoLine="0" autoPict="0">
                <anchor moveWithCells="1">
                  <from>
                    <xdr:col>24</xdr:col>
                    <xdr:colOff>514350</xdr:colOff>
                    <xdr:row>55</xdr:row>
                    <xdr:rowOff>180975</xdr:rowOff>
                  </from>
                  <to>
                    <xdr:col>24</xdr:col>
                    <xdr:colOff>733425</xdr:colOff>
                    <xdr:row>57</xdr:row>
                    <xdr:rowOff>0</xdr:rowOff>
                  </to>
                </anchor>
              </controlPr>
            </control>
          </mc:Choice>
        </mc:AlternateContent>
        <mc:AlternateContent xmlns:mc="http://schemas.openxmlformats.org/markup-compatibility/2006">
          <mc:Choice Requires="x14">
            <control shapeId="122901" r:id="rId24" name="Check Box 21">
              <controlPr defaultSize="0" autoFill="0" autoLine="0" autoPict="0">
                <anchor moveWithCells="1">
                  <from>
                    <xdr:col>24</xdr:col>
                    <xdr:colOff>514350</xdr:colOff>
                    <xdr:row>56</xdr:row>
                    <xdr:rowOff>180975</xdr:rowOff>
                  </from>
                  <to>
                    <xdr:col>24</xdr:col>
                    <xdr:colOff>733425</xdr:colOff>
                    <xdr:row>58</xdr:row>
                    <xdr:rowOff>0</xdr:rowOff>
                  </to>
                </anchor>
              </controlPr>
            </control>
          </mc:Choice>
        </mc:AlternateContent>
        <mc:AlternateContent xmlns:mc="http://schemas.openxmlformats.org/markup-compatibility/2006">
          <mc:Choice Requires="x14">
            <control shapeId="122902" r:id="rId25" name="Check Box 22">
              <controlPr defaultSize="0" autoFill="0" autoLine="0" autoPict="0">
                <anchor moveWithCells="1">
                  <from>
                    <xdr:col>24</xdr:col>
                    <xdr:colOff>514350</xdr:colOff>
                    <xdr:row>57</xdr:row>
                    <xdr:rowOff>190500</xdr:rowOff>
                  </from>
                  <to>
                    <xdr:col>24</xdr:col>
                    <xdr:colOff>733425</xdr:colOff>
                    <xdr:row>58</xdr:row>
                    <xdr:rowOff>190500</xdr:rowOff>
                  </to>
                </anchor>
              </controlPr>
            </control>
          </mc:Choice>
        </mc:AlternateContent>
        <mc:AlternateContent xmlns:mc="http://schemas.openxmlformats.org/markup-compatibility/2006">
          <mc:Choice Requires="x14">
            <control shapeId="122903" r:id="rId26" name="Check Box 23">
              <controlPr defaultSize="0" autoFill="0" autoLine="0" autoPict="0">
                <anchor moveWithCells="1">
                  <from>
                    <xdr:col>24</xdr:col>
                    <xdr:colOff>514350</xdr:colOff>
                    <xdr:row>58</xdr:row>
                    <xdr:rowOff>180975</xdr:rowOff>
                  </from>
                  <to>
                    <xdr:col>24</xdr:col>
                    <xdr:colOff>733425</xdr:colOff>
                    <xdr:row>59</xdr:row>
                    <xdr:rowOff>190500</xdr:rowOff>
                  </to>
                </anchor>
              </controlPr>
            </control>
          </mc:Choice>
        </mc:AlternateContent>
        <mc:AlternateContent xmlns:mc="http://schemas.openxmlformats.org/markup-compatibility/2006">
          <mc:Choice Requires="x14">
            <control shapeId="122904" r:id="rId27" name="Check Box 24">
              <controlPr defaultSize="0" autoFill="0" autoLine="0" autoPict="0">
                <anchor moveWithCells="1">
                  <from>
                    <xdr:col>24</xdr:col>
                    <xdr:colOff>514350</xdr:colOff>
                    <xdr:row>59</xdr:row>
                    <xdr:rowOff>171450</xdr:rowOff>
                  </from>
                  <to>
                    <xdr:col>24</xdr:col>
                    <xdr:colOff>733425</xdr:colOff>
                    <xdr:row>60</xdr:row>
                    <xdr:rowOff>171450</xdr:rowOff>
                  </to>
                </anchor>
              </controlPr>
            </control>
          </mc:Choice>
        </mc:AlternateContent>
        <mc:AlternateContent xmlns:mc="http://schemas.openxmlformats.org/markup-compatibility/2006">
          <mc:Choice Requires="x14">
            <control shapeId="122905" r:id="rId28" name="Check Box 25">
              <controlPr defaultSize="0" autoFill="0" autoLine="0" autoPict="0">
                <anchor moveWithCells="1">
                  <from>
                    <xdr:col>24</xdr:col>
                    <xdr:colOff>514350</xdr:colOff>
                    <xdr:row>60</xdr:row>
                    <xdr:rowOff>171450</xdr:rowOff>
                  </from>
                  <to>
                    <xdr:col>24</xdr:col>
                    <xdr:colOff>733425</xdr:colOff>
                    <xdr:row>61</xdr:row>
                    <xdr:rowOff>171450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7AE89-D260-491E-824C-26DA915B4521}">
  <dimension ref="A1:AP292"/>
  <sheetViews>
    <sheetView workbookViewId="0"/>
  </sheetViews>
  <sheetFormatPr baseColWidth="10" defaultColWidth="9" defaultRowHeight="12.75" outlineLevelRow="1" x14ac:dyDescent="0.2"/>
  <cols>
    <col min="1" max="1" width="3.5" style="6" customWidth="1"/>
    <col min="2" max="2" width="2.25" style="6" customWidth="1"/>
    <col min="3" max="3" width="9.875" style="6" customWidth="1"/>
    <col min="4" max="4" width="39.5" style="6" customWidth="1"/>
    <col min="5" max="5" width="11" style="6" customWidth="1"/>
    <col min="6" max="7" width="10.375" style="6" customWidth="1"/>
    <col min="8" max="9" width="9" style="6" customWidth="1"/>
    <col min="10" max="11" width="10.75" style="6" customWidth="1"/>
    <col min="12" max="12" width="43" style="6" customWidth="1"/>
    <col min="13" max="13" width="10.75" style="6" customWidth="1"/>
    <col min="14" max="14" width="4" style="6" customWidth="1"/>
    <col min="15" max="15" width="2.25" style="6" customWidth="1"/>
    <col min="16" max="16" width="9.875" style="6" customWidth="1"/>
    <col min="17" max="17" width="39.5" style="6" customWidth="1"/>
    <col min="18" max="18" width="9" style="6"/>
    <col min="19" max="19" width="10.375" style="6" customWidth="1"/>
    <col min="20" max="20" width="10.125" style="6" customWidth="1"/>
    <col min="21" max="22" width="9" style="6"/>
    <col min="23" max="23" width="2.875" style="6" customWidth="1"/>
    <col min="24" max="24" width="5.625" style="6" customWidth="1"/>
    <col min="25" max="25" width="10.5" style="6" customWidth="1"/>
    <col min="26" max="26" width="43" style="6" bestFit="1" customWidth="1"/>
    <col min="27" max="29" width="9" style="6"/>
    <col min="30" max="30" width="12" style="6" customWidth="1"/>
    <col min="31" max="31" width="5.75" style="6" customWidth="1"/>
    <col min="32" max="32" width="2.5" style="6" customWidth="1"/>
    <col min="33" max="33" width="4.5" style="6" customWidth="1"/>
    <col min="34" max="34" width="10.375" style="6" customWidth="1"/>
    <col min="35" max="35" width="31.5" style="6" bestFit="1" customWidth="1"/>
    <col min="36" max="36" width="9" style="6"/>
    <col min="37" max="37" width="11.75" style="6" bestFit="1" customWidth="1"/>
    <col min="38" max="38" width="10" style="6" bestFit="1" customWidth="1"/>
    <col min="39" max="39" width="9" style="6"/>
    <col min="40" max="40" width="9" style="6" customWidth="1"/>
    <col min="41" max="16384" width="9" style="6"/>
  </cols>
  <sheetData>
    <row r="1" spans="1:42" s="2" customFormat="1" x14ac:dyDescent="0.2">
      <c r="A1" s="428" t="s">
        <v>467</v>
      </c>
      <c r="B1" s="418"/>
      <c r="C1" s="6"/>
    </row>
    <row r="2" spans="1:42" x14ac:dyDescent="0.2">
      <c r="B2" s="3"/>
      <c r="C2" s="89"/>
      <c r="D2" s="89"/>
      <c r="E2" s="89"/>
      <c r="F2" s="89"/>
      <c r="G2" s="89"/>
      <c r="H2" s="89"/>
      <c r="I2" s="89"/>
      <c r="J2" s="89"/>
      <c r="K2" s="89"/>
      <c r="L2" s="89"/>
      <c r="M2" s="3"/>
      <c r="N2" s="2"/>
      <c r="O2" s="3"/>
      <c r="P2" s="3"/>
      <c r="Q2" s="14"/>
      <c r="R2" s="3"/>
      <c r="S2" s="3"/>
      <c r="T2" s="3"/>
      <c r="U2" s="3"/>
      <c r="V2" s="3"/>
      <c r="W2" s="2"/>
      <c r="X2" s="3"/>
      <c r="Y2" s="3"/>
      <c r="Z2" s="3"/>
      <c r="AA2" s="3"/>
      <c r="AB2" s="3"/>
      <c r="AC2" s="3"/>
      <c r="AD2" s="3"/>
      <c r="AE2" s="3"/>
      <c r="AF2" s="2"/>
      <c r="AG2" s="3"/>
      <c r="AH2" s="3"/>
      <c r="AI2" s="3"/>
      <c r="AJ2" s="3"/>
      <c r="AK2" s="3"/>
      <c r="AL2" s="3"/>
      <c r="AM2" s="3"/>
      <c r="AN2" s="3"/>
      <c r="AO2" s="3"/>
      <c r="AP2" s="3"/>
    </row>
    <row r="3" spans="1:42" ht="18" x14ac:dyDescent="0.25">
      <c r="B3" s="3"/>
      <c r="C3" s="89"/>
      <c r="D3" s="90" t="s">
        <v>229</v>
      </c>
      <c r="E3" s="89"/>
      <c r="F3" s="89"/>
      <c r="G3" s="89"/>
      <c r="H3" s="89"/>
      <c r="I3" s="89"/>
      <c r="J3" s="89"/>
      <c r="K3" s="89"/>
      <c r="L3" s="89"/>
      <c r="M3" s="3"/>
      <c r="N3" s="2"/>
      <c r="O3" s="3"/>
      <c r="P3" s="96" t="s">
        <v>409</v>
      </c>
      <c r="Q3" s="14"/>
      <c r="R3" s="3"/>
      <c r="S3" s="3"/>
      <c r="T3" s="3"/>
      <c r="U3" s="3"/>
      <c r="V3" s="3"/>
      <c r="W3" s="2"/>
      <c r="X3" s="3"/>
      <c r="Y3" s="96" t="s">
        <v>409</v>
      </c>
      <c r="Z3" s="3"/>
      <c r="AA3" s="3"/>
      <c r="AB3" s="3"/>
      <c r="AC3" s="3"/>
      <c r="AD3" s="3"/>
      <c r="AE3" s="3"/>
      <c r="AF3" s="2"/>
      <c r="AG3" s="3"/>
      <c r="AH3" s="96" t="s">
        <v>409</v>
      </c>
      <c r="AI3" s="3"/>
      <c r="AJ3" s="3"/>
      <c r="AK3" s="3"/>
      <c r="AL3" s="3"/>
      <c r="AM3" s="3"/>
      <c r="AN3" s="3"/>
      <c r="AO3" s="3"/>
      <c r="AP3" s="3"/>
    </row>
    <row r="4" spans="1:42" x14ac:dyDescent="0.2">
      <c r="B4" s="3"/>
      <c r="C4" s="89"/>
      <c r="D4" s="3"/>
      <c r="E4" s="3"/>
      <c r="F4" s="3"/>
      <c r="G4" s="3"/>
      <c r="H4" s="3"/>
      <c r="I4" s="3"/>
      <c r="J4" s="3"/>
      <c r="K4" s="3"/>
      <c r="L4" s="3"/>
      <c r="M4" s="3"/>
      <c r="N4" s="2"/>
      <c r="O4" s="3"/>
      <c r="P4" s="3"/>
      <c r="Q4" s="14"/>
      <c r="R4" s="3"/>
      <c r="S4" s="3"/>
      <c r="T4" s="3"/>
      <c r="U4" s="3"/>
      <c r="V4" s="3"/>
      <c r="W4" s="2"/>
      <c r="X4" s="3"/>
      <c r="Y4" s="3"/>
      <c r="Z4" s="3"/>
      <c r="AA4" s="3"/>
      <c r="AB4" s="3"/>
      <c r="AC4" s="3"/>
      <c r="AD4" s="3"/>
      <c r="AE4" s="3"/>
      <c r="AF4" s="2"/>
      <c r="AG4" s="3"/>
      <c r="AH4" s="3"/>
      <c r="AI4" s="3"/>
      <c r="AJ4" s="3"/>
      <c r="AK4" s="3"/>
      <c r="AL4" s="3"/>
      <c r="AM4" s="3"/>
      <c r="AN4" s="3"/>
      <c r="AO4" s="3"/>
      <c r="AP4" s="3"/>
    </row>
    <row r="5" spans="1:42" ht="15" x14ac:dyDescent="0.25">
      <c r="B5" s="3"/>
      <c r="C5" s="89"/>
      <c r="D5" s="108" t="s">
        <v>293</v>
      </c>
      <c r="E5" s="103"/>
      <c r="F5" s="103"/>
      <c r="G5" s="103"/>
      <c r="H5" s="103"/>
      <c r="I5" s="103"/>
      <c r="J5" s="103"/>
      <c r="K5" s="103"/>
      <c r="L5" s="103"/>
      <c r="M5" s="3"/>
      <c r="N5" s="2"/>
      <c r="O5" s="3"/>
      <c r="P5" s="91" t="s">
        <v>101</v>
      </c>
      <c r="Q5" s="3"/>
      <c r="R5" s="3"/>
      <c r="S5" s="3"/>
      <c r="T5" s="3"/>
      <c r="U5" s="3"/>
      <c r="V5" s="3"/>
      <c r="W5" s="2"/>
      <c r="X5" s="3"/>
      <c r="Y5" s="91" t="s">
        <v>105</v>
      </c>
      <c r="Z5" s="3"/>
      <c r="AA5" s="3"/>
      <c r="AB5" s="3"/>
      <c r="AC5" s="3"/>
      <c r="AD5" s="3"/>
      <c r="AE5" s="3"/>
      <c r="AF5" s="2"/>
      <c r="AG5" s="3"/>
      <c r="AH5" s="92" t="s">
        <v>79</v>
      </c>
      <c r="AI5" s="3"/>
      <c r="AJ5" s="3"/>
      <c r="AK5" s="3"/>
      <c r="AL5" s="3"/>
      <c r="AM5" s="3"/>
      <c r="AN5" s="3"/>
      <c r="AO5" s="3"/>
      <c r="AP5" s="3"/>
    </row>
    <row r="6" spans="1:42" ht="291.75" customHeight="1" x14ac:dyDescent="0.2">
      <c r="B6" s="3"/>
      <c r="C6" s="93"/>
      <c r="D6" s="481" t="s">
        <v>530</v>
      </c>
      <c r="E6" s="481"/>
      <c r="F6" s="481"/>
      <c r="G6" s="481"/>
      <c r="H6" s="481"/>
      <c r="I6" s="481"/>
      <c r="J6" s="481"/>
      <c r="K6" s="481"/>
      <c r="L6" s="481"/>
      <c r="M6" s="3"/>
      <c r="N6" s="2"/>
      <c r="O6" s="3"/>
      <c r="P6" s="3"/>
      <c r="Q6" s="14"/>
      <c r="R6" s="3"/>
      <c r="S6" s="3"/>
      <c r="T6" s="3"/>
      <c r="U6" s="3"/>
      <c r="V6" s="3"/>
      <c r="W6" s="2"/>
      <c r="X6" s="3"/>
      <c r="Y6" s="3"/>
      <c r="Z6" s="3"/>
      <c r="AA6" s="3"/>
      <c r="AB6" s="3"/>
      <c r="AC6" s="3"/>
      <c r="AD6" s="3"/>
      <c r="AE6" s="3"/>
      <c r="AF6" s="2"/>
      <c r="AG6" s="3"/>
      <c r="AH6" s="3"/>
      <c r="AI6" s="3"/>
      <c r="AJ6" s="3"/>
      <c r="AK6" s="3"/>
      <c r="AL6" s="3"/>
      <c r="AM6" s="3"/>
      <c r="AN6" s="3"/>
      <c r="AO6" s="3"/>
      <c r="AP6" s="3"/>
    </row>
    <row r="7" spans="1:42" x14ac:dyDescent="0.2">
      <c r="B7" s="3"/>
      <c r="C7" s="89"/>
      <c r="D7" s="89"/>
      <c r="E7" s="89"/>
      <c r="F7" s="89"/>
      <c r="G7" s="89"/>
      <c r="H7" s="89"/>
      <c r="I7" s="89"/>
      <c r="J7" s="89"/>
      <c r="K7" s="89"/>
      <c r="L7" s="89"/>
      <c r="M7" s="3"/>
      <c r="N7" s="2"/>
      <c r="O7" s="3"/>
      <c r="P7" s="3"/>
      <c r="Q7" s="3"/>
      <c r="R7" s="3"/>
      <c r="S7" s="3"/>
      <c r="T7" s="3"/>
      <c r="U7" s="3"/>
      <c r="V7" s="3"/>
      <c r="W7" s="2"/>
      <c r="X7" s="3"/>
      <c r="Y7" s="3"/>
      <c r="Z7" s="3"/>
      <c r="AA7" s="3"/>
      <c r="AB7" s="3"/>
      <c r="AC7" s="3"/>
      <c r="AD7" s="3"/>
      <c r="AE7" s="3"/>
      <c r="AF7" s="2"/>
      <c r="AG7" s="3"/>
      <c r="AH7" s="3"/>
      <c r="AI7" s="3"/>
      <c r="AJ7" s="3"/>
      <c r="AK7" s="3"/>
      <c r="AL7" s="3"/>
      <c r="AM7" s="3"/>
      <c r="AN7" s="3"/>
      <c r="AO7" s="3"/>
      <c r="AP7" s="3"/>
    </row>
    <row r="8" spans="1:42" x14ac:dyDescent="0.2">
      <c r="N8" s="2"/>
      <c r="O8" s="3"/>
      <c r="P8" s="3"/>
      <c r="Q8" s="3"/>
      <c r="R8" s="3"/>
      <c r="S8" s="3"/>
      <c r="T8" s="3"/>
      <c r="U8" s="3"/>
      <c r="V8" s="3"/>
      <c r="W8" s="2"/>
      <c r="X8" s="3"/>
      <c r="Y8" s="3"/>
      <c r="Z8" s="3"/>
      <c r="AA8" s="3"/>
      <c r="AB8" s="3"/>
      <c r="AC8" s="3"/>
      <c r="AD8" s="3"/>
      <c r="AE8" s="3"/>
      <c r="AF8" s="2"/>
      <c r="AG8" s="3"/>
      <c r="AH8" s="3"/>
      <c r="AI8" s="3"/>
      <c r="AJ8" s="3"/>
      <c r="AK8" s="3"/>
      <c r="AL8" s="3"/>
      <c r="AM8" s="3"/>
      <c r="AN8" s="3"/>
      <c r="AO8" s="3"/>
      <c r="AP8" s="3"/>
    </row>
    <row r="9" spans="1:42" x14ac:dyDescent="0.2">
      <c r="B9" s="3"/>
      <c r="C9" s="3"/>
      <c r="D9" s="3"/>
      <c r="E9" s="3"/>
      <c r="F9" s="3"/>
      <c r="G9" s="3"/>
      <c r="H9" s="3"/>
      <c r="I9" s="3"/>
      <c r="J9" s="3"/>
      <c r="K9" s="3"/>
      <c r="L9" s="3"/>
      <c r="M9" s="3"/>
      <c r="N9" s="2"/>
      <c r="O9" s="3"/>
      <c r="P9" s="3"/>
      <c r="Q9" s="3"/>
      <c r="R9" s="3"/>
      <c r="S9" s="3"/>
      <c r="T9" s="3"/>
      <c r="U9" s="3"/>
      <c r="V9" s="3"/>
      <c r="W9" s="2"/>
      <c r="X9" s="3"/>
      <c r="Y9" s="3"/>
      <c r="Z9" s="3"/>
      <c r="AA9" s="3"/>
      <c r="AB9" s="3"/>
      <c r="AC9" s="3"/>
      <c r="AD9" s="3"/>
      <c r="AE9" s="3"/>
      <c r="AF9" s="2"/>
      <c r="AG9" s="3"/>
      <c r="AH9" s="3"/>
      <c r="AI9" s="3"/>
      <c r="AJ9" s="3"/>
      <c r="AK9" s="3"/>
      <c r="AL9" s="3"/>
      <c r="AM9" s="3"/>
      <c r="AN9" s="3"/>
      <c r="AO9" s="3"/>
      <c r="AP9" s="3"/>
    </row>
    <row r="10" spans="1:42" x14ac:dyDescent="0.2">
      <c r="B10" s="3"/>
      <c r="C10" s="3"/>
      <c r="D10" s="3"/>
      <c r="E10" s="3"/>
      <c r="F10" s="3"/>
      <c r="G10" s="3"/>
      <c r="H10" s="3"/>
      <c r="I10" s="3"/>
      <c r="J10" s="3"/>
      <c r="K10" s="3"/>
      <c r="L10" s="3"/>
      <c r="M10" s="3"/>
      <c r="N10" s="2"/>
      <c r="O10" s="3"/>
      <c r="P10" s="3"/>
      <c r="Q10" s="3"/>
      <c r="R10" s="3"/>
      <c r="S10" s="3"/>
      <c r="T10" s="3"/>
      <c r="U10" s="3"/>
      <c r="V10" s="3"/>
      <c r="W10" s="2"/>
      <c r="X10" s="3"/>
      <c r="Y10" s="3"/>
      <c r="Z10" s="3"/>
      <c r="AA10" s="3"/>
      <c r="AB10" s="3"/>
      <c r="AC10" s="3"/>
      <c r="AD10" s="3"/>
      <c r="AE10" s="3"/>
      <c r="AF10" s="2"/>
      <c r="AG10" s="3"/>
      <c r="AH10" s="3"/>
      <c r="AI10" s="3"/>
      <c r="AJ10" s="3"/>
      <c r="AK10" s="3"/>
      <c r="AL10" s="3"/>
      <c r="AM10" s="3"/>
      <c r="AN10" s="3"/>
      <c r="AO10" s="3"/>
      <c r="AP10" s="3"/>
    </row>
    <row r="11" spans="1:42" ht="18" x14ac:dyDescent="0.25">
      <c r="B11" s="3"/>
      <c r="C11" s="3"/>
      <c r="D11" s="85" t="s">
        <v>296</v>
      </c>
      <c r="E11" s="94"/>
      <c r="F11" s="95"/>
      <c r="G11" s="7"/>
      <c r="H11" s="7"/>
      <c r="I11" s="7"/>
      <c r="J11" s="7"/>
      <c r="K11" s="7"/>
      <c r="L11" s="3"/>
      <c r="M11" s="3"/>
      <c r="N11" s="2"/>
      <c r="O11" s="3"/>
      <c r="P11" s="3"/>
      <c r="Q11" s="3"/>
      <c r="R11" s="3"/>
      <c r="S11" s="3"/>
      <c r="T11" s="3"/>
      <c r="U11" s="3"/>
      <c r="V11" s="3"/>
      <c r="W11" s="2"/>
      <c r="X11" s="3"/>
      <c r="Y11" s="3"/>
      <c r="Z11" s="3"/>
      <c r="AA11" s="3"/>
      <c r="AB11" s="3"/>
      <c r="AC11" s="3"/>
      <c r="AD11" s="3"/>
      <c r="AE11" s="3"/>
      <c r="AF11" s="2"/>
      <c r="AG11" s="3"/>
      <c r="AH11" s="3"/>
      <c r="AI11" s="3"/>
      <c r="AJ11" s="3"/>
      <c r="AK11" s="3"/>
      <c r="AL11" s="3"/>
      <c r="AM11" s="3"/>
      <c r="AN11" s="3"/>
      <c r="AO11" s="3"/>
      <c r="AP11" s="3"/>
    </row>
    <row r="12" spans="1:42" ht="15" x14ac:dyDescent="0.2">
      <c r="B12" s="3"/>
      <c r="C12" s="3"/>
      <c r="D12" s="485"/>
      <c r="E12" s="485"/>
      <c r="F12" s="485"/>
      <c r="G12" s="485"/>
      <c r="H12" s="485"/>
      <c r="I12" s="485"/>
      <c r="J12" s="485"/>
      <c r="K12" s="7"/>
      <c r="L12" s="3"/>
      <c r="M12" s="3"/>
      <c r="N12" s="2"/>
      <c r="O12" s="3"/>
      <c r="P12" s="3"/>
      <c r="Q12" s="3"/>
      <c r="R12" s="3"/>
      <c r="S12" s="3"/>
      <c r="T12" s="3"/>
      <c r="U12" s="3"/>
      <c r="V12" s="3"/>
      <c r="W12" s="2"/>
      <c r="X12" s="3"/>
      <c r="Y12" s="3"/>
      <c r="Z12" s="3"/>
      <c r="AA12" s="3"/>
      <c r="AB12" s="3"/>
      <c r="AC12" s="3"/>
      <c r="AD12" s="3"/>
      <c r="AE12" s="3"/>
      <c r="AF12" s="2"/>
      <c r="AG12" s="3"/>
      <c r="AH12" s="3"/>
      <c r="AI12" s="3"/>
      <c r="AJ12" s="3"/>
      <c r="AK12" s="3"/>
      <c r="AL12" s="3"/>
      <c r="AM12" s="3"/>
      <c r="AN12" s="3"/>
      <c r="AO12" s="3"/>
      <c r="AP12" s="3"/>
    </row>
    <row r="13" spans="1:42" ht="15" x14ac:dyDescent="0.2">
      <c r="B13" s="3"/>
      <c r="C13" s="3"/>
      <c r="D13" s="285"/>
      <c r="E13" s="482">
        <f>'Referenz Plattenfertiger'!D9</f>
        <v>0</v>
      </c>
      <c r="F13" s="482"/>
      <c r="G13" s="482"/>
      <c r="H13" s="285"/>
      <c r="I13" s="285"/>
      <c r="J13" s="285"/>
      <c r="K13" s="7"/>
      <c r="L13" s="3"/>
      <c r="M13" s="3"/>
      <c r="N13" s="2"/>
      <c r="O13" s="3"/>
      <c r="P13" s="3"/>
      <c r="Q13" s="3"/>
      <c r="R13" s="3"/>
      <c r="S13" s="3"/>
      <c r="T13" s="3"/>
      <c r="U13" s="3"/>
      <c r="V13" s="3"/>
      <c r="W13" s="2"/>
      <c r="X13" s="3"/>
      <c r="Y13" s="3"/>
      <c r="Z13" s="3"/>
      <c r="AA13" s="3"/>
      <c r="AB13" s="3"/>
      <c r="AC13" s="3"/>
      <c r="AD13" s="3"/>
      <c r="AE13" s="3"/>
      <c r="AF13" s="2"/>
      <c r="AG13" s="3"/>
      <c r="AH13" s="3"/>
      <c r="AI13" s="3"/>
      <c r="AJ13" s="3"/>
      <c r="AK13" s="3"/>
      <c r="AL13" s="3"/>
      <c r="AM13" s="3"/>
      <c r="AN13" s="3"/>
      <c r="AO13" s="3"/>
      <c r="AP13" s="3"/>
    </row>
    <row r="14" spans="1:42" ht="14.25" x14ac:dyDescent="0.2">
      <c r="B14" s="3"/>
      <c r="C14" s="3"/>
      <c r="D14" s="8"/>
      <c r="E14" s="101" t="s">
        <v>75</v>
      </c>
      <c r="F14" s="101"/>
      <c r="G14" s="101" t="s">
        <v>72</v>
      </c>
      <c r="H14" s="7"/>
      <c r="I14" s="7"/>
      <c r="J14" s="7"/>
      <c r="K14" s="7"/>
      <c r="L14" s="3"/>
      <c r="M14" s="3"/>
      <c r="N14" s="2"/>
      <c r="O14" s="3"/>
      <c r="P14" s="3"/>
      <c r="Q14" s="3"/>
      <c r="R14" s="3"/>
      <c r="S14" s="3"/>
      <c r="T14" s="3"/>
      <c r="U14" s="3"/>
      <c r="V14" s="3"/>
      <c r="W14" s="2"/>
      <c r="X14" s="3"/>
      <c r="Y14" s="3"/>
      <c r="Z14" s="3"/>
      <c r="AA14" s="3"/>
      <c r="AB14" s="3"/>
      <c r="AC14" s="3"/>
      <c r="AD14" s="3"/>
      <c r="AE14" s="3"/>
      <c r="AF14" s="2"/>
      <c r="AG14" s="3"/>
      <c r="AH14" s="3"/>
      <c r="AI14" s="3"/>
      <c r="AJ14" s="3"/>
      <c r="AK14" s="3"/>
      <c r="AL14" s="3"/>
      <c r="AM14" s="3"/>
      <c r="AN14" s="3"/>
      <c r="AO14" s="3"/>
      <c r="AP14" s="3"/>
    </row>
    <row r="15" spans="1:42" ht="14.25" x14ac:dyDescent="0.2">
      <c r="B15" s="3"/>
      <c r="C15" s="3"/>
      <c r="D15" s="3"/>
      <c r="E15" s="3"/>
      <c r="F15" s="3"/>
      <c r="G15" s="3"/>
      <c r="H15" s="7"/>
      <c r="I15" s="7"/>
      <c r="J15" s="7"/>
      <c r="K15" s="7"/>
      <c r="L15" s="3"/>
      <c r="M15" s="3"/>
      <c r="N15" s="2"/>
      <c r="O15" s="3"/>
      <c r="P15" s="3"/>
      <c r="Q15" s="3"/>
      <c r="R15" s="3"/>
      <c r="S15" s="3"/>
      <c r="T15" s="3"/>
      <c r="U15" s="3"/>
      <c r="V15" s="3"/>
      <c r="W15" s="2"/>
      <c r="X15" s="3"/>
      <c r="Y15" s="3"/>
      <c r="Z15" s="3"/>
      <c r="AA15" s="3"/>
      <c r="AB15" s="3"/>
      <c r="AC15" s="3"/>
      <c r="AD15" s="3"/>
      <c r="AE15" s="3"/>
      <c r="AF15" s="2"/>
      <c r="AG15" s="3"/>
      <c r="AH15" s="3"/>
      <c r="AI15" s="3"/>
      <c r="AJ15" s="3"/>
      <c r="AK15" s="3"/>
      <c r="AL15" s="3"/>
      <c r="AM15" s="3"/>
      <c r="AN15" s="3"/>
      <c r="AO15" s="3"/>
      <c r="AP15" s="3"/>
    </row>
    <row r="16" spans="1:42" ht="14.25" x14ac:dyDescent="0.2">
      <c r="B16" s="3"/>
      <c r="C16" s="3"/>
      <c r="D16" s="286" t="s">
        <v>232</v>
      </c>
      <c r="E16" s="1" t="s">
        <v>31</v>
      </c>
      <c r="F16" s="15"/>
      <c r="G16" s="113"/>
      <c r="H16" s="7"/>
      <c r="I16" s="7"/>
      <c r="J16" s="7"/>
      <c r="K16" s="7"/>
      <c r="L16" s="3"/>
      <c r="M16" s="3"/>
      <c r="N16" s="2"/>
      <c r="O16" s="3"/>
      <c r="P16" s="3"/>
      <c r="Q16" s="3"/>
      <c r="R16" s="3"/>
      <c r="S16" s="3"/>
      <c r="T16" s="3"/>
      <c r="U16" s="3"/>
      <c r="V16" s="3"/>
      <c r="W16" s="2"/>
      <c r="X16" s="3"/>
      <c r="Y16" s="3"/>
      <c r="Z16" s="3"/>
      <c r="AA16" s="3"/>
      <c r="AB16" s="3"/>
      <c r="AC16" s="3"/>
      <c r="AD16" s="3"/>
      <c r="AE16" s="3"/>
      <c r="AF16" s="2"/>
      <c r="AG16" s="3"/>
      <c r="AH16" s="3"/>
      <c r="AI16" s="3"/>
      <c r="AJ16" s="3"/>
      <c r="AK16" s="3"/>
      <c r="AL16" s="3"/>
      <c r="AM16" s="3"/>
      <c r="AN16" s="3"/>
      <c r="AO16" s="3"/>
      <c r="AP16" s="3"/>
    </row>
    <row r="17" spans="2:42" ht="14.25" x14ac:dyDescent="0.2">
      <c r="B17" s="3"/>
      <c r="C17" s="3"/>
      <c r="D17" s="7"/>
      <c r="E17" s="7"/>
      <c r="F17" s="7"/>
      <c r="G17" s="7"/>
      <c r="H17" s="7"/>
      <c r="I17" s="7"/>
      <c r="J17" s="7"/>
      <c r="K17" s="7"/>
      <c r="L17" s="3"/>
      <c r="M17" s="3"/>
      <c r="N17" s="2"/>
      <c r="O17" s="3"/>
      <c r="P17" s="3"/>
      <c r="Q17" s="3"/>
      <c r="R17" s="3"/>
      <c r="S17" s="3"/>
      <c r="T17" s="3"/>
      <c r="U17" s="3"/>
      <c r="V17" s="3"/>
      <c r="W17" s="2"/>
      <c r="X17" s="3"/>
      <c r="Y17" s="3"/>
      <c r="Z17" s="3"/>
      <c r="AA17" s="3"/>
      <c r="AB17" s="3"/>
      <c r="AC17" s="3"/>
      <c r="AD17" s="3"/>
      <c r="AE17" s="3"/>
      <c r="AF17" s="2"/>
      <c r="AG17" s="3"/>
      <c r="AH17" s="3"/>
      <c r="AI17" s="3"/>
      <c r="AJ17" s="3"/>
      <c r="AK17" s="3"/>
      <c r="AL17" s="3"/>
      <c r="AM17" s="3"/>
      <c r="AN17" s="3"/>
      <c r="AO17" s="3"/>
      <c r="AP17" s="3"/>
    </row>
    <row r="18" spans="2:42" ht="14.25" x14ac:dyDescent="0.2">
      <c r="B18" s="3"/>
      <c r="C18" s="3"/>
      <c r="D18" s="7"/>
      <c r="E18" s="7"/>
      <c r="F18" s="7"/>
      <c r="G18" s="7"/>
      <c r="H18" s="7"/>
      <c r="I18" s="7"/>
      <c r="J18" s="7"/>
      <c r="K18" s="7"/>
      <c r="L18" s="3"/>
      <c r="M18" s="3"/>
      <c r="N18" s="2"/>
      <c r="O18" s="3"/>
      <c r="P18" s="3"/>
      <c r="Q18" s="3"/>
      <c r="R18" s="3"/>
      <c r="S18" s="3"/>
      <c r="T18" s="3"/>
      <c r="U18" s="3"/>
      <c r="V18" s="3"/>
      <c r="W18" s="2"/>
      <c r="X18" s="3"/>
      <c r="Y18" s="3"/>
      <c r="Z18" s="3"/>
      <c r="AA18" s="3"/>
      <c r="AB18" s="3"/>
      <c r="AC18" s="3"/>
      <c r="AD18" s="3"/>
      <c r="AE18" s="3"/>
      <c r="AF18" s="2"/>
      <c r="AG18" s="3"/>
      <c r="AH18" s="3"/>
      <c r="AI18" s="3"/>
      <c r="AJ18" s="3"/>
      <c r="AK18" s="3"/>
      <c r="AL18" s="3"/>
      <c r="AM18" s="3"/>
      <c r="AN18" s="3"/>
      <c r="AO18" s="3"/>
      <c r="AP18" s="3"/>
    </row>
    <row r="19" spans="2:42" x14ac:dyDescent="0.2">
      <c r="B19" s="3"/>
      <c r="C19" s="3"/>
      <c r="D19" s="8"/>
      <c r="E19" s="482">
        <f>E13+5</f>
        <v>5</v>
      </c>
      <c r="F19" s="482"/>
      <c r="G19" s="482"/>
      <c r="H19" s="13"/>
      <c r="I19" s="482">
        <f>E13+10</f>
        <v>10</v>
      </c>
      <c r="J19" s="482"/>
      <c r="K19" s="482"/>
      <c r="L19" s="8"/>
      <c r="M19" s="3"/>
      <c r="N19" s="2"/>
      <c r="O19" s="3"/>
      <c r="P19" s="3"/>
      <c r="Q19" s="3"/>
      <c r="R19" s="3"/>
      <c r="S19" s="3"/>
      <c r="T19" s="3"/>
      <c r="U19" s="3"/>
      <c r="V19" s="3"/>
      <c r="W19" s="2"/>
      <c r="X19" s="3"/>
      <c r="Y19" s="3"/>
      <c r="Z19" s="3"/>
      <c r="AA19" s="3"/>
      <c r="AB19" s="3"/>
      <c r="AC19" s="3"/>
      <c r="AD19" s="3"/>
      <c r="AE19" s="3"/>
      <c r="AF19" s="2"/>
      <c r="AG19" s="3"/>
      <c r="AH19" s="3"/>
      <c r="AI19" s="3"/>
      <c r="AJ19" s="3"/>
      <c r="AK19" s="3"/>
      <c r="AL19" s="3"/>
      <c r="AM19" s="3"/>
      <c r="AN19" s="3"/>
      <c r="AO19" s="3"/>
      <c r="AP19" s="3"/>
    </row>
    <row r="20" spans="2:42" x14ac:dyDescent="0.2">
      <c r="B20" s="3"/>
      <c r="C20" s="3"/>
      <c r="D20" s="8"/>
      <c r="E20" s="101" t="s">
        <v>75</v>
      </c>
      <c r="F20" s="101"/>
      <c r="G20" s="101" t="s">
        <v>72</v>
      </c>
      <c r="H20" s="13"/>
      <c r="I20" s="101" t="s">
        <v>75</v>
      </c>
      <c r="J20" s="101"/>
      <c r="K20" s="101" t="s">
        <v>72</v>
      </c>
      <c r="L20" s="8"/>
      <c r="M20" s="3"/>
      <c r="N20" s="2"/>
      <c r="O20" s="3"/>
      <c r="P20" s="3"/>
      <c r="Q20" s="3"/>
      <c r="R20" s="3"/>
      <c r="S20" s="3"/>
      <c r="T20" s="3"/>
      <c r="U20" s="3"/>
      <c r="V20" s="3"/>
      <c r="W20" s="2"/>
      <c r="X20" s="3"/>
      <c r="Y20" s="3"/>
      <c r="Z20" s="3"/>
      <c r="AA20" s="3"/>
      <c r="AB20" s="3"/>
      <c r="AC20" s="3"/>
      <c r="AD20" s="3"/>
      <c r="AE20" s="3"/>
      <c r="AF20" s="2"/>
      <c r="AG20" s="3"/>
      <c r="AH20" s="3"/>
      <c r="AI20" s="3"/>
      <c r="AJ20" s="3"/>
      <c r="AK20" s="3"/>
      <c r="AL20" s="3"/>
      <c r="AM20" s="3"/>
      <c r="AN20" s="3"/>
      <c r="AO20" s="3"/>
      <c r="AP20" s="3"/>
    </row>
    <row r="21" spans="2:42" ht="38.25" x14ac:dyDescent="0.2">
      <c r="B21" s="3"/>
      <c r="C21" s="3"/>
      <c r="D21" s="11" t="s">
        <v>230</v>
      </c>
      <c r="E21" s="79">
        <v>5</v>
      </c>
      <c r="F21" s="15" t="s">
        <v>89</v>
      </c>
      <c r="G21" s="113"/>
      <c r="H21" s="15" t="s">
        <v>89</v>
      </c>
      <c r="I21" s="79">
        <v>5</v>
      </c>
      <c r="J21" s="15" t="s">
        <v>89</v>
      </c>
      <c r="K21" s="113"/>
      <c r="L21" s="15" t="s">
        <v>89</v>
      </c>
      <c r="M21" s="3"/>
      <c r="N21" s="2"/>
      <c r="O21" s="3"/>
      <c r="P21" s="3"/>
      <c r="Q21" s="3"/>
      <c r="R21" s="3"/>
      <c r="S21" s="3"/>
      <c r="T21" s="3"/>
      <c r="U21" s="3"/>
      <c r="V21" s="3"/>
      <c r="W21" s="2"/>
      <c r="X21" s="3"/>
      <c r="Y21" s="3"/>
      <c r="Z21" s="3"/>
      <c r="AA21" s="3"/>
      <c r="AB21" s="3"/>
      <c r="AC21" s="3"/>
      <c r="AD21" s="3"/>
      <c r="AE21" s="3"/>
      <c r="AF21" s="2"/>
      <c r="AG21" s="3"/>
      <c r="AH21" s="3"/>
      <c r="AI21" s="3"/>
      <c r="AJ21" s="3"/>
      <c r="AK21" s="3"/>
      <c r="AL21" s="3"/>
      <c r="AM21" s="3"/>
      <c r="AN21" s="3"/>
      <c r="AO21" s="3"/>
      <c r="AP21" s="3"/>
    </row>
    <row r="22" spans="2:42" x14ac:dyDescent="0.2">
      <c r="B22" s="3"/>
      <c r="C22" s="3"/>
      <c r="D22" s="3"/>
      <c r="E22" s="3"/>
      <c r="F22" s="3"/>
      <c r="G22" s="3"/>
      <c r="H22" s="15"/>
      <c r="I22" s="15"/>
      <c r="J22" s="15"/>
      <c r="K22" s="15"/>
      <c r="L22" s="15"/>
      <c r="M22" s="3"/>
      <c r="N22" s="2"/>
      <c r="O22" s="3"/>
      <c r="P22" s="3"/>
      <c r="Q22" s="3"/>
      <c r="R22" s="3"/>
      <c r="S22" s="3"/>
      <c r="T22" s="3"/>
      <c r="U22" s="3"/>
      <c r="V22" s="3"/>
      <c r="W22" s="2"/>
      <c r="X22" s="3"/>
      <c r="Y22" s="3"/>
      <c r="Z22" s="3"/>
      <c r="AA22" s="3"/>
      <c r="AB22" s="3"/>
      <c r="AC22" s="3"/>
      <c r="AD22" s="3"/>
      <c r="AE22" s="3"/>
      <c r="AF22" s="2"/>
      <c r="AG22" s="3"/>
      <c r="AH22" s="3"/>
      <c r="AI22" s="3"/>
      <c r="AJ22" s="3"/>
      <c r="AK22" s="3"/>
      <c r="AL22" s="3"/>
      <c r="AM22" s="3"/>
      <c r="AN22" s="3"/>
      <c r="AO22" s="3"/>
      <c r="AP22" s="3"/>
    </row>
    <row r="23" spans="2:42" x14ac:dyDescent="0.2">
      <c r="B23" s="3"/>
      <c r="C23" s="3"/>
      <c r="D23" s="8"/>
      <c r="E23" s="80"/>
      <c r="F23" s="15"/>
      <c r="G23" s="15"/>
      <c r="H23" s="15"/>
      <c r="I23" s="80"/>
      <c r="J23" s="15"/>
      <c r="K23" s="15"/>
      <c r="L23" s="3"/>
      <c r="M23" s="3"/>
      <c r="N23" s="2"/>
      <c r="O23" s="3"/>
      <c r="P23" s="3"/>
      <c r="Q23" s="3"/>
      <c r="R23" s="3"/>
      <c r="S23" s="3"/>
      <c r="T23" s="3"/>
      <c r="U23" s="3"/>
      <c r="V23" s="3"/>
      <c r="W23" s="2"/>
      <c r="X23" s="3"/>
      <c r="Y23" s="3"/>
      <c r="Z23" s="3"/>
      <c r="AA23" s="3"/>
      <c r="AB23" s="3"/>
      <c r="AC23" s="3"/>
      <c r="AD23" s="3"/>
      <c r="AE23" s="3"/>
      <c r="AF23" s="2"/>
      <c r="AG23" s="3"/>
      <c r="AH23" s="3"/>
      <c r="AI23" s="3"/>
      <c r="AJ23" s="3"/>
      <c r="AK23" s="3"/>
      <c r="AL23" s="3"/>
      <c r="AM23" s="3"/>
      <c r="AN23" s="3"/>
      <c r="AO23" s="3"/>
      <c r="AP23" s="3"/>
    </row>
    <row r="24" spans="2:42" x14ac:dyDescent="0.2">
      <c r="B24" s="3"/>
      <c r="C24" s="3"/>
      <c r="D24" s="12" t="s">
        <v>208</v>
      </c>
      <c r="E24" s="79">
        <v>10000</v>
      </c>
      <c r="F24" s="15" t="s">
        <v>95</v>
      </c>
      <c r="G24" s="272"/>
      <c r="H24" s="15" t="s">
        <v>95</v>
      </c>
      <c r="I24" s="79">
        <v>0</v>
      </c>
      <c r="J24" s="15" t="s">
        <v>95</v>
      </c>
      <c r="K24" s="272"/>
      <c r="L24" s="3" t="s">
        <v>95</v>
      </c>
      <c r="M24" s="3"/>
      <c r="N24" s="2"/>
      <c r="O24" s="3"/>
      <c r="P24" s="3"/>
      <c r="Q24" s="3"/>
      <c r="R24" s="3"/>
      <c r="S24" s="3"/>
      <c r="T24" s="3"/>
      <c r="U24" s="3"/>
      <c r="V24" s="3"/>
      <c r="W24" s="2"/>
      <c r="X24" s="3"/>
      <c r="Y24" s="3"/>
      <c r="Z24" s="3"/>
      <c r="AA24" s="3"/>
      <c r="AB24" s="3"/>
      <c r="AC24" s="3"/>
      <c r="AD24" s="3"/>
      <c r="AE24" s="3"/>
      <c r="AF24" s="2"/>
      <c r="AG24" s="3"/>
      <c r="AH24" s="3"/>
      <c r="AI24" s="3"/>
      <c r="AJ24" s="3"/>
      <c r="AK24" s="3"/>
      <c r="AL24" s="3"/>
      <c r="AM24" s="3"/>
      <c r="AN24" s="3"/>
      <c r="AO24" s="3"/>
      <c r="AP24" s="3"/>
    </row>
    <row r="25" spans="2:42" ht="14.25" x14ac:dyDescent="0.2">
      <c r="B25" s="3"/>
      <c r="C25" s="3"/>
      <c r="D25" s="78" t="s">
        <v>210</v>
      </c>
      <c r="E25" s="79">
        <v>0</v>
      </c>
      <c r="F25" s="15" t="s">
        <v>96</v>
      </c>
      <c r="G25" s="272"/>
      <c r="H25" s="15" t="s">
        <v>96</v>
      </c>
      <c r="I25" s="79">
        <v>0</v>
      </c>
      <c r="J25" s="15" t="s">
        <v>96</v>
      </c>
      <c r="K25" s="272"/>
      <c r="L25" s="3" t="s">
        <v>96</v>
      </c>
      <c r="M25" s="3"/>
      <c r="N25" s="2"/>
      <c r="O25" s="3"/>
      <c r="P25" s="3"/>
      <c r="Q25" s="3"/>
      <c r="R25" s="3"/>
      <c r="S25" s="3"/>
      <c r="T25" s="3"/>
      <c r="U25" s="3"/>
      <c r="V25" s="3"/>
      <c r="W25" s="2"/>
      <c r="X25" s="3"/>
      <c r="Y25" s="3"/>
      <c r="Z25" s="3"/>
      <c r="AA25" s="3"/>
      <c r="AB25" s="3"/>
      <c r="AC25" s="3"/>
      <c r="AD25" s="3"/>
      <c r="AE25" s="3"/>
      <c r="AF25" s="2"/>
      <c r="AG25" s="3"/>
      <c r="AH25" s="3"/>
      <c r="AI25" s="3"/>
      <c r="AJ25" s="3"/>
      <c r="AK25" s="3"/>
      <c r="AL25" s="3"/>
      <c r="AM25" s="3"/>
      <c r="AN25" s="3"/>
      <c r="AO25" s="3"/>
      <c r="AP25" s="3"/>
    </row>
    <row r="26" spans="2:42" ht="14.25" x14ac:dyDescent="0.2">
      <c r="B26" s="3"/>
      <c r="C26" s="3"/>
      <c r="D26" s="78" t="s">
        <v>519</v>
      </c>
      <c r="E26" s="79">
        <v>0</v>
      </c>
      <c r="F26" s="15" t="s">
        <v>95</v>
      </c>
      <c r="G26" s="272"/>
      <c r="H26" s="15" t="s">
        <v>95</v>
      </c>
      <c r="I26" s="79">
        <v>0</v>
      </c>
      <c r="J26" s="15" t="s">
        <v>95</v>
      </c>
      <c r="K26" s="272"/>
      <c r="L26" s="3" t="s">
        <v>95</v>
      </c>
      <c r="M26" s="3"/>
      <c r="N26" s="2"/>
      <c r="O26" s="3"/>
      <c r="P26" s="3"/>
      <c r="Q26" s="3"/>
      <c r="R26" s="3"/>
      <c r="S26" s="3"/>
      <c r="T26" s="3"/>
      <c r="U26" s="3"/>
      <c r="V26" s="3"/>
      <c r="W26" s="2"/>
      <c r="X26" s="3"/>
      <c r="Y26" s="3"/>
      <c r="Z26" s="3"/>
      <c r="AA26" s="3"/>
      <c r="AB26" s="3"/>
      <c r="AC26" s="3"/>
      <c r="AD26" s="3"/>
      <c r="AE26" s="3"/>
      <c r="AF26" s="2"/>
      <c r="AG26" s="3"/>
      <c r="AH26" s="3"/>
      <c r="AI26" s="3"/>
      <c r="AJ26" s="3"/>
      <c r="AK26" s="3"/>
      <c r="AL26" s="3"/>
      <c r="AM26" s="3"/>
      <c r="AN26" s="3"/>
      <c r="AO26" s="3"/>
      <c r="AP26" s="3"/>
    </row>
    <row r="27" spans="2:42" x14ac:dyDescent="0.2">
      <c r="B27" s="3"/>
      <c r="C27" s="3"/>
      <c r="D27" s="78"/>
      <c r="E27" s="78"/>
      <c r="F27" s="78"/>
      <c r="G27" s="78"/>
      <c r="H27" s="78"/>
      <c r="I27" s="78"/>
      <c r="J27" s="78"/>
      <c r="K27" s="78"/>
      <c r="L27" s="78"/>
      <c r="M27" s="3"/>
      <c r="N27" s="2"/>
      <c r="O27" s="3"/>
      <c r="P27" s="3"/>
      <c r="Q27" s="3"/>
      <c r="R27" s="3"/>
      <c r="S27" s="3"/>
      <c r="T27" s="3"/>
      <c r="U27" s="3"/>
      <c r="V27" s="3"/>
      <c r="W27" s="2"/>
      <c r="X27" s="3"/>
      <c r="Y27" s="3"/>
      <c r="Z27" s="3"/>
      <c r="AA27" s="3"/>
      <c r="AB27" s="3"/>
      <c r="AC27" s="3"/>
      <c r="AD27" s="3"/>
      <c r="AE27" s="3"/>
      <c r="AF27" s="2"/>
      <c r="AG27" s="3"/>
      <c r="AH27" s="3"/>
      <c r="AI27" s="3"/>
      <c r="AJ27" s="3"/>
      <c r="AK27" s="3"/>
      <c r="AL27" s="3"/>
      <c r="AM27" s="3"/>
      <c r="AN27" s="3"/>
      <c r="AO27" s="3"/>
      <c r="AP27" s="3"/>
    </row>
    <row r="28" spans="2:42" x14ac:dyDescent="0.2">
      <c r="B28" s="3"/>
      <c r="C28" s="3"/>
      <c r="D28" s="78"/>
      <c r="E28" s="15"/>
      <c r="F28" s="15"/>
      <c r="G28" s="15"/>
      <c r="H28" s="15"/>
      <c r="I28" s="15"/>
      <c r="J28" s="15"/>
      <c r="K28" s="15"/>
      <c r="L28" s="15"/>
      <c r="M28" s="3"/>
      <c r="N28" s="2"/>
      <c r="O28" s="3"/>
      <c r="P28" s="3"/>
      <c r="Q28" s="3"/>
      <c r="R28" s="3"/>
      <c r="S28" s="3"/>
      <c r="T28" s="3"/>
      <c r="U28" s="3"/>
      <c r="V28" s="3"/>
      <c r="W28" s="2"/>
      <c r="X28" s="3"/>
      <c r="Y28" s="3"/>
      <c r="Z28" s="3"/>
      <c r="AA28" s="3"/>
      <c r="AB28" s="3"/>
      <c r="AC28" s="3"/>
      <c r="AD28" s="3"/>
      <c r="AE28" s="3"/>
      <c r="AF28" s="2"/>
      <c r="AG28" s="3"/>
      <c r="AH28" s="3"/>
      <c r="AI28" s="3"/>
      <c r="AJ28" s="3"/>
      <c r="AK28" s="3"/>
      <c r="AL28" s="3"/>
      <c r="AM28" s="3"/>
      <c r="AN28" s="3"/>
      <c r="AO28" s="3"/>
      <c r="AP28" s="3"/>
    </row>
    <row r="29" spans="2:42" x14ac:dyDescent="0.2">
      <c r="B29" s="3"/>
      <c r="C29" s="3"/>
      <c r="D29" s="78" t="s">
        <v>23</v>
      </c>
      <c r="E29" s="79">
        <v>10</v>
      </c>
      <c r="F29" s="15" t="s">
        <v>88</v>
      </c>
      <c r="G29" s="113"/>
      <c r="H29" s="15" t="s">
        <v>88</v>
      </c>
      <c r="I29" s="79">
        <v>10</v>
      </c>
      <c r="J29" s="15" t="s">
        <v>88</v>
      </c>
      <c r="K29" s="113"/>
      <c r="L29" s="15" t="s">
        <v>88</v>
      </c>
      <c r="M29" s="3"/>
      <c r="N29" s="2"/>
      <c r="O29" s="3"/>
      <c r="P29" s="3"/>
      <c r="Q29" s="3"/>
      <c r="R29" s="3"/>
      <c r="S29" s="3"/>
      <c r="T29" s="3"/>
      <c r="U29" s="3"/>
      <c r="V29" s="3"/>
      <c r="W29" s="2"/>
      <c r="X29" s="3"/>
      <c r="Y29" s="3"/>
      <c r="Z29" s="3"/>
      <c r="AA29" s="3"/>
      <c r="AB29" s="3"/>
      <c r="AC29" s="3"/>
      <c r="AD29" s="3"/>
      <c r="AE29" s="3"/>
      <c r="AF29" s="2"/>
      <c r="AG29" s="3"/>
      <c r="AH29" s="3"/>
      <c r="AI29" s="3"/>
      <c r="AJ29" s="3"/>
      <c r="AK29" s="3"/>
      <c r="AL29" s="3"/>
      <c r="AM29" s="3"/>
      <c r="AN29" s="3"/>
      <c r="AO29" s="3"/>
      <c r="AP29" s="3"/>
    </row>
    <row r="30" spans="2:42" x14ac:dyDescent="0.2">
      <c r="B30" s="3"/>
      <c r="C30" s="8"/>
      <c r="D30" s="78" t="s">
        <v>24</v>
      </c>
      <c r="E30" s="81">
        <v>8</v>
      </c>
      <c r="F30" s="15" t="s">
        <v>89</v>
      </c>
      <c r="G30" s="273"/>
      <c r="H30" s="15" t="s">
        <v>89</v>
      </c>
      <c r="I30" s="81">
        <v>8</v>
      </c>
      <c r="J30" s="15" t="s">
        <v>89</v>
      </c>
      <c r="K30" s="273"/>
      <c r="L30" s="15" t="s">
        <v>89</v>
      </c>
      <c r="M30" s="3"/>
      <c r="N30" s="2"/>
      <c r="O30" s="3"/>
      <c r="P30" s="3"/>
      <c r="Q30" s="3"/>
      <c r="R30" s="3"/>
      <c r="S30" s="3"/>
      <c r="T30" s="3"/>
      <c r="U30" s="3"/>
      <c r="V30" s="3"/>
      <c r="W30" s="2"/>
      <c r="X30" s="3"/>
      <c r="Y30" s="3"/>
      <c r="Z30" s="3"/>
      <c r="AA30" s="3"/>
      <c r="AB30" s="3"/>
      <c r="AC30" s="3"/>
      <c r="AD30" s="3"/>
      <c r="AE30" s="3"/>
      <c r="AF30" s="2"/>
      <c r="AG30" s="3"/>
      <c r="AH30" s="3"/>
      <c r="AI30" s="3"/>
      <c r="AJ30" s="3"/>
      <c r="AK30" s="3"/>
      <c r="AL30" s="3"/>
      <c r="AM30" s="3"/>
      <c r="AN30" s="3"/>
      <c r="AO30" s="3"/>
      <c r="AP30" s="3"/>
    </row>
    <row r="31" spans="2:42" x14ac:dyDescent="0.2">
      <c r="B31" s="3"/>
      <c r="C31" s="3"/>
      <c r="D31" s="15"/>
      <c r="E31" s="81"/>
      <c r="F31" s="15"/>
      <c r="G31" s="15"/>
      <c r="H31" s="15"/>
      <c r="I31" s="80"/>
      <c r="J31" s="15"/>
      <c r="K31" s="15"/>
      <c r="L31" s="3"/>
      <c r="M31" s="3"/>
      <c r="N31" s="2"/>
      <c r="O31" s="3"/>
      <c r="P31" s="3"/>
      <c r="Q31" s="3"/>
      <c r="R31" s="3"/>
      <c r="S31" s="3"/>
      <c r="T31" s="3"/>
      <c r="U31" s="3"/>
      <c r="V31" s="3"/>
      <c r="W31" s="2"/>
      <c r="X31" s="3"/>
      <c r="Y31" s="3"/>
      <c r="Z31" s="3"/>
      <c r="AA31" s="3"/>
      <c r="AB31" s="3"/>
      <c r="AC31" s="3"/>
      <c r="AD31" s="3"/>
      <c r="AE31" s="3"/>
      <c r="AF31" s="2"/>
      <c r="AG31" s="3"/>
      <c r="AH31" s="3"/>
      <c r="AI31" s="3"/>
      <c r="AJ31" s="3"/>
      <c r="AK31" s="3"/>
      <c r="AL31" s="3"/>
      <c r="AM31" s="3"/>
      <c r="AN31" s="3"/>
      <c r="AO31" s="3"/>
      <c r="AP31" s="3"/>
    </row>
    <row r="32" spans="2:42" x14ac:dyDescent="0.2">
      <c r="B32" s="3"/>
      <c r="C32" s="3"/>
      <c r="D32" s="15"/>
      <c r="E32" s="10"/>
      <c r="F32" s="3"/>
      <c r="G32" s="3"/>
      <c r="H32" s="3"/>
      <c r="I32" s="16"/>
      <c r="J32" s="3"/>
      <c r="K32" s="3"/>
      <c r="L32" s="3"/>
      <c r="M32" s="3"/>
      <c r="N32" s="2"/>
      <c r="O32" s="3"/>
      <c r="P32" s="3"/>
      <c r="Q32" s="3"/>
      <c r="R32" s="3"/>
      <c r="S32" s="3"/>
      <c r="T32" s="3"/>
      <c r="U32" s="3"/>
      <c r="V32" s="3"/>
      <c r="W32" s="2"/>
      <c r="X32" s="3"/>
      <c r="Y32" s="3"/>
      <c r="Z32" s="3"/>
      <c r="AA32" s="3"/>
      <c r="AB32" s="3"/>
      <c r="AC32" s="3"/>
      <c r="AD32" s="3"/>
      <c r="AE32" s="3"/>
      <c r="AF32" s="2"/>
      <c r="AG32" s="3"/>
      <c r="AH32" s="3"/>
      <c r="AI32" s="3"/>
      <c r="AJ32" s="3"/>
      <c r="AK32" s="3"/>
      <c r="AL32" s="3"/>
      <c r="AM32" s="3"/>
      <c r="AN32" s="3"/>
      <c r="AO32" s="3"/>
      <c r="AP32" s="3"/>
    </row>
    <row r="33" spans="1:42" x14ac:dyDescent="0.2">
      <c r="B33" s="3"/>
      <c r="C33" s="3"/>
      <c r="D33" s="65" t="s">
        <v>495</v>
      </c>
      <c r="E33" s="10"/>
      <c r="F33" s="3"/>
      <c r="G33" s="3"/>
      <c r="H33" s="3"/>
      <c r="I33" s="16"/>
      <c r="J33" s="3"/>
      <c r="K33" s="3"/>
      <c r="L33" s="3"/>
      <c r="M33" s="3"/>
      <c r="N33" s="2"/>
      <c r="O33" s="3"/>
      <c r="P33" s="3"/>
      <c r="Q33" s="3"/>
      <c r="R33" s="3"/>
      <c r="S33" s="3"/>
      <c r="T33" s="3"/>
      <c r="U33" s="3"/>
      <c r="V33" s="3"/>
      <c r="W33" s="2"/>
      <c r="X33" s="3"/>
      <c r="Y33" s="3"/>
      <c r="Z33" s="3"/>
      <c r="AA33" s="3"/>
      <c r="AB33" s="3"/>
      <c r="AC33" s="3"/>
      <c r="AD33" s="3"/>
      <c r="AE33" s="3"/>
      <c r="AF33" s="2"/>
      <c r="AG33" s="3"/>
      <c r="AH33" s="3"/>
      <c r="AI33" s="3"/>
      <c r="AJ33" s="3"/>
      <c r="AK33" s="3"/>
      <c r="AL33" s="3"/>
      <c r="AM33" s="3"/>
      <c r="AN33" s="3"/>
      <c r="AO33" s="3"/>
      <c r="AP33" s="3"/>
    </row>
    <row r="34" spans="1:42" x14ac:dyDescent="0.2">
      <c r="B34" s="3"/>
      <c r="C34" s="3"/>
      <c r="D34" s="65" t="s">
        <v>494</v>
      </c>
      <c r="E34" s="10"/>
      <c r="F34" s="3"/>
      <c r="G34" s="3"/>
      <c r="H34" s="3"/>
      <c r="I34" s="16"/>
      <c r="J34" s="3"/>
      <c r="K34" s="3"/>
      <c r="L34" s="3"/>
      <c r="M34" s="3"/>
      <c r="N34" s="2"/>
      <c r="O34" s="3"/>
      <c r="P34" s="3"/>
      <c r="Q34" s="3"/>
      <c r="R34" s="3"/>
      <c r="S34" s="3"/>
      <c r="T34" s="3"/>
      <c r="U34" s="3"/>
      <c r="V34" s="3"/>
      <c r="W34" s="2"/>
      <c r="X34" s="3"/>
      <c r="Y34" s="3"/>
      <c r="Z34" s="3"/>
      <c r="AA34" s="3"/>
      <c r="AB34" s="3"/>
      <c r="AC34" s="3"/>
      <c r="AD34" s="3"/>
      <c r="AE34" s="3"/>
      <c r="AF34" s="2"/>
      <c r="AG34" s="3"/>
      <c r="AH34" s="3"/>
      <c r="AI34" s="3"/>
      <c r="AJ34" s="3"/>
      <c r="AK34" s="3"/>
      <c r="AL34" s="3"/>
      <c r="AM34" s="3"/>
      <c r="AN34" s="3"/>
      <c r="AO34" s="3"/>
      <c r="AP34" s="3"/>
    </row>
    <row r="35" spans="1:42" x14ac:dyDescent="0.2">
      <c r="B35" s="3"/>
      <c r="C35" s="3"/>
      <c r="D35" s="15"/>
      <c r="E35" s="10"/>
      <c r="F35" s="3"/>
      <c r="G35" s="3"/>
      <c r="H35" s="3"/>
      <c r="I35" s="16"/>
      <c r="J35" s="3"/>
      <c r="K35" s="3"/>
      <c r="L35" s="3"/>
      <c r="M35" s="3"/>
      <c r="N35" s="2"/>
      <c r="O35" s="3"/>
      <c r="P35" s="3"/>
      <c r="Q35" s="3"/>
      <c r="R35" s="3"/>
      <c r="S35" s="3"/>
      <c r="T35" s="3"/>
      <c r="U35" s="3"/>
      <c r="V35" s="3"/>
      <c r="W35" s="2"/>
      <c r="X35" s="3"/>
      <c r="Y35" s="3"/>
      <c r="Z35" s="3"/>
      <c r="AA35" s="3"/>
      <c r="AB35" s="3"/>
      <c r="AC35" s="3"/>
      <c r="AD35" s="3"/>
      <c r="AE35" s="3"/>
      <c r="AF35" s="2"/>
      <c r="AG35" s="3"/>
      <c r="AH35" s="3"/>
      <c r="AI35" s="3"/>
      <c r="AJ35" s="3"/>
      <c r="AK35" s="3"/>
      <c r="AL35" s="3"/>
      <c r="AM35" s="3"/>
      <c r="AN35" s="3"/>
      <c r="AO35" s="3"/>
      <c r="AP35" s="3"/>
    </row>
    <row r="36" spans="1:42" x14ac:dyDescent="0.2">
      <c r="A36" s="2"/>
      <c r="B36" s="2"/>
      <c r="C36" s="2"/>
      <c r="D36" s="2"/>
      <c r="E36" s="2"/>
      <c r="F36" s="2"/>
      <c r="G36" s="2"/>
      <c r="H36" s="2"/>
      <c r="I36" s="2"/>
      <c r="J36" s="2"/>
      <c r="K36" s="2"/>
      <c r="L36" s="2"/>
      <c r="M36" s="2"/>
      <c r="O36" s="3"/>
      <c r="P36" s="3"/>
      <c r="Q36" s="3"/>
      <c r="R36" s="3"/>
      <c r="S36" s="3"/>
      <c r="T36" s="3"/>
      <c r="U36" s="3"/>
      <c r="V36" s="3"/>
      <c r="W36" s="2"/>
      <c r="X36" s="3"/>
      <c r="Y36" s="3"/>
      <c r="Z36" s="3"/>
      <c r="AA36" s="3"/>
      <c r="AB36" s="3"/>
      <c r="AC36" s="3"/>
      <c r="AD36" s="3"/>
      <c r="AE36" s="3"/>
      <c r="AF36" s="2"/>
      <c r="AG36" s="3"/>
      <c r="AH36" s="3"/>
      <c r="AI36" s="3"/>
      <c r="AJ36" s="3"/>
      <c r="AK36" s="3"/>
      <c r="AL36" s="3"/>
      <c r="AM36" s="3"/>
      <c r="AN36" s="3"/>
      <c r="AO36" s="3"/>
      <c r="AP36" s="3"/>
    </row>
    <row r="37" spans="1:42" ht="18" x14ac:dyDescent="0.25">
      <c r="A37" s="2"/>
      <c r="B37" s="2"/>
      <c r="C37" s="2"/>
      <c r="D37" s="2"/>
      <c r="E37" s="2"/>
      <c r="F37" s="2"/>
      <c r="G37" s="2"/>
      <c r="H37" s="2"/>
      <c r="I37" s="2"/>
      <c r="J37" s="2"/>
      <c r="K37" s="2"/>
      <c r="L37" s="2"/>
      <c r="M37" s="2"/>
      <c r="O37" s="3"/>
      <c r="P37" s="96"/>
      <c r="Q37" s="61"/>
      <c r="R37" s="3"/>
      <c r="S37" s="3"/>
      <c r="T37" s="3"/>
      <c r="U37" s="3"/>
      <c r="V37" s="3"/>
      <c r="W37" s="2"/>
      <c r="X37" s="3"/>
      <c r="Y37" s="3"/>
      <c r="Z37" s="3"/>
      <c r="AA37" s="3"/>
      <c r="AB37" s="3"/>
      <c r="AC37" s="3"/>
      <c r="AD37" s="3"/>
      <c r="AE37" s="3"/>
      <c r="AF37" s="2"/>
      <c r="AG37" s="3"/>
      <c r="AH37" s="3"/>
      <c r="AI37" s="3"/>
      <c r="AJ37" s="3"/>
      <c r="AK37" s="3"/>
      <c r="AL37" s="3"/>
      <c r="AM37" s="3"/>
      <c r="AN37" s="84"/>
      <c r="AO37" s="84"/>
      <c r="AP37" s="3"/>
    </row>
    <row r="38" spans="1:42" x14ac:dyDescent="0.2">
      <c r="A38" s="2"/>
      <c r="B38" s="2"/>
      <c r="C38" s="2"/>
      <c r="D38" s="2"/>
      <c r="E38" s="2"/>
      <c r="F38" s="2"/>
      <c r="G38" s="2"/>
      <c r="H38" s="2"/>
      <c r="I38" s="2"/>
      <c r="J38" s="2"/>
      <c r="K38" s="2"/>
      <c r="L38" s="2"/>
      <c r="M38" s="2"/>
      <c r="O38" s="3"/>
      <c r="P38" s="3"/>
      <c r="Q38" s="3"/>
      <c r="R38" s="3"/>
      <c r="S38" s="3"/>
      <c r="T38" s="3"/>
      <c r="U38" s="3"/>
      <c r="V38" s="3"/>
      <c r="W38" s="2"/>
      <c r="X38" s="3"/>
      <c r="Y38" s="3"/>
      <c r="Z38" s="3"/>
      <c r="AA38" s="3"/>
      <c r="AB38" s="3"/>
      <c r="AC38" s="3"/>
      <c r="AD38" s="3"/>
      <c r="AE38" s="3"/>
      <c r="AF38" s="2"/>
      <c r="AG38" s="3"/>
      <c r="AH38" s="3"/>
      <c r="AI38" s="3"/>
      <c r="AJ38" s="3"/>
      <c r="AK38" s="3"/>
      <c r="AL38" s="3"/>
      <c r="AM38" s="3"/>
      <c r="AN38" s="83"/>
      <c r="AO38" s="83"/>
      <c r="AP38" s="3"/>
    </row>
    <row r="39" spans="1:42" x14ac:dyDescent="0.2">
      <c r="A39" s="2"/>
      <c r="B39" s="2"/>
      <c r="C39" s="2"/>
      <c r="D39" s="2"/>
      <c r="E39" s="2"/>
      <c r="F39" s="2"/>
      <c r="G39" s="2"/>
      <c r="H39" s="2"/>
      <c r="I39" s="2"/>
      <c r="J39" s="2"/>
      <c r="K39" s="2"/>
      <c r="L39" s="2"/>
      <c r="M39" s="2"/>
      <c r="O39" s="3"/>
      <c r="P39" s="3"/>
      <c r="Q39" s="3"/>
      <c r="R39" s="3"/>
      <c r="S39" s="3"/>
      <c r="T39" s="3"/>
      <c r="U39" s="3"/>
      <c r="V39" s="3"/>
      <c r="W39" s="2"/>
      <c r="X39" s="3"/>
      <c r="Y39" s="3"/>
      <c r="Z39" s="3"/>
      <c r="AA39" s="3"/>
      <c r="AB39" s="3"/>
      <c r="AC39" s="3"/>
      <c r="AD39" s="3"/>
      <c r="AE39" s="3"/>
      <c r="AF39" s="2"/>
      <c r="AG39" s="3"/>
      <c r="AH39" s="3"/>
      <c r="AI39" s="3"/>
      <c r="AJ39" s="3"/>
      <c r="AK39" s="3"/>
      <c r="AL39" s="3"/>
      <c r="AM39" s="3"/>
      <c r="AN39" s="83"/>
      <c r="AO39" s="83"/>
      <c r="AP39" s="3"/>
    </row>
    <row r="40" spans="1:42" ht="15" x14ac:dyDescent="0.25">
      <c r="A40" s="2"/>
      <c r="B40" s="2"/>
      <c r="C40" s="2"/>
      <c r="D40" s="2"/>
      <c r="E40" s="2"/>
      <c r="F40" s="2"/>
      <c r="G40" s="2"/>
      <c r="H40" s="2"/>
      <c r="I40" s="2"/>
      <c r="J40" s="2"/>
      <c r="K40" s="2"/>
      <c r="L40" s="2"/>
      <c r="M40" s="2"/>
      <c r="O40" s="3"/>
      <c r="P40" s="3"/>
      <c r="Q40" s="23" t="s">
        <v>102</v>
      </c>
      <c r="R40" s="24"/>
      <c r="S40" s="24"/>
      <c r="T40" s="24"/>
      <c r="U40" s="24"/>
      <c r="V40" s="3"/>
      <c r="W40" s="2"/>
      <c r="X40" s="3"/>
      <c r="Y40" s="3"/>
      <c r="Z40" s="23" t="s">
        <v>180</v>
      </c>
      <c r="AA40" s="24"/>
      <c r="AB40" s="24"/>
      <c r="AC40" s="24"/>
      <c r="AD40" s="24"/>
      <c r="AE40" s="3"/>
      <c r="AF40" s="2"/>
      <c r="AG40" s="3"/>
      <c r="AH40" s="3"/>
      <c r="AI40" s="23" t="s">
        <v>185</v>
      </c>
      <c r="AJ40" s="24"/>
      <c r="AK40" s="24"/>
      <c r="AL40" s="24"/>
      <c r="AM40" s="3"/>
      <c r="AN40" s="83"/>
      <c r="AO40" s="83"/>
      <c r="AP40" s="3"/>
    </row>
    <row r="41" spans="1:42" ht="15" x14ac:dyDescent="0.25">
      <c r="A41" s="2"/>
      <c r="B41" s="2"/>
      <c r="C41" s="2"/>
      <c r="D41" s="2"/>
      <c r="E41" s="2"/>
      <c r="F41" s="2"/>
      <c r="G41" s="2"/>
      <c r="H41" s="2"/>
      <c r="I41" s="2"/>
      <c r="J41" s="2"/>
      <c r="K41" s="2"/>
      <c r="L41" s="2"/>
      <c r="M41" s="2"/>
      <c r="O41" s="3"/>
      <c r="P41" s="484" t="s">
        <v>131</v>
      </c>
      <c r="Q41" s="45"/>
      <c r="R41" s="45">
        <f>E13</f>
        <v>0</v>
      </c>
      <c r="S41" s="46">
        <f>R41+5</f>
        <v>5</v>
      </c>
      <c r="T41" s="46">
        <f>R41+10</f>
        <v>10</v>
      </c>
      <c r="U41" s="34"/>
      <c r="V41" s="3"/>
      <c r="W41" s="2"/>
      <c r="X41" s="3"/>
      <c r="Y41" s="3"/>
      <c r="Z41" s="34"/>
      <c r="AA41" s="45">
        <f>R$41</f>
        <v>0</v>
      </c>
      <c r="AB41" s="45">
        <f>S$41</f>
        <v>5</v>
      </c>
      <c r="AC41" s="45">
        <f>T$41</f>
        <v>10</v>
      </c>
      <c r="AD41" s="34"/>
      <c r="AE41" s="3"/>
      <c r="AF41" s="2"/>
      <c r="AG41" s="3"/>
      <c r="AH41" s="483" t="s">
        <v>131</v>
      </c>
      <c r="AI41" s="34"/>
      <c r="AJ41" s="45">
        <f>AA$41</f>
        <v>0</v>
      </c>
      <c r="AK41" s="45">
        <f>AB$41</f>
        <v>5</v>
      </c>
      <c r="AL41" s="45">
        <f>AC$41</f>
        <v>10</v>
      </c>
      <c r="AM41" s="46"/>
      <c r="AN41" s="46"/>
      <c r="AO41" s="83"/>
      <c r="AP41" s="62"/>
    </row>
    <row r="42" spans="1:42" x14ac:dyDescent="0.2">
      <c r="A42" s="2"/>
      <c r="B42" s="2"/>
      <c r="C42" s="2"/>
      <c r="D42" s="2"/>
      <c r="E42" s="2"/>
      <c r="F42" s="2"/>
      <c r="G42" s="2"/>
      <c r="H42" s="2"/>
      <c r="I42" s="2"/>
      <c r="J42" s="2"/>
      <c r="K42" s="2"/>
      <c r="L42" s="2"/>
      <c r="M42" s="2"/>
      <c r="O42" s="3"/>
      <c r="P42" s="484"/>
      <c r="Q42" s="24"/>
      <c r="R42" s="47" t="s">
        <v>81</v>
      </c>
      <c r="S42" s="48"/>
      <c r="T42" s="48"/>
      <c r="U42" s="24"/>
      <c r="V42" s="3"/>
      <c r="W42" s="2"/>
      <c r="X42" s="3"/>
      <c r="Y42" s="3"/>
      <c r="Z42" s="24"/>
      <c r="AA42" s="47" t="s">
        <v>81</v>
      </c>
      <c r="AB42" s="48"/>
      <c r="AC42" s="48"/>
      <c r="AD42" s="24"/>
      <c r="AE42" s="3"/>
      <c r="AF42" s="2"/>
      <c r="AG42" s="3"/>
      <c r="AH42" s="483"/>
      <c r="AI42" s="24"/>
      <c r="AJ42" s="47" t="s">
        <v>81</v>
      </c>
      <c r="AK42" s="48"/>
      <c r="AL42" s="48"/>
      <c r="AM42" s="3"/>
      <c r="AN42" s="83"/>
      <c r="AO42" s="83"/>
      <c r="AP42" s="62"/>
    </row>
    <row r="43" spans="1:42" ht="15.75" x14ac:dyDescent="0.3">
      <c r="A43" s="2"/>
      <c r="B43" s="2"/>
      <c r="C43" s="2"/>
      <c r="D43" s="2"/>
      <c r="E43" s="2"/>
      <c r="F43" s="2"/>
      <c r="G43" s="2"/>
      <c r="H43" s="2"/>
      <c r="I43" s="2"/>
      <c r="J43" s="2"/>
      <c r="K43" s="2"/>
      <c r="L43" s="2"/>
      <c r="M43" s="2"/>
      <c r="O43" s="3"/>
      <c r="P43" s="3"/>
      <c r="Q43" s="29" t="s">
        <v>29</v>
      </c>
      <c r="R43" s="32">
        <f>'Referenz Plattenfertiger'!$W$16+'Referenz Plattenfertiger'!W21</f>
        <v>43.0426</v>
      </c>
      <c r="S43" s="32">
        <f>X122+X127</f>
        <v>43.0426</v>
      </c>
      <c r="T43" s="32">
        <f>X202+X207</f>
        <v>43.0426</v>
      </c>
      <c r="U43" s="25" t="s">
        <v>148</v>
      </c>
      <c r="V43" s="3"/>
      <c r="W43" s="2"/>
      <c r="X43" s="3"/>
      <c r="Y43" s="3"/>
      <c r="Z43" s="29" t="s">
        <v>104</v>
      </c>
      <c r="AA43" s="26">
        <f>'Referenz Plattenfertiger'!S78</f>
        <v>94.932355060000006</v>
      </c>
      <c r="AB43" s="26">
        <f>S183</f>
        <v>94.932355060000006</v>
      </c>
      <c r="AC43" s="26">
        <f>S263</f>
        <v>94.932355060000006</v>
      </c>
      <c r="AD43" s="25" t="s">
        <v>148</v>
      </c>
      <c r="AE43" s="3"/>
      <c r="AF43" s="2"/>
      <c r="AG43" s="3"/>
      <c r="AH43" s="3"/>
      <c r="AI43" s="56" t="s">
        <v>144</v>
      </c>
      <c r="AJ43" s="57">
        <f>SUM(AJ44:AJ50)</f>
        <v>109669</v>
      </c>
      <c r="AK43" s="57">
        <f t="shared" ref="AK43:AL43" si="0">SUM(AK44:AK50)</f>
        <v>106186</v>
      </c>
      <c r="AL43" s="57">
        <f t="shared" si="0"/>
        <v>106186</v>
      </c>
      <c r="AM43" s="3"/>
      <c r="AN43" s="112"/>
      <c r="AO43" s="112"/>
      <c r="AP43" s="62"/>
    </row>
    <row r="44" spans="1:42" ht="15.75" x14ac:dyDescent="0.3">
      <c r="A44" s="2"/>
      <c r="B44" s="2"/>
      <c r="C44" s="2"/>
      <c r="D44" s="2"/>
      <c r="E44" s="2"/>
      <c r="F44" s="2"/>
      <c r="G44" s="2"/>
      <c r="H44" s="2"/>
      <c r="I44" s="2"/>
      <c r="J44" s="2"/>
      <c r="K44" s="2"/>
      <c r="L44" s="2"/>
      <c r="M44" s="2"/>
      <c r="O44" s="3"/>
      <c r="P44" s="3"/>
      <c r="Q44" s="8" t="s">
        <v>30</v>
      </c>
      <c r="R44" s="10">
        <f>'Referenz Plattenfertiger'!$W$17+'Referenz Plattenfertiger'!W22</f>
        <v>16.005600000000001</v>
      </c>
      <c r="S44" s="10">
        <f>X123+X128</f>
        <v>16.005600000000001</v>
      </c>
      <c r="T44" s="10">
        <f>X203+X208</f>
        <v>16.005600000000001</v>
      </c>
      <c r="U44" s="3" t="s">
        <v>148</v>
      </c>
      <c r="V44" s="3"/>
      <c r="W44" s="2"/>
      <c r="X44" s="3"/>
      <c r="Y44" s="3"/>
      <c r="Z44" s="8" t="s">
        <v>26</v>
      </c>
      <c r="AA44" s="9">
        <f>'Referenz Plattenfertiger'!T78</f>
        <v>171.9</v>
      </c>
      <c r="AB44" s="9">
        <f>T183</f>
        <v>119.27228696972129</v>
      </c>
      <c r="AC44" s="9">
        <f>T263</f>
        <v>58.782689878035576</v>
      </c>
      <c r="AD44" s="3" t="s">
        <v>148</v>
      </c>
      <c r="AE44" s="3"/>
      <c r="AF44" s="2"/>
      <c r="AG44" s="3"/>
      <c r="AH44" s="3"/>
      <c r="AI44" s="31" t="s">
        <v>29</v>
      </c>
      <c r="AJ44" s="51">
        <f>'Referenz Plattenfertiger'!AD16</f>
        <v>14335</v>
      </c>
      <c r="AK44" s="51">
        <f>AH122+AH127</f>
        <v>14335</v>
      </c>
      <c r="AL44" s="51">
        <f>AH198+AH203</f>
        <v>14335</v>
      </c>
      <c r="AM44" s="3"/>
      <c r="AN44" s="112"/>
      <c r="AO44" s="112"/>
      <c r="AP44" s="62"/>
    </row>
    <row r="45" spans="1:42" ht="15.75" x14ac:dyDescent="0.3">
      <c r="A45" s="2"/>
      <c r="B45" s="2"/>
      <c r="C45" s="2"/>
      <c r="D45" s="2"/>
      <c r="E45" s="2"/>
      <c r="F45" s="2"/>
      <c r="G45" s="2"/>
      <c r="H45" s="2"/>
      <c r="I45" s="2"/>
      <c r="J45" s="2"/>
      <c r="K45" s="2"/>
      <c r="L45" s="2"/>
      <c r="M45" s="2"/>
      <c r="O45" s="3"/>
      <c r="P45" s="3"/>
      <c r="Q45" s="29" t="s">
        <v>31</v>
      </c>
      <c r="R45" s="32">
        <f>'Referenz Plattenfertiger'!$W$18+'Referenz Plattenfertiger'!T24</f>
        <v>171.9</v>
      </c>
      <c r="S45" s="32">
        <f>X124+X130</f>
        <v>119.27228696972129</v>
      </c>
      <c r="T45" s="32">
        <f>X204+X210</f>
        <v>58.782689878035576</v>
      </c>
      <c r="U45" s="25" t="s">
        <v>148</v>
      </c>
      <c r="V45" s="3"/>
      <c r="W45" s="2"/>
      <c r="X45" s="3"/>
      <c r="Y45" s="3"/>
      <c r="Z45" s="29" t="s">
        <v>27</v>
      </c>
      <c r="AA45" s="26">
        <f>'Referenz Plattenfertiger'!U78</f>
        <v>5831.5296228095176</v>
      </c>
      <c r="AB45" s="26">
        <f>U183</f>
        <v>5743.4955254019387</v>
      </c>
      <c r="AC45" s="26">
        <f>U263</f>
        <v>5734.6279404879733</v>
      </c>
      <c r="AD45" s="25" t="s">
        <v>148</v>
      </c>
      <c r="AE45" s="3"/>
      <c r="AF45" s="2"/>
      <c r="AG45" s="3"/>
      <c r="AH45" s="3"/>
      <c r="AI45" s="31" t="s">
        <v>30</v>
      </c>
      <c r="AJ45" s="51">
        <f>'Referenz Plattenfertiger'!AD17</f>
        <v>2760</v>
      </c>
      <c r="AK45" s="51">
        <f>AH123+AH128</f>
        <v>2760</v>
      </c>
      <c r="AL45" s="51">
        <f>AH199+AH204</f>
        <v>2760</v>
      </c>
      <c r="AM45" s="3"/>
      <c r="AN45" s="112"/>
      <c r="AO45" s="112"/>
      <c r="AP45" s="62"/>
    </row>
    <row r="46" spans="1:42" ht="16.5" thickBot="1" x14ac:dyDescent="0.35">
      <c r="A46" s="2"/>
      <c r="B46" s="2"/>
      <c r="C46" s="2"/>
      <c r="D46" s="2"/>
      <c r="E46" s="2"/>
      <c r="F46" s="2"/>
      <c r="G46" s="2"/>
      <c r="H46" s="2"/>
      <c r="I46" s="2"/>
      <c r="J46" s="2"/>
      <c r="K46" s="2"/>
      <c r="L46" s="2"/>
      <c r="M46" s="2"/>
      <c r="O46" s="3"/>
      <c r="P46" s="3"/>
      <c r="Q46" s="8" t="s">
        <v>115</v>
      </c>
      <c r="R46" s="10">
        <f>'Referenz Plattenfertiger'!$W$19</f>
        <v>0</v>
      </c>
      <c r="S46" s="10">
        <f>X125</f>
        <v>0</v>
      </c>
      <c r="T46" s="10">
        <f>X205</f>
        <v>0</v>
      </c>
      <c r="U46" s="3" t="s">
        <v>148</v>
      </c>
      <c r="V46" s="3"/>
      <c r="W46" s="2"/>
      <c r="X46" s="3"/>
      <c r="Y46" s="3"/>
      <c r="Z46" s="27" t="s">
        <v>67</v>
      </c>
      <c r="AA46" s="28">
        <f>SUM(AA43:AA45)</f>
        <v>6098.3619778695174</v>
      </c>
      <c r="AB46" s="28">
        <f t="shared" ref="AB46:AC46" si="1">SUM(AB43:AB45)</f>
        <v>5957.7001674316598</v>
      </c>
      <c r="AC46" s="28">
        <f t="shared" si="1"/>
        <v>5888.3429854260085</v>
      </c>
      <c r="AD46" s="27" t="s">
        <v>149</v>
      </c>
      <c r="AE46" s="3"/>
      <c r="AF46" s="2"/>
      <c r="AG46" s="3"/>
      <c r="AH46" s="3"/>
      <c r="AI46" s="31" t="s">
        <v>31</v>
      </c>
      <c r="AJ46" s="51">
        <f>'Referenz Plattenfertiger'!AD18</f>
        <v>77400</v>
      </c>
      <c r="AK46" s="51">
        <f>AH124+AH130</f>
        <v>73917</v>
      </c>
      <c r="AL46" s="51">
        <f>AH200+AH206</f>
        <v>73917</v>
      </c>
      <c r="AM46" s="3"/>
      <c r="AN46" s="112"/>
      <c r="AO46" s="112"/>
      <c r="AP46" s="62"/>
    </row>
    <row r="47" spans="1:42" ht="16.5" thickTop="1" x14ac:dyDescent="0.3">
      <c r="A47" s="2"/>
      <c r="B47" s="2"/>
      <c r="C47" s="2"/>
      <c r="D47" s="2"/>
      <c r="E47" s="2"/>
      <c r="F47" s="2"/>
      <c r="G47" s="2"/>
      <c r="H47" s="2"/>
      <c r="I47" s="2"/>
      <c r="J47" s="2"/>
      <c r="K47" s="2"/>
      <c r="L47" s="2"/>
      <c r="M47" s="2"/>
      <c r="O47" s="3"/>
      <c r="P47" s="3"/>
      <c r="Q47" s="29" t="s">
        <v>111</v>
      </c>
      <c r="R47" s="32">
        <f>'Referenz Plattenfertiger'!$W$25</f>
        <v>0</v>
      </c>
      <c r="S47" s="32">
        <f>X131</f>
        <v>0</v>
      </c>
      <c r="T47" s="32">
        <f>X211</f>
        <v>0</v>
      </c>
      <c r="U47" s="25" t="s">
        <v>148</v>
      </c>
      <c r="V47" s="3"/>
      <c r="W47" s="2"/>
      <c r="X47" s="3"/>
      <c r="Y47" s="3"/>
      <c r="Z47" s="3"/>
      <c r="AA47" s="3"/>
      <c r="AB47" s="3"/>
      <c r="AC47" s="3"/>
      <c r="AD47" s="3"/>
      <c r="AE47" s="3"/>
      <c r="AF47" s="2"/>
      <c r="AG47" s="3"/>
      <c r="AH47" s="3"/>
      <c r="AI47" s="31" t="s">
        <v>111</v>
      </c>
      <c r="AJ47" s="51">
        <f>'Referenz Plattenfertiger'!AD19</f>
        <v>0</v>
      </c>
      <c r="AK47" s="51">
        <f>AH131</f>
        <v>0</v>
      </c>
      <c r="AL47" s="51">
        <f>AH207</f>
        <v>0</v>
      </c>
      <c r="AM47" s="3"/>
      <c r="AN47" s="112"/>
      <c r="AO47" s="112"/>
      <c r="AP47" s="62"/>
    </row>
    <row r="48" spans="1:42" ht="15.75" x14ac:dyDescent="0.3">
      <c r="A48" s="2"/>
      <c r="B48" s="2"/>
      <c r="C48" s="2"/>
      <c r="D48" s="2"/>
      <c r="E48" s="2"/>
      <c r="F48" s="2"/>
      <c r="G48" s="2"/>
      <c r="H48" s="2"/>
      <c r="I48" s="2"/>
      <c r="J48" s="2"/>
      <c r="K48" s="2"/>
      <c r="L48" s="2"/>
      <c r="M48" s="2"/>
      <c r="O48" s="3"/>
      <c r="P48" s="3"/>
      <c r="Q48" s="8" t="s">
        <v>116</v>
      </c>
      <c r="R48" s="10">
        <f>'Referenz Plattenfertiger'!$W$26</f>
        <v>0</v>
      </c>
      <c r="S48" s="10">
        <f>X132</f>
        <v>0</v>
      </c>
      <c r="T48" s="10">
        <f>X212</f>
        <v>0</v>
      </c>
      <c r="U48" s="3" t="s">
        <v>148</v>
      </c>
      <c r="V48" s="3"/>
      <c r="W48" s="2"/>
      <c r="X48" s="3"/>
      <c r="Y48" s="3"/>
      <c r="Z48" s="3"/>
      <c r="AA48" s="3"/>
      <c r="AB48" s="3"/>
      <c r="AC48" s="3"/>
      <c r="AD48" s="3"/>
      <c r="AE48" s="3"/>
      <c r="AF48" s="2"/>
      <c r="AG48" s="3"/>
      <c r="AH48" s="3"/>
      <c r="AI48" s="31" t="s">
        <v>112</v>
      </c>
      <c r="AJ48" s="51">
        <f>'Referenz Plattenfertiger'!AD20</f>
        <v>0</v>
      </c>
      <c r="AK48" s="51">
        <f>AH125</f>
        <v>0</v>
      </c>
      <c r="AL48" s="51">
        <f>AH201</f>
        <v>0</v>
      </c>
      <c r="AM48" s="3"/>
      <c r="AN48" s="112"/>
      <c r="AO48" s="112"/>
      <c r="AP48" s="62"/>
    </row>
    <row r="49" spans="1:42" ht="15.75" x14ac:dyDescent="0.3">
      <c r="A49" s="2"/>
      <c r="B49" s="2"/>
      <c r="C49" s="2"/>
      <c r="D49" s="2"/>
      <c r="E49" s="2"/>
      <c r="F49" s="2"/>
      <c r="G49" s="2"/>
      <c r="H49" s="2"/>
      <c r="I49" s="2"/>
      <c r="J49" s="2"/>
      <c r="K49" s="2"/>
      <c r="L49" s="2"/>
      <c r="M49" s="2"/>
      <c r="O49" s="3"/>
      <c r="P49" s="3"/>
      <c r="Q49" s="29" t="s">
        <v>32</v>
      </c>
      <c r="R49" s="32">
        <f>'Referenz Plattenfertiger'!$W$28+'Referenz Plattenfertiger'!$W$29</f>
        <v>35.884155059999998</v>
      </c>
      <c r="S49" s="32">
        <f>X134+X135</f>
        <v>35.884155059999998</v>
      </c>
      <c r="T49" s="32">
        <f>X214+X215</f>
        <v>35.884155059999998</v>
      </c>
      <c r="U49" s="25" t="s">
        <v>148</v>
      </c>
      <c r="V49" s="3"/>
      <c r="W49" s="2"/>
      <c r="X49" s="3"/>
      <c r="Y49" s="3"/>
      <c r="Z49" s="23" t="s">
        <v>178</v>
      </c>
      <c r="AA49" s="24"/>
      <c r="AB49" s="24"/>
      <c r="AC49" s="24"/>
      <c r="AD49" s="24"/>
      <c r="AE49" s="3"/>
      <c r="AF49" s="2"/>
      <c r="AG49" s="3"/>
      <c r="AH49" s="3"/>
      <c r="AI49" s="31" t="s">
        <v>113</v>
      </c>
      <c r="AJ49" s="51">
        <f>'Referenz Plattenfertiger'!AD21</f>
        <v>0</v>
      </c>
      <c r="AK49" s="51">
        <f>AH132</f>
        <v>0</v>
      </c>
      <c r="AL49" s="51">
        <f>AH208</f>
        <v>0</v>
      </c>
      <c r="AM49" s="3"/>
      <c r="AN49" s="112"/>
      <c r="AO49" s="112"/>
      <c r="AP49" s="62"/>
    </row>
    <row r="50" spans="1:42" ht="15.75" thickBot="1" x14ac:dyDescent="0.3">
      <c r="A50" s="2"/>
      <c r="B50" s="2"/>
      <c r="C50" s="2"/>
      <c r="D50" s="2"/>
      <c r="E50" s="2"/>
      <c r="F50" s="2"/>
      <c r="G50" s="2"/>
      <c r="H50" s="2"/>
      <c r="I50" s="2"/>
      <c r="J50" s="2"/>
      <c r="K50" s="2"/>
      <c r="L50" s="2"/>
      <c r="M50" s="2"/>
      <c r="O50" s="3"/>
      <c r="P50" s="3"/>
      <c r="Q50" s="27" t="s">
        <v>67</v>
      </c>
      <c r="R50" s="33">
        <f>SUM(R43:R49)</f>
        <v>266.83235506</v>
      </c>
      <c r="S50" s="33">
        <f>SUM(S43:S49)</f>
        <v>214.2046420297213</v>
      </c>
      <c r="T50" s="33">
        <f>SUM(T43:T49)</f>
        <v>153.71504493803559</v>
      </c>
      <c r="U50" s="27" t="s">
        <v>149</v>
      </c>
      <c r="V50" s="3"/>
      <c r="W50" s="2"/>
      <c r="X50" s="3"/>
      <c r="Y50" s="483" t="s">
        <v>131</v>
      </c>
      <c r="Z50" s="34"/>
      <c r="AA50" s="45">
        <f>R$41</f>
        <v>0</v>
      </c>
      <c r="AB50" s="45">
        <f>S$41</f>
        <v>5</v>
      </c>
      <c r="AC50" s="45">
        <f>T$41</f>
        <v>10</v>
      </c>
      <c r="AD50" s="34"/>
      <c r="AE50" s="3"/>
      <c r="AF50" s="2"/>
      <c r="AG50" s="3"/>
      <c r="AH50" s="3"/>
      <c r="AI50" s="50" t="s">
        <v>32</v>
      </c>
      <c r="AJ50" s="52">
        <f>'Referenz Plattenfertiger'!AD22</f>
        <v>15174.000000000002</v>
      </c>
      <c r="AK50" s="53">
        <f>AH134+AH135</f>
        <v>15174.000000000002</v>
      </c>
      <c r="AL50" s="53">
        <f>AH210+AH211</f>
        <v>15174.000000000002</v>
      </c>
      <c r="AM50" s="3"/>
      <c r="AN50" s="112"/>
      <c r="AO50" s="112"/>
      <c r="AP50" s="62"/>
    </row>
    <row r="51" spans="1:42" ht="13.5" thickTop="1" x14ac:dyDescent="0.2">
      <c r="A51" s="2"/>
      <c r="B51" s="2"/>
      <c r="C51" s="2"/>
      <c r="D51" s="2"/>
      <c r="E51" s="2"/>
      <c r="F51" s="2"/>
      <c r="G51" s="2"/>
      <c r="H51" s="2"/>
      <c r="I51" s="2"/>
      <c r="J51" s="2"/>
      <c r="K51" s="2"/>
      <c r="L51" s="2"/>
      <c r="M51" s="2"/>
      <c r="O51" s="3"/>
      <c r="P51" s="3"/>
      <c r="Q51" s="3"/>
      <c r="R51" s="3"/>
      <c r="S51" s="3"/>
      <c r="T51" s="3"/>
      <c r="U51" s="3"/>
      <c r="V51" s="3"/>
      <c r="W51" s="2"/>
      <c r="X51" s="3"/>
      <c r="Y51" s="483"/>
      <c r="Z51" s="24"/>
      <c r="AA51" s="47" t="s">
        <v>81</v>
      </c>
      <c r="AB51" s="48"/>
      <c r="AC51" s="48"/>
      <c r="AD51" s="24"/>
      <c r="AE51" s="3"/>
      <c r="AF51" s="2"/>
      <c r="AG51" s="3"/>
      <c r="AH51" s="3"/>
      <c r="AI51" s="8" t="s">
        <v>28</v>
      </c>
      <c r="AJ51" s="54">
        <v>0</v>
      </c>
      <c r="AK51" s="54">
        <f>AH138</f>
        <v>1800</v>
      </c>
      <c r="AL51" s="54">
        <f>AH214</f>
        <v>1800</v>
      </c>
      <c r="AM51" s="3"/>
      <c r="AN51" s="112"/>
      <c r="AO51" s="112"/>
      <c r="AP51" s="62"/>
    </row>
    <row r="52" spans="1:42" ht="15.75" x14ac:dyDescent="0.3">
      <c r="A52" s="2"/>
      <c r="B52" s="2"/>
      <c r="C52" s="2"/>
      <c r="D52" s="2"/>
      <c r="E52" s="2"/>
      <c r="F52" s="2"/>
      <c r="G52" s="2"/>
      <c r="H52" s="2"/>
      <c r="I52" s="2"/>
      <c r="J52" s="2"/>
      <c r="K52" s="2"/>
      <c r="L52" s="2"/>
      <c r="M52" s="2"/>
      <c r="O52" s="3"/>
      <c r="P52" s="3"/>
      <c r="Q52" s="3"/>
      <c r="R52" s="3"/>
      <c r="S52" s="3"/>
      <c r="T52" s="3"/>
      <c r="U52" s="3"/>
      <c r="V52" s="3"/>
      <c r="W52" s="2"/>
      <c r="X52" s="3"/>
      <c r="Y52" s="3"/>
      <c r="Z52" s="29" t="str">
        <f>P120</f>
        <v>Energieträger gesamt</v>
      </c>
      <c r="AA52" s="26">
        <f>SUM('Referenz Plattenfertiger'!U16:U29)</f>
        <v>41.281733459999998</v>
      </c>
      <c r="AB52" s="26">
        <f>U120</f>
        <v>33.566676052419879</v>
      </c>
      <c r="AC52" s="26">
        <f>U200</f>
        <v>24.699091138455479</v>
      </c>
      <c r="AD52" s="25" t="s">
        <v>148</v>
      </c>
      <c r="AE52" s="3"/>
      <c r="AF52" s="2"/>
      <c r="AG52" s="3"/>
      <c r="AH52" s="3"/>
      <c r="AI52" s="8" t="s">
        <v>139</v>
      </c>
      <c r="AJ52" s="54">
        <v>0</v>
      </c>
      <c r="AK52" s="54">
        <f>AH139</f>
        <v>0</v>
      </c>
      <c r="AL52" s="54">
        <f>AH215</f>
        <v>0</v>
      </c>
      <c r="AM52" s="3"/>
      <c r="AN52" s="112"/>
      <c r="AO52" s="112"/>
      <c r="AP52" s="62"/>
    </row>
    <row r="53" spans="1:42" ht="15.75" x14ac:dyDescent="0.3">
      <c r="A53" s="2"/>
      <c r="B53" s="2"/>
      <c r="C53" s="2"/>
      <c r="D53" s="2"/>
      <c r="E53" s="2"/>
      <c r="F53" s="2"/>
      <c r="G53" s="2"/>
      <c r="H53" s="2"/>
      <c r="I53" s="2"/>
      <c r="J53" s="2"/>
      <c r="K53" s="2"/>
      <c r="L53" s="2"/>
      <c r="M53" s="2"/>
      <c r="O53" s="3"/>
      <c r="P53" s="3"/>
      <c r="Q53" s="3"/>
      <c r="R53" s="3"/>
      <c r="S53" s="3"/>
      <c r="T53" s="3"/>
      <c r="U53" s="3"/>
      <c r="V53" s="3"/>
      <c r="W53" s="2"/>
      <c r="X53" s="3"/>
      <c r="Y53" s="3"/>
      <c r="Z53" s="8" t="str">
        <f>P136</f>
        <v>Transport gesamt</v>
      </c>
      <c r="AA53" s="9">
        <f>'Referenz Plattenfertiger'!U32+'Referenz Plattenfertiger'!U33</f>
        <v>469.15642799999995</v>
      </c>
      <c r="AB53" s="9">
        <f>U136</f>
        <v>469.15642799999995</v>
      </c>
      <c r="AC53" s="9">
        <f>U216</f>
        <v>469.15642799999995</v>
      </c>
      <c r="AD53" s="3" t="s">
        <v>148</v>
      </c>
      <c r="AE53" s="3"/>
      <c r="AF53" s="2"/>
      <c r="AG53" s="3"/>
      <c r="AH53" s="3"/>
      <c r="AI53" s="58" t="s">
        <v>146</v>
      </c>
      <c r="AJ53" s="60">
        <v>0</v>
      </c>
      <c r="AK53" s="60">
        <f>AH140</f>
        <v>0</v>
      </c>
      <c r="AL53" s="60">
        <f>AH216</f>
        <v>0</v>
      </c>
      <c r="AM53" s="3"/>
      <c r="AN53" s="112"/>
      <c r="AO53" s="112"/>
      <c r="AP53" s="62"/>
    </row>
    <row r="54" spans="1:42" ht="15.75" x14ac:dyDescent="0.3">
      <c r="A54" s="2"/>
      <c r="B54" s="2"/>
      <c r="C54" s="2"/>
      <c r="D54" s="2"/>
      <c r="E54" s="2"/>
      <c r="F54" s="2"/>
      <c r="G54" s="2"/>
      <c r="H54" s="2"/>
      <c r="I54" s="2"/>
      <c r="J54" s="2"/>
      <c r="K54" s="2"/>
      <c r="L54" s="2"/>
      <c r="M54" s="2"/>
      <c r="O54" s="3"/>
      <c r="P54" s="3"/>
      <c r="Q54" s="3"/>
      <c r="R54" s="3"/>
      <c r="S54" s="3"/>
      <c r="T54" s="3"/>
      <c r="U54" s="3"/>
      <c r="V54" s="3"/>
      <c r="W54" s="2"/>
      <c r="X54" s="3"/>
      <c r="Y54" s="3"/>
      <c r="Z54" s="29" t="str">
        <f>P140</f>
        <v>Zement</v>
      </c>
      <c r="AA54" s="26">
        <f>'Referenz Plattenfertiger'!U35</f>
        <v>4548.5439999999999</v>
      </c>
      <c r="AB54" s="26">
        <f>U140</f>
        <v>4548.5439999999999</v>
      </c>
      <c r="AC54" s="26">
        <f>U220</f>
        <v>4548.5439999999999</v>
      </c>
      <c r="AD54" s="25" t="s">
        <v>148</v>
      </c>
      <c r="AE54" s="3"/>
      <c r="AF54" s="2"/>
      <c r="AG54" s="3"/>
      <c r="AH54" s="3"/>
      <c r="AI54" s="56" t="s">
        <v>140</v>
      </c>
      <c r="AJ54" s="57">
        <f>SUM(AJ55:AJ57)</f>
        <v>152459.04944673795</v>
      </c>
      <c r="AK54" s="57">
        <f t="shared" ref="AK54:AL54" si="2">SUM(AK55:AK57)</f>
        <v>268096.50753442472</v>
      </c>
      <c r="AL54" s="57">
        <f t="shared" si="2"/>
        <v>471067.43883408076</v>
      </c>
      <c r="AM54" s="3"/>
      <c r="AN54" s="112"/>
      <c r="AO54" s="112"/>
      <c r="AP54" s="62"/>
    </row>
    <row r="55" spans="1:42" ht="15.75" x14ac:dyDescent="0.3">
      <c r="A55" s="2"/>
      <c r="B55" s="2"/>
      <c r="C55" s="2"/>
      <c r="D55" s="2"/>
      <c r="E55" s="2"/>
      <c r="F55" s="2"/>
      <c r="G55" s="2"/>
      <c r="H55" s="2"/>
      <c r="I55" s="2"/>
      <c r="J55" s="2"/>
      <c r="K55" s="2"/>
      <c r="L55" s="2"/>
      <c r="M55" s="2"/>
      <c r="O55" s="3"/>
      <c r="P55" s="3"/>
      <c r="Q55" s="3"/>
      <c r="R55" s="3"/>
      <c r="S55" s="3"/>
      <c r="T55" s="3"/>
      <c r="U55" s="3"/>
      <c r="V55" s="3"/>
      <c r="W55" s="2"/>
      <c r="X55" s="3"/>
      <c r="Y55" s="3"/>
      <c r="Z55" s="8" t="str">
        <f>P146</f>
        <v>Gesteinskörnungen (Zuschlagsstoffe)</v>
      </c>
      <c r="AA55" s="9">
        <f>'Referenz Plattenfertiger'!U41</f>
        <v>129.59200000000001</v>
      </c>
      <c r="AB55" s="9">
        <f>U146</f>
        <v>129.59200000000001</v>
      </c>
      <c r="AC55" s="9">
        <f>U226</f>
        <v>129.59200000000001</v>
      </c>
      <c r="AD55" s="3" t="s">
        <v>148</v>
      </c>
      <c r="AE55" s="3"/>
      <c r="AF55" s="2"/>
      <c r="AG55" s="3"/>
      <c r="AH55" s="3"/>
      <c r="AI55" s="31" t="s">
        <v>141</v>
      </c>
      <c r="AJ55" s="51">
        <f>'Referenz Plattenfertiger'!AD26</f>
        <v>2373.3088765000002</v>
      </c>
      <c r="AK55" s="51">
        <f>AH143</f>
        <v>4271.9559777000004</v>
      </c>
      <c r="AL55" s="51">
        <f>AH219</f>
        <v>7594.5884048000007</v>
      </c>
      <c r="AM55" s="3"/>
      <c r="AN55" s="112"/>
      <c r="AO55" s="112"/>
      <c r="AP55" s="62"/>
    </row>
    <row r="56" spans="1:42" ht="15.75" x14ac:dyDescent="0.3">
      <c r="A56" s="2"/>
      <c r="B56" s="2"/>
      <c r="C56" s="2"/>
      <c r="D56" s="2"/>
      <c r="E56" s="2"/>
      <c r="F56" s="2"/>
      <c r="G56" s="2"/>
      <c r="H56" s="2"/>
      <c r="I56" s="2"/>
      <c r="J56" s="2"/>
      <c r="K56" s="2"/>
      <c r="L56" s="2"/>
      <c r="M56" s="2"/>
      <c r="O56" s="3"/>
      <c r="P56" s="3"/>
      <c r="Q56" s="3"/>
      <c r="R56" s="3"/>
      <c r="S56" s="3"/>
      <c r="T56" s="3"/>
      <c r="U56" s="3"/>
      <c r="V56" s="3"/>
      <c r="W56" s="2"/>
      <c r="X56" s="3"/>
      <c r="Y56" s="3"/>
      <c r="Z56" s="29" t="str">
        <f>Q153</f>
        <v>Farben</v>
      </c>
      <c r="AA56" s="26">
        <f>'Referenz Plattenfertiger'!U48</f>
        <v>208</v>
      </c>
      <c r="AB56" s="26">
        <f>U153</f>
        <v>208</v>
      </c>
      <c r="AC56" s="26">
        <f>U233</f>
        <v>208</v>
      </c>
      <c r="AD56" s="25" t="s">
        <v>148</v>
      </c>
      <c r="AE56" s="3"/>
      <c r="AF56" s="2"/>
      <c r="AG56" s="3"/>
      <c r="AH56" s="3"/>
      <c r="AI56" s="31" t="s">
        <v>142</v>
      </c>
      <c r="AJ56" s="51">
        <f>'Referenz Plattenfertiger'!AD27</f>
        <v>4297.5</v>
      </c>
      <c r="AK56" s="51">
        <f>AH144</f>
        <v>5367.2529136374578</v>
      </c>
      <c r="AL56" s="51">
        <f>AH220</f>
        <v>4702.6151902428464</v>
      </c>
      <c r="AM56" s="3"/>
      <c r="AN56" s="112"/>
      <c r="AO56" s="112"/>
      <c r="AP56" s="62"/>
    </row>
    <row r="57" spans="1:42" ht="15.75" x14ac:dyDescent="0.3">
      <c r="A57" s="2"/>
      <c r="B57" s="2"/>
      <c r="C57" s="2"/>
      <c r="D57" s="2"/>
      <c r="E57" s="2"/>
      <c r="F57" s="2"/>
      <c r="G57" s="2"/>
      <c r="H57" s="2"/>
      <c r="I57" s="2"/>
      <c r="J57" s="2"/>
      <c r="K57" s="2"/>
      <c r="L57" s="2"/>
      <c r="M57" s="2"/>
      <c r="O57" s="3"/>
      <c r="P57" s="3"/>
      <c r="Q57" s="3"/>
      <c r="R57" s="3"/>
      <c r="S57" s="3"/>
      <c r="T57" s="3"/>
      <c r="U57" s="3"/>
      <c r="V57" s="3"/>
      <c r="W57" s="2"/>
      <c r="X57" s="3"/>
      <c r="Y57" s="3"/>
      <c r="Z57" s="8" t="str">
        <f>P155</f>
        <v>Zusatzstoffe (Füllstoffe)</v>
      </c>
      <c r="AA57" s="9">
        <f>'Referenz Plattenfertiger'!U50</f>
        <v>81.003999999999991</v>
      </c>
      <c r="AB57" s="9">
        <f>U155</f>
        <v>81.003999999999991</v>
      </c>
      <c r="AC57" s="9">
        <f>U235</f>
        <v>81.003999999999991</v>
      </c>
      <c r="AD57" s="3" t="s">
        <v>148</v>
      </c>
      <c r="AE57" s="3"/>
      <c r="AF57" s="2"/>
      <c r="AG57" s="3"/>
      <c r="AH57" s="3"/>
      <c r="AI57" s="31" t="s">
        <v>143</v>
      </c>
      <c r="AJ57" s="51">
        <f>'Referenz Plattenfertiger'!AD28</f>
        <v>145788.24057023795</v>
      </c>
      <c r="AK57" s="51">
        <f>AH145</f>
        <v>258457.29864308724</v>
      </c>
      <c r="AL57" s="51">
        <f>AH221</f>
        <v>458770.23523903789</v>
      </c>
      <c r="AM57" s="3"/>
      <c r="AN57" s="112"/>
      <c r="AO57" s="112"/>
      <c r="AP57" s="62"/>
    </row>
    <row r="58" spans="1:42" ht="16.5" thickBot="1" x14ac:dyDescent="0.35">
      <c r="A58" s="2"/>
      <c r="B58" s="2"/>
      <c r="C58" s="2"/>
      <c r="D58" s="2"/>
      <c r="E58" s="2"/>
      <c r="F58" s="2"/>
      <c r="G58" s="2"/>
      <c r="H58" s="2"/>
      <c r="I58" s="2"/>
      <c r="J58" s="2"/>
      <c r="K58" s="2"/>
      <c r="L58" s="2"/>
      <c r="M58" s="2"/>
      <c r="O58" s="3"/>
      <c r="P58" s="3"/>
      <c r="Q58" s="3"/>
      <c r="R58" s="3"/>
      <c r="S58" s="3"/>
      <c r="T58" s="3"/>
      <c r="U58" s="3"/>
      <c r="V58" s="3"/>
      <c r="W58" s="2"/>
      <c r="X58" s="3"/>
      <c r="Y58" s="3"/>
      <c r="Z58" s="29" t="str">
        <f>P162</f>
        <v>Zusatzmittel</v>
      </c>
      <c r="AA58" s="26">
        <f>'Referenz Plattenfertiger'!U57</f>
        <v>148.44746134951595</v>
      </c>
      <c r="AB58" s="26">
        <f>U162</f>
        <v>148.44746134951595</v>
      </c>
      <c r="AC58" s="26">
        <f>U242</f>
        <v>148.44746134951595</v>
      </c>
      <c r="AD58" s="25" t="s">
        <v>148</v>
      </c>
      <c r="AE58" s="3"/>
      <c r="AF58" s="2"/>
      <c r="AG58" s="3"/>
      <c r="AH58" s="3"/>
      <c r="AI58" s="27" t="s">
        <v>67</v>
      </c>
      <c r="AJ58" s="55">
        <f>AJ54+AJ53+AJ52+AJ51+AJ43</f>
        <v>262128.04944673795</v>
      </c>
      <c r="AK58" s="55">
        <f t="shared" ref="AK58:AL58" si="3">AK54+AK53+AK52+AK51+AK43</f>
        <v>376082.50753442472</v>
      </c>
      <c r="AL58" s="55">
        <f t="shared" si="3"/>
        <v>579053.43883408071</v>
      </c>
      <c r="AM58" s="3"/>
      <c r="AN58" s="112"/>
      <c r="AO58" s="112"/>
      <c r="AP58" s="62"/>
    </row>
    <row r="59" spans="1:42" ht="16.5" thickTop="1" x14ac:dyDescent="0.3">
      <c r="A59" s="2"/>
      <c r="B59" s="2"/>
      <c r="C59" s="2"/>
      <c r="D59" s="2"/>
      <c r="E59" s="2"/>
      <c r="F59" s="2"/>
      <c r="G59" s="2"/>
      <c r="H59" s="2"/>
      <c r="I59" s="2"/>
      <c r="J59" s="2"/>
      <c r="K59" s="2"/>
      <c r="L59" s="2"/>
      <c r="M59" s="2"/>
      <c r="O59" s="3"/>
      <c r="P59" s="3"/>
      <c r="Q59" s="3"/>
      <c r="R59" s="3"/>
      <c r="S59" s="3"/>
      <c r="T59" s="3"/>
      <c r="U59" s="3"/>
      <c r="V59" s="3"/>
      <c r="W59" s="2"/>
      <c r="X59" s="3"/>
      <c r="Y59" s="3"/>
      <c r="Z59" s="8" t="s">
        <v>179</v>
      </c>
      <c r="AA59" s="9">
        <f>'Referenz Plattenfertiger'!U63+'Referenz Plattenfertiger'!U64</f>
        <v>0.54400000000000004</v>
      </c>
      <c r="AB59" s="9">
        <f>U168+U169</f>
        <v>0.54400000000000004</v>
      </c>
      <c r="AC59" s="9">
        <f>U248+U249</f>
        <v>0.54400000000000004</v>
      </c>
      <c r="AD59" s="3" t="s">
        <v>148</v>
      </c>
      <c r="AE59" s="3"/>
      <c r="AF59" s="2"/>
      <c r="AG59" s="3"/>
      <c r="AH59" s="3"/>
      <c r="AI59" s="3"/>
      <c r="AJ59" s="3"/>
      <c r="AK59" s="3"/>
      <c r="AL59" s="3"/>
      <c r="AM59" s="3"/>
      <c r="AN59" s="62"/>
      <c r="AO59" s="62"/>
      <c r="AP59" s="62"/>
    </row>
    <row r="60" spans="1:42" ht="16.5" thickBot="1" x14ac:dyDescent="0.35">
      <c r="A60" s="2"/>
      <c r="B60" s="2"/>
      <c r="C60" s="2"/>
      <c r="D60" s="2"/>
      <c r="E60" s="2"/>
      <c r="F60" s="2"/>
      <c r="G60" s="2"/>
      <c r="H60" s="2"/>
      <c r="I60" s="2"/>
      <c r="J60" s="2"/>
      <c r="K60" s="2"/>
      <c r="L60" s="2"/>
      <c r="M60" s="2"/>
      <c r="O60" s="3"/>
      <c r="P60" s="3"/>
      <c r="Q60" s="3"/>
      <c r="R60" s="3"/>
      <c r="S60" s="3"/>
      <c r="T60" s="3"/>
      <c r="U60" s="3"/>
      <c r="V60" s="3"/>
      <c r="W60" s="2"/>
      <c r="X60" s="3"/>
      <c r="Y60" s="3"/>
      <c r="Z60" s="29" t="str">
        <f>P171</f>
        <v>Oberflächenschutzsysteme</v>
      </c>
      <c r="AA60" s="26">
        <f>'Referenz Plattenfertiger'!U66</f>
        <v>80.47999999999999</v>
      </c>
      <c r="AB60" s="26">
        <f>U171</f>
        <v>0.16095999999999999</v>
      </c>
      <c r="AC60" s="26">
        <f>U251</f>
        <v>0.16095999999999999</v>
      </c>
      <c r="AD60" s="25" t="s">
        <v>148</v>
      </c>
      <c r="AE60" s="3"/>
      <c r="AF60" s="2"/>
      <c r="AG60" s="3"/>
      <c r="AH60" s="3"/>
      <c r="AI60" s="104" t="s">
        <v>196</v>
      </c>
      <c r="AJ60" s="105">
        <f>AJ58-AJ57</f>
        <v>116339.8088765</v>
      </c>
      <c r="AK60" s="105">
        <f>AK58-AK57</f>
        <v>117625.20889133748</v>
      </c>
      <c r="AL60" s="105">
        <f>AL58-AL57</f>
        <v>120283.20359504281</v>
      </c>
      <c r="AM60" s="3"/>
      <c r="AN60" s="3"/>
      <c r="AO60" s="3"/>
      <c r="AP60" s="3"/>
    </row>
    <row r="61" spans="1:42" ht="16.5" thickBot="1" x14ac:dyDescent="0.35">
      <c r="A61" s="2"/>
      <c r="B61" s="2"/>
      <c r="C61" s="2"/>
      <c r="D61" s="2"/>
      <c r="E61" s="2"/>
      <c r="F61" s="2"/>
      <c r="G61" s="2"/>
      <c r="H61" s="2"/>
      <c r="I61" s="2"/>
      <c r="J61" s="2"/>
      <c r="K61" s="2"/>
      <c r="L61" s="2"/>
      <c r="M61" s="2"/>
      <c r="O61" s="3"/>
      <c r="P61" s="3"/>
      <c r="Q61" s="3"/>
      <c r="R61" s="3"/>
      <c r="S61" s="3"/>
      <c r="T61" s="3"/>
      <c r="U61" s="3"/>
      <c r="V61" s="3"/>
      <c r="W61" s="2"/>
      <c r="X61" s="3"/>
      <c r="Y61" s="3"/>
      <c r="Z61" s="8" t="str">
        <f>P176</f>
        <v>Oberflächenbearbeitung (vor/nach Erhärtung)</v>
      </c>
      <c r="AA61" s="9">
        <f>'Referenz Plattenfertiger'!U71</f>
        <v>60</v>
      </c>
      <c r="AB61" s="9">
        <f>U176</f>
        <v>60</v>
      </c>
      <c r="AC61" s="9">
        <f>U256</f>
        <v>60</v>
      </c>
      <c r="AD61" s="3" t="s">
        <v>148</v>
      </c>
      <c r="AE61" s="3"/>
      <c r="AF61" s="2"/>
      <c r="AG61" s="3"/>
      <c r="AH61" s="3"/>
      <c r="AI61" s="106" t="s">
        <v>145</v>
      </c>
      <c r="AJ61" s="107">
        <f>AJ58-AJ54</f>
        <v>109669</v>
      </c>
      <c r="AK61" s="107">
        <f>AK58-AK54</f>
        <v>107986</v>
      </c>
      <c r="AL61" s="107">
        <f>AL58-AL54</f>
        <v>107985.99999999994</v>
      </c>
      <c r="AM61" s="3"/>
      <c r="AN61" s="3"/>
      <c r="AO61" s="3"/>
      <c r="AP61" s="3"/>
    </row>
    <row r="62" spans="1:42" ht="15.75" x14ac:dyDescent="0.3">
      <c r="A62" s="2"/>
      <c r="B62" s="2"/>
      <c r="C62" s="2"/>
      <c r="D62" s="2"/>
      <c r="E62" s="2"/>
      <c r="F62" s="2"/>
      <c r="G62" s="2"/>
      <c r="H62" s="2"/>
      <c r="I62" s="2"/>
      <c r="J62" s="2"/>
      <c r="K62" s="2"/>
      <c r="L62" s="2"/>
      <c r="M62" s="2"/>
      <c r="O62" s="3"/>
      <c r="P62" s="3"/>
      <c r="Q62" s="3"/>
      <c r="R62" s="3"/>
      <c r="S62" s="3"/>
      <c r="T62" s="3"/>
      <c r="U62" s="3"/>
      <c r="V62" s="3"/>
      <c r="W62" s="2"/>
      <c r="X62" s="3"/>
      <c r="Y62" s="3"/>
      <c r="Z62" s="29" t="str">
        <f>Q181</f>
        <v>Verpackungsmaterial</v>
      </c>
      <c r="AA62" s="26">
        <f>'Referenz Plattenfertiger'!U76</f>
        <v>64.48</v>
      </c>
      <c r="AB62" s="26">
        <f>U181</f>
        <v>64.48</v>
      </c>
      <c r="AC62" s="26">
        <f>U261</f>
        <v>64.48</v>
      </c>
      <c r="AD62" s="25" t="s">
        <v>148</v>
      </c>
      <c r="AE62" s="3"/>
      <c r="AF62" s="2"/>
      <c r="AG62" s="3"/>
      <c r="AH62" s="3"/>
      <c r="AI62" s="3"/>
      <c r="AJ62" s="3"/>
      <c r="AK62" s="3"/>
      <c r="AL62" s="3"/>
      <c r="AM62" s="3"/>
      <c r="AN62" s="3"/>
      <c r="AO62" s="3"/>
      <c r="AP62" s="3"/>
    </row>
    <row r="63" spans="1:42" ht="15" thickBot="1" x14ac:dyDescent="0.3">
      <c r="A63" s="2"/>
      <c r="B63" s="2"/>
      <c r="C63" s="2"/>
      <c r="D63" s="2"/>
      <c r="E63" s="2"/>
      <c r="F63" s="2"/>
      <c r="G63" s="2"/>
      <c r="H63" s="2"/>
      <c r="I63" s="2"/>
      <c r="J63" s="2"/>
      <c r="K63" s="2"/>
      <c r="L63" s="2"/>
      <c r="M63" s="2"/>
      <c r="O63" s="3"/>
      <c r="P63" s="3"/>
      <c r="Q63" s="3"/>
      <c r="R63" s="3"/>
      <c r="S63" s="3"/>
      <c r="T63" s="3"/>
      <c r="U63" s="3"/>
      <c r="V63" s="3"/>
      <c r="W63" s="2"/>
      <c r="X63" s="3"/>
      <c r="Y63" s="3"/>
      <c r="Z63" s="27" t="s">
        <v>67</v>
      </c>
      <c r="AA63" s="28">
        <f>SUM(AA52:AA62)</f>
        <v>5831.529622809514</v>
      </c>
      <c r="AB63" s="28">
        <f t="shared" ref="AB63" si="4">SUM(AB52:AB62)</f>
        <v>5743.4955254019351</v>
      </c>
      <c r="AC63" s="28">
        <f>SUM(AC52:AC62)</f>
        <v>5734.6279404879706</v>
      </c>
      <c r="AD63" s="27" t="s">
        <v>149</v>
      </c>
      <c r="AE63" s="3"/>
      <c r="AF63" s="2"/>
      <c r="AG63" s="3"/>
      <c r="AH63" s="3"/>
      <c r="AI63" s="3"/>
      <c r="AJ63" s="3"/>
      <c r="AK63" s="3"/>
      <c r="AL63" s="3"/>
      <c r="AM63" s="3"/>
      <c r="AN63" s="3"/>
      <c r="AO63" s="3"/>
      <c r="AP63" s="3"/>
    </row>
    <row r="64" spans="1:42" ht="13.5" thickTop="1" x14ac:dyDescent="0.2">
      <c r="A64" s="2"/>
      <c r="B64" s="2"/>
      <c r="C64" s="2"/>
      <c r="D64" s="2"/>
      <c r="E64" s="2"/>
      <c r="F64" s="2"/>
      <c r="G64" s="2"/>
      <c r="H64" s="2"/>
      <c r="I64" s="2"/>
      <c r="J64" s="2"/>
      <c r="K64" s="2"/>
      <c r="L64" s="2"/>
      <c r="M64" s="2"/>
      <c r="O64" s="3"/>
      <c r="P64" s="3"/>
      <c r="Q64" s="3"/>
      <c r="R64" s="3"/>
      <c r="S64" s="3"/>
      <c r="T64" s="3"/>
      <c r="U64" s="3"/>
      <c r="V64" s="3"/>
      <c r="W64" s="2"/>
      <c r="X64" s="3"/>
      <c r="Y64" s="3"/>
      <c r="Z64" s="8"/>
      <c r="AA64" s="82"/>
      <c r="AB64" s="82"/>
      <c r="AC64" s="82"/>
      <c r="AD64" s="8"/>
      <c r="AE64" s="3"/>
      <c r="AF64" s="2"/>
      <c r="AG64" s="3"/>
      <c r="AH64" s="3"/>
      <c r="AI64" s="3"/>
      <c r="AJ64" s="3"/>
      <c r="AK64" s="3"/>
      <c r="AL64" s="3"/>
      <c r="AM64" s="3"/>
      <c r="AN64" s="3"/>
      <c r="AO64" s="3"/>
      <c r="AP64" s="3"/>
    </row>
    <row r="65" spans="1:42" x14ac:dyDescent="0.2">
      <c r="A65" s="2"/>
      <c r="B65" s="2"/>
      <c r="C65" s="2"/>
      <c r="D65" s="2"/>
      <c r="E65" s="2"/>
      <c r="F65" s="2"/>
      <c r="G65" s="2"/>
      <c r="H65" s="2"/>
      <c r="I65" s="2"/>
      <c r="J65" s="2"/>
      <c r="K65" s="2"/>
      <c r="L65" s="2"/>
      <c r="M65" s="2"/>
      <c r="O65" s="3"/>
      <c r="P65" s="3"/>
      <c r="Q65" s="3"/>
      <c r="R65" s="3"/>
      <c r="S65" s="3"/>
      <c r="T65" s="3"/>
      <c r="U65" s="3"/>
      <c r="V65" s="3"/>
      <c r="W65" s="2"/>
      <c r="X65" s="3"/>
      <c r="Y65" s="3"/>
      <c r="Z65" s="8"/>
      <c r="AA65" s="82"/>
      <c r="AB65" s="82"/>
      <c r="AC65" s="82"/>
      <c r="AD65" s="8"/>
      <c r="AE65" s="3"/>
      <c r="AF65" s="2"/>
      <c r="AG65" s="3"/>
      <c r="AH65" s="3"/>
      <c r="AI65" s="3"/>
      <c r="AJ65" s="3"/>
      <c r="AK65" s="3"/>
      <c r="AL65" s="3"/>
      <c r="AM65" s="3"/>
      <c r="AN65" s="3"/>
      <c r="AO65" s="3"/>
      <c r="AP65" s="3"/>
    </row>
    <row r="66" spans="1:42" ht="15" x14ac:dyDescent="0.25">
      <c r="A66" s="2"/>
      <c r="B66" s="2"/>
      <c r="C66" s="2"/>
      <c r="D66" s="2"/>
      <c r="E66" s="2"/>
      <c r="F66" s="2"/>
      <c r="G66" s="2"/>
      <c r="H66" s="2"/>
      <c r="I66" s="2"/>
      <c r="J66" s="2"/>
      <c r="K66" s="2"/>
      <c r="L66" s="2"/>
      <c r="M66" s="2"/>
      <c r="O66" s="3"/>
      <c r="P66" s="3"/>
      <c r="Q66" s="3"/>
      <c r="R66" s="3"/>
      <c r="S66" s="3"/>
      <c r="T66" s="3"/>
      <c r="U66" s="3"/>
      <c r="V66" s="3"/>
      <c r="W66" s="2"/>
      <c r="X66" s="3"/>
      <c r="Y66" s="3"/>
      <c r="Z66" s="23" t="s">
        <v>194</v>
      </c>
      <c r="AA66" s="3"/>
      <c r="AB66" s="3"/>
      <c r="AC66" s="3"/>
      <c r="AD66" s="3"/>
      <c r="AE66" s="3"/>
      <c r="AF66" s="2"/>
      <c r="AG66" s="3"/>
      <c r="AH66" s="3"/>
      <c r="AI66" s="3"/>
      <c r="AJ66" s="3"/>
      <c r="AK66" s="3"/>
      <c r="AL66" s="3"/>
      <c r="AM66" s="3"/>
      <c r="AN66" s="3"/>
      <c r="AO66" s="3"/>
      <c r="AP66" s="3"/>
    </row>
    <row r="67" spans="1:42" ht="15" x14ac:dyDescent="0.25">
      <c r="A67" s="2"/>
      <c r="B67" s="2"/>
      <c r="C67" s="2"/>
      <c r="D67" s="2"/>
      <c r="E67" s="2"/>
      <c r="F67" s="2"/>
      <c r="G67" s="2"/>
      <c r="H67" s="2"/>
      <c r="I67" s="2"/>
      <c r="J67" s="2"/>
      <c r="K67" s="2"/>
      <c r="L67" s="2"/>
      <c r="M67" s="2"/>
      <c r="O67" s="3"/>
      <c r="P67" s="3"/>
      <c r="Q67" s="3"/>
      <c r="R67" s="3"/>
      <c r="S67" s="3"/>
      <c r="T67" s="3"/>
      <c r="U67" s="3"/>
      <c r="V67" s="3"/>
      <c r="W67" s="2"/>
      <c r="X67" s="3"/>
      <c r="Y67" s="3"/>
      <c r="Z67" s="34"/>
      <c r="AA67" s="45">
        <f>R$41</f>
        <v>0</v>
      </c>
      <c r="AB67" s="45">
        <f>S$41</f>
        <v>5</v>
      </c>
      <c r="AC67" s="45">
        <f>T$41</f>
        <v>10</v>
      </c>
      <c r="AD67" s="34"/>
      <c r="AE67" s="3"/>
      <c r="AF67" s="2"/>
      <c r="AG67" s="3"/>
      <c r="AH67" s="3"/>
      <c r="AI67" s="3"/>
      <c r="AJ67" s="3"/>
      <c r="AK67" s="3"/>
      <c r="AL67" s="3"/>
      <c r="AM67" s="3"/>
      <c r="AN67" s="3"/>
      <c r="AO67" s="3"/>
      <c r="AP67" s="3"/>
    </row>
    <row r="68" spans="1:42" x14ac:dyDescent="0.2">
      <c r="A68" s="2"/>
      <c r="B68" s="2"/>
      <c r="C68" s="2"/>
      <c r="D68" s="2"/>
      <c r="E68" s="2"/>
      <c r="F68" s="2"/>
      <c r="G68" s="2"/>
      <c r="H68" s="2"/>
      <c r="I68" s="2"/>
      <c r="J68" s="2"/>
      <c r="K68" s="2"/>
      <c r="L68" s="2"/>
      <c r="M68" s="2"/>
      <c r="O68" s="3"/>
      <c r="P68" s="3"/>
      <c r="Q68" s="3"/>
      <c r="R68" s="3"/>
      <c r="S68" s="3"/>
      <c r="T68" s="3"/>
      <c r="U68" s="3"/>
      <c r="V68" s="3"/>
      <c r="W68" s="2"/>
      <c r="X68" s="3"/>
      <c r="Y68" s="3"/>
      <c r="Z68" s="24"/>
      <c r="AA68" s="47" t="s">
        <v>81</v>
      </c>
      <c r="AB68" s="48"/>
      <c r="AC68" s="48"/>
      <c r="AD68" s="24"/>
      <c r="AE68" s="3"/>
      <c r="AF68" s="2"/>
      <c r="AG68" s="3"/>
      <c r="AH68" s="3"/>
      <c r="AI68" s="3"/>
      <c r="AJ68" s="3"/>
      <c r="AK68" s="3"/>
      <c r="AL68" s="3"/>
      <c r="AM68" s="3"/>
      <c r="AN68" s="3"/>
      <c r="AO68" s="3"/>
      <c r="AP68" s="3"/>
    </row>
    <row r="69" spans="1:42" ht="15.75" x14ac:dyDescent="0.3">
      <c r="A69" s="2"/>
      <c r="B69" s="2"/>
      <c r="C69" s="2"/>
      <c r="D69" s="2"/>
      <c r="E69" s="2"/>
      <c r="F69" s="2"/>
      <c r="G69" s="2"/>
      <c r="H69" s="2"/>
      <c r="I69" s="2"/>
      <c r="J69" s="2"/>
      <c r="K69" s="2"/>
      <c r="L69" s="2"/>
      <c r="M69" s="2"/>
      <c r="O69" s="3"/>
      <c r="P69" s="3"/>
      <c r="Q69" s="3"/>
      <c r="R69" s="3"/>
      <c r="S69" s="3"/>
      <c r="T69" s="3"/>
      <c r="U69" s="3"/>
      <c r="V69" s="3"/>
      <c r="W69" s="2"/>
      <c r="X69" s="3"/>
      <c r="Y69" s="3"/>
      <c r="Z69" s="29" t="s">
        <v>104</v>
      </c>
      <c r="AA69" s="97">
        <f>AA43/IF(NOT(ISBLANK('Referenz Plattenfertiger'!$I$12)),'Referenz Plattenfertiger'!$I$12,'Referenz Plattenfertiger'!$F$12)</f>
        <v>2.3733088764999999E-3</v>
      </c>
      <c r="AB69" s="97">
        <f>AB43/IF(NOT(ISBLANK('Referenz Plattenfertiger'!$I$12)),'Referenz Plattenfertiger'!$I$12,'Referenz Plattenfertiger'!$F$12)</f>
        <v>2.3733088764999999E-3</v>
      </c>
      <c r="AC69" s="97">
        <f>AC43/IF(NOT(ISBLANK('Referenz Plattenfertiger'!$I$12)),'Referenz Plattenfertiger'!$I$12,'Referenz Plattenfertiger'!$F$12)</f>
        <v>2.3733088764999999E-3</v>
      </c>
      <c r="AD69" s="25" t="s">
        <v>193</v>
      </c>
      <c r="AE69" s="3"/>
      <c r="AF69" s="2"/>
      <c r="AG69" s="3"/>
      <c r="AH69" s="3"/>
      <c r="AI69" s="3"/>
      <c r="AJ69" s="3"/>
      <c r="AK69" s="3"/>
      <c r="AL69" s="3"/>
      <c r="AM69" s="3"/>
      <c r="AN69" s="3"/>
      <c r="AO69" s="3"/>
      <c r="AP69" s="3"/>
    </row>
    <row r="70" spans="1:42" ht="15.75" x14ac:dyDescent="0.3">
      <c r="A70" s="2"/>
      <c r="B70" s="2"/>
      <c r="C70" s="2"/>
      <c r="D70" s="2"/>
      <c r="E70" s="2"/>
      <c r="F70" s="2"/>
      <c r="G70" s="2"/>
      <c r="H70" s="2"/>
      <c r="I70" s="2"/>
      <c r="J70" s="2"/>
      <c r="K70" s="2"/>
      <c r="L70" s="2"/>
      <c r="M70" s="2"/>
      <c r="O70" s="3"/>
      <c r="P70" s="3"/>
      <c r="Q70" s="3"/>
      <c r="R70" s="3"/>
      <c r="S70" s="3"/>
      <c r="T70" s="3"/>
      <c r="U70" s="3"/>
      <c r="V70" s="3"/>
      <c r="W70" s="2"/>
      <c r="X70" s="3"/>
      <c r="Y70" s="3"/>
      <c r="Z70" s="8" t="s">
        <v>26</v>
      </c>
      <c r="AA70" s="98">
        <f>AA44/IF(NOT(ISBLANK('Referenz Plattenfertiger'!$I$12)),'Referenz Plattenfertiger'!$I$12,'Referenz Plattenfertiger'!$F$12)</f>
        <v>4.2975000000000001E-3</v>
      </c>
      <c r="AB70" s="98">
        <f>AB44/IF(NOT(ISBLANK('Referenz Plattenfertiger'!$I$12)),'Referenz Plattenfertiger'!$I$12,'Referenz Plattenfertiger'!$F$12)</f>
        <v>2.9818071742430323E-3</v>
      </c>
      <c r="AC70" s="98">
        <f>AC44/IF(NOT(ISBLANK('Referenz Plattenfertiger'!$I$12)),'Referenz Plattenfertiger'!$I$12,'Referenz Plattenfertiger'!$F$12)</f>
        <v>1.4695672469508894E-3</v>
      </c>
      <c r="AD70" s="3" t="s">
        <v>193</v>
      </c>
      <c r="AE70" s="3"/>
      <c r="AF70" s="2"/>
      <c r="AG70" s="3"/>
      <c r="AH70" s="3"/>
      <c r="AI70" s="3"/>
      <c r="AJ70" s="3"/>
      <c r="AK70" s="3"/>
      <c r="AL70" s="3"/>
      <c r="AM70" s="3"/>
      <c r="AN70" s="3"/>
      <c r="AO70" s="3"/>
      <c r="AP70" s="3"/>
    </row>
    <row r="71" spans="1:42" ht="15.75" x14ac:dyDescent="0.3">
      <c r="A71" s="2"/>
      <c r="B71" s="2"/>
      <c r="C71" s="2"/>
      <c r="D71" s="2"/>
      <c r="E71" s="2"/>
      <c r="F71" s="2"/>
      <c r="G71" s="2"/>
      <c r="H71" s="2"/>
      <c r="I71" s="2"/>
      <c r="J71" s="2"/>
      <c r="K71" s="2"/>
      <c r="L71" s="2"/>
      <c r="M71" s="2"/>
      <c r="O71" s="3"/>
      <c r="P71" s="3"/>
      <c r="Q71" s="3"/>
      <c r="R71" s="3"/>
      <c r="S71" s="3"/>
      <c r="T71" s="3"/>
      <c r="U71" s="3"/>
      <c r="V71" s="3"/>
      <c r="W71" s="2"/>
      <c r="X71" s="3"/>
      <c r="Y71" s="3"/>
      <c r="Z71" s="29" t="s">
        <v>27</v>
      </c>
      <c r="AA71" s="97">
        <f>AA45/IF(NOT(ISBLANK('Referenz Plattenfertiger'!$I$12)),'Referenz Plattenfertiger'!$I$12,'Referenz Plattenfertiger'!$F$12)</f>
        <v>0.14578824057023795</v>
      </c>
      <c r="AB71" s="97">
        <f>AB45/IF(NOT(ISBLANK('Referenz Plattenfertiger'!$I$12)),'Referenz Plattenfertiger'!$I$12,'Referenz Plattenfertiger'!$F$12)</f>
        <v>0.14358738813504845</v>
      </c>
      <c r="AC71" s="97">
        <f>AC45/IF(NOT(ISBLANK('Referenz Plattenfertiger'!$I$12)),'Referenz Plattenfertiger'!$I$12,'Referenz Plattenfertiger'!$F$12)</f>
        <v>0.14336569851219932</v>
      </c>
      <c r="AD71" s="25" t="s">
        <v>193</v>
      </c>
      <c r="AE71" s="3"/>
      <c r="AF71" s="2"/>
      <c r="AG71" s="3"/>
      <c r="AH71" s="3"/>
      <c r="AI71" s="3"/>
      <c r="AJ71" s="3"/>
      <c r="AK71" s="3"/>
      <c r="AL71" s="3"/>
      <c r="AM71" s="3"/>
      <c r="AN71" s="3"/>
      <c r="AO71" s="3"/>
      <c r="AP71" s="3"/>
    </row>
    <row r="72" spans="1:42" ht="15" thickBot="1" x14ac:dyDescent="0.3">
      <c r="A72" s="2"/>
      <c r="B72" s="2"/>
      <c r="C72" s="2"/>
      <c r="D72" s="2"/>
      <c r="E72" s="2"/>
      <c r="F72" s="2"/>
      <c r="G72" s="2"/>
      <c r="H72" s="2"/>
      <c r="I72" s="2"/>
      <c r="J72" s="2"/>
      <c r="K72" s="2"/>
      <c r="L72" s="2"/>
      <c r="M72" s="2"/>
      <c r="O72" s="3"/>
      <c r="P72" s="3"/>
      <c r="Q72" s="3"/>
      <c r="R72" s="3"/>
      <c r="S72" s="3"/>
      <c r="T72" s="3"/>
      <c r="U72" s="3"/>
      <c r="V72" s="3"/>
      <c r="W72" s="2"/>
      <c r="X72" s="3"/>
      <c r="Y72" s="3"/>
      <c r="Z72" s="27" t="s">
        <v>67</v>
      </c>
      <c r="AA72" s="99">
        <f>AA46/IF(NOT(ISBLANK('Referenz Plattenfertiger'!$I$12)),'Referenz Plattenfertiger'!$I$12,'Referenz Plattenfertiger'!$F$12)</f>
        <v>0.15245904944673794</v>
      </c>
      <c r="AB72" s="99">
        <f>AB46/IF(NOT(ISBLANK('Referenz Plattenfertiger'!$I$12)),'Referenz Plattenfertiger'!$I$12,'Referenz Plattenfertiger'!$F$12)</f>
        <v>0.1489425041857915</v>
      </c>
      <c r="AC72" s="99">
        <f>AC46/IF(NOT(ISBLANK('Referenz Plattenfertiger'!$I$12)),'Referenz Plattenfertiger'!$I$12,'Referenz Plattenfertiger'!$F$12)</f>
        <v>0.14720857463565021</v>
      </c>
      <c r="AD72" s="27" t="s">
        <v>195</v>
      </c>
      <c r="AE72" s="3"/>
      <c r="AF72" s="2"/>
      <c r="AG72" s="3"/>
      <c r="AH72" s="3"/>
      <c r="AI72" s="3"/>
      <c r="AJ72" s="3"/>
      <c r="AK72" s="3"/>
      <c r="AL72" s="3"/>
      <c r="AM72" s="3"/>
      <c r="AN72" s="3"/>
      <c r="AO72" s="3"/>
      <c r="AP72" s="3"/>
    </row>
    <row r="73" spans="1:42" ht="13.5" thickTop="1" x14ac:dyDescent="0.2">
      <c r="A73" s="2"/>
      <c r="B73" s="2"/>
      <c r="C73" s="2"/>
      <c r="D73" s="2"/>
      <c r="E73" s="2"/>
      <c r="F73" s="2"/>
      <c r="G73" s="2"/>
      <c r="H73" s="2"/>
      <c r="I73" s="2"/>
      <c r="J73" s="2"/>
      <c r="K73" s="2"/>
      <c r="L73" s="2"/>
      <c r="M73" s="2"/>
      <c r="O73" s="3"/>
      <c r="P73" s="3"/>
      <c r="Q73" s="3"/>
      <c r="R73" s="3"/>
      <c r="S73" s="3"/>
      <c r="T73" s="3"/>
      <c r="U73" s="3"/>
      <c r="V73" s="3"/>
      <c r="W73" s="2"/>
      <c r="X73" s="3"/>
      <c r="Y73" s="3"/>
      <c r="Z73" s="3"/>
      <c r="AA73" s="3"/>
      <c r="AB73" s="3"/>
      <c r="AC73" s="3"/>
      <c r="AD73" s="3"/>
      <c r="AE73" s="3"/>
      <c r="AF73" s="2"/>
      <c r="AG73" s="3"/>
      <c r="AH73" s="3"/>
      <c r="AI73" s="3"/>
      <c r="AJ73" s="3"/>
      <c r="AK73" s="3"/>
      <c r="AL73" s="3"/>
      <c r="AM73" s="3"/>
      <c r="AN73" s="3"/>
      <c r="AO73" s="3"/>
      <c r="AP73" s="3"/>
    </row>
    <row r="74" spans="1:42" x14ac:dyDescent="0.2">
      <c r="A74" s="2"/>
      <c r="B74" s="2"/>
      <c r="C74" s="2"/>
      <c r="D74" s="2"/>
      <c r="E74" s="2"/>
      <c r="F74" s="2"/>
      <c r="G74" s="2"/>
      <c r="H74" s="2"/>
      <c r="I74" s="2"/>
      <c r="J74" s="2"/>
      <c r="K74" s="2"/>
      <c r="L74" s="2"/>
      <c r="M74" s="2"/>
      <c r="O74" s="3"/>
      <c r="P74" s="3"/>
      <c r="Q74" s="3"/>
      <c r="R74" s="3"/>
      <c r="S74" s="3"/>
      <c r="T74" s="3"/>
      <c r="U74" s="3"/>
      <c r="V74" s="3"/>
      <c r="W74" s="2"/>
      <c r="X74" s="3"/>
      <c r="Y74" s="3"/>
      <c r="Z74" s="3"/>
      <c r="AA74" s="3"/>
      <c r="AB74" s="3"/>
      <c r="AC74" s="3"/>
      <c r="AD74" s="3"/>
      <c r="AE74" s="3"/>
      <c r="AF74" s="2"/>
      <c r="AG74" s="3"/>
      <c r="AH74" s="3"/>
      <c r="AI74" s="3"/>
      <c r="AJ74" s="3"/>
      <c r="AK74" s="3"/>
      <c r="AL74" s="3"/>
      <c r="AM74" s="3"/>
      <c r="AN74" s="3"/>
      <c r="AO74" s="3"/>
      <c r="AP74" s="3"/>
    </row>
    <row r="75" spans="1:42" x14ac:dyDescent="0.2">
      <c r="A75" s="2"/>
      <c r="B75" s="2"/>
      <c r="C75" s="2"/>
      <c r="D75" s="2"/>
      <c r="E75" s="2"/>
      <c r="F75" s="2"/>
      <c r="G75" s="2"/>
      <c r="H75" s="2"/>
      <c r="I75" s="2"/>
      <c r="J75" s="2"/>
      <c r="K75" s="2"/>
      <c r="L75" s="2"/>
      <c r="M75" s="2"/>
      <c r="O75" s="3"/>
      <c r="P75" s="3"/>
      <c r="Q75" s="3"/>
      <c r="R75" s="3"/>
      <c r="S75" s="3"/>
      <c r="T75" s="3"/>
      <c r="U75" s="3"/>
      <c r="V75" s="3"/>
      <c r="W75" s="2"/>
      <c r="X75" s="3"/>
      <c r="Y75" s="3"/>
      <c r="Z75" s="3"/>
      <c r="AA75" s="3"/>
      <c r="AB75" s="3"/>
      <c r="AC75" s="3"/>
      <c r="AD75" s="3"/>
      <c r="AE75" s="3"/>
      <c r="AF75" s="2"/>
      <c r="AG75" s="3"/>
      <c r="AH75" s="3"/>
      <c r="AI75" s="3"/>
      <c r="AJ75" s="3"/>
      <c r="AK75" s="3"/>
      <c r="AL75" s="3"/>
      <c r="AM75" s="3"/>
      <c r="AN75" s="3"/>
      <c r="AO75" s="3"/>
      <c r="AP75" s="3"/>
    </row>
    <row r="76" spans="1:42" x14ac:dyDescent="0.2">
      <c r="A76" s="2"/>
      <c r="B76" s="2" t="str">
        <f>IF(AND($F$16&gt;0,J16&lt;F16),"Bitte den Handeingabewert 'Reduktion' für 'Bilanzjahr +10 Jahre' auch anpassen. Dieser muss dem Werte Ihrer Handeingabe  'Bilanzjahr + 5 Jahre' entsprechen, sollte nur eine Maßnahme im  'Bilanzjahr + 5 Jahre' umgesetzt werden.","")</f>
        <v/>
      </c>
      <c r="C76" s="2"/>
      <c r="D76" s="2"/>
      <c r="E76" s="2"/>
      <c r="F76" s="2"/>
      <c r="G76" s="2"/>
      <c r="H76" s="2"/>
      <c r="I76" s="2"/>
      <c r="J76" s="2"/>
      <c r="K76" s="2"/>
      <c r="L76" s="2"/>
      <c r="M76" s="2"/>
      <c r="AF76" s="2"/>
    </row>
    <row r="77" spans="1:42" x14ac:dyDescent="0.2">
      <c r="AF77" s="2"/>
    </row>
    <row r="78" spans="1:42" hidden="1" outlineLevel="1" x14ac:dyDescent="0.2">
      <c r="B78" s="6"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O78" s="3"/>
      <c r="P78" s="3"/>
      <c r="Q78" s="3"/>
      <c r="R78" s="3"/>
      <c r="S78" s="3"/>
      <c r="T78" s="3"/>
      <c r="U78" s="3"/>
      <c r="V78" s="3"/>
      <c r="W78" s="3"/>
      <c r="X78" s="3"/>
      <c r="Y78" s="3"/>
      <c r="Z78" s="3"/>
      <c r="AA78" s="3"/>
      <c r="AB78" s="3"/>
      <c r="AC78" s="3"/>
      <c r="AD78" s="3"/>
      <c r="AE78" s="3"/>
      <c r="AF78" s="2"/>
      <c r="AG78" s="3"/>
      <c r="AH78" s="3"/>
      <c r="AI78" s="3"/>
      <c r="AJ78" s="3"/>
      <c r="AK78" s="3"/>
      <c r="AL78" s="3"/>
      <c r="AM78" s="3"/>
      <c r="AN78" s="3"/>
    </row>
    <row r="79" spans="1:42" ht="15.75" hidden="1" outlineLevel="1" x14ac:dyDescent="0.25">
      <c r="B79"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79" s="3"/>
      <c r="P79" s="3"/>
      <c r="Q79" s="61" t="s">
        <v>130</v>
      </c>
      <c r="R79" s="3"/>
      <c r="S79" s="3"/>
      <c r="T79" s="3"/>
      <c r="U79" s="3"/>
      <c r="V79" s="3"/>
      <c r="W79" s="3"/>
      <c r="X79" s="3"/>
      <c r="Y79" s="3"/>
      <c r="Z79" s="61" t="s">
        <v>130</v>
      </c>
      <c r="AA79" s="3" t="s">
        <v>475</v>
      </c>
      <c r="AB79" s="3" t="s">
        <v>474</v>
      </c>
      <c r="AC79" s="3" t="s">
        <v>474</v>
      </c>
      <c r="AD79" s="3"/>
      <c r="AE79" s="3"/>
      <c r="AF79" s="2"/>
      <c r="AG79" s="3"/>
      <c r="AH79" s="61" t="s">
        <v>130</v>
      </c>
      <c r="AI79" s="24"/>
      <c r="AJ79" s="24"/>
      <c r="AK79" s="24"/>
      <c r="AL79" s="24"/>
      <c r="AM79" s="3"/>
      <c r="AN79" s="3"/>
    </row>
    <row r="80" spans="1:42" ht="15" hidden="1" outlineLevel="1" x14ac:dyDescent="0.25">
      <c r="O80" s="3"/>
      <c r="P80" s="3"/>
      <c r="Q80" s="35" t="s">
        <v>102</v>
      </c>
      <c r="R80" s="35">
        <f>R$41</f>
        <v>0</v>
      </c>
      <c r="S80" s="35">
        <f t="shared" ref="S80:T80" si="5">S$41</f>
        <v>5</v>
      </c>
      <c r="T80" s="35">
        <f t="shared" si="5"/>
        <v>10</v>
      </c>
      <c r="U80" s="34"/>
      <c r="V80" s="3"/>
      <c r="W80" s="3"/>
      <c r="X80" s="3"/>
      <c r="Y80" s="3"/>
      <c r="Z80" s="35" t="s">
        <v>239</v>
      </c>
      <c r="AA80" s="35">
        <v>2020</v>
      </c>
      <c r="AB80" s="35" t="s">
        <v>475</v>
      </c>
      <c r="AC80" s="35" t="s">
        <v>474</v>
      </c>
      <c r="AD80" s="34"/>
      <c r="AE80" s="3"/>
      <c r="AF80" s="2"/>
      <c r="AG80" s="3"/>
      <c r="AH80" s="3"/>
      <c r="AI80" s="45">
        <f>R80</f>
        <v>0</v>
      </c>
      <c r="AJ80" s="46">
        <f>S80</f>
        <v>5</v>
      </c>
      <c r="AK80" s="46">
        <f>T80</f>
        <v>10</v>
      </c>
      <c r="AL80" s="46"/>
      <c r="AM80" s="3"/>
      <c r="AN80" s="3"/>
    </row>
    <row r="81" spans="15:40" hidden="1" outlineLevel="1" x14ac:dyDescent="0.2">
      <c r="O81" s="3"/>
      <c r="P81" s="3"/>
      <c r="Q81" s="24"/>
      <c r="R81" s="59" t="s">
        <v>81</v>
      </c>
      <c r="S81" s="58"/>
      <c r="T81" s="58"/>
      <c r="U81" s="24"/>
      <c r="V81" s="3"/>
      <c r="W81" s="3"/>
      <c r="X81" s="3"/>
      <c r="Y81" s="3"/>
      <c r="Z81" s="24"/>
      <c r="AA81" s="59" t="s">
        <v>81</v>
      </c>
      <c r="AB81" s="58"/>
      <c r="AC81" s="58"/>
      <c r="AD81" s="24"/>
      <c r="AE81" s="3"/>
      <c r="AF81" s="2"/>
      <c r="AG81" s="3"/>
      <c r="AH81" s="3"/>
      <c r="AI81" s="24"/>
      <c r="AJ81" s="49" t="s">
        <v>81</v>
      </c>
      <c r="AK81" s="49"/>
      <c r="AL81" s="58"/>
      <c r="AM81" s="3"/>
      <c r="AN81" s="3"/>
    </row>
    <row r="82" spans="15:40" ht="15.75" hidden="1" outlineLevel="1" x14ac:dyDescent="0.3">
      <c r="O82" s="3"/>
      <c r="P82" s="3"/>
      <c r="Q82" s="3" t="str">
        <f t="shared" ref="Q82:Q88" si="6">IF($V82,Q43,"")</f>
        <v>Erdgas</v>
      </c>
      <c r="R82" s="10">
        <f t="shared" ref="R82:T88" si="7">IF($V82,R43,NA())</f>
        <v>43.0426</v>
      </c>
      <c r="S82" s="10">
        <f t="shared" si="7"/>
        <v>43.0426</v>
      </c>
      <c r="T82" s="10">
        <f t="shared" si="7"/>
        <v>43.0426</v>
      </c>
      <c r="U82" s="3" t="s">
        <v>148</v>
      </c>
      <c r="V82" s="374" t="b">
        <v>1</v>
      </c>
      <c r="W82" s="374"/>
      <c r="X82" s="3"/>
      <c r="Y82" s="3"/>
      <c r="Z82" s="3" t="str">
        <f t="shared" ref="Z82:Z92" si="8">IF($AE82,Z52,"")</f>
        <v>Energieträger gesamt</v>
      </c>
      <c r="AA82" s="9">
        <f>IF($AE82,AA52,NA())</f>
        <v>41.281733459999998</v>
      </c>
      <c r="AB82" s="9">
        <f>IF($AE82,AB52,NA())</f>
        <v>33.566676052419879</v>
      </c>
      <c r="AC82" s="9">
        <f t="shared" ref="AC82" si="9">IF($AE82,AC52,NA())</f>
        <v>24.699091138455479</v>
      </c>
      <c r="AD82" s="3" t="s">
        <v>148</v>
      </c>
      <c r="AE82" s="374" t="b">
        <v>1</v>
      </c>
      <c r="AF82" s="387"/>
      <c r="AG82" s="3"/>
      <c r="AH82" s="3"/>
      <c r="AI82" s="56" t="s">
        <v>144</v>
      </c>
      <c r="AJ82" s="57">
        <f>SUM(AJ83:AJ89)</f>
        <v>109669</v>
      </c>
      <c r="AK82" s="57">
        <f t="shared" ref="AK82:AL82" si="10">SUM(AK83:AK89)</f>
        <v>106186</v>
      </c>
      <c r="AL82" s="57">
        <f t="shared" si="10"/>
        <v>106186</v>
      </c>
      <c r="AM82" s="3"/>
      <c r="AN82" s="3"/>
    </row>
    <row r="83" spans="15:40" ht="15.75" hidden="1" outlineLevel="1" x14ac:dyDescent="0.3">
      <c r="O83" s="3"/>
      <c r="P83" s="3"/>
      <c r="Q83" s="3" t="str">
        <f t="shared" si="6"/>
        <v>Heizöl</v>
      </c>
      <c r="R83" s="10">
        <f t="shared" si="7"/>
        <v>16.005600000000001</v>
      </c>
      <c r="S83" s="10">
        <f t="shared" si="7"/>
        <v>16.005600000000001</v>
      </c>
      <c r="T83" s="10">
        <f t="shared" si="7"/>
        <v>16.005600000000001</v>
      </c>
      <c r="U83" s="3" t="s">
        <v>148</v>
      </c>
      <c r="V83" s="374" t="b">
        <v>1</v>
      </c>
      <c r="W83" s="374"/>
      <c r="X83" s="3"/>
      <c r="Y83" s="3"/>
      <c r="Z83" s="3" t="str">
        <f t="shared" si="8"/>
        <v>Transport gesamt</v>
      </c>
      <c r="AA83" s="9">
        <f t="shared" ref="AA83:AC92" si="11">IF($AE83,AA53,NA())</f>
        <v>469.15642799999995</v>
      </c>
      <c r="AB83" s="9">
        <f t="shared" si="11"/>
        <v>469.15642799999995</v>
      </c>
      <c r="AC83" s="9">
        <f t="shared" si="11"/>
        <v>469.15642799999995</v>
      </c>
      <c r="AD83" s="3" t="s">
        <v>148</v>
      </c>
      <c r="AE83" s="374" t="b">
        <v>1</v>
      </c>
      <c r="AF83" s="387"/>
      <c r="AG83" s="3"/>
      <c r="AH83" s="3"/>
      <c r="AI83" s="31" t="s">
        <v>29</v>
      </c>
      <c r="AJ83" s="51">
        <f>AJ44</f>
        <v>14335</v>
      </c>
      <c r="AK83" s="51">
        <f t="shared" ref="AK83:AL83" si="12">AK44</f>
        <v>14335</v>
      </c>
      <c r="AL83" s="51">
        <f t="shared" si="12"/>
        <v>14335</v>
      </c>
      <c r="AM83" s="3"/>
      <c r="AN83" s="3"/>
    </row>
    <row r="84" spans="15:40" ht="15.75" hidden="1" outlineLevel="1" x14ac:dyDescent="0.3">
      <c r="O84" s="3"/>
      <c r="P84" s="3"/>
      <c r="Q84" s="3" t="str">
        <f t="shared" si="6"/>
        <v>Strom</v>
      </c>
      <c r="R84" s="10">
        <f t="shared" si="7"/>
        <v>171.9</v>
      </c>
      <c r="S84" s="10">
        <f t="shared" si="7"/>
        <v>119.27228696972129</v>
      </c>
      <c r="T84" s="10">
        <f t="shared" si="7"/>
        <v>58.782689878035576</v>
      </c>
      <c r="U84" s="3" t="s">
        <v>148</v>
      </c>
      <c r="V84" s="374" t="b">
        <v>1</v>
      </c>
      <c r="W84" s="374"/>
      <c r="X84" s="3"/>
      <c r="Y84" s="3"/>
      <c r="Z84" s="3" t="str">
        <f t="shared" si="8"/>
        <v>Zement</v>
      </c>
      <c r="AA84" s="9">
        <f t="shared" si="11"/>
        <v>4548.5439999999999</v>
      </c>
      <c r="AB84" s="9">
        <f t="shared" si="11"/>
        <v>4548.5439999999999</v>
      </c>
      <c r="AC84" s="9">
        <f t="shared" si="11"/>
        <v>4548.5439999999999</v>
      </c>
      <c r="AD84" s="3" t="s">
        <v>148</v>
      </c>
      <c r="AE84" s="374" t="b">
        <v>1</v>
      </c>
      <c r="AF84" s="387"/>
      <c r="AG84" s="3"/>
      <c r="AH84" s="3"/>
      <c r="AI84" s="31" t="s">
        <v>30</v>
      </c>
      <c r="AJ84" s="51">
        <f t="shared" ref="AJ84:AL89" si="13">AJ45</f>
        <v>2760</v>
      </c>
      <c r="AK84" s="51">
        <f t="shared" si="13"/>
        <v>2760</v>
      </c>
      <c r="AL84" s="51">
        <f t="shared" si="13"/>
        <v>2760</v>
      </c>
      <c r="AM84" s="3"/>
      <c r="AN84" s="3"/>
    </row>
    <row r="85" spans="15:40" ht="15.75" hidden="1" outlineLevel="1" x14ac:dyDescent="0.3">
      <c r="O85" s="3"/>
      <c r="P85" s="3"/>
      <c r="Q85" s="3" t="str">
        <f t="shared" si="6"/>
        <v>Alternativer Energieträger Härtekammer</v>
      </c>
      <c r="R85" s="10">
        <f t="shared" si="7"/>
        <v>0</v>
      </c>
      <c r="S85" s="10">
        <f t="shared" si="7"/>
        <v>0</v>
      </c>
      <c r="T85" s="10">
        <f t="shared" si="7"/>
        <v>0</v>
      </c>
      <c r="U85" s="3" t="s">
        <v>148</v>
      </c>
      <c r="V85" s="374" t="b">
        <v>1</v>
      </c>
      <c r="W85" s="374"/>
      <c r="X85" s="3"/>
      <c r="Y85" s="3"/>
      <c r="Z85" s="3" t="str">
        <f t="shared" si="8"/>
        <v>Gesteinskörnungen (Zuschlagsstoffe)</v>
      </c>
      <c r="AA85" s="9">
        <f t="shared" si="11"/>
        <v>129.59200000000001</v>
      </c>
      <c r="AB85" s="9">
        <f t="shared" si="11"/>
        <v>129.59200000000001</v>
      </c>
      <c r="AC85" s="9">
        <f t="shared" si="11"/>
        <v>129.59200000000001</v>
      </c>
      <c r="AD85" s="3" t="s">
        <v>148</v>
      </c>
      <c r="AE85" s="374" t="b">
        <v>1</v>
      </c>
      <c r="AF85" s="387"/>
      <c r="AG85" s="3"/>
      <c r="AH85" s="3"/>
      <c r="AI85" s="31" t="s">
        <v>31</v>
      </c>
      <c r="AJ85" s="51">
        <f t="shared" si="13"/>
        <v>77400</v>
      </c>
      <c r="AK85" s="51">
        <f t="shared" si="13"/>
        <v>73917</v>
      </c>
      <c r="AL85" s="51">
        <f t="shared" si="13"/>
        <v>73917</v>
      </c>
      <c r="AM85" s="3"/>
      <c r="AN85" s="3"/>
    </row>
    <row r="86" spans="15:40" ht="15.75" hidden="1" outlineLevel="1" x14ac:dyDescent="0.3">
      <c r="O86" s="3"/>
      <c r="P86" s="3"/>
      <c r="Q86" s="3" t="str">
        <f t="shared" si="6"/>
        <v>Flüssiggas</v>
      </c>
      <c r="R86" s="10">
        <f t="shared" si="7"/>
        <v>0</v>
      </c>
      <c r="S86" s="10">
        <f t="shared" si="7"/>
        <v>0</v>
      </c>
      <c r="T86" s="10">
        <f t="shared" si="7"/>
        <v>0</v>
      </c>
      <c r="U86" s="3" t="s">
        <v>148</v>
      </c>
      <c r="V86" s="374" t="b">
        <v>1</v>
      </c>
      <c r="W86" s="374"/>
      <c r="X86" s="3"/>
      <c r="Y86" s="3"/>
      <c r="Z86" s="3" t="str">
        <f t="shared" si="8"/>
        <v>Farben</v>
      </c>
      <c r="AA86" s="9">
        <f t="shared" si="11"/>
        <v>208</v>
      </c>
      <c r="AB86" s="9">
        <f t="shared" si="11"/>
        <v>208</v>
      </c>
      <c r="AC86" s="9">
        <f t="shared" si="11"/>
        <v>208</v>
      </c>
      <c r="AD86" s="3" t="s">
        <v>148</v>
      </c>
      <c r="AE86" s="374" t="b">
        <v>1</v>
      </c>
      <c r="AF86" s="387"/>
      <c r="AG86" s="3"/>
      <c r="AH86" s="3"/>
      <c r="AI86" s="31" t="s">
        <v>111</v>
      </c>
      <c r="AJ86" s="51">
        <f t="shared" si="13"/>
        <v>0</v>
      </c>
      <c r="AK86" s="51">
        <f t="shared" si="13"/>
        <v>0</v>
      </c>
      <c r="AL86" s="51">
        <f t="shared" si="13"/>
        <v>0</v>
      </c>
      <c r="AM86" s="3"/>
      <c r="AN86" s="3"/>
    </row>
    <row r="87" spans="15:40" ht="15.75" hidden="1" outlineLevel="1" x14ac:dyDescent="0.3">
      <c r="O87" s="3"/>
      <c r="P87" s="3"/>
      <c r="Q87" s="3" t="str">
        <f t="shared" si="6"/>
        <v>Alternativer Energieträger restliche Werk</v>
      </c>
      <c r="R87" s="10">
        <f t="shared" si="7"/>
        <v>0</v>
      </c>
      <c r="S87" s="10">
        <f t="shared" si="7"/>
        <v>0</v>
      </c>
      <c r="T87" s="10">
        <f t="shared" si="7"/>
        <v>0</v>
      </c>
      <c r="U87" s="3" t="s">
        <v>148</v>
      </c>
      <c r="V87" s="374" t="b">
        <v>1</v>
      </c>
      <c r="W87" s="374"/>
      <c r="X87" s="3"/>
      <c r="Y87" s="3"/>
      <c r="Z87" s="3" t="str">
        <f t="shared" si="8"/>
        <v>Zusatzstoffe (Füllstoffe)</v>
      </c>
      <c r="AA87" s="9">
        <f t="shared" si="11"/>
        <v>81.003999999999991</v>
      </c>
      <c r="AB87" s="9">
        <f t="shared" si="11"/>
        <v>81.003999999999991</v>
      </c>
      <c r="AC87" s="9">
        <f t="shared" si="11"/>
        <v>81.003999999999991</v>
      </c>
      <c r="AD87" s="3" t="s">
        <v>148</v>
      </c>
      <c r="AE87" s="374" t="b">
        <v>1</v>
      </c>
      <c r="AF87" s="387"/>
      <c r="AG87" s="3"/>
      <c r="AH87" s="3"/>
      <c r="AI87" s="31" t="s">
        <v>112</v>
      </c>
      <c r="AJ87" s="51">
        <f t="shared" si="13"/>
        <v>0</v>
      </c>
      <c r="AK87" s="51">
        <f t="shared" si="13"/>
        <v>0</v>
      </c>
      <c r="AL87" s="51">
        <f t="shared" si="13"/>
        <v>0</v>
      </c>
      <c r="AM87" s="3"/>
      <c r="AN87" s="3"/>
    </row>
    <row r="88" spans="15:40" ht="15.75" hidden="1" outlineLevel="1" x14ac:dyDescent="0.3">
      <c r="O88" s="3"/>
      <c r="P88" s="3"/>
      <c r="Q88" s="3" t="str">
        <f t="shared" si="6"/>
        <v>Diesel</v>
      </c>
      <c r="R88" s="10">
        <f t="shared" si="7"/>
        <v>35.884155059999998</v>
      </c>
      <c r="S88" s="10">
        <f t="shared" si="7"/>
        <v>35.884155059999998</v>
      </c>
      <c r="T88" s="10">
        <f t="shared" si="7"/>
        <v>35.884155059999998</v>
      </c>
      <c r="U88" s="3" t="s">
        <v>148</v>
      </c>
      <c r="V88" s="374" t="b">
        <v>1</v>
      </c>
      <c r="W88" s="374"/>
      <c r="X88" s="3"/>
      <c r="Y88" s="3"/>
      <c r="Z88" s="3" t="str">
        <f t="shared" si="8"/>
        <v>Zusatzmittel</v>
      </c>
      <c r="AA88" s="9">
        <f t="shared" si="11"/>
        <v>148.44746134951595</v>
      </c>
      <c r="AB88" s="9">
        <f t="shared" si="11"/>
        <v>148.44746134951595</v>
      </c>
      <c r="AC88" s="9">
        <f t="shared" si="11"/>
        <v>148.44746134951595</v>
      </c>
      <c r="AD88" s="3" t="s">
        <v>148</v>
      </c>
      <c r="AE88" s="374" t="b">
        <v>1</v>
      </c>
      <c r="AF88" s="387"/>
      <c r="AG88" s="3"/>
      <c r="AH88" s="3"/>
      <c r="AI88" s="31" t="s">
        <v>113</v>
      </c>
      <c r="AJ88" s="51">
        <f t="shared" si="13"/>
        <v>0</v>
      </c>
      <c r="AK88" s="51">
        <f t="shared" si="13"/>
        <v>0</v>
      </c>
      <c r="AL88" s="51">
        <f t="shared" si="13"/>
        <v>0</v>
      </c>
      <c r="AM88" s="3"/>
      <c r="AN88" s="3"/>
    </row>
    <row r="89" spans="15:40" ht="16.5" hidden="1" outlineLevel="1" thickBot="1" x14ac:dyDescent="0.35">
      <c r="O89" s="3"/>
      <c r="P89" s="3"/>
      <c r="Q89" s="27" t="s">
        <v>67</v>
      </c>
      <c r="R89" s="33">
        <f>SUMIF($V$82:$V$88,TRUE,R82:R88)</f>
        <v>266.83235506</v>
      </c>
      <c r="S89" s="33">
        <f>SUMIF($V$82:$V$88,TRUE,S82:S88)</f>
        <v>214.2046420297213</v>
      </c>
      <c r="T89" s="33">
        <f>SUMIF($V$82:$V$88,TRUE,T82:T88)</f>
        <v>153.71504493803559</v>
      </c>
      <c r="U89" s="27" t="s">
        <v>149</v>
      </c>
      <c r="V89" s="3"/>
      <c r="W89" s="3"/>
      <c r="X89" s="3"/>
      <c r="Y89" s="3"/>
      <c r="Z89" s="3" t="str">
        <f t="shared" si="8"/>
        <v/>
      </c>
      <c r="AA89" s="9" t="e">
        <f t="shared" si="11"/>
        <v>#N/A</v>
      </c>
      <c r="AB89" s="9" t="e">
        <f t="shared" si="11"/>
        <v>#N/A</v>
      </c>
      <c r="AC89" s="9" t="e">
        <f t="shared" si="11"/>
        <v>#N/A</v>
      </c>
      <c r="AD89" s="3" t="s">
        <v>148</v>
      </c>
      <c r="AE89" s="374" t="b">
        <v>0</v>
      </c>
      <c r="AF89" s="387"/>
      <c r="AG89" s="3"/>
      <c r="AH89" s="3"/>
      <c r="AI89" s="50" t="s">
        <v>32</v>
      </c>
      <c r="AJ89" s="52">
        <f t="shared" si="13"/>
        <v>15174.000000000002</v>
      </c>
      <c r="AK89" s="53">
        <f t="shared" si="13"/>
        <v>15174.000000000002</v>
      </c>
      <c r="AL89" s="53">
        <f t="shared" si="13"/>
        <v>15174.000000000002</v>
      </c>
      <c r="AM89" s="3"/>
      <c r="AN89" s="3"/>
    </row>
    <row r="90" spans="15:40" ht="16.5" hidden="1" outlineLevel="1" thickTop="1" x14ac:dyDescent="0.3">
      <c r="O90" s="3"/>
      <c r="P90" s="3"/>
      <c r="Q90" s="3"/>
      <c r="R90" s="3"/>
      <c r="S90" s="3"/>
      <c r="T90" s="3"/>
      <c r="U90" s="3"/>
      <c r="V90" s="3"/>
      <c r="W90" s="3"/>
      <c r="X90" s="3"/>
      <c r="Y90" s="3"/>
      <c r="Z90" s="3" t="str">
        <f t="shared" si="8"/>
        <v/>
      </c>
      <c r="AA90" s="9" t="e">
        <f t="shared" si="11"/>
        <v>#N/A</v>
      </c>
      <c r="AB90" s="9" t="e">
        <f t="shared" si="11"/>
        <v>#N/A</v>
      </c>
      <c r="AC90" s="9" t="e">
        <f t="shared" si="11"/>
        <v>#N/A</v>
      </c>
      <c r="AD90" s="3" t="s">
        <v>148</v>
      </c>
      <c r="AE90" s="374" t="b">
        <v>0</v>
      </c>
      <c r="AF90" s="387"/>
      <c r="AG90" s="3"/>
      <c r="AH90" s="3"/>
      <c r="AI90" s="8" t="str">
        <f>IF(AM90,"CAPEX","")</f>
        <v>CAPEX</v>
      </c>
      <c r="AJ90" s="54">
        <f>IF($AM90,AJ51,NA())</f>
        <v>0</v>
      </c>
      <c r="AK90" s="54">
        <f t="shared" ref="AK90:AL92" si="14">IF($AM90,AK51,NA())</f>
        <v>1800</v>
      </c>
      <c r="AL90" s="54">
        <f t="shared" si="14"/>
        <v>1800</v>
      </c>
      <c r="AM90" s="374" t="b">
        <v>1</v>
      </c>
      <c r="AN90" s="3"/>
    </row>
    <row r="91" spans="15:40" ht="15.75" hidden="1" outlineLevel="1" x14ac:dyDescent="0.3">
      <c r="O91" s="3"/>
      <c r="P91" s="3"/>
      <c r="Q91" s="3"/>
      <c r="R91" s="3"/>
      <c r="S91" s="3"/>
      <c r="T91" s="3"/>
      <c r="U91" s="3"/>
      <c r="V91" s="3"/>
      <c r="W91" s="3"/>
      <c r="X91" s="3"/>
      <c r="Y91" s="3"/>
      <c r="Z91" s="3" t="str">
        <f t="shared" si="8"/>
        <v/>
      </c>
      <c r="AA91" s="9" t="e">
        <f t="shared" si="11"/>
        <v>#N/A</v>
      </c>
      <c r="AB91" s="9" t="e">
        <f t="shared" si="11"/>
        <v>#N/A</v>
      </c>
      <c r="AC91" s="9" t="e">
        <f t="shared" si="11"/>
        <v>#N/A</v>
      </c>
      <c r="AD91" s="3" t="s">
        <v>148</v>
      </c>
      <c r="AE91" s="374" t="b">
        <v>0</v>
      </c>
      <c r="AF91" s="387"/>
      <c r="AG91" s="3"/>
      <c r="AH91" s="3"/>
      <c r="AI91" s="8" t="str">
        <f>IF(AM91,"Zusätzliche jährliche Kosten","")</f>
        <v>Zusätzliche jährliche Kosten</v>
      </c>
      <c r="AJ91" s="54">
        <f>IF($AM91,AJ52,NA())</f>
        <v>0</v>
      </c>
      <c r="AK91" s="54">
        <f t="shared" si="14"/>
        <v>0</v>
      </c>
      <c r="AL91" s="54">
        <f t="shared" si="14"/>
        <v>0</v>
      </c>
      <c r="AM91" s="374" t="b">
        <v>1</v>
      </c>
      <c r="AN91" s="3"/>
    </row>
    <row r="92" spans="15:40" ht="15.75" hidden="1" outlineLevel="1" x14ac:dyDescent="0.3">
      <c r="O92" s="3"/>
      <c r="P92" s="3"/>
      <c r="Q92" s="3"/>
      <c r="R92" s="3"/>
      <c r="S92" s="3"/>
      <c r="T92" s="3"/>
      <c r="U92" s="3"/>
      <c r="V92" s="3"/>
      <c r="W92" s="3"/>
      <c r="X92" s="3"/>
      <c r="Y92" s="3"/>
      <c r="Z92" s="3" t="str">
        <f t="shared" si="8"/>
        <v>Verpackungsmaterial</v>
      </c>
      <c r="AA92" s="9">
        <f t="shared" si="11"/>
        <v>64.48</v>
      </c>
      <c r="AB92" s="9">
        <f t="shared" si="11"/>
        <v>64.48</v>
      </c>
      <c r="AC92" s="9">
        <f t="shared" si="11"/>
        <v>64.48</v>
      </c>
      <c r="AD92" s="3" t="s">
        <v>148</v>
      </c>
      <c r="AE92" s="374" t="b">
        <v>1</v>
      </c>
      <c r="AF92" s="387"/>
      <c r="AG92" s="3"/>
      <c r="AH92" s="3"/>
      <c r="AI92" s="58" t="str">
        <f>IF(AM92,"Einmalige Kosten","")</f>
        <v>Einmalige Kosten</v>
      </c>
      <c r="AJ92" s="54">
        <f>IF($AM92,AJ53,NA())</f>
        <v>0</v>
      </c>
      <c r="AK92" s="54">
        <f t="shared" si="14"/>
        <v>0</v>
      </c>
      <c r="AL92" s="54">
        <f t="shared" si="14"/>
        <v>0</v>
      </c>
      <c r="AM92" s="374" t="b">
        <v>1</v>
      </c>
      <c r="AN92" s="3"/>
    </row>
    <row r="93" spans="15:40" ht="15" hidden="1" outlineLevel="1" thickBot="1" x14ac:dyDescent="0.3">
      <c r="O93" s="3"/>
      <c r="P93" s="3"/>
      <c r="Q93" s="3"/>
      <c r="R93" s="3"/>
      <c r="S93" s="3"/>
      <c r="T93" s="3"/>
      <c r="U93" s="3"/>
      <c r="V93" s="3"/>
      <c r="W93" s="3"/>
      <c r="X93" s="3"/>
      <c r="Y93" s="3"/>
      <c r="Z93" s="27" t="s">
        <v>67</v>
      </c>
      <c r="AA93" s="28">
        <f>SUMIF($AE$82:$AE$92,TRUE,AA82:AA92)</f>
        <v>5690.5056228095145</v>
      </c>
      <c r="AB93" s="28">
        <f>SUMIF($AE$82:$AE$92,TRUE,AB82:AB92)</f>
        <v>5682.7905654019351</v>
      </c>
      <c r="AC93" s="28">
        <f>SUMIF($AE$82:$AE$92,TRUE,AC82:AC92)</f>
        <v>5673.9229804879706</v>
      </c>
      <c r="AD93" s="27" t="s">
        <v>149</v>
      </c>
      <c r="AE93" s="3"/>
      <c r="AF93" s="2"/>
      <c r="AG93" s="3"/>
      <c r="AH93" s="3"/>
      <c r="AI93" s="56" t="str">
        <f>IF(AM93,"CO2-Kosten","")</f>
        <v>CO2-Kosten</v>
      </c>
      <c r="AJ93" s="57">
        <f>IF($AM$93,SUMIF($AM$94:$AM$96,TRUE,AJ94:AJ96),NA())</f>
        <v>152459.04944673795</v>
      </c>
      <c r="AK93" s="57">
        <f>IF($AM$93,SUMIF($AM$94:$AM$96,TRUE,AK94:AK96),NA())</f>
        <v>268096.50753442472</v>
      </c>
      <c r="AL93" s="57">
        <f>IF($AM$93,SUMIF($AM$94:$AM$96,TRUE,AL94:AL96),NA())</f>
        <v>471067.43883408076</v>
      </c>
      <c r="AM93" s="374" t="b">
        <v>1</v>
      </c>
      <c r="AN93" s="3"/>
    </row>
    <row r="94" spans="15:40" ht="16.5" hidden="1" outlineLevel="1" thickTop="1" x14ac:dyDescent="0.3">
      <c r="O94" s="3"/>
      <c r="P94" s="3"/>
      <c r="Q94" s="3"/>
      <c r="R94" s="3"/>
      <c r="S94" s="3"/>
      <c r="T94" s="3"/>
      <c r="U94" s="3"/>
      <c r="V94" s="3"/>
      <c r="W94" s="3"/>
      <c r="X94" s="3"/>
      <c r="Y94" s="3"/>
      <c r="Z94" s="3"/>
      <c r="AA94" s="3"/>
      <c r="AB94" s="3"/>
      <c r="AC94" s="3"/>
      <c r="AD94" s="3"/>
      <c r="AE94" s="3"/>
      <c r="AF94" s="2"/>
      <c r="AG94" s="3"/>
      <c r="AH94" s="3"/>
      <c r="AI94" s="31" t="s">
        <v>141</v>
      </c>
      <c r="AJ94" s="51">
        <f>IF($AM94,AJ55,NA())</f>
        <v>2373.3088765000002</v>
      </c>
      <c r="AK94" s="51">
        <f t="shared" ref="AK94:AL94" si="15">IF($AM94,AK55,NA())</f>
        <v>4271.9559777000004</v>
      </c>
      <c r="AL94" s="51">
        <f t="shared" si="15"/>
        <v>7594.5884048000007</v>
      </c>
      <c r="AM94" s="374" t="b">
        <v>1</v>
      </c>
      <c r="AN94" s="3"/>
    </row>
    <row r="95" spans="15:40" ht="15.75" hidden="1" outlineLevel="1" x14ac:dyDescent="0.3">
      <c r="O95" s="3"/>
      <c r="P95" s="3"/>
      <c r="Q95" s="3"/>
      <c r="R95" s="3"/>
      <c r="S95" s="3"/>
      <c r="T95" s="3"/>
      <c r="U95" s="3"/>
      <c r="V95" s="3"/>
      <c r="W95" s="3"/>
      <c r="X95" s="3"/>
      <c r="Y95" s="3"/>
      <c r="Z95" s="3"/>
      <c r="AA95" s="3"/>
      <c r="AB95" s="3"/>
      <c r="AC95" s="3"/>
      <c r="AD95" s="3"/>
      <c r="AE95" s="3"/>
      <c r="AF95" s="2"/>
      <c r="AG95" s="3"/>
      <c r="AH95" s="3"/>
      <c r="AI95" s="31" t="s">
        <v>142</v>
      </c>
      <c r="AJ95" s="51">
        <f t="shared" ref="AJ95:AL96" si="16">IF($AM95,AJ56,NA())</f>
        <v>4297.5</v>
      </c>
      <c r="AK95" s="51">
        <f t="shared" si="16"/>
        <v>5367.2529136374578</v>
      </c>
      <c r="AL95" s="51">
        <f t="shared" si="16"/>
        <v>4702.6151902428464</v>
      </c>
      <c r="AM95" s="374" t="b">
        <v>1</v>
      </c>
      <c r="AN95" s="3"/>
    </row>
    <row r="96" spans="15:40" ht="15.75" hidden="1" outlineLevel="1" x14ac:dyDescent="0.3">
      <c r="O96" s="3"/>
      <c r="P96" s="3"/>
      <c r="Q96" s="3"/>
      <c r="R96" s="3"/>
      <c r="S96" s="3"/>
      <c r="T96" s="3"/>
      <c r="U96" s="3"/>
      <c r="V96" s="3"/>
      <c r="W96" s="3"/>
      <c r="X96" s="3"/>
      <c r="Y96" s="3"/>
      <c r="Z96" s="3"/>
      <c r="AA96" s="3"/>
      <c r="AB96" s="3"/>
      <c r="AC96" s="3"/>
      <c r="AD96" s="3"/>
      <c r="AE96" s="3"/>
      <c r="AF96" s="2"/>
      <c r="AG96" s="3"/>
      <c r="AH96" s="3"/>
      <c r="AI96" s="31" t="s">
        <v>143</v>
      </c>
      <c r="AJ96" s="51">
        <f t="shared" si="16"/>
        <v>145788.24057023795</v>
      </c>
      <c r="AK96" s="51">
        <f t="shared" si="16"/>
        <v>258457.29864308724</v>
      </c>
      <c r="AL96" s="51">
        <f t="shared" si="16"/>
        <v>458770.23523903789</v>
      </c>
      <c r="AM96" s="374" t="b">
        <v>1</v>
      </c>
      <c r="AN96" s="3"/>
    </row>
    <row r="97" spans="2:40" ht="13.5" hidden="1" outlineLevel="1" thickBot="1" x14ac:dyDescent="0.25">
      <c r="O97" s="3"/>
      <c r="P97" s="3"/>
      <c r="Q97" s="3"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W97" s="3"/>
      <c r="X97" s="3"/>
      <c r="Y97" s="3"/>
      <c r="Z97" s="3"/>
      <c r="AA97" s="3"/>
      <c r="AB97" s="3"/>
      <c r="AC97" s="3"/>
      <c r="AD97" s="3"/>
      <c r="AE97" s="3"/>
      <c r="AF97" s="2"/>
      <c r="AG97" s="3"/>
      <c r="AH97" s="3"/>
      <c r="AI97" s="27" t="s">
        <v>67</v>
      </c>
      <c r="AJ97" s="55">
        <f>IF($AM$93,AJ93,0)+IF($AM$92,AJ92,0)+IF($AM$91,AJ91,0)+IF($AM$90,AJ90,0)+AJ82</f>
        <v>262128.04944673795</v>
      </c>
      <c r="AK97" s="55">
        <f t="shared" ref="AK97:AL97" si="17">IF($AM$93,AK93,0)+IF($AM$92,AK92,0)+IF($AM$91,AK91,0)+IF($AM$90,AK90,0)+AK82</f>
        <v>376082.50753442472</v>
      </c>
      <c r="AL97" s="55">
        <f t="shared" si="17"/>
        <v>579053.43883408071</v>
      </c>
      <c r="AM97" s="3"/>
      <c r="AN97" s="3"/>
    </row>
    <row r="98" spans="2:40" ht="13.5" hidden="1" outlineLevel="1" thickTop="1" x14ac:dyDescent="0.2">
      <c r="O98" s="3"/>
      <c r="P98" s="3"/>
      <c r="Q98" s="3"/>
      <c r="R98" s="3"/>
      <c r="S98" s="3"/>
      <c r="T98" s="3"/>
      <c r="U98" s="3"/>
      <c r="V98" s="3"/>
      <c r="W98" s="3"/>
      <c r="X98" s="3"/>
      <c r="Y98" s="3"/>
      <c r="Z98" s="3"/>
      <c r="AA98" s="3"/>
      <c r="AB98" s="3"/>
      <c r="AC98" s="3"/>
      <c r="AD98" s="3"/>
      <c r="AE98" s="3"/>
      <c r="AF98" s="2"/>
      <c r="AG98" s="3"/>
      <c r="AH98" s="3"/>
      <c r="AI98" s="3"/>
      <c r="AJ98" s="3"/>
      <c r="AK98" s="3"/>
      <c r="AL98" s="3"/>
      <c r="AM98" s="3"/>
      <c r="AN98" s="3"/>
    </row>
    <row r="99" spans="2:40" hidden="1" outlineLevel="1" x14ac:dyDescent="0.2">
      <c r="O99" s="3"/>
      <c r="P99" s="3"/>
      <c r="Q99" s="3"/>
      <c r="R99" s="3"/>
      <c r="S99" s="3"/>
      <c r="T99" s="3"/>
      <c r="U99" s="3"/>
      <c r="V99" s="3"/>
      <c r="W99" s="3"/>
      <c r="X99" s="3"/>
      <c r="Y99" s="3"/>
      <c r="Z99" s="3"/>
      <c r="AA99" s="3"/>
      <c r="AB99" s="3"/>
      <c r="AC99" s="3"/>
      <c r="AD99" s="3"/>
      <c r="AE99" s="3"/>
      <c r="AF99" s="2"/>
      <c r="AG99" s="3"/>
      <c r="AH99" s="3"/>
      <c r="AI99" s="3"/>
      <c r="AJ99" s="3"/>
      <c r="AK99" s="3"/>
      <c r="AL99" s="3"/>
      <c r="AM99" s="3"/>
      <c r="AN99" s="3"/>
    </row>
    <row r="100" spans="2:40" hidden="1" outlineLevel="1" x14ac:dyDescent="0.2">
      <c r="O100" s="3"/>
      <c r="P100" s="3"/>
      <c r="Q100" s="3"/>
      <c r="R100" s="3"/>
      <c r="S100" s="3"/>
      <c r="T100" s="3"/>
      <c r="U100" s="3"/>
      <c r="V100" s="3"/>
      <c r="W100" s="3"/>
      <c r="X100" s="3"/>
      <c r="Y100" s="3"/>
      <c r="Z100" s="3"/>
      <c r="AA100" s="3"/>
      <c r="AB100" s="3"/>
      <c r="AC100" s="3"/>
      <c r="AD100" s="3"/>
      <c r="AE100" s="3"/>
      <c r="AF100" s="2"/>
      <c r="AG100" s="3"/>
      <c r="AH100" s="3"/>
      <c r="AI100" s="3"/>
      <c r="AJ100" s="3"/>
      <c r="AK100" s="3"/>
      <c r="AL100" s="3"/>
      <c r="AM100" s="3"/>
      <c r="AN100" s="3"/>
    </row>
    <row r="101" spans="2:40" hidden="1" outlineLevel="1" x14ac:dyDescent="0.2">
      <c r="O101" s="3"/>
      <c r="P101" s="3"/>
      <c r="Q101" s="3"/>
      <c r="R101" s="3"/>
      <c r="S101" s="3"/>
      <c r="T101" s="3"/>
      <c r="U101" s="3"/>
      <c r="V101" s="3"/>
      <c r="W101" s="3"/>
      <c r="X101" s="3"/>
      <c r="Y101" s="3"/>
      <c r="Z101" s="3"/>
      <c r="AA101" s="3"/>
      <c r="AB101" s="3"/>
      <c r="AC101" s="3"/>
      <c r="AD101" s="3"/>
      <c r="AE101" s="3"/>
      <c r="AF101" s="2"/>
      <c r="AG101" s="3"/>
      <c r="AH101" s="3"/>
      <c r="AI101" s="3"/>
      <c r="AJ101" s="3"/>
      <c r="AK101" s="3"/>
      <c r="AL101" s="3"/>
      <c r="AM101" s="3"/>
      <c r="AN101" s="3"/>
    </row>
    <row r="102" spans="2:40" hidden="1" outlineLevel="1" x14ac:dyDescent="0.2">
      <c r="O102" s="3"/>
      <c r="P102" s="3"/>
      <c r="Q102" s="3"/>
      <c r="R102" s="3"/>
      <c r="S102" s="3"/>
      <c r="T102" s="3"/>
      <c r="U102" s="3"/>
      <c r="V102" s="3"/>
      <c r="W102" s="3"/>
      <c r="X102" s="3"/>
      <c r="Y102" s="3"/>
      <c r="Z102" s="3"/>
      <c r="AA102" s="3"/>
      <c r="AB102" s="3"/>
      <c r="AC102" s="3"/>
      <c r="AD102" s="3"/>
      <c r="AE102" s="3"/>
      <c r="AF102" s="2"/>
      <c r="AG102" s="3"/>
      <c r="AH102" s="3"/>
      <c r="AI102" s="3"/>
      <c r="AJ102" s="3"/>
      <c r="AK102" s="3"/>
      <c r="AL102" s="3"/>
      <c r="AM102" s="3"/>
      <c r="AN102" s="3"/>
    </row>
    <row r="103" spans="2:40" hidden="1" outlineLevel="1" x14ac:dyDescent="0.2">
      <c r="O103" s="3"/>
      <c r="P103" s="3"/>
      <c r="Q103" s="3"/>
      <c r="R103" s="3"/>
      <c r="S103" s="3"/>
      <c r="T103" s="3"/>
      <c r="U103" s="3"/>
      <c r="V103" s="3"/>
      <c r="W103" s="3"/>
      <c r="X103" s="3"/>
      <c r="Y103" s="3"/>
      <c r="Z103" s="3"/>
      <c r="AA103" s="3"/>
      <c r="AB103" s="3"/>
      <c r="AC103" s="3"/>
      <c r="AD103" s="3"/>
      <c r="AE103" s="3"/>
      <c r="AF103" s="2"/>
      <c r="AG103" s="3"/>
      <c r="AH103" s="3"/>
      <c r="AI103" s="3"/>
      <c r="AJ103" s="3"/>
      <c r="AK103" s="3"/>
      <c r="AL103" s="3"/>
      <c r="AM103" s="3"/>
      <c r="AN103" s="3"/>
    </row>
    <row r="104" spans="2:40" hidden="1" outlineLevel="1" x14ac:dyDescent="0.2">
      <c r="O104" s="3"/>
      <c r="P104" s="3"/>
      <c r="Q104" s="3"/>
      <c r="R104" s="3"/>
      <c r="S104" s="3"/>
      <c r="T104" s="3"/>
      <c r="U104" s="3"/>
      <c r="V104" s="3"/>
      <c r="W104" s="3"/>
      <c r="X104" s="3"/>
      <c r="Y104" s="3"/>
      <c r="Z104" s="3"/>
      <c r="AA104" s="3"/>
      <c r="AB104" s="3"/>
      <c r="AC104" s="3"/>
      <c r="AD104" s="3"/>
      <c r="AE104" s="3"/>
      <c r="AF104" s="2"/>
      <c r="AG104" s="3"/>
      <c r="AH104" s="3"/>
      <c r="AI104" s="3"/>
      <c r="AJ104" s="3"/>
      <c r="AK104" s="3"/>
      <c r="AL104" s="3"/>
      <c r="AM104" s="3"/>
      <c r="AN104" s="3"/>
    </row>
    <row r="105" spans="2:40" hidden="1" outlineLevel="1" x14ac:dyDescent="0.2">
      <c r="O105" s="3"/>
      <c r="P105" s="3"/>
      <c r="Q105" s="3"/>
      <c r="R105" s="3"/>
      <c r="S105" s="3"/>
      <c r="T105" s="3"/>
      <c r="U105" s="3"/>
      <c r="V105" s="3"/>
      <c r="W105" s="3"/>
      <c r="X105" s="3"/>
      <c r="Y105" s="3"/>
      <c r="Z105" s="3"/>
      <c r="AA105" s="3"/>
      <c r="AB105" s="3"/>
      <c r="AC105" s="3"/>
      <c r="AD105" s="3"/>
      <c r="AE105" s="3"/>
      <c r="AF105" s="2"/>
      <c r="AG105" s="3"/>
      <c r="AH105" s="3"/>
      <c r="AI105" s="3"/>
      <c r="AJ105" s="3"/>
      <c r="AK105" s="3"/>
      <c r="AL105" s="3"/>
      <c r="AM105" s="3"/>
      <c r="AN105" s="3"/>
    </row>
    <row r="106" spans="2:40" hidden="1" outlineLevel="1" x14ac:dyDescent="0.2"/>
    <row r="107" spans="2:40" hidden="1" outlineLevel="1" x14ac:dyDescent="0.2">
      <c r="B107" s="6" t="str">
        <f>IF(AND($G$16&gt;0,K16&lt;G16),"Bitte den Handeingabewert 'selbsterzeugte Strommenge' für 'Bilanzjahr +10 Jahre' auch anpassen. Dieser muss dem Werte Ihrer Handeingabe 'Bilanzjahr +5 Jahre' entsprechen, sollte nur eine Maßnahme in 'Bilanzjahr +5 Jahre' umgesetzt werden.","")</f>
        <v/>
      </c>
    </row>
    <row r="108" spans="2:40" ht="15.75" hidden="1" outlineLevel="1" x14ac:dyDescent="0.25">
      <c r="O108" s="22"/>
      <c r="P108" s="22" t="s">
        <v>103</v>
      </c>
      <c r="Q108" s="17"/>
      <c r="R108" s="17"/>
      <c r="S108" s="17"/>
      <c r="T108" s="17"/>
      <c r="U108" s="17"/>
      <c r="V108" s="17"/>
      <c r="W108" s="17"/>
      <c r="X108" s="17"/>
      <c r="Y108" s="17"/>
      <c r="Z108" s="17"/>
      <c r="AB108" s="22" t="s">
        <v>488</v>
      </c>
      <c r="AC108" s="17"/>
      <c r="AD108" s="17"/>
      <c r="AE108" s="17"/>
      <c r="AF108" s="17"/>
      <c r="AG108" s="17"/>
      <c r="AH108" s="17"/>
      <c r="AI108" s="17"/>
    </row>
    <row r="109" spans="2:40" ht="15" hidden="1" outlineLevel="1" x14ac:dyDescent="0.25">
      <c r="O109" s="64"/>
      <c r="P109" s="64">
        <f>S80</f>
        <v>5</v>
      </c>
      <c r="Q109" s="17"/>
      <c r="R109" s="17"/>
      <c r="S109" s="17"/>
      <c r="T109" s="17"/>
      <c r="U109" s="17"/>
      <c r="V109" s="17"/>
      <c r="W109" s="17"/>
      <c r="X109" s="17"/>
      <c r="Y109" s="17"/>
      <c r="Z109" s="17"/>
      <c r="AB109" s="64">
        <f>P109</f>
        <v>5</v>
      </c>
      <c r="AC109" s="17"/>
      <c r="AD109" s="17"/>
      <c r="AE109" s="17"/>
      <c r="AF109" s="17"/>
      <c r="AG109" s="17"/>
      <c r="AH109" s="17"/>
      <c r="AI109" s="17"/>
    </row>
    <row r="110" spans="2:40" hidden="1" outlineLevel="1" x14ac:dyDescent="0.2">
      <c r="O110" s="17"/>
      <c r="P110" s="17"/>
      <c r="Q110" s="17" t="s">
        <v>192</v>
      </c>
      <c r="R110" s="287">
        <f>(1-(IF(NOT(ISBLANK($G21)),$G21/100,$E21/100)))</f>
        <v>0.95</v>
      </c>
      <c r="S110" s="17"/>
      <c r="T110" s="17"/>
      <c r="U110" s="17"/>
      <c r="V110" s="17"/>
      <c r="W110" s="17"/>
      <c r="X110" s="17"/>
      <c r="Y110" s="17"/>
      <c r="Z110" s="17"/>
      <c r="AB110" s="21"/>
      <c r="AC110" s="17"/>
      <c r="AD110" s="17"/>
      <c r="AE110" s="17"/>
      <c r="AF110" s="17"/>
      <c r="AG110" s="17"/>
      <c r="AH110" s="17"/>
      <c r="AI110" s="17"/>
    </row>
    <row r="111" spans="2:40" hidden="1" outlineLevel="1" x14ac:dyDescent="0.2">
      <c r="O111" s="17"/>
      <c r="P111" s="17"/>
      <c r="Q111" s="17" t="s">
        <v>69</v>
      </c>
      <c r="R111" s="287" t="str">
        <f>IF(NOT(ISBLANK($G$16)),$G$16,$E$16)</f>
        <v>Strom</v>
      </c>
      <c r="S111" s="17"/>
      <c r="T111" s="17"/>
      <c r="U111" s="17"/>
      <c r="V111" s="17"/>
      <c r="W111" s="17"/>
      <c r="X111" s="17"/>
      <c r="Y111" s="17"/>
      <c r="Z111" s="17"/>
      <c r="AB111" s="21"/>
      <c r="AC111" s="17"/>
      <c r="AD111" s="17"/>
      <c r="AE111" s="17"/>
      <c r="AF111" s="17"/>
      <c r="AG111" s="17"/>
      <c r="AH111" s="17"/>
      <c r="AI111" s="17"/>
    </row>
    <row r="112" spans="2:40" hidden="1" outlineLevel="1" x14ac:dyDescent="0.2">
      <c r="O112" s="17"/>
      <c r="P112" s="17"/>
      <c r="Q112" s="17"/>
      <c r="R112" s="288" t="s">
        <v>81</v>
      </c>
      <c r="S112" s="17" t="s">
        <v>231</v>
      </c>
      <c r="T112" s="17"/>
      <c r="U112" s="17"/>
      <c r="V112" s="17"/>
      <c r="W112" s="17"/>
      <c r="X112" s="17"/>
      <c r="Y112" s="17"/>
      <c r="Z112" s="17"/>
      <c r="AB112" s="21"/>
      <c r="AC112" s="17"/>
      <c r="AD112" s="17"/>
      <c r="AE112" s="17"/>
      <c r="AF112" s="17"/>
      <c r="AG112" s="17"/>
      <c r="AH112" s="17"/>
      <c r="AI112" s="17"/>
    </row>
    <row r="113" spans="2:35" hidden="1" outlineLevel="1" x14ac:dyDescent="0.2">
      <c r="B113" s="102" t="str">
        <f>IF(AND($G$21&gt;0,K21&lt;G21),"Bitte den Handeingabewert 'Reduktion' für 'Bilanzjahr +10 Jahre' auch anpassen. Dieser muss dem Werte Ihrer Handeingabe 'Bilanzjahr +5 Jahre' entsprechen, sollte nur eine Maßnahme in 'Bilanzjahr +5 Jahre' umgesetzt werden.","")</f>
        <v/>
      </c>
      <c r="O113" s="17"/>
      <c r="P113" s="17"/>
      <c r="Q113" s="17" t="s">
        <v>29</v>
      </c>
      <c r="R113" s="41">
        <f>IF(NOT(ISBLANK('Referenz Plattenfertiger'!$I$21)),'Referenz Plattenfertiger'!$I$21,'Referenz Plattenfertiger'!$F$21)</f>
        <v>47000</v>
      </c>
      <c r="S113" s="41">
        <f>IF($R$111=Q113,R113*$R$110,R113)</f>
        <v>47000</v>
      </c>
      <c r="T113" s="17" t="str">
        <f>'Referenz Plattenfertiger'!$G$21</f>
        <v>kWh Hs</v>
      </c>
      <c r="U113" s="17"/>
      <c r="V113" s="17"/>
      <c r="W113" s="17"/>
      <c r="X113" s="17"/>
      <c r="Y113" s="17"/>
      <c r="Z113" s="17"/>
      <c r="AB113" s="21"/>
      <c r="AC113" s="17"/>
      <c r="AD113" s="17"/>
      <c r="AE113" s="17"/>
      <c r="AF113" s="17"/>
      <c r="AG113" s="17"/>
      <c r="AH113" s="17"/>
      <c r="AI113" s="17"/>
    </row>
    <row r="114" spans="2:35" hidden="1" outlineLevel="1" x14ac:dyDescent="0.2">
      <c r="O114" s="17"/>
      <c r="P114" s="17"/>
      <c r="Q114" s="17" t="s">
        <v>30</v>
      </c>
      <c r="R114" s="41">
        <f>IF(NOT(ISBLANK('Referenz Plattenfertiger'!$I$22)),'Referenz Plattenfertiger'!$I$22,'Referenz Plattenfertiger'!$F$22)</f>
        <v>36000</v>
      </c>
      <c r="S114" s="41">
        <f t="shared" ref="S114:S117" si="18">IF($R$111=Q114,R114*$R$110,R114)</f>
        <v>36000</v>
      </c>
      <c r="T114" s="17" t="str">
        <f>'Referenz Plattenfertiger'!$G$22</f>
        <v>kWh Hi</v>
      </c>
      <c r="U114" s="17"/>
      <c r="V114" s="17"/>
      <c r="W114" s="17"/>
      <c r="X114" s="17"/>
      <c r="Y114" s="17"/>
      <c r="Z114" s="17"/>
      <c r="AB114" s="21"/>
      <c r="AC114" s="17"/>
      <c r="AD114" s="17"/>
      <c r="AE114" s="17"/>
      <c r="AF114" s="17"/>
      <c r="AG114" s="17"/>
      <c r="AH114" s="17"/>
      <c r="AI114" s="17"/>
    </row>
    <row r="115" spans="2:35" hidden="1" outlineLevel="1" x14ac:dyDescent="0.2">
      <c r="O115" s="17"/>
      <c r="P115" s="17"/>
      <c r="Q115" s="17" t="s">
        <v>31</v>
      </c>
      <c r="R115" s="41">
        <f>IF(NOT(ISBLANK('Referenz Plattenfertiger'!$I$24)),'Referenz Plattenfertiger'!$I$24,'Referenz Plattenfertiger'!$F$24)</f>
        <v>405000</v>
      </c>
      <c r="S115" s="41">
        <f>IF($R$111=Q115,R115*$R$110,R115)</f>
        <v>384750</v>
      </c>
      <c r="T115" s="17" t="str">
        <f>'Referenz Plattenfertiger'!$J$24</f>
        <v>kWh</v>
      </c>
      <c r="U115" s="17"/>
      <c r="V115" s="17"/>
      <c r="W115" s="17"/>
      <c r="X115" s="17"/>
      <c r="Y115" s="17"/>
      <c r="Z115" s="17"/>
      <c r="AB115" s="21"/>
      <c r="AC115" s="17"/>
      <c r="AD115" s="17"/>
      <c r="AE115" s="17"/>
      <c r="AF115" s="17"/>
      <c r="AG115" s="17"/>
      <c r="AH115" s="17"/>
      <c r="AI115" s="17"/>
    </row>
    <row r="116" spans="2:35" hidden="1" outlineLevel="1" x14ac:dyDescent="0.2">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O116" s="17"/>
      <c r="P116" s="17"/>
      <c r="Q116" s="17" t="s">
        <v>111</v>
      </c>
      <c r="R116" s="41">
        <f>IF(NOT(ISBLANK('Referenz Plattenfertiger'!$I$25)),'Referenz Plattenfertiger'!$I$25,'Referenz Plattenfertiger'!$F$25)</f>
        <v>0</v>
      </c>
      <c r="S116" s="41">
        <f t="shared" si="18"/>
        <v>0</v>
      </c>
      <c r="T116" s="17" t="str">
        <f>'Referenz Plattenfertiger'!$J$25</f>
        <v>kWh</v>
      </c>
      <c r="U116" s="17"/>
      <c r="V116" s="17"/>
      <c r="W116" s="17"/>
      <c r="X116" s="17"/>
      <c r="Y116" s="17"/>
      <c r="Z116" s="17"/>
      <c r="AB116" s="21"/>
      <c r="AC116" s="17"/>
      <c r="AD116" s="17"/>
      <c r="AE116" s="17"/>
      <c r="AF116" s="17"/>
      <c r="AG116" s="17"/>
      <c r="AH116" s="17"/>
      <c r="AI116" s="17"/>
    </row>
    <row r="117" spans="2:35" hidden="1" outlineLevel="1" x14ac:dyDescent="0.2">
      <c r="O117" s="17"/>
      <c r="P117" s="17"/>
      <c r="Q117" s="17" t="s">
        <v>119</v>
      </c>
      <c r="R117" s="41">
        <f>IF(NOT(ISBLANK('Referenz Plattenfertiger'!$I$26)),'Referenz Plattenfertiger'!$I$26,'Referenz Plattenfertiger'!$F$26)</f>
        <v>0</v>
      </c>
      <c r="S117" s="41">
        <f t="shared" si="18"/>
        <v>0</v>
      </c>
      <c r="T117" s="17" t="str">
        <f>'Referenz Plattenfertiger'!$J$26</f>
        <v>kWh</v>
      </c>
      <c r="U117" s="17"/>
      <c r="V117" s="17"/>
      <c r="W117" s="17"/>
      <c r="X117" s="17"/>
      <c r="Y117" s="17"/>
      <c r="Z117" s="17"/>
      <c r="AB117" s="21"/>
      <c r="AC117" s="17"/>
      <c r="AD117" s="17"/>
      <c r="AE117" s="17"/>
      <c r="AF117" s="17"/>
      <c r="AG117" s="17"/>
      <c r="AH117" s="17"/>
      <c r="AI117" s="17"/>
    </row>
    <row r="118" spans="2:35" hidden="1" outlineLevel="1" x14ac:dyDescent="0.2">
      <c r="O118" s="17"/>
      <c r="P118" s="17"/>
      <c r="Q118" s="17"/>
      <c r="R118" s="17"/>
      <c r="S118" s="20"/>
      <c r="T118" s="20"/>
      <c r="U118" s="20"/>
      <c r="V118" s="17"/>
      <c r="W118" s="17"/>
      <c r="X118" s="17"/>
      <c r="Y118" s="17"/>
      <c r="Z118" s="17"/>
      <c r="AB118" s="17"/>
      <c r="AC118" s="17"/>
      <c r="AD118" s="17"/>
      <c r="AE118" s="17"/>
      <c r="AF118" s="17"/>
      <c r="AG118" s="17"/>
      <c r="AH118" s="17"/>
      <c r="AI118" s="17"/>
    </row>
    <row r="119" spans="2:35" ht="51" hidden="1" outlineLevel="1" x14ac:dyDescent="0.2">
      <c r="O119" s="17"/>
      <c r="P119" s="17"/>
      <c r="Q119" s="17"/>
      <c r="R119" s="17"/>
      <c r="S119" s="36" t="s">
        <v>25</v>
      </c>
      <c r="T119" s="36" t="s">
        <v>77</v>
      </c>
      <c r="U119" s="36" t="s">
        <v>27</v>
      </c>
      <c r="V119" s="17"/>
      <c r="W119" s="17"/>
      <c r="X119" s="39" t="s">
        <v>100</v>
      </c>
      <c r="Y119" s="40" t="s">
        <v>37</v>
      </c>
      <c r="Z119" s="17"/>
      <c r="AB119" s="17"/>
      <c r="AC119" s="17"/>
      <c r="AD119" s="17"/>
      <c r="AE119" s="18"/>
      <c r="AF119" s="18"/>
      <c r="AG119" s="18"/>
      <c r="AH119" s="18"/>
      <c r="AI119" s="18"/>
    </row>
    <row r="120" spans="2:35" ht="14.25" hidden="1" outlineLevel="1" x14ac:dyDescent="0.25">
      <c r="B120" s="6"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
      </c>
      <c r="O120" s="76"/>
      <c r="P120" s="76" t="s">
        <v>176</v>
      </c>
      <c r="Q120" s="76"/>
      <c r="R120" s="76"/>
      <c r="S120" s="77">
        <f>SUM(S122:S135)</f>
        <v>94.932355060000006</v>
      </c>
      <c r="T120" s="77">
        <f t="shared" ref="T120:U120" si="19">SUM(T122:T135)</f>
        <v>119.27228696972129</v>
      </c>
      <c r="U120" s="77">
        <f t="shared" si="19"/>
        <v>33.566676052419879</v>
      </c>
      <c r="V120" s="76"/>
      <c r="W120" s="76"/>
      <c r="X120" s="77">
        <f>S120+T120</f>
        <v>214.2046420297213</v>
      </c>
      <c r="Y120" s="77">
        <f>SUM(S120:U120)</f>
        <v>247.77131808214119</v>
      </c>
      <c r="Z120" s="76" t="s">
        <v>183</v>
      </c>
      <c r="AB120" s="17"/>
      <c r="AC120" s="17"/>
      <c r="AD120" s="17"/>
      <c r="AE120" s="18"/>
      <c r="AF120" s="18"/>
      <c r="AG120" s="18"/>
      <c r="AH120" s="18"/>
      <c r="AI120" s="18"/>
    </row>
    <row r="121" spans="2:35" hidden="1" outlineLevel="1" x14ac:dyDescent="0.2">
      <c r="O121" s="17"/>
      <c r="P121" s="17" t="s">
        <v>132</v>
      </c>
      <c r="Q121" s="17"/>
      <c r="R121" s="17"/>
      <c r="S121" s="17"/>
      <c r="T121" s="17"/>
      <c r="U121" s="17"/>
      <c r="V121" s="17"/>
      <c r="W121" s="17"/>
      <c r="X121" s="17"/>
      <c r="Y121" s="17"/>
      <c r="Z121" s="17"/>
      <c r="AB121" s="17" t="s">
        <v>132</v>
      </c>
      <c r="AC121" s="17"/>
      <c r="AD121" s="17"/>
      <c r="AE121" s="18"/>
      <c r="AF121" s="18"/>
      <c r="AG121" s="18"/>
      <c r="AH121" s="18"/>
      <c r="AI121" s="18"/>
    </row>
    <row r="122" spans="2:35" ht="15.75" hidden="1" outlineLevel="1" x14ac:dyDescent="0.3">
      <c r="O122" s="274"/>
      <c r="P122" s="17"/>
      <c r="Q122" s="17" t="s">
        <v>114</v>
      </c>
      <c r="R122" s="17"/>
      <c r="S122" s="450">
        <f>IF(NOT(ISBLANK('Referenz Plattenfertiger'!$I16)),'Referenz Plattenfertiger'!$I16,'Referenz Plattenfertiger'!$F16)*IF(NOT(ISBLANK('Eingabe EF'!$AA9)),'Eingabe EF'!$AA9,'Eingabe EF'!$Y9)</f>
        <v>34.434080000000002</v>
      </c>
      <c r="T122" s="450">
        <f>IF(NOT(ISBLANK('Referenz Plattenfertiger'!$I16)),'Referenz Plattenfertiger'!$I16,'Referenz Plattenfertiger'!$F16)*IF(NOT(ISBLANK('Eingabe EF'!$AE9)),'Eingabe EF'!$AE9,'Eingabe EF'!$AC9)</f>
        <v>0</v>
      </c>
      <c r="U122" s="450">
        <f>IF(NOT(ISBLANK('Referenz Plattenfertiger'!$I16)),'Referenz Plattenfertiger'!$I16,'Referenz Plattenfertiger'!$F16)*IF(NOT(ISBLANK('Eingabe EF'!$AI9)),'Eingabe EF'!$AI9,'Eingabe EF'!$AG9)</f>
        <v>5.8938000000000006</v>
      </c>
      <c r="V122" s="17"/>
      <c r="W122" s="17"/>
      <c r="X122" s="37">
        <f>S122+T122</f>
        <v>34.434080000000002</v>
      </c>
      <c r="Y122" s="37">
        <f>SUM(S122:U122)</f>
        <v>40.32788</v>
      </c>
      <c r="Z122" s="17" t="s">
        <v>184</v>
      </c>
      <c r="AB122" s="274"/>
      <c r="AC122" s="17" t="s">
        <v>114</v>
      </c>
      <c r="AD122" s="17"/>
      <c r="AE122" s="19"/>
      <c r="AF122" s="19"/>
      <c r="AG122" s="20"/>
      <c r="AH122" s="41">
        <f>IF(NOT(ISBLANK('Referenz Plattenfertiger'!$I16)),'Referenz Plattenfertiger'!$I16,'Referenz Plattenfertiger'!$F16)/1000*IF(NOT(ISBLANK('Eingabe Preise'!$K10)),'Eingabe Preise'!$K10,'Eingabe Preise'!$I10)</f>
        <v>11468</v>
      </c>
      <c r="AI122" s="20" t="s">
        <v>96</v>
      </c>
    </row>
    <row r="123" spans="2:35" ht="15.75" hidden="1" outlineLevel="1" x14ac:dyDescent="0.3">
      <c r="O123" s="274"/>
      <c r="P123" s="17"/>
      <c r="Q123" s="17" t="s">
        <v>151</v>
      </c>
      <c r="R123" s="17"/>
      <c r="S123" s="450">
        <f>IF(NOT(ISBLANK('Referenz Plattenfertiger'!$I17)),'Referenz Plattenfertiger'!$I17,'Referenz Plattenfertiger'!$F17)*IF(NOT(ISBLANK('Eingabe EF'!$AA10)),'Eingabe EF'!$AA10,'Eingabe EF'!$Y10)</f>
        <v>6.4022399999999999</v>
      </c>
      <c r="T123" s="450">
        <f>IF(NOT(ISBLANK('Referenz Plattenfertiger'!$I17)),'Referenz Plattenfertiger'!$I17,'Referenz Plattenfertiger'!$F17)*IF(NOT(ISBLANK('Eingabe EF'!$AE10)),'Eingabe EF'!$AE10,'Eingabe EF'!$AC10)</f>
        <v>0</v>
      </c>
      <c r="U123" s="450">
        <f>IF(NOT(ISBLANK('Referenz Plattenfertiger'!$I17)),'Referenz Plattenfertiger'!$I17,'Referenz Plattenfertiger'!$F17)*IF(NOT(ISBLANK('Eingabe EF'!$AI10)),'Eingabe EF'!$AI10,'Eingabe EF'!$AG10)</f>
        <v>0.949824</v>
      </c>
      <c r="V123" s="17"/>
      <c r="W123" s="17"/>
      <c r="X123" s="37">
        <f>S123+T123</f>
        <v>6.4022399999999999</v>
      </c>
      <c r="Y123" s="37">
        <f>SUM(S123:U123)</f>
        <v>7.3520640000000004</v>
      </c>
      <c r="Z123" s="17" t="s">
        <v>184</v>
      </c>
      <c r="AB123" s="274"/>
      <c r="AC123" s="17" t="s">
        <v>151</v>
      </c>
      <c r="AD123" s="17"/>
      <c r="AE123" s="20"/>
      <c r="AF123" s="20"/>
      <c r="AG123" s="20"/>
      <c r="AH123" s="41">
        <f>IF(NOT(ISBLANK('Referenz Plattenfertiger'!$I17)),'Referenz Plattenfertiger'!$I17,'Referenz Plattenfertiger'!$F17)/1000*IF(NOT(ISBLANK('Eingabe Preise'!$K11)),'Eingabe Preise'!$K11,'Eingabe Preise'!$I11)</f>
        <v>1104</v>
      </c>
      <c r="AI123" s="20" t="s">
        <v>96</v>
      </c>
    </row>
    <row r="124" spans="2:35"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O124" s="274"/>
      <c r="P124" s="17"/>
      <c r="Q124" s="17" t="s">
        <v>152</v>
      </c>
      <c r="R124" s="17"/>
      <c r="S124" s="450">
        <f>IF(NOT(ISBLANK('Referenz Plattenfertiger'!$I18)),'Referenz Plattenfertiger'!$I18,'Referenz Plattenfertiger'!$F18)*IF(NOT(ISBLANK('Eingabe EF'!$AA11)),'Eingabe EF'!$AA11,'Eingabe EF'!$Y11)</f>
        <v>0</v>
      </c>
      <c r="T124" s="450">
        <f>IF(NOT(ISBLANK('Referenz Plattenfertiger'!$I18)),'Referenz Plattenfertiger'!$I18,'Referenz Plattenfertiger'!$F18)*IF(NOT(ISBLANK('Eingabe EF'!$AE11)),'Eingabe EF'!$AE11,'Eingabe EF'!$AC11)</f>
        <v>12.48924470887134</v>
      </c>
      <c r="U124" s="450">
        <f>IF(NOT(ISBLANK('Referenz Plattenfertiger'!$I18)),'Referenz Plattenfertiger'!$I18,'Referenz Plattenfertiger'!$F18)*IF(NOT(ISBLANK('Eingabe EF'!$AI11)),'Eingabe EF'!$AI11,'Eingabe EF'!$AG11)</f>
        <v>1.8308840410910865</v>
      </c>
      <c r="V124" s="17"/>
      <c r="W124" s="17"/>
      <c r="X124" s="37">
        <f>S124+T124</f>
        <v>12.48924470887134</v>
      </c>
      <c r="Y124" s="37">
        <f>SUM(S124:U124)</f>
        <v>14.320128749962427</v>
      </c>
      <c r="Z124" s="17" t="s">
        <v>184</v>
      </c>
      <c r="AB124" s="274"/>
      <c r="AC124" s="17" t="s">
        <v>152</v>
      </c>
      <c r="AD124" s="17"/>
      <c r="AE124" s="20"/>
      <c r="AF124" s="20"/>
      <c r="AG124" s="20"/>
      <c r="AH124" s="41">
        <f>IF(NOT(ISBLANK('Referenz Plattenfertiger'!$I18)),'Referenz Plattenfertiger'!$I18,'Referenz Plattenfertiger'!$F18)/1000*IF(NOT(ISBLANK('Eingabe Preise'!$K12)),'Eingabe Preise'!$K12,'Eingabe Preise'!$I12)</f>
        <v>7740</v>
      </c>
      <c r="AI124" s="20" t="s">
        <v>96</v>
      </c>
    </row>
    <row r="125" spans="2:35" ht="15.75" hidden="1" outlineLevel="1" x14ac:dyDescent="0.3">
      <c r="O125" s="274"/>
      <c r="P125" s="17"/>
      <c r="Q125" s="17" t="s">
        <v>115</v>
      </c>
      <c r="R125" s="17"/>
      <c r="S125" s="450">
        <f>IF(NOT(ISBLANK('Referenz Plattenfertiger'!$I19)),'Referenz Plattenfertiger'!$I19,'Referenz Plattenfertiger'!$F19)*IF(NOT(ISBLANK('Eingabe EF'!$AA12)),'Eingabe EF'!$AA12,0)</f>
        <v>0</v>
      </c>
      <c r="T125" s="450">
        <f>IF(NOT(ISBLANK('Referenz Plattenfertiger'!$I19)),'Referenz Plattenfertiger'!$I19,'Referenz Plattenfertiger'!$F19)*IF(NOT(ISBLANK('Eingabe EF'!$AE12)),'Eingabe EF'!$AE12,0)</f>
        <v>0</v>
      </c>
      <c r="U125" s="450">
        <f>IF(NOT(ISBLANK('Referenz Plattenfertiger'!$I19)),'Referenz Plattenfertiger'!$I19,'Referenz Plattenfertiger'!$F19)*IF(NOT(ISBLANK('Eingabe EF'!$AI12)),'Eingabe EF'!$AI12,0)</f>
        <v>0</v>
      </c>
      <c r="V125" s="17"/>
      <c r="W125" s="17"/>
      <c r="X125" s="37">
        <f>S125+T125</f>
        <v>0</v>
      </c>
      <c r="Y125" s="37">
        <f>SUM(S125:U125)</f>
        <v>0</v>
      </c>
      <c r="Z125" s="17" t="s">
        <v>184</v>
      </c>
      <c r="AB125" s="274"/>
      <c r="AC125" s="17" t="s">
        <v>115</v>
      </c>
      <c r="AD125" s="17"/>
      <c r="AE125" s="20"/>
      <c r="AF125" s="20"/>
      <c r="AG125" s="20"/>
      <c r="AH125" s="41">
        <f>IF(NOT(ISBLANK('Referenz Plattenfertiger'!$I19)),'Referenz Plattenfertiger'!$I19,'Referenz Plattenfertiger'!$F19)/1000*IF(NOT(ISBLANK('Eingabe Preise'!$K16)),'Eingabe Preise'!$K16,0)</f>
        <v>0</v>
      </c>
      <c r="AI125" s="20" t="s">
        <v>96</v>
      </c>
    </row>
    <row r="126" spans="2:35" hidden="1" outlineLevel="1" x14ac:dyDescent="0.2">
      <c r="O126" s="17"/>
      <c r="P126" s="17" t="s">
        <v>133</v>
      </c>
      <c r="Q126" s="17"/>
      <c r="R126" s="17"/>
      <c r="S126" s="451"/>
      <c r="T126" s="451"/>
      <c r="U126" s="451"/>
      <c r="V126" s="17"/>
      <c r="W126" s="17"/>
      <c r="X126" s="17"/>
      <c r="Y126" s="17"/>
      <c r="Z126" s="17"/>
      <c r="AB126" s="17" t="s">
        <v>133</v>
      </c>
      <c r="AC126" s="17"/>
      <c r="AD126" s="17"/>
      <c r="AE126" s="20"/>
      <c r="AF126" s="20"/>
      <c r="AG126" s="20"/>
      <c r="AH126" s="20"/>
      <c r="AI126" s="20"/>
    </row>
    <row r="127" spans="2:35" ht="15.75" hidden="1" outlineLevel="1" x14ac:dyDescent="0.3">
      <c r="O127" s="274"/>
      <c r="P127" s="17"/>
      <c r="Q127" s="17" t="s">
        <v>29</v>
      </c>
      <c r="R127" s="17"/>
      <c r="S127" s="450">
        <f>S113*IF(NOT(ISBLANK('Eingabe EF'!$AA9)),'Eingabe EF'!$AA9,'Eingabe EF'!$Y9)</f>
        <v>8.6085200000000004</v>
      </c>
      <c r="T127" s="450">
        <f>S113*IF(NOT(ISBLANK('Eingabe EF'!$AE9)),'Eingabe EF'!$AE9,'Eingabe EF'!$AC9)</f>
        <v>0</v>
      </c>
      <c r="U127" s="450">
        <f>S113*IF(NOT(ISBLANK('Eingabe EF'!$AG9)),'Eingabe EF'!$AG9,'Eingabe EF'!$AIC9)</f>
        <v>1.4734500000000001</v>
      </c>
      <c r="V127" s="17"/>
      <c r="W127" s="17"/>
      <c r="X127" s="37">
        <f t="shared" ref="X127:X128" si="20">S127+T127</f>
        <v>8.6085200000000004</v>
      </c>
      <c r="Y127" s="37">
        <f t="shared" ref="Y127:Y138" si="21">SUM(S127:U127)</f>
        <v>10.08197</v>
      </c>
      <c r="Z127" s="17" t="s">
        <v>184</v>
      </c>
      <c r="AA127" s="42"/>
      <c r="AB127" s="274"/>
      <c r="AC127" s="17" t="s">
        <v>29</v>
      </c>
      <c r="AD127" s="17"/>
      <c r="AE127" s="20"/>
      <c r="AF127" s="20"/>
      <c r="AG127" s="20"/>
      <c r="AH127" s="41">
        <f>S113/1000*IF(NOT(ISBLANK('Eingabe Preise'!$K10)),'Eingabe Preise'!$K10,'Eingabe Preise'!$I10)</f>
        <v>2867</v>
      </c>
      <c r="AI127" s="20" t="s">
        <v>96</v>
      </c>
    </row>
    <row r="128" spans="2:35" ht="15.75" hidden="1" outlineLevel="1" x14ac:dyDescent="0.3">
      <c r="O128" s="274"/>
      <c r="P128" s="17"/>
      <c r="Q128" s="17" t="s">
        <v>30</v>
      </c>
      <c r="R128" s="17"/>
      <c r="S128" s="450">
        <f>S114*IF(NOT(ISBLANK('Eingabe EF'!$AA10)),'Eingabe EF'!$AA10,'Eingabe EF'!$Y10)</f>
        <v>9.6033600000000003</v>
      </c>
      <c r="T128" s="450">
        <f>S114*IF(NOT(ISBLANK('Eingabe EF'!$AE10)),'Eingabe EF'!$AE10,'Eingabe EF'!$AC10)</f>
        <v>0</v>
      </c>
      <c r="U128" s="450">
        <f>S114*IF(NOT(ISBLANK('Eingabe EF'!$AG10)),'Eingabe EF'!$AG10,'Eingabe EF'!$AIC10)</f>
        <v>1.424736</v>
      </c>
      <c r="V128" s="17"/>
      <c r="W128" s="17"/>
      <c r="X128" s="37">
        <f t="shared" si="20"/>
        <v>9.6033600000000003</v>
      </c>
      <c r="Y128" s="37">
        <f t="shared" si="21"/>
        <v>11.028096</v>
      </c>
      <c r="Z128" s="17" t="s">
        <v>184</v>
      </c>
      <c r="AA128" s="42"/>
      <c r="AB128" s="274"/>
      <c r="AC128" s="17" t="s">
        <v>30</v>
      </c>
      <c r="AD128" s="17"/>
      <c r="AE128" s="20"/>
      <c r="AF128" s="20"/>
      <c r="AG128" s="20"/>
      <c r="AH128" s="41">
        <f>S114/1000*IF(NOT(ISBLANK('Eingabe Preise'!$K11)),'Eingabe Preise'!$K11,'Eingabe Preise'!$I11)</f>
        <v>1656</v>
      </c>
      <c r="AI128" s="20" t="s">
        <v>96</v>
      </c>
    </row>
    <row r="129" spans="15:42" hidden="1" outlineLevel="1" x14ac:dyDescent="0.2">
      <c r="O129" s="17"/>
      <c r="P129" s="17" t="s">
        <v>134</v>
      </c>
      <c r="Q129" s="17"/>
      <c r="R129" s="17"/>
      <c r="S129" s="451"/>
      <c r="T129" s="451"/>
      <c r="U129" s="451"/>
      <c r="V129" s="17"/>
      <c r="W129" s="17"/>
      <c r="X129" s="17"/>
      <c r="Y129" s="17"/>
      <c r="Z129" s="17"/>
      <c r="AB129" s="17" t="s">
        <v>134</v>
      </c>
      <c r="AC129" s="17"/>
      <c r="AD129" s="17"/>
      <c r="AE129" s="20"/>
      <c r="AF129" s="20"/>
      <c r="AG129" s="20"/>
      <c r="AH129" s="20"/>
      <c r="AI129" s="20"/>
    </row>
    <row r="130" spans="15:42" ht="15.75" hidden="1" outlineLevel="1" x14ac:dyDescent="0.3">
      <c r="O130" s="274"/>
      <c r="P130" s="17"/>
      <c r="Q130" s="17" t="s">
        <v>136</v>
      </c>
      <c r="R130" s="17"/>
      <c r="S130" s="450">
        <f>S115*IF(NOT(ISBLANK('Eingabe EF'!$AA11)),'Eingabe EF'!$AA11,'Eingabe EF'!$Y11)</f>
        <v>0</v>
      </c>
      <c r="T130" s="450">
        <f>S115*IF(NOT(ISBLANK('Eingabe EF'!$AE11)),'Eingabe EF'!$AE11,'Eingabe EF'!$AC11)</f>
        <v>106.78304226084995</v>
      </c>
      <c r="U130" s="450">
        <f>S115*IF(NOT(ISBLANK('Eingabe EF'!$AI11)),'Eingabe EF'!$AI11,'Eingabe EF'!$AG11)</f>
        <v>15.65405855132879</v>
      </c>
      <c r="V130" s="17"/>
      <c r="W130" s="17"/>
      <c r="X130" s="37">
        <f t="shared" ref="X130:X138" si="22">S130+T130</f>
        <v>106.78304226084995</v>
      </c>
      <c r="Y130" s="37">
        <f t="shared" si="21"/>
        <v>122.43710081217874</v>
      </c>
      <c r="Z130" s="17" t="s">
        <v>184</v>
      </c>
      <c r="AA130" s="42"/>
      <c r="AB130" s="274"/>
      <c r="AC130" s="17" t="s">
        <v>153</v>
      </c>
      <c r="AD130" s="17"/>
      <c r="AE130" s="20"/>
      <c r="AF130" s="20"/>
      <c r="AG130" s="20"/>
      <c r="AH130" s="41">
        <f>S115/1000*IF(NOT(ISBLANK('Eingabe Preise'!$K12)),'Eingabe Preise'!$K12,'Eingabe Preise'!$I12)</f>
        <v>66177</v>
      </c>
      <c r="AI130" s="20" t="s">
        <v>96</v>
      </c>
    </row>
    <row r="131" spans="15:42" ht="15.75" hidden="1" outlineLevel="1" x14ac:dyDescent="0.3">
      <c r="O131" s="274"/>
      <c r="P131" s="17"/>
      <c r="Q131" s="17" t="s">
        <v>111</v>
      </c>
      <c r="R131" s="17"/>
      <c r="S131" s="450">
        <f>S116*IF(NOT(ISBLANK('Eingabe EF'!$AA13)),'Eingabe EF'!$AA13,'Eingabe EF'!$Y13)</f>
        <v>0</v>
      </c>
      <c r="T131" s="450">
        <f>S116*IF(NOT(ISBLANK('Eingabe EF'!$AE13)),'Eingabe EF'!$AE13,'Eingabe EF'!$AC13)</f>
        <v>0</v>
      </c>
      <c r="U131" s="450">
        <f>S116*IF(NOT(ISBLANK('Eingabe EF'!$AI13)),'Eingabe EF'!$AI13,'Eingabe EF'!$AG13)</f>
        <v>0</v>
      </c>
      <c r="V131" s="17"/>
      <c r="W131" s="17"/>
      <c r="X131" s="37">
        <f t="shared" si="22"/>
        <v>0</v>
      </c>
      <c r="Y131" s="37">
        <f t="shared" si="21"/>
        <v>0</v>
      </c>
      <c r="Z131" s="17" t="s">
        <v>184</v>
      </c>
      <c r="AA131" s="42"/>
      <c r="AB131" s="274"/>
      <c r="AC131" s="17" t="s">
        <v>111</v>
      </c>
      <c r="AD131" s="17"/>
      <c r="AE131" s="20"/>
      <c r="AF131" s="20"/>
      <c r="AG131" s="20"/>
      <c r="AH131" s="41">
        <f>S116/1000*IF(NOT(ISBLANK('Eingabe Preise'!$K13)),'Eingabe Preise'!$K13,'Eingabe Preise'!$I13)</f>
        <v>0</v>
      </c>
      <c r="AI131" s="20" t="s">
        <v>96</v>
      </c>
    </row>
    <row r="132" spans="15:42" ht="15.75" hidden="1" outlineLevel="1" x14ac:dyDescent="0.3">
      <c r="O132" s="274"/>
      <c r="P132" s="17"/>
      <c r="Q132" s="17" t="s">
        <v>135</v>
      </c>
      <c r="R132" s="17"/>
      <c r="S132" s="450">
        <f>S117*IF(NOT(ISBLANK('Eingabe EF'!$AA14)),'Eingabe EF'!$AA14,0)</f>
        <v>0</v>
      </c>
      <c r="T132" s="450">
        <f>S117*IF(NOT(ISBLANK('Eingabe EF'!$AE14)),'Eingabe EF'!$AE14,0)</f>
        <v>0</v>
      </c>
      <c r="U132" s="450">
        <f>S117*IF(NOT(ISBLANK('Eingabe EF'!$AI14)),'Eingabe EF'!$AI14,0)</f>
        <v>0</v>
      </c>
      <c r="V132" s="17"/>
      <c r="W132" s="17"/>
      <c r="X132" s="37">
        <f t="shared" si="22"/>
        <v>0</v>
      </c>
      <c r="Y132" s="37">
        <f t="shared" si="21"/>
        <v>0</v>
      </c>
      <c r="Z132" s="17" t="s">
        <v>184</v>
      </c>
      <c r="AA132" s="42"/>
      <c r="AB132" s="274"/>
      <c r="AC132" s="17" t="s">
        <v>135</v>
      </c>
      <c r="AD132" s="17"/>
      <c r="AE132" s="30"/>
      <c r="AF132" s="30"/>
      <c r="AG132" s="17"/>
      <c r="AH132" s="41">
        <f>S117/1000*IF(NOT(ISBLANK('Eingabe Preise'!$K17)),'Eingabe Preise'!$K17,0)</f>
        <v>0</v>
      </c>
      <c r="AI132" s="20" t="s">
        <v>96</v>
      </c>
    </row>
    <row r="133" spans="15:42" hidden="1" outlineLevel="1" x14ac:dyDescent="0.2">
      <c r="O133" s="17"/>
      <c r="P133" s="17"/>
      <c r="Q133" s="17"/>
      <c r="R133" s="17"/>
      <c r="S133" s="20"/>
      <c r="T133" s="20"/>
      <c r="U133" s="20"/>
      <c r="V133" s="17"/>
      <c r="W133" s="17"/>
      <c r="X133" s="17"/>
      <c r="Y133" s="17"/>
      <c r="Z133" s="17"/>
      <c r="AB133" s="17"/>
      <c r="AC133" s="17"/>
      <c r="AD133" s="17"/>
      <c r="AE133" s="30"/>
      <c r="AF133" s="30"/>
      <c r="AG133" s="17"/>
      <c r="AH133" s="17"/>
      <c r="AI133" s="17"/>
    </row>
    <row r="134" spans="15:42" ht="15.75" hidden="1" outlineLevel="1" x14ac:dyDescent="0.3">
      <c r="O134" s="17"/>
      <c r="P134" s="17" t="s">
        <v>408</v>
      </c>
      <c r="Q134" s="17" t="s">
        <v>32</v>
      </c>
      <c r="R134" s="17"/>
      <c r="S134" s="37">
        <f>IF(NOT(ISBLANK('Referenz Plattenfertiger'!$I28)),'Referenz Plattenfertiger'!$I28,'Referenz Plattenfertiger'!$F28)*IF(NOT(ISBLANK('Eingabe EF'!$AA15)),'Eingabe EF'!$AA15,'Eingabe EF'!$Y15)</f>
        <v>29.238941159999996</v>
      </c>
      <c r="T134" s="37">
        <f>IF(NOT(ISBLANK('Referenz Plattenfertiger'!$I28)),'Referenz Plattenfertiger'!$I28,'Referenz Plattenfertiger'!$F28)*IF(NOT(ISBLANK('Eingabe EF'!$AE15)),'Eingabe EF'!$AE15,'Eingabe EF'!$AC15)</f>
        <v>0</v>
      </c>
      <c r="U134" s="37">
        <f>IF(NOT(ISBLANK('Referenz Plattenfertiger'!$I28)),'Referenz Plattenfertiger'!$I28,'Referenz Plattenfertiger'!$F28)*IF(NOT(ISBLANK('Eingabe EF'!$AI15)),'Eingabe EF'!$AI15,'Eingabe EF'!$AG15)</f>
        <v>5.1658635600000009</v>
      </c>
      <c r="V134" s="17"/>
      <c r="W134" s="17"/>
      <c r="X134" s="37">
        <f t="shared" si="22"/>
        <v>29.238941159999996</v>
      </c>
      <c r="Y134" s="37">
        <f t="shared" si="21"/>
        <v>34.404804719999994</v>
      </c>
      <c r="Z134" s="17" t="s">
        <v>184</v>
      </c>
      <c r="AA134" s="42"/>
      <c r="AB134" s="17"/>
      <c r="AC134" s="17" t="s">
        <v>32</v>
      </c>
      <c r="AD134" s="17" t="s">
        <v>408</v>
      </c>
      <c r="AE134" s="30"/>
      <c r="AF134" s="30"/>
      <c r="AG134" s="17"/>
      <c r="AH134" s="41">
        <f>IF(NOT(ISBLANK('Referenz Plattenfertiger'!$I28)),'Referenz Plattenfertiger'!$I28,'Referenz Plattenfertiger'!$F28)*IF(NOT(ISBLANK('Eingabe Preise'!$K14)),'Eingabe Preise'!$K14,'Eingabe Preise'!$I14)</f>
        <v>12364.000000000002</v>
      </c>
      <c r="AI134" s="20" t="s">
        <v>96</v>
      </c>
    </row>
    <row r="135" spans="15:42" ht="15.75" hidden="1" outlineLevel="1" x14ac:dyDescent="0.3">
      <c r="O135" s="17"/>
      <c r="P135" s="17" t="s">
        <v>70</v>
      </c>
      <c r="Q135" s="17" t="s">
        <v>32</v>
      </c>
      <c r="R135" s="17"/>
      <c r="S135" s="37">
        <f>IF(NOT(ISBLANK('Referenz Plattenfertiger'!$I29)),'Referenz Plattenfertiger'!$I29,'Referenz Plattenfertiger'!$F29)*IF(NOT(ISBLANK('Eingabe EF'!$AA15)),'Eingabe EF'!$AA15,'Eingabe EF'!$Y15)</f>
        <v>6.645213899999999</v>
      </c>
      <c r="T135" s="37">
        <f>IF(NOT(ISBLANK('Referenz Plattenfertiger'!$I29)),'Referenz Plattenfertiger'!$I29,'Referenz Plattenfertiger'!$F29)*IF(NOT(ISBLANK('Eingabe EF'!$AE15)),'Eingabe EF'!$AE15,'Eingabe EF'!$AC15)</f>
        <v>0</v>
      </c>
      <c r="U135" s="37">
        <f>IF(NOT(ISBLANK('Referenz Plattenfertiger'!$I29)),'Referenz Plattenfertiger'!$I29,'Referenz Plattenfertiger'!$F29)*IF(NOT(ISBLANK('Eingabe EF'!$AI15)),'Eingabe EF'!$AI15,'Eingabe EF'!$AG15)</f>
        <v>1.1740599000000003</v>
      </c>
      <c r="V135" s="17"/>
      <c r="W135" s="17"/>
      <c r="X135" s="37">
        <f t="shared" si="22"/>
        <v>6.645213899999999</v>
      </c>
      <c r="Y135" s="37">
        <f t="shared" si="21"/>
        <v>7.8192737999999995</v>
      </c>
      <c r="Z135" s="17" t="s">
        <v>184</v>
      </c>
      <c r="AA135" s="42"/>
      <c r="AB135" s="17"/>
      <c r="AC135" s="17" t="s">
        <v>32</v>
      </c>
      <c r="AD135" s="17" t="s">
        <v>70</v>
      </c>
      <c r="AE135" s="30"/>
      <c r="AF135" s="30"/>
      <c r="AG135" s="17"/>
      <c r="AH135" s="41">
        <f>IF(NOT(ISBLANK('Referenz Plattenfertiger'!$I29)),'Referenz Plattenfertiger'!$I29,'Referenz Plattenfertiger'!$F29)*IF(NOT(ISBLANK('Eingabe Preise'!$K14)),'Eingabe Preise'!$K14,'Eingabe Preise'!$I14)</f>
        <v>2810.0000000000005</v>
      </c>
      <c r="AI135" s="20" t="s">
        <v>96</v>
      </c>
    </row>
    <row r="136" spans="15:42" ht="14.25" hidden="1" outlineLevel="1" x14ac:dyDescent="0.25">
      <c r="O136" s="69"/>
      <c r="P136" s="69" t="s">
        <v>175</v>
      </c>
      <c r="Q136" s="69"/>
      <c r="R136" s="69"/>
      <c r="S136" s="71"/>
      <c r="T136" s="71"/>
      <c r="U136" s="71">
        <f t="shared" ref="U136" si="23">U137+U138</f>
        <v>469.15642799999995</v>
      </c>
      <c r="V136" s="69"/>
      <c r="W136" s="69"/>
      <c r="X136" s="71">
        <f t="shared" si="22"/>
        <v>0</v>
      </c>
      <c r="Y136" s="71">
        <f t="shared" si="21"/>
        <v>469.15642799999995</v>
      </c>
      <c r="Z136" s="76" t="s">
        <v>183</v>
      </c>
      <c r="AA136" s="72"/>
      <c r="AB136" s="21"/>
      <c r="AC136" s="21"/>
      <c r="AD136" s="21"/>
      <c r="AE136" s="73"/>
      <c r="AF136" s="73"/>
      <c r="AG136" s="21"/>
      <c r="AH136" s="21"/>
      <c r="AI136" s="21"/>
      <c r="AK136" s="72"/>
      <c r="AL136" s="72"/>
      <c r="AM136" s="72"/>
      <c r="AN136" s="72"/>
      <c r="AO136" s="72"/>
      <c r="AP136" s="72"/>
    </row>
    <row r="137" spans="15:42" ht="15.75" hidden="1" outlineLevel="1" x14ac:dyDescent="0.3">
      <c r="O137" s="17"/>
      <c r="P137" s="17"/>
      <c r="Q137" s="17" t="s">
        <v>43</v>
      </c>
      <c r="R137" s="17"/>
      <c r="S137" s="37"/>
      <c r="T137" s="37"/>
      <c r="U137" s="37">
        <f>IF(NOT(ISBLANK('Referenz Plattenfertiger'!$I32)),'Referenz Plattenfertiger'!$I32,'Referenz Plattenfertiger'!$F32)*IF(NOT(ISBLANK('Eingabe EF'!$AI17)),'Eingabe EF'!$AI17,'Eingabe EF'!$AG17)</f>
        <v>109.4698332</v>
      </c>
      <c r="V137" s="17"/>
      <c r="W137" s="17"/>
      <c r="X137" s="37">
        <f t="shared" si="22"/>
        <v>0</v>
      </c>
      <c r="Y137" s="37">
        <f t="shared" si="21"/>
        <v>109.4698332</v>
      </c>
      <c r="Z137" s="17" t="s">
        <v>184</v>
      </c>
      <c r="AA137" s="42"/>
      <c r="AB137" s="17"/>
      <c r="AC137" s="17"/>
      <c r="AD137" s="17"/>
      <c r="AE137" s="30"/>
      <c r="AF137" s="30"/>
      <c r="AG137" s="17"/>
      <c r="AH137" s="17"/>
      <c r="AI137" s="17"/>
    </row>
    <row r="138" spans="15:42" ht="15.75" hidden="1" outlineLevel="1" x14ac:dyDescent="0.3">
      <c r="O138" s="17"/>
      <c r="P138" s="17"/>
      <c r="Q138" s="17" t="s">
        <v>44</v>
      </c>
      <c r="R138" s="17"/>
      <c r="S138" s="37"/>
      <c r="T138" s="37"/>
      <c r="U138" s="37">
        <f>IF(NOT(ISBLANK('Referenz Plattenfertiger'!$I33)),'Referenz Plattenfertiger'!$I33,'Referenz Plattenfertiger'!$F33)*IF(NOT(ISBLANK('Eingabe EF'!$AI18)),'Eingabe EF'!$AI18,'Eingabe EF'!$AG18)</f>
        <v>359.68659479999997</v>
      </c>
      <c r="V138" s="17"/>
      <c r="W138" s="17"/>
      <c r="X138" s="37">
        <f t="shared" si="22"/>
        <v>0</v>
      </c>
      <c r="Y138" s="37">
        <f t="shared" si="21"/>
        <v>359.68659479999997</v>
      </c>
      <c r="Z138" s="17" t="s">
        <v>184</v>
      </c>
      <c r="AA138" s="42"/>
      <c r="AB138" s="17"/>
      <c r="AC138" s="17" t="s">
        <v>28</v>
      </c>
      <c r="AD138" s="17"/>
      <c r="AE138" s="30"/>
      <c r="AF138" s="30"/>
      <c r="AG138" s="17"/>
      <c r="AH138" s="41">
        <f>IF(NOT(ISBLANK($G$24)),$G$24,$E$24)/IF(NOT(ISBLANK($G$29)),$G$29,$E$29)+IF(NOT(ISBLANK($G$24)),$G$24,$E$24)*(IF(NOT(ISBLANK($G$30)),$G$30,$E$30)/100)</f>
        <v>1800</v>
      </c>
      <c r="AI138" s="20" t="s">
        <v>96</v>
      </c>
    </row>
    <row r="139" spans="15:42" hidden="1" outlineLevel="1" x14ac:dyDescent="0.2">
      <c r="O139" s="17"/>
      <c r="P139" s="17"/>
      <c r="Q139" s="17"/>
      <c r="R139" s="17"/>
      <c r="S139" s="20"/>
      <c r="T139" s="20"/>
      <c r="U139" s="20"/>
      <c r="V139" s="17"/>
      <c r="W139" s="17"/>
      <c r="X139" s="20"/>
      <c r="Y139" s="20"/>
      <c r="Z139" s="17"/>
      <c r="AB139" s="17"/>
      <c r="AC139" s="44" t="s">
        <v>139</v>
      </c>
      <c r="AD139" s="17"/>
      <c r="AE139" s="30"/>
      <c r="AF139" s="30"/>
      <c r="AG139" s="17"/>
      <c r="AH139" s="41">
        <f>IF(NOT(ISBLANK($G$25)),$G$25,$E$25)</f>
        <v>0</v>
      </c>
      <c r="AI139" s="20" t="s">
        <v>96</v>
      </c>
    </row>
    <row r="140" spans="15:42" ht="14.25" hidden="1" outlineLevel="1" x14ac:dyDescent="0.25">
      <c r="O140" s="69"/>
      <c r="P140" s="69" t="s">
        <v>66</v>
      </c>
      <c r="Q140" s="70"/>
      <c r="R140" s="70"/>
      <c r="S140" s="71"/>
      <c r="T140" s="71"/>
      <c r="U140" s="71">
        <f>SUM(U141:U144)</f>
        <v>4548.5439999999999</v>
      </c>
      <c r="V140" s="70"/>
      <c r="W140" s="70"/>
      <c r="X140" s="71">
        <f t="shared" ref="X140:X144" si="24">S140+T140</f>
        <v>0</v>
      </c>
      <c r="Y140" s="71">
        <f t="shared" ref="Y140:Y143" si="25">SUM(S140:U140)</f>
        <v>4548.5439999999999</v>
      </c>
      <c r="Z140" s="76" t="s">
        <v>183</v>
      </c>
      <c r="AB140" s="17"/>
      <c r="AC140" s="44" t="s">
        <v>146</v>
      </c>
      <c r="AD140" s="17"/>
      <c r="AE140" s="30"/>
      <c r="AF140" s="30"/>
      <c r="AG140" s="17"/>
      <c r="AH140" s="41">
        <f>IF(NOT(ISBLANK($G$26)),$G$26,$E$26)/IF(NOT(ISBLANK($G$29)),$G$29,$E$29)+IF(NOT(ISBLANK($G$26)),$G$26,$E$26)*(IF(NOT(ISBLANK($G$30)),$G$30,$E$30)/100)</f>
        <v>0</v>
      </c>
      <c r="AI140" s="20" t="s">
        <v>96</v>
      </c>
    </row>
    <row r="141" spans="15:42" ht="15.75" hidden="1" outlineLevel="1" x14ac:dyDescent="0.3">
      <c r="O141" s="17"/>
      <c r="P141" s="17"/>
      <c r="Q141" s="17" t="s">
        <v>45</v>
      </c>
      <c r="R141" s="17"/>
      <c r="S141" s="37"/>
      <c r="T141" s="37"/>
      <c r="U141" s="37">
        <f>'M1 Härtekammern'!T134</f>
        <v>1210.3</v>
      </c>
      <c r="V141" s="17"/>
      <c r="W141" s="17"/>
      <c r="X141" s="37">
        <f t="shared" si="24"/>
        <v>0</v>
      </c>
      <c r="Y141" s="37">
        <f t="shared" si="25"/>
        <v>1210.3</v>
      </c>
      <c r="Z141" s="17" t="s">
        <v>184</v>
      </c>
      <c r="AA141" s="42"/>
      <c r="AB141" s="17"/>
      <c r="AC141" s="17"/>
      <c r="AD141" s="17"/>
      <c r="AE141" s="17"/>
      <c r="AF141" s="17"/>
      <c r="AG141" s="17"/>
      <c r="AH141" s="17"/>
      <c r="AI141" s="17"/>
    </row>
    <row r="142" spans="15:42" ht="15.75" hidden="1" outlineLevel="1" x14ac:dyDescent="0.3">
      <c r="O142" s="17"/>
      <c r="P142" s="17"/>
      <c r="Q142" s="17" t="s">
        <v>47</v>
      </c>
      <c r="R142" s="17"/>
      <c r="S142" s="37"/>
      <c r="T142" s="37"/>
      <c r="U142" s="37">
        <f>'M1 Härtekammern'!T135</f>
        <v>2415.5039999999999</v>
      </c>
      <c r="V142" s="17"/>
      <c r="W142" s="17"/>
      <c r="X142" s="37">
        <f t="shared" si="24"/>
        <v>0</v>
      </c>
      <c r="Y142" s="37">
        <f t="shared" si="25"/>
        <v>2415.5039999999999</v>
      </c>
      <c r="Z142" s="17" t="s">
        <v>184</v>
      </c>
      <c r="AA142" s="42"/>
      <c r="AB142" s="17"/>
      <c r="AC142" s="17"/>
      <c r="AD142" s="17"/>
      <c r="AE142" s="17"/>
      <c r="AF142" s="17"/>
      <c r="AG142" s="17"/>
      <c r="AH142" s="17"/>
      <c r="AI142" s="17"/>
    </row>
    <row r="143" spans="15:42" ht="15.75" hidden="1" outlineLevel="1" x14ac:dyDescent="0.3">
      <c r="O143" s="17"/>
      <c r="P143" s="17"/>
      <c r="Q143" s="17" t="s">
        <v>48</v>
      </c>
      <c r="R143" s="17"/>
      <c r="S143" s="37"/>
      <c r="T143" s="37"/>
      <c r="U143" s="37">
        <f>'M1 Härtekammern'!T136</f>
        <v>922.7399999999999</v>
      </c>
      <c r="V143" s="17"/>
      <c r="W143" s="17"/>
      <c r="X143" s="37">
        <f t="shared" si="24"/>
        <v>0</v>
      </c>
      <c r="Y143" s="37">
        <f t="shared" si="25"/>
        <v>922.7399999999999</v>
      </c>
      <c r="Z143" s="17" t="s">
        <v>184</v>
      </c>
      <c r="AA143" s="42"/>
      <c r="AB143" s="17"/>
      <c r="AC143" s="17" t="s">
        <v>186</v>
      </c>
      <c r="AD143" s="17"/>
      <c r="AE143" s="30"/>
      <c r="AF143" s="30"/>
      <c r="AG143" s="17"/>
      <c r="AH143" s="41">
        <f>S183*IF(NOT(ISBLANK('Eingabe Preise'!$K21)),'Eingabe Preise'!$K21,'Eingabe Preise'!$I21)</f>
        <v>4271.9559777000004</v>
      </c>
      <c r="AI143" s="20" t="s">
        <v>96</v>
      </c>
    </row>
    <row r="144" spans="15:42" ht="15.75" hidden="1" outlineLevel="1" x14ac:dyDescent="0.3">
      <c r="O144" s="17"/>
      <c r="P144" s="17"/>
      <c r="Q144" s="17" t="s">
        <v>147</v>
      </c>
      <c r="R144" s="17"/>
      <c r="S144" s="37"/>
      <c r="T144" s="37"/>
      <c r="U144" s="37">
        <f>'M1 Härtekammern'!T137</f>
        <v>0</v>
      </c>
      <c r="V144" s="17"/>
      <c r="W144" s="17"/>
      <c r="X144" s="37">
        <f t="shared" si="24"/>
        <v>0</v>
      </c>
      <c r="Y144" s="37">
        <f t="shared" ref="Y144" si="26">SUM(S144:U144)</f>
        <v>0</v>
      </c>
      <c r="Z144" s="17" t="s">
        <v>184</v>
      </c>
      <c r="AA144" s="42"/>
      <c r="AB144" s="17"/>
      <c r="AC144" s="17" t="s">
        <v>187</v>
      </c>
      <c r="AD144" s="17"/>
      <c r="AE144" s="30"/>
      <c r="AF144" s="30"/>
      <c r="AG144" s="17"/>
      <c r="AH144" s="41">
        <f>T183*IF(NOT(ISBLANK('Eingabe Preise'!$K22)),'Eingabe Preise'!$K22,'Eingabe Preise'!$I22)</f>
        <v>5367.2529136374578</v>
      </c>
      <c r="AI144" s="20" t="s">
        <v>96</v>
      </c>
    </row>
    <row r="145" spans="15:35" ht="15.75" hidden="1" outlineLevel="1" x14ac:dyDescent="0.3">
      <c r="O145" s="17"/>
      <c r="P145" s="17"/>
      <c r="Q145" s="17"/>
      <c r="R145" s="17"/>
      <c r="S145" s="20"/>
      <c r="T145" s="20"/>
      <c r="U145" s="20"/>
      <c r="V145" s="17"/>
      <c r="W145" s="17"/>
      <c r="X145" s="17"/>
      <c r="Y145" s="20"/>
      <c r="Z145" s="20"/>
      <c r="AA145" s="42"/>
      <c r="AB145" s="17"/>
      <c r="AC145" s="17" t="s">
        <v>188</v>
      </c>
      <c r="AD145" s="17"/>
      <c r="AE145" s="30"/>
      <c r="AF145" s="30"/>
      <c r="AG145" s="17"/>
      <c r="AH145" s="41">
        <f>U183*IF(NOT(ISBLANK('Eingabe Preise'!$K23)),'Eingabe Preise'!$K23,'Eingabe Preise'!$I23)</f>
        <v>258457.29864308724</v>
      </c>
      <c r="AI145" s="20" t="s">
        <v>96</v>
      </c>
    </row>
    <row r="146" spans="15:35" ht="14.25" hidden="1" outlineLevel="1" x14ac:dyDescent="0.25">
      <c r="O146" s="69"/>
      <c r="P146" s="69" t="s">
        <v>163</v>
      </c>
      <c r="Q146" s="70"/>
      <c r="R146" s="70"/>
      <c r="S146" s="71"/>
      <c r="T146" s="71"/>
      <c r="U146" s="71">
        <f>SUM(U147:U151)</f>
        <v>129.59200000000001</v>
      </c>
      <c r="V146" s="70"/>
      <c r="W146" s="70"/>
      <c r="X146" s="71">
        <f t="shared" ref="X146" si="27">S146+T146</f>
        <v>0</v>
      </c>
      <c r="Y146" s="71">
        <f t="shared" ref="Y146" si="28">SUM(S146:U146)</f>
        <v>129.59200000000001</v>
      </c>
      <c r="Z146" s="76" t="s">
        <v>183</v>
      </c>
      <c r="AA146" s="42"/>
      <c r="AB146" s="17"/>
      <c r="AC146" s="17"/>
      <c r="AD146" s="17"/>
      <c r="AE146" s="30"/>
      <c r="AF146" s="30"/>
      <c r="AG146" s="17"/>
      <c r="AH146" s="66"/>
      <c r="AI146" s="17"/>
    </row>
    <row r="147" spans="15:35" ht="15.75" hidden="1" outlineLevel="1" x14ac:dyDescent="0.3">
      <c r="O147" s="17"/>
      <c r="P147" s="17"/>
      <c r="Q147" s="17" t="s">
        <v>164</v>
      </c>
      <c r="R147" s="17"/>
      <c r="S147" s="37"/>
      <c r="T147" s="37"/>
      <c r="U147" s="37">
        <f>'M1 Härtekammern'!T140</f>
        <v>129.59200000000001</v>
      </c>
      <c r="V147" s="17"/>
      <c r="W147" s="17"/>
      <c r="X147" s="37">
        <f>S147+T147</f>
        <v>0</v>
      </c>
      <c r="Y147" s="37">
        <f>SUM(S147:U147)</f>
        <v>129.59200000000001</v>
      </c>
      <c r="Z147" s="17" t="s">
        <v>184</v>
      </c>
      <c r="AA147" s="42"/>
      <c r="AB147" s="17"/>
      <c r="AC147" s="17"/>
      <c r="AD147" s="17"/>
      <c r="AE147" s="30"/>
      <c r="AF147" s="30"/>
      <c r="AG147" s="17"/>
      <c r="AH147" s="17"/>
      <c r="AI147" s="17"/>
    </row>
    <row r="148" spans="15:35" ht="15.75" hidden="1" outlineLevel="1" x14ac:dyDescent="0.3">
      <c r="O148" s="17"/>
      <c r="P148" s="17"/>
      <c r="Q148" s="17" t="s">
        <v>165</v>
      </c>
      <c r="R148" s="17"/>
      <c r="S148" s="37"/>
      <c r="T148" s="37"/>
      <c r="U148" s="37">
        <f>'M1 Härtekammern'!T141</f>
        <v>0</v>
      </c>
      <c r="V148" s="17"/>
      <c r="W148" s="17"/>
      <c r="X148" s="37">
        <f t="shared" ref="X148:X149" si="29">S148+T148</f>
        <v>0</v>
      </c>
      <c r="Y148" s="37">
        <f t="shared" ref="Y148:Y149" si="30">SUM(S148:U148)</f>
        <v>0</v>
      </c>
      <c r="Z148" s="17" t="s">
        <v>184</v>
      </c>
      <c r="AA148" s="42"/>
      <c r="AB148" s="17"/>
      <c r="AC148" s="17"/>
      <c r="AD148" s="17"/>
      <c r="AE148" s="30"/>
      <c r="AF148" s="30"/>
      <c r="AG148" s="17"/>
      <c r="AH148" s="66"/>
      <c r="AI148" s="17"/>
    </row>
    <row r="149" spans="15:35" ht="15.75" hidden="1" outlineLevel="1" x14ac:dyDescent="0.3">
      <c r="O149" s="17"/>
      <c r="P149" s="17"/>
      <c r="Q149" s="17" t="s">
        <v>166</v>
      </c>
      <c r="R149" s="17"/>
      <c r="S149" s="37"/>
      <c r="T149" s="37"/>
      <c r="U149" s="37">
        <f>'M1 Härtekammern'!T142</f>
        <v>0</v>
      </c>
      <c r="V149" s="17"/>
      <c r="W149" s="17"/>
      <c r="X149" s="37">
        <f t="shared" si="29"/>
        <v>0</v>
      </c>
      <c r="Y149" s="37">
        <f t="shared" si="30"/>
        <v>0</v>
      </c>
      <c r="Z149" s="17" t="s">
        <v>184</v>
      </c>
      <c r="AA149" s="42"/>
      <c r="AB149" s="42"/>
      <c r="AC149" s="42"/>
      <c r="AD149" s="42"/>
      <c r="AE149" s="42"/>
      <c r="AF149" s="42"/>
      <c r="AG149" s="42"/>
      <c r="AH149" s="42"/>
    </row>
    <row r="150" spans="15:35" ht="15.75" hidden="1" outlineLevel="1" x14ac:dyDescent="0.3">
      <c r="O150" s="17"/>
      <c r="P150" s="17"/>
      <c r="Q150" s="17" t="str">
        <f>'M1 Härtekammern'!P143</f>
        <v>Weiterer Zuschlagstoff 1</v>
      </c>
      <c r="R150" s="17"/>
      <c r="S150" s="37"/>
      <c r="T150" s="37"/>
      <c r="U150" s="37">
        <f>'M1 Härtekammern'!T143</f>
        <v>0</v>
      </c>
      <c r="V150" s="17"/>
      <c r="W150" s="17"/>
      <c r="X150" s="37">
        <f t="shared" ref="X150:X151" si="31">S150+T150</f>
        <v>0</v>
      </c>
      <c r="Y150" s="37">
        <f t="shared" ref="Y150:Y151" si="32">SUM(S150:U150)</f>
        <v>0</v>
      </c>
      <c r="Z150" s="17" t="s">
        <v>184</v>
      </c>
      <c r="AA150" s="42"/>
      <c r="AB150" s="42"/>
      <c r="AC150" s="42"/>
      <c r="AD150" s="42"/>
      <c r="AE150" s="42"/>
      <c r="AF150" s="42"/>
      <c r="AG150" s="42"/>
      <c r="AH150" s="42"/>
    </row>
    <row r="151" spans="15:35" ht="15.75" hidden="1" outlineLevel="1" x14ac:dyDescent="0.3">
      <c r="O151" s="17"/>
      <c r="P151" s="17"/>
      <c r="Q151" s="17" t="str">
        <f>'M1 Härtekammern'!P144</f>
        <v>Weiterer Zuschlagstoff 2</v>
      </c>
      <c r="R151" s="17"/>
      <c r="S151" s="37"/>
      <c r="T151" s="37"/>
      <c r="U151" s="37">
        <f>'M1 Härtekammern'!T144</f>
        <v>0</v>
      </c>
      <c r="V151" s="17"/>
      <c r="W151" s="17"/>
      <c r="X151" s="37">
        <f t="shared" si="31"/>
        <v>0</v>
      </c>
      <c r="Y151" s="37">
        <f t="shared" si="32"/>
        <v>0</v>
      </c>
      <c r="Z151" s="17" t="s">
        <v>184</v>
      </c>
      <c r="AA151" s="42"/>
      <c r="AB151" s="42"/>
      <c r="AC151" s="42"/>
      <c r="AD151" s="42"/>
      <c r="AE151" s="42"/>
      <c r="AF151" s="42"/>
      <c r="AG151" s="42"/>
      <c r="AH151" s="42"/>
    </row>
    <row r="152" spans="15:35" hidden="1" outlineLevel="1" x14ac:dyDescent="0.2">
      <c r="O152" s="17"/>
      <c r="P152" s="17"/>
      <c r="Q152" s="17"/>
      <c r="R152" s="17"/>
      <c r="S152" s="20"/>
      <c r="T152" s="20"/>
      <c r="U152" s="20"/>
      <c r="V152" s="17"/>
      <c r="W152" s="17"/>
      <c r="X152" s="17"/>
      <c r="Y152" s="20"/>
      <c r="Z152" s="20"/>
      <c r="AA152" s="42"/>
      <c r="AB152" s="42"/>
      <c r="AC152" s="42"/>
      <c r="AD152" s="42"/>
      <c r="AE152" s="42"/>
      <c r="AF152" s="42"/>
      <c r="AG152" s="42"/>
      <c r="AH152" s="42"/>
    </row>
    <row r="153" spans="15:35" ht="14.25" hidden="1" outlineLevel="1" x14ac:dyDescent="0.25">
      <c r="O153" s="17"/>
      <c r="P153" s="17"/>
      <c r="Q153" s="21" t="s">
        <v>55</v>
      </c>
      <c r="R153" s="21"/>
      <c r="S153" s="74"/>
      <c r="T153" s="74"/>
      <c r="U153" s="37">
        <f>'M1 Härtekammern'!T146</f>
        <v>208</v>
      </c>
      <c r="V153" s="21"/>
      <c r="W153" s="21"/>
      <c r="X153" s="74">
        <f>S153+T153</f>
        <v>0</v>
      </c>
      <c r="Y153" s="74">
        <f t="shared" ref="Y153" si="33">SUM(S153:U153)</f>
        <v>208</v>
      </c>
      <c r="Z153" s="21" t="s">
        <v>183</v>
      </c>
      <c r="AA153" s="42"/>
      <c r="AB153" s="42"/>
      <c r="AC153" s="42"/>
      <c r="AD153" s="42"/>
      <c r="AE153" s="42"/>
      <c r="AF153" s="42"/>
      <c r="AG153" s="42"/>
      <c r="AH153" s="42"/>
    </row>
    <row r="154" spans="15:35" hidden="1" outlineLevel="1" x14ac:dyDescent="0.2">
      <c r="O154" s="17"/>
      <c r="P154" s="17"/>
      <c r="Q154" s="17"/>
      <c r="R154" s="17"/>
      <c r="S154" s="20"/>
      <c r="T154" s="20"/>
      <c r="U154" s="20"/>
      <c r="V154" s="17"/>
      <c r="W154" s="17"/>
      <c r="X154" s="17"/>
      <c r="Y154" s="20"/>
      <c r="Z154" s="20"/>
      <c r="AA154" s="42"/>
      <c r="AB154" s="42"/>
      <c r="AC154" s="42"/>
      <c r="AD154" s="42"/>
      <c r="AE154" s="42"/>
      <c r="AF154" s="42"/>
      <c r="AG154" s="42"/>
      <c r="AH154" s="42"/>
    </row>
    <row r="155" spans="15:35" ht="14.25" hidden="1" outlineLevel="1" x14ac:dyDescent="0.25">
      <c r="O155" s="69"/>
      <c r="P155" s="69" t="s">
        <v>167</v>
      </c>
      <c r="Q155" s="70"/>
      <c r="R155" s="70"/>
      <c r="S155" s="71"/>
      <c r="T155" s="71"/>
      <c r="U155" s="71">
        <f>SUM(U156:U160)</f>
        <v>81.003999999999991</v>
      </c>
      <c r="V155" s="70"/>
      <c r="W155" s="70"/>
      <c r="X155" s="71">
        <f t="shared" ref="X155" si="34">S155+T155</f>
        <v>0</v>
      </c>
      <c r="Y155" s="71">
        <f t="shared" ref="Y155" si="35">SUM(S155:U155)</f>
        <v>81.003999999999991</v>
      </c>
      <c r="Z155" s="76" t="s">
        <v>183</v>
      </c>
      <c r="AA155" s="42"/>
      <c r="AB155" s="42"/>
      <c r="AC155" s="42"/>
      <c r="AD155" s="42"/>
      <c r="AE155" s="42"/>
      <c r="AF155" s="42"/>
      <c r="AG155" s="42"/>
      <c r="AH155" s="42"/>
    </row>
    <row r="156" spans="15:35" ht="15.75" hidden="1" outlineLevel="1" x14ac:dyDescent="0.3">
      <c r="O156" s="17"/>
      <c r="P156" s="17"/>
      <c r="Q156" s="17" t="s">
        <v>57</v>
      </c>
      <c r="R156" s="17"/>
      <c r="S156" s="37"/>
      <c r="T156" s="37"/>
      <c r="U156" s="37">
        <f>'M1 Härtekammern'!T149</f>
        <v>0</v>
      </c>
      <c r="V156" s="17"/>
      <c r="W156" s="17"/>
      <c r="X156" s="37">
        <f>S156+T156</f>
        <v>0</v>
      </c>
      <c r="Y156" s="37">
        <f>SUM(S156:U156)</f>
        <v>0</v>
      </c>
      <c r="Z156" s="17" t="s">
        <v>184</v>
      </c>
      <c r="AA156" s="42"/>
      <c r="AB156" s="42"/>
      <c r="AC156" s="42"/>
      <c r="AD156" s="42"/>
      <c r="AE156" s="42"/>
      <c r="AF156" s="42"/>
      <c r="AG156" s="42"/>
      <c r="AH156" s="42"/>
    </row>
    <row r="157" spans="15:35" ht="15.75" hidden="1" outlineLevel="1" x14ac:dyDescent="0.3">
      <c r="O157" s="17"/>
      <c r="P157" s="17"/>
      <c r="Q157" s="17" t="s">
        <v>58</v>
      </c>
      <c r="R157" s="17"/>
      <c r="S157" s="37"/>
      <c r="T157" s="37"/>
      <c r="U157" s="37">
        <f>'M1 Härtekammern'!T150</f>
        <v>8.6840000000000011</v>
      </c>
      <c r="V157" s="17"/>
      <c r="W157" s="17"/>
      <c r="X157" s="37">
        <f>S157+T157</f>
        <v>0</v>
      </c>
      <c r="Y157" s="37">
        <f>SUM(S157:U157)</f>
        <v>8.6840000000000011</v>
      </c>
      <c r="Z157" s="17" t="s">
        <v>184</v>
      </c>
      <c r="AA157" s="42"/>
      <c r="AB157" s="42"/>
      <c r="AC157" s="42"/>
      <c r="AD157" s="42"/>
      <c r="AE157" s="42"/>
      <c r="AF157" s="42"/>
      <c r="AG157" s="42"/>
      <c r="AH157" s="42"/>
    </row>
    <row r="158" spans="15:35" ht="15.75" hidden="1" outlineLevel="1" x14ac:dyDescent="0.3">
      <c r="O158" s="17"/>
      <c r="P158" s="17"/>
      <c r="Q158" s="17" t="s">
        <v>59</v>
      </c>
      <c r="R158" s="17"/>
      <c r="S158" s="37"/>
      <c r="T158" s="37"/>
      <c r="U158" s="37">
        <f>'M1 Härtekammern'!T151</f>
        <v>72.319999999999993</v>
      </c>
      <c r="V158" s="17"/>
      <c r="W158" s="17"/>
      <c r="X158" s="37">
        <f>S158+T158</f>
        <v>0</v>
      </c>
      <c r="Y158" s="37">
        <f>SUM(S158:U158)</f>
        <v>72.319999999999993</v>
      </c>
      <c r="Z158" s="17" t="s">
        <v>184</v>
      </c>
      <c r="AA158" s="42"/>
      <c r="AB158" s="42"/>
      <c r="AC158" s="42"/>
      <c r="AD158" s="42"/>
      <c r="AE158" s="42"/>
      <c r="AF158" s="42"/>
      <c r="AG158" s="42"/>
      <c r="AH158" s="42"/>
    </row>
    <row r="159" spans="15:35" ht="15.75" hidden="1" outlineLevel="1" x14ac:dyDescent="0.3">
      <c r="O159" s="17"/>
      <c r="P159" s="17"/>
      <c r="Q159" s="17" t="str">
        <f>'M1 Härtekammern'!P152</f>
        <v>Weiterer Zusatzstoff 1</v>
      </c>
      <c r="R159" s="17"/>
      <c r="S159" s="37"/>
      <c r="T159" s="37"/>
      <c r="U159" s="37">
        <f>'M1 Härtekammern'!T152</f>
        <v>0</v>
      </c>
      <c r="V159" s="17"/>
      <c r="W159" s="17"/>
      <c r="X159" s="37">
        <f t="shared" ref="X159:X160" si="36">S159+T159</f>
        <v>0</v>
      </c>
      <c r="Y159" s="37">
        <f t="shared" ref="Y159:Y160" si="37">SUM(S159:U159)</f>
        <v>0</v>
      </c>
      <c r="Z159" s="17" t="s">
        <v>184</v>
      </c>
      <c r="AA159" s="42"/>
      <c r="AB159" s="42"/>
      <c r="AC159" s="42"/>
      <c r="AD159" s="42"/>
      <c r="AE159" s="42"/>
      <c r="AF159" s="42"/>
      <c r="AG159" s="42"/>
      <c r="AH159" s="42"/>
    </row>
    <row r="160" spans="15:35" ht="15.75" hidden="1" outlineLevel="1" x14ac:dyDescent="0.3">
      <c r="O160" s="17"/>
      <c r="P160" s="17"/>
      <c r="Q160" s="17" t="str">
        <f>'M1 Härtekammern'!P153</f>
        <v>Weiterer Zusatzstoff 2</v>
      </c>
      <c r="R160" s="17"/>
      <c r="S160" s="37"/>
      <c r="T160" s="37"/>
      <c r="U160" s="37">
        <f>'M1 Härtekammern'!T153</f>
        <v>0</v>
      </c>
      <c r="V160" s="17"/>
      <c r="W160" s="17"/>
      <c r="X160" s="37">
        <f t="shared" si="36"/>
        <v>0</v>
      </c>
      <c r="Y160" s="37">
        <f t="shared" si="37"/>
        <v>0</v>
      </c>
      <c r="Z160" s="17" t="s">
        <v>184</v>
      </c>
      <c r="AA160" s="42"/>
      <c r="AB160" s="42"/>
      <c r="AC160" s="42"/>
      <c r="AD160" s="42"/>
      <c r="AE160" s="42"/>
      <c r="AF160" s="42"/>
      <c r="AG160" s="42"/>
      <c r="AH160" s="42"/>
    </row>
    <row r="161" spans="15:42" hidden="1" outlineLevel="1" x14ac:dyDescent="0.2">
      <c r="O161" s="17"/>
      <c r="P161" s="17"/>
      <c r="Q161" s="17"/>
      <c r="R161" s="17"/>
      <c r="S161" s="20"/>
      <c r="T161" s="20"/>
      <c r="U161" s="20"/>
      <c r="V161" s="17"/>
      <c r="W161" s="17"/>
      <c r="X161" s="17"/>
      <c r="Y161" s="20"/>
      <c r="Z161" s="20"/>
      <c r="AA161" s="42"/>
      <c r="AB161" s="42"/>
      <c r="AC161" s="42"/>
      <c r="AD161" s="42"/>
      <c r="AE161" s="42"/>
      <c r="AF161" s="42"/>
      <c r="AG161" s="42"/>
      <c r="AH161" s="42"/>
    </row>
    <row r="162" spans="15:42" ht="14.25" hidden="1" outlineLevel="1" x14ac:dyDescent="0.25">
      <c r="O162" s="69"/>
      <c r="P162" s="69" t="s">
        <v>49</v>
      </c>
      <c r="Q162" s="70"/>
      <c r="R162" s="70"/>
      <c r="S162" s="71"/>
      <c r="T162" s="71"/>
      <c r="U162" s="71">
        <f>SUM(U163:U166)</f>
        <v>148.44746134951595</v>
      </c>
      <c r="V162" s="70"/>
      <c r="W162" s="70"/>
      <c r="X162" s="71">
        <f t="shared" ref="X162:X166" si="38">S162+T162</f>
        <v>0</v>
      </c>
      <c r="Y162" s="71">
        <f t="shared" ref="Y162" si="39">SUM(S162:U162)</f>
        <v>148.44746134951595</v>
      </c>
      <c r="Z162" s="76" t="s">
        <v>183</v>
      </c>
      <c r="AA162" s="42"/>
      <c r="AB162" s="42"/>
      <c r="AC162" s="42"/>
      <c r="AD162" s="42"/>
      <c r="AE162" s="42"/>
      <c r="AF162" s="42"/>
      <c r="AG162" s="42"/>
      <c r="AH162" s="42"/>
    </row>
    <row r="163" spans="15:42" ht="15.75" hidden="1" outlineLevel="1" x14ac:dyDescent="0.3">
      <c r="O163" s="17"/>
      <c r="P163" s="17"/>
      <c r="Q163" s="17" t="s">
        <v>50</v>
      </c>
      <c r="R163" s="17"/>
      <c r="S163" s="37"/>
      <c r="T163" s="37"/>
      <c r="U163" s="37">
        <f>'M1 Härtekammern'!T156</f>
        <v>47.997919375812742</v>
      </c>
      <c r="V163" s="17"/>
      <c r="W163" s="17"/>
      <c r="X163" s="37">
        <f t="shared" si="38"/>
        <v>0</v>
      </c>
      <c r="Y163" s="37">
        <f t="shared" ref="Y163:Y166" si="40">SUM(S163:U163)</f>
        <v>47.997919375812742</v>
      </c>
      <c r="Z163" s="17" t="s">
        <v>184</v>
      </c>
      <c r="AA163" s="42"/>
      <c r="AB163" s="42"/>
      <c r="AC163" s="42"/>
      <c r="AD163" s="42"/>
      <c r="AE163" s="42"/>
      <c r="AF163" s="42"/>
      <c r="AG163" s="42"/>
      <c r="AH163" s="42"/>
    </row>
    <row r="164" spans="15:42" ht="15.75" hidden="1" outlineLevel="1" x14ac:dyDescent="0.3">
      <c r="O164" s="17"/>
      <c r="P164" s="17"/>
      <c r="Q164" s="17" t="s">
        <v>52</v>
      </c>
      <c r="R164" s="17"/>
      <c r="S164" s="37"/>
      <c r="T164" s="37"/>
      <c r="U164" s="37">
        <f>'M1 Härtekammern'!T157</f>
        <v>5.7797543707556596</v>
      </c>
      <c r="V164" s="17"/>
      <c r="W164" s="17"/>
      <c r="X164" s="37">
        <f t="shared" si="38"/>
        <v>0</v>
      </c>
      <c r="Y164" s="37">
        <f t="shared" si="40"/>
        <v>5.7797543707556596</v>
      </c>
      <c r="Z164" s="17" t="s">
        <v>184</v>
      </c>
      <c r="AA164" s="42"/>
      <c r="AB164" s="42"/>
      <c r="AC164" s="42"/>
      <c r="AD164" s="42"/>
      <c r="AE164" s="42"/>
      <c r="AF164" s="42"/>
      <c r="AG164" s="42"/>
      <c r="AH164" s="42"/>
    </row>
    <row r="165" spans="15:42" ht="15.75" hidden="1" outlineLevel="1" x14ac:dyDescent="0.3">
      <c r="O165" s="17"/>
      <c r="P165" s="17"/>
      <c r="Q165" s="17" t="s">
        <v>53</v>
      </c>
      <c r="R165" s="17"/>
      <c r="S165" s="37"/>
      <c r="T165" s="37"/>
      <c r="U165" s="37">
        <f>'M1 Härtekammern'!T158</f>
        <v>1.4217598612917211E-2</v>
      </c>
      <c r="V165" s="17"/>
      <c r="W165" s="17"/>
      <c r="X165" s="37">
        <f t="shared" si="38"/>
        <v>0</v>
      </c>
      <c r="Y165" s="37">
        <f t="shared" si="40"/>
        <v>1.4217598612917211E-2</v>
      </c>
      <c r="Z165" s="17" t="s">
        <v>184</v>
      </c>
      <c r="AA165" s="42"/>
      <c r="AB165" s="42"/>
      <c r="AC165" s="42"/>
      <c r="AD165" s="42"/>
      <c r="AE165" s="42"/>
      <c r="AF165" s="42"/>
      <c r="AG165" s="42"/>
      <c r="AH165" s="42"/>
    </row>
    <row r="166" spans="15:42" ht="15.75" hidden="1" outlineLevel="1" x14ac:dyDescent="0.3">
      <c r="O166" s="17"/>
      <c r="P166" s="17"/>
      <c r="Q166" s="17" t="s">
        <v>54</v>
      </c>
      <c r="R166" s="17"/>
      <c r="S166" s="37"/>
      <c r="T166" s="37"/>
      <c r="U166" s="37">
        <f>'M1 Härtekammern'!T159</f>
        <v>94.655570004334635</v>
      </c>
      <c r="V166" s="17"/>
      <c r="W166" s="17"/>
      <c r="X166" s="37">
        <f t="shared" si="38"/>
        <v>0</v>
      </c>
      <c r="Y166" s="37">
        <f t="shared" si="40"/>
        <v>94.655570004334635</v>
      </c>
      <c r="Z166" s="17" t="s">
        <v>184</v>
      </c>
      <c r="AA166" s="42"/>
      <c r="AB166" s="42"/>
      <c r="AC166" s="42"/>
      <c r="AD166" s="42"/>
      <c r="AE166" s="42"/>
      <c r="AF166" s="42"/>
      <c r="AG166" s="42"/>
      <c r="AH166" s="42"/>
    </row>
    <row r="167" spans="15:42" hidden="1" outlineLevel="1" x14ac:dyDescent="0.2">
      <c r="O167" s="17"/>
      <c r="P167" s="17"/>
      <c r="Q167" s="17"/>
      <c r="R167" s="17"/>
      <c r="S167" s="20"/>
      <c r="T167" s="20"/>
      <c r="U167" s="20"/>
      <c r="V167" s="17"/>
      <c r="W167" s="17"/>
      <c r="X167" s="20"/>
      <c r="Y167" s="20"/>
      <c r="Z167" s="17"/>
      <c r="AA167" s="42"/>
      <c r="AB167" s="42"/>
      <c r="AC167" s="42"/>
      <c r="AD167" s="42"/>
      <c r="AE167" s="42"/>
      <c r="AF167" s="42"/>
      <c r="AG167" s="42"/>
      <c r="AH167" s="42"/>
    </row>
    <row r="168" spans="15:42" ht="14.25" hidden="1" outlineLevel="1" x14ac:dyDescent="0.25">
      <c r="O168" s="17"/>
      <c r="P168" s="17"/>
      <c r="Q168" s="21" t="s">
        <v>99</v>
      </c>
      <c r="R168" s="21"/>
      <c r="S168" s="74"/>
      <c r="T168" s="74"/>
      <c r="U168" s="37">
        <f>'M1 Härtekammern'!T161</f>
        <v>0</v>
      </c>
      <c r="V168" s="21"/>
      <c r="W168" s="21"/>
      <c r="X168" s="74">
        <f>S168+T168</f>
        <v>0</v>
      </c>
      <c r="Y168" s="74">
        <f>SUM(S168:U168)</f>
        <v>0</v>
      </c>
      <c r="Z168" s="21" t="s">
        <v>183</v>
      </c>
      <c r="AA168" s="42"/>
      <c r="AB168" s="42"/>
      <c r="AC168" s="42"/>
      <c r="AD168" s="42"/>
      <c r="AE168" s="42"/>
      <c r="AF168" s="42"/>
      <c r="AG168" s="42"/>
      <c r="AH168" s="42"/>
    </row>
    <row r="169" spans="15:42" ht="14.25" hidden="1" outlineLevel="1" x14ac:dyDescent="0.25">
      <c r="O169" s="17"/>
      <c r="P169" s="17"/>
      <c r="Q169" s="21" t="s">
        <v>62</v>
      </c>
      <c r="R169" s="21"/>
      <c r="S169" s="74"/>
      <c r="T169" s="74"/>
      <c r="U169" s="37">
        <f>'M1 Härtekammern'!T162</f>
        <v>0.54400000000000004</v>
      </c>
      <c r="V169" s="21"/>
      <c r="W169" s="21"/>
      <c r="X169" s="74">
        <f>S169+T169</f>
        <v>0</v>
      </c>
      <c r="Y169" s="74">
        <f>SUM(S169:U169)</f>
        <v>0.54400000000000004</v>
      </c>
      <c r="Z169" s="21" t="s">
        <v>183</v>
      </c>
      <c r="AA169" s="42"/>
      <c r="AB169" s="42"/>
      <c r="AC169" s="42"/>
      <c r="AD169" s="42"/>
      <c r="AE169" s="42"/>
      <c r="AF169" s="42"/>
      <c r="AG169" s="42"/>
      <c r="AH169" s="42"/>
    </row>
    <row r="170" spans="15:42" hidden="1" outlineLevel="1" x14ac:dyDescent="0.2">
      <c r="O170" s="17"/>
      <c r="P170" s="17"/>
      <c r="Q170" s="17"/>
      <c r="R170" s="17"/>
      <c r="S170" s="20"/>
      <c r="T170" s="20"/>
      <c r="U170" s="20"/>
      <c r="V170" s="17"/>
      <c r="W170" s="17"/>
      <c r="X170" s="20"/>
      <c r="Y170" s="20"/>
      <c r="Z170" s="17"/>
      <c r="AA170" s="42"/>
      <c r="AB170" s="42"/>
      <c r="AC170" s="42"/>
      <c r="AD170" s="42"/>
      <c r="AE170" s="42"/>
      <c r="AF170" s="42"/>
      <c r="AG170" s="42"/>
      <c r="AH170" s="42"/>
    </row>
    <row r="171" spans="15:42" s="72" customFormat="1" ht="14.25" hidden="1" outlineLevel="1" x14ac:dyDescent="0.25">
      <c r="O171" s="69"/>
      <c r="P171" s="69" t="s">
        <v>168</v>
      </c>
      <c r="Q171" s="70"/>
      <c r="R171" s="70"/>
      <c r="S171" s="71"/>
      <c r="T171" s="71"/>
      <c r="U171" s="71">
        <f>SUM(U172:U174)</f>
        <v>0.16095999999999999</v>
      </c>
      <c r="V171" s="70"/>
      <c r="W171" s="70"/>
      <c r="X171" s="71">
        <f t="shared" ref="X171:X174" si="41">S171+T171</f>
        <v>0</v>
      </c>
      <c r="Y171" s="71">
        <f t="shared" ref="Y171" si="42">SUM(S171:U171)</f>
        <v>0.16095999999999999</v>
      </c>
      <c r="Z171" s="76" t="s">
        <v>183</v>
      </c>
      <c r="AA171" s="42"/>
      <c r="AB171" s="42"/>
      <c r="AC171" s="42"/>
      <c r="AD171" s="42"/>
      <c r="AE171" s="42"/>
      <c r="AF171" s="42"/>
      <c r="AG171" s="42"/>
      <c r="AH171" s="42"/>
      <c r="AI171" s="6"/>
      <c r="AJ171" s="6"/>
      <c r="AK171" s="6"/>
      <c r="AL171" s="6"/>
      <c r="AM171" s="6"/>
      <c r="AN171" s="6"/>
      <c r="AO171" s="6"/>
      <c r="AP171" s="6"/>
    </row>
    <row r="172" spans="15:42" ht="15.75" hidden="1" outlineLevel="1" x14ac:dyDescent="0.3">
      <c r="O172" s="17"/>
      <c r="P172" s="17"/>
      <c r="Q172" s="17" t="s">
        <v>169</v>
      </c>
      <c r="R172" s="17"/>
      <c r="S172" s="37"/>
      <c r="T172" s="37"/>
      <c r="U172" s="37">
        <f>'M1 Härtekammern'!T165</f>
        <v>0</v>
      </c>
      <c r="V172" s="17"/>
      <c r="W172" s="17"/>
      <c r="X172" s="37">
        <f t="shared" si="41"/>
        <v>0</v>
      </c>
      <c r="Y172" s="37">
        <f t="shared" ref="Y172:Y174" si="43">SUM(S172:U172)</f>
        <v>0</v>
      </c>
      <c r="Z172" s="17" t="s">
        <v>184</v>
      </c>
      <c r="AA172" s="42"/>
      <c r="AB172" s="42"/>
      <c r="AC172" s="42"/>
      <c r="AD172" s="42"/>
      <c r="AE172" s="42"/>
      <c r="AF172" s="42"/>
      <c r="AG172" s="42"/>
      <c r="AH172" s="42"/>
    </row>
    <row r="173" spans="15:42" ht="15.75" hidden="1" outlineLevel="1" x14ac:dyDescent="0.3">
      <c r="O173" s="17"/>
      <c r="P173" s="17"/>
      <c r="Q173" s="17" t="s">
        <v>60</v>
      </c>
      <c r="R173" s="17"/>
      <c r="S173" s="37"/>
      <c r="T173" s="37"/>
      <c r="U173" s="37">
        <f>'M1 Härtekammern'!T166</f>
        <v>0.16095999999999999</v>
      </c>
      <c r="V173" s="17"/>
      <c r="W173" s="17"/>
      <c r="X173" s="37">
        <f t="shared" si="41"/>
        <v>0</v>
      </c>
      <c r="Y173" s="37">
        <f t="shared" si="43"/>
        <v>0.16095999999999999</v>
      </c>
      <c r="Z173" s="17" t="s">
        <v>184</v>
      </c>
      <c r="AA173" s="42"/>
      <c r="AB173" s="42"/>
      <c r="AC173" s="42"/>
      <c r="AD173" s="42"/>
      <c r="AE173" s="42"/>
      <c r="AF173" s="42"/>
      <c r="AG173" s="42"/>
      <c r="AH173" s="42"/>
    </row>
    <row r="174" spans="15:42" ht="15.75" hidden="1" outlineLevel="1" x14ac:dyDescent="0.3">
      <c r="O174" s="17"/>
      <c r="P174" s="17"/>
      <c r="Q174" s="17" t="s">
        <v>170</v>
      </c>
      <c r="R174" s="17"/>
      <c r="S174" s="37"/>
      <c r="T174" s="37"/>
      <c r="U174" s="37">
        <f>'M1 Härtekammern'!T167</f>
        <v>0</v>
      </c>
      <c r="V174" s="17"/>
      <c r="W174" s="17"/>
      <c r="X174" s="37">
        <f t="shared" si="41"/>
        <v>0</v>
      </c>
      <c r="Y174" s="37">
        <f t="shared" si="43"/>
        <v>0</v>
      </c>
      <c r="Z174" s="17" t="s">
        <v>184</v>
      </c>
      <c r="AA174" s="42"/>
      <c r="AB174" s="42"/>
      <c r="AC174" s="42"/>
      <c r="AD174" s="42"/>
      <c r="AE174" s="42"/>
      <c r="AF174" s="42"/>
      <c r="AG174" s="42"/>
      <c r="AH174" s="42"/>
    </row>
    <row r="175" spans="15:42" hidden="1" outlineLevel="1" x14ac:dyDescent="0.2">
      <c r="O175" s="17"/>
      <c r="P175" s="17"/>
      <c r="Q175" s="17"/>
      <c r="R175" s="17"/>
      <c r="S175" s="20"/>
      <c r="T175" s="20"/>
      <c r="U175" s="20"/>
      <c r="V175" s="17"/>
      <c r="W175" s="17"/>
      <c r="X175" s="17"/>
      <c r="Y175" s="17"/>
      <c r="Z175" s="20"/>
      <c r="AA175" s="42"/>
      <c r="AB175" s="42"/>
      <c r="AC175" s="42"/>
      <c r="AD175" s="42"/>
      <c r="AE175" s="42"/>
      <c r="AF175" s="42"/>
      <c r="AG175" s="42"/>
      <c r="AH175" s="42"/>
    </row>
    <row r="176" spans="15:42" ht="14.25" hidden="1" outlineLevel="1" x14ac:dyDescent="0.25">
      <c r="O176" s="69"/>
      <c r="P176" s="69" t="s">
        <v>171</v>
      </c>
      <c r="Q176" s="70"/>
      <c r="R176" s="70"/>
      <c r="S176" s="71"/>
      <c r="T176" s="71"/>
      <c r="U176" s="71">
        <f>SUM(U177:U179)</f>
        <v>60</v>
      </c>
      <c r="V176" s="70"/>
      <c r="W176" s="70"/>
      <c r="X176" s="71">
        <f>S176+T176</f>
        <v>0</v>
      </c>
      <c r="Y176" s="71">
        <f t="shared" ref="Y176" si="44">SUM(S176:U176)</f>
        <v>60</v>
      </c>
      <c r="Z176" s="76" t="s">
        <v>183</v>
      </c>
      <c r="AA176" s="42"/>
      <c r="AB176" s="42"/>
      <c r="AC176" s="42"/>
      <c r="AD176" s="42"/>
      <c r="AE176" s="42"/>
      <c r="AF176" s="42"/>
      <c r="AG176" s="42"/>
      <c r="AH176" s="42"/>
    </row>
    <row r="177" spans="15:35" ht="15.75" hidden="1" outlineLevel="1" x14ac:dyDescent="0.3">
      <c r="O177" s="17"/>
      <c r="P177" s="17"/>
      <c r="Q177" s="17" t="s">
        <v>64</v>
      </c>
      <c r="R177" s="17"/>
      <c r="S177" s="37"/>
      <c r="T177" s="37"/>
      <c r="U177" s="37">
        <f>'M1 Härtekammern'!T170</f>
        <v>60</v>
      </c>
      <c r="V177" s="17"/>
      <c r="W177" s="17"/>
      <c r="X177" s="37">
        <f>S177+T177</f>
        <v>0</v>
      </c>
      <c r="Y177" s="37">
        <f>SUM(S177:U177)</f>
        <v>60</v>
      </c>
      <c r="Z177" s="17" t="s">
        <v>184</v>
      </c>
      <c r="AA177" s="42"/>
      <c r="AB177" s="42"/>
      <c r="AC177" s="42"/>
      <c r="AD177" s="42"/>
      <c r="AE177" s="42"/>
      <c r="AF177" s="42"/>
      <c r="AG177" s="42"/>
      <c r="AH177" s="42"/>
    </row>
    <row r="178" spans="15:35" ht="15.75" hidden="1" outlineLevel="1" x14ac:dyDescent="0.3">
      <c r="O178" s="17"/>
      <c r="P178" s="17"/>
      <c r="Q178" s="17" t="s">
        <v>173</v>
      </c>
      <c r="R178" s="17"/>
      <c r="S178" s="37"/>
      <c r="T178" s="37"/>
      <c r="U178" s="37">
        <f>'M1 Härtekammern'!T171</f>
        <v>0</v>
      </c>
      <c r="V178" s="17"/>
      <c r="W178" s="17"/>
      <c r="X178" s="37">
        <f t="shared" ref="X178:X179" si="45">S178+T178</f>
        <v>0</v>
      </c>
      <c r="Y178" s="37">
        <f t="shared" ref="Y178:Y179" si="46">SUM(S178:U178)</f>
        <v>0</v>
      </c>
      <c r="Z178" s="17" t="s">
        <v>184</v>
      </c>
      <c r="AA178" s="42"/>
      <c r="AB178" s="42"/>
      <c r="AC178" s="42"/>
      <c r="AD178" s="42"/>
      <c r="AE178" s="42"/>
      <c r="AF178" s="42"/>
      <c r="AG178" s="42"/>
      <c r="AH178" s="42"/>
    </row>
    <row r="179" spans="15:35" ht="15.75" hidden="1" outlineLevel="1" x14ac:dyDescent="0.3">
      <c r="O179" s="17"/>
      <c r="P179" s="17"/>
      <c r="Q179" s="17" t="s">
        <v>172</v>
      </c>
      <c r="R179" s="17"/>
      <c r="S179" s="37"/>
      <c r="T179" s="37"/>
      <c r="U179" s="37">
        <f>'M1 Härtekammern'!T172</f>
        <v>0</v>
      </c>
      <c r="V179" s="17"/>
      <c r="W179" s="17"/>
      <c r="X179" s="37">
        <f t="shared" si="45"/>
        <v>0</v>
      </c>
      <c r="Y179" s="37">
        <f t="shared" si="46"/>
        <v>0</v>
      </c>
      <c r="Z179" s="17" t="s">
        <v>184</v>
      </c>
      <c r="AA179" s="42"/>
      <c r="AB179" s="42"/>
      <c r="AC179" s="42"/>
      <c r="AD179" s="42"/>
      <c r="AE179" s="42"/>
      <c r="AF179" s="42"/>
      <c r="AG179" s="42"/>
      <c r="AH179" s="42"/>
    </row>
    <row r="180" spans="15:35" hidden="1" outlineLevel="1" x14ac:dyDescent="0.2">
      <c r="O180" s="17"/>
      <c r="P180" s="17"/>
      <c r="Q180" s="17"/>
      <c r="R180" s="17"/>
      <c r="S180" s="20"/>
      <c r="T180" s="20"/>
      <c r="U180" s="20"/>
      <c r="V180" s="17"/>
      <c r="W180" s="17"/>
      <c r="X180" s="17"/>
      <c r="Y180" s="17"/>
      <c r="Z180" s="20"/>
      <c r="AA180" s="42"/>
      <c r="AB180" s="42"/>
      <c r="AC180" s="42"/>
      <c r="AD180" s="42"/>
      <c r="AE180" s="42"/>
      <c r="AF180" s="42"/>
      <c r="AG180" s="42"/>
      <c r="AH180" s="42"/>
    </row>
    <row r="181" spans="15:35" ht="14.25" hidden="1" outlineLevel="1" x14ac:dyDescent="0.25">
      <c r="O181" s="17"/>
      <c r="P181" s="17"/>
      <c r="Q181" s="21" t="s">
        <v>61</v>
      </c>
      <c r="R181" s="21"/>
      <c r="S181" s="74"/>
      <c r="T181" s="74"/>
      <c r="U181" s="37">
        <f>'M1 Härtekammern'!T174</f>
        <v>64.48</v>
      </c>
      <c r="V181" s="21"/>
      <c r="W181" s="21"/>
      <c r="X181" s="74">
        <f t="shared" ref="X181" si="47">S181+T181</f>
        <v>0</v>
      </c>
      <c r="Y181" s="74">
        <f t="shared" ref="Y181" si="48">SUM(S181:U181)</f>
        <v>64.48</v>
      </c>
      <c r="Z181" s="21" t="s">
        <v>183</v>
      </c>
    </row>
    <row r="182" spans="15:35" hidden="1" outlineLevel="1" x14ac:dyDescent="0.2">
      <c r="O182" s="17"/>
      <c r="P182" s="17"/>
      <c r="Q182" s="17"/>
      <c r="R182" s="17"/>
      <c r="S182" s="20"/>
      <c r="T182" s="20"/>
      <c r="U182" s="20"/>
      <c r="V182" s="17"/>
      <c r="W182" s="17"/>
      <c r="X182" s="17"/>
      <c r="Y182" s="17"/>
      <c r="Z182" s="20"/>
    </row>
    <row r="183" spans="15:35" ht="16.5" hidden="1" outlineLevel="1" thickBot="1" x14ac:dyDescent="0.3">
      <c r="O183" s="17"/>
      <c r="P183" s="17"/>
      <c r="Q183" s="67" t="s">
        <v>67</v>
      </c>
      <c r="R183" s="67"/>
      <c r="S183" s="68">
        <f>SUM(S122:S181)-S136-S140-S146-S155-S162-S171-S176</f>
        <v>94.932355060000006</v>
      </c>
      <c r="T183" s="68">
        <f>SUM(T122:T181)-T136-T140-T146-T155-T162-T171-T176</f>
        <v>119.27228696972129</v>
      </c>
      <c r="U183" s="68">
        <f>SUM(U122:U181)-U136-U140-U146-U155-U162-U171-U176</f>
        <v>5743.4955254019387</v>
      </c>
      <c r="V183" s="21"/>
      <c r="W183" s="21"/>
      <c r="X183" s="68">
        <f>SUM(X122:X181)-X136-X140-X146-X155-X162-X171-X176</f>
        <v>214.20464202972127</v>
      </c>
      <c r="Y183" s="68">
        <f>SUM(Y122:Y181)-Y136-Y140-Y146-Y155-Y162-Y171-Y176</f>
        <v>5957.7001674316598</v>
      </c>
      <c r="Z183" s="68" t="s">
        <v>183</v>
      </c>
      <c r="AB183" s="22" t="s">
        <v>106</v>
      </c>
      <c r="AC183" s="17"/>
      <c r="AD183" s="17"/>
      <c r="AE183" s="17"/>
      <c r="AF183" s="17"/>
      <c r="AG183" s="17"/>
      <c r="AH183" s="17"/>
      <c r="AI183" s="17"/>
    </row>
    <row r="184" spans="15:35" ht="15.75" hidden="1" outlineLevel="1" thickTop="1" x14ac:dyDescent="0.25">
      <c r="O184" s="17"/>
      <c r="P184" s="17"/>
      <c r="Q184" s="17"/>
      <c r="R184" s="17"/>
      <c r="S184" s="20"/>
      <c r="T184" s="20"/>
      <c r="U184" s="20"/>
      <c r="V184" s="17"/>
      <c r="W184" s="17"/>
      <c r="X184" s="17"/>
      <c r="Y184" s="17"/>
      <c r="Z184" s="20"/>
      <c r="AB184" s="64">
        <f>P188</f>
        <v>10</v>
      </c>
      <c r="AC184" s="17"/>
      <c r="AD184" s="17"/>
      <c r="AE184" s="17"/>
      <c r="AF184" s="17"/>
      <c r="AG184" s="17"/>
      <c r="AH184" s="17"/>
      <c r="AI184" s="17"/>
    </row>
    <row r="185" spans="15:35" hidden="1" outlineLevel="1" x14ac:dyDescent="0.2">
      <c r="AB185" s="17"/>
      <c r="AC185" s="17"/>
      <c r="AD185" s="17"/>
      <c r="AE185" s="17"/>
      <c r="AF185" s="17"/>
      <c r="AG185" s="17"/>
      <c r="AH185" s="17"/>
      <c r="AI185" s="17"/>
    </row>
    <row r="186" spans="15:35" hidden="1" outlineLevel="1" x14ac:dyDescent="0.2">
      <c r="AB186" s="17"/>
      <c r="AC186" s="17"/>
      <c r="AD186" s="17"/>
      <c r="AE186" s="17"/>
      <c r="AF186" s="17"/>
      <c r="AG186" s="17"/>
      <c r="AH186" s="17"/>
      <c r="AI186" s="17"/>
    </row>
    <row r="187" spans="15:35" ht="15.75" hidden="1" outlineLevel="1" x14ac:dyDescent="0.25">
      <c r="O187" s="22"/>
      <c r="P187" s="22" t="s">
        <v>103</v>
      </c>
      <c r="Q187" s="17"/>
      <c r="R187" s="17"/>
      <c r="S187" s="17"/>
      <c r="T187" s="17"/>
      <c r="U187" s="17"/>
      <c r="V187" s="17"/>
      <c r="W187" s="17"/>
      <c r="X187" s="17"/>
      <c r="Y187" s="17"/>
      <c r="Z187" s="17"/>
      <c r="AB187" s="17"/>
      <c r="AC187" s="17"/>
      <c r="AD187" s="17"/>
      <c r="AE187" s="17"/>
      <c r="AF187" s="17"/>
      <c r="AG187" s="17"/>
      <c r="AH187" s="17"/>
      <c r="AI187" s="17"/>
    </row>
    <row r="188" spans="15:35" ht="15" hidden="1" outlineLevel="1" x14ac:dyDescent="0.25">
      <c r="O188" s="64"/>
      <c r="P188" s="64">
        <f>T80</f>
        <v>10</v>
      </c>
      <c r="Q188" s="25"/>
      <c r="R188" s="25"/>
      <c r="S188" s="25"/>
      <c r="T188" s="25"/>
      <c r="U188" s="25"/>
      <c r="V188" s="25"/>
      <c r="W188" s="25"/>
      <c r="X188" s="25"/>
      <c r="Y188" s="25"/>
      <c r="Z188" s="25"/>
      <c r="AB188" s="17"/>
      <c r="AC188" s="17"/>
      <c r="AD188" s="17"/>
      <c r="AE188" s="17"/>
      <c r="AF188" s="17"/>
      <c r="AG188" s="17"/>
      <c r="AH188" s="17"/>
      <c r="AI188" s="17"/>
    </row>
    <row r="189" spans="15:35" hidden="1" outlineLevel="1" x14ac:dyDescent="0.2">
      <c r="O189" s="17"/>
      <c r="P189" s="17"/>
      <c r="Q189" s="17" t="s">
        <v>192</v>
      </c>
      <c r="R189" s="287">
        <f>(1-(IF(NOT(ISBLANK($K21)),$K21/100,$I21/100)))</f>
        <v>0.95</v>
      </c>
      <c r="S189" s="17"/>
      <c r="T189" s="17"/>
      <c r="U189" s="17"/>
      <c r="V189" s="17"/>
      <c r="W189" s="17"/>
      <c r="X189" s="17"/>
      <c r="Y189" s="17"/>
      <c r="Z189" s="17"/>
      <c r="AB189" s="17"/>
      <c r="AC189" s="17"/>
      <c r="AD189" s="17"/>
      <c r="AE189" s="17"/>
      <c r="AF189" s="17"/>
      <c r="AG189" s="17"/>
      <c r="AH189" s="17"/>
      <c r="AI189" s="17"/>
    </row>
    <row r="190" spans="15:35" hidden="1" outlineLevel="1" x14ac:dyDescent="0.2">
      <c r="O190" s="17"/>
      <c r="P190" s="17"/>
      <c r="Q190" s="17" t="s">
        <v>69</v>
      </c>
      <c r="R190" s="287" t="str">
        <f>IF(NOT(ISBLANK($G$16)),$G$16,$E$16)</f>
        <v>Strom</v>
      </c>
      <c r="S190" s="17"/>
      <c r="T190" s="17"/>
      <c r="U190" s="17"/>
      <c r="V190" s="17"/>
      <c r="W190" s="17"/>
      <c r="X190" s="17"/>
      <c r="Y190" s="17"/>
      <c r="Z190" s="17"/>
      <c r="AB190" s="17"/>
      <c r="AC190" s="17"/>
      <c r="AD190" s="17"/>
      <c r="AE190" s="17"/>
      <c r="AF190" s="17"/>
      <c r="AG190" s="17"/>
      <c r="AH190" s="17"/>
      <c r="AI190" s="17"/>
    </row>
    <row r="191" spans="15:35" hidden="1" outlineLevel="1" x14ac:dyDescent="0.2">
      <c r="O191" s="17"/>
      <c r="P191" s="17"/>
      <c r="Q191" s="17"/>
      <c r="R191" s="288" t="s">
        <v>81</v>
      </c>
      <c r="S191" s="17" t="s">
        <v>231</v>
      </c>
      <c r="T191" s="17"/>
      <c r="U191" s="17"/>
      <c r="V191" s="17"/>
      <c r="W191" s="17"/>
      <c r="X191" s="17"/>
      <c r="Y191" s="17"/>
      <c r="Z191" s="17"/>
      <c r="AB191" s="17"/>
      <c r="AC191" s="17"/>
      <c r="AD191" s="17"/>
      <c r="AE191" s="17"/>
      <c r="AF191" s="17"/>
      <c r="AG191" s="17"/>
      <c r="AH191" s="17"/>
      <c r="AI191" s="17"/>
    </row>
    <row r="192" spans="15:35" hidden="1" outlineLevel="1" x14ac:dyDescent="0.2">
      <c r="O192" s="17"/>
      <c r="P192" s="17"/>
      <c r="Q192" s="17" t="s">
        <v>29</v>
      </c>
      <c r="R192" s="41">
        <f>IF(NOT(ISBLANK('Referenz Plattenfertiger'!$I$21)),'Referenz Plattenfertiger'!$I$21,'Referenz Plattenfertiger'!$F$21)</f>
        <v>47000</v>
      </c>
      <c r="S192" s="41">
        <f>IF($R$190=Q192,R192*$R$189,R192)</f>
        <v>47000</v>
      </c>
      <c r="T192" s="17" t="str">
        <f>'Referenz Plattenfertiger'!$G$21</f>
        <v>kWh Hs</v>
      </c>
      <c r="U192" s="17"/>
      <c r="V192" s="17"/>
      <c r="W192" s="17"/>
      <c r="X192" s="17"/>
      <c r="Y192" s="17"/>
      <c r="Z192" s="17"/>
      <c r="AB192" s="17"/>
      <c r="AC192" s="17"/>
      <c r="AD192" s="17"/>
      <c r="AE192" s="17"/>
      <c r="AF192" s="17"/>
      <c r="AG192" s="17"/>
      <c r="AH192" s="17"/>
      <c r="AI192" s="17"/>
    </row>
    <row r="193" spans="15:35" hidden="1" outlineLevel="1" x14ac:dyDescent="0.2">
      <c r="O193" s="17"/>
      <c r="P193" s="17"/>
      <c r="Q193" s="17" t="s">
        <v>30</v>
      </c>
      <c r="R193" s="41">
        <f>IF(NOT(ISBLANK('Referenz Plattenfertiger'!$I$22)),'Referenz Plattenfertiger'!$I$22,'Referenz Plattenfertiger'!$F$22)</f>
        <v>36000</v>
      </c>
      <c r="S193" s="41">
        <f>IF($R$190=Q193,R193*$R$189,R193)</f>
        <v>36000</v>
      </c>
      <c r="T193" s="17" t="str">
        <f>'Referenz Plattenfertiger'!$G$22</f>
        <v>kWh Hi</v>
      </c>
      <c r="U193" s="17"/>
      <c r="V193" s="17"/>
      <c r="W193" s="17"/>
      <c r="X193" s="17"/>
      <c r="Y193" s="17"/>
      <c r="Z193" s="17"/>
      <c r="AB193" s="17"/>
      <c r="AC193" s="17"/>
      <c r="AD193" s="17"/>
      <c r="AE193" s="17"/>
      <c r="AF193" s="17"/>
      <c r="AG193" s="17"/>
      <c r="AH193" s="17"/>
      <c r="AI193" s="17"/>
    </row>
    <row r="194" spans="15:35" hidden="1" outlineLevel="1" x14ac:dyDescent="0.2">
      <c r="O194" s="17"/>
      <c r="P194" s="17"/>
      <c r="Q194" s="17" t="s">
        <v>31</v>
      </c>
      <c r="R194" s="41">
        <f>IF(NOT(ISBLANK('Referenz Plattenfertiger'!$I$24)),'Referenz Plattenfertiger'!$I$24,'Referenz Plattenfertiger'!$F$24)</f>
        <v>405000</v>
      </c>
      <c r="S194" s="41">
        <f>IF($R$190=Q194,R194*$R$189,R194)</f>
        <v>384750</v>
      </c>
      <c r="T194" s="17" t="str">
        <f>'Referenz Plattenfertiger'!$J$24</f>
        <v>kWh</v>
      </c>
      <c r="U194" s="17"/>
      <c r="V194" s="17"/>
      <c r="W194" s="17"/>
      <c r="X194" s="17"/>
      <c r="Y194" s="17"/>
      <c r="Z194" s="17"/>
      <c r="AB194" s="17"/>
      <c r="AC194" s="17"/>
      <c r="AD194" s="17"/>
      <c r="AE194" s="17"/>
      <c r="AF194" s="17"/>
      <c r="AG194" s="17"/>
      <c r="AH194" s="17"/>
      <c r="AI194" s="17"/>
    </row>
    <row r="195" spans="15:35" hidden="1" outlineLevel="1" x14ac:dyDescent="0.2">
      <c r="O195" s="17"/>
      <c r="P195" s="17"/>
      <c r="Q195" s="17" t="s">
        <v>111</v>
      </c>
      <c r="R195" s="41">
        <f>IF(NOT(ISBLANK('Referenz Plattenfertiger'!$I$25)),'Referenz Plattenfertiger'!$I$25,'Referenz Plattenfertiger'!$F$25)</f>
        <v>0</v>
      </c>
      <c r="S195" s="41">
        <f t="shared" ref="S195" si="49">IF($R$190=Q195,R195*$R$189,R195)</f>
        <v>0</v>
      </c>
      <c r="T195" s="17" t="str">
        <f>'Referenz Plattenfertiger'!$J$25</f>
        <v>kWh</v>
      </c>
      <c r="U195" s="17"/>
      <c r="V195" s="17"/>
      <c r="W195" s="17"/>
      <c r="X195" s="17"/>
      <c r="Y195" s="17"/>
      <c r="Z195" s="17"/>
      <c r="AB195" s="17"/>
      <c r="AC195" s="17"/>
      <c r="AD195" s="17"/>
      <c r="AE195" s="18"/>
      <c r="AF195" s="18"/>
      <c r="AG195" s="17"/>
      <c r="AH195" s="18"/>
      <c r="AI195" s="18"/>
    </row>
    <row r="196" spans="15:35" hidden="1" outlineLevel="1" x14ac:dyDescent="0.2">
      <c r="O196" s="17"/>
      <c r="P196" s="17"/>
      <c r="Q196" s="17" t="s">
        <v>119</v>
      </c>
      <c r="R196" s="41">
        <f>IF(NOT(ISBLANK('Referenz Plattenfertiger'!$I$26)),'Referenz Plattenfertiger'!$I$26,'Referenz Plattenfertiger'!$F$26)</f>
        <v>0</v>
      </c>
      <c r="S196" s="41">
        <f>IF($R$190=Q196,R196*$R$189,R196)</f>
        <v>0</v>
      </c>
      <c r="T196" s="17" t="str">
        <f>'Referenz Plattenfertiger'!$J$26</f>
        <v>kWh</v>
      </c>
      <c r="U196" s="17"/>
      <c r="V196" s="17"/>
      <c r="W196" s="17"/>
      <c r="X196" s="17"/>
      <c r="Y196" s="17"/>
      <c r="Z196" s="17"/>
      <c r="AB196" s="17"/>
      <c r="AC196" s="17"/>
      <c r="AD196" s="17"/>
      <c r="AE196" s="18"/>
      <c r="AF196" s="18"/>
      <c r="AG196" s="17"/>
      <c r="AH196" s="18"/>
      <c r="AI196" s="18"/>
    </row>
    <row r="197" spans="15:35" hidden="1" outlineLevel="1" x14ac:dyDescent="0.2">
      <c r="O197" s="17"/>
      <c r="P197" s="17"/>
      <c r="Q197" s="17"/>
      <c r="R197" s="288"/>
      <c r="S197" s="17"/>
      <c r="T197" s="17"/>
      <c r="U197" s="17"/>
      <c r="V197" s="17"/>
      <c r="W197" s="17"/>
      <c r="X197" s="17"/>
      <c r="Y197" s="17"/>
      <c r="Z197" s="17"/>
      <c r="AB197" s="17" t="s">
        <v>132</v>
      </c>
      <c r="AC197" s="17"/>
      <c r="AD197" s="17"/>
      <c r="AE197" s="18"/>
      <c r="AF197" s="18"/>
      <c r="AG197" s="17"/>
      <c r="AH197" s="18"/>
      <c r="AI197" s="18"/>
    </row>
    <row r="198" spans="15:35" hidden="1" outlineLevel="1" x14ac:dyDescent="0.2">
      <c r="O198" s="17"/>
      <c r="P198" s="17"/>
      <c r="Q198" s="17"/>
      <c r="R198" s="17"/>
      <c r="S198" s="17"/>
      <c r="T198" s="17"/>
      <c r="U198" s="17"/>
      <c r="V198" s="17"/>
      <c r="W198" s="17"/>
      <c r="X198" s="17"/>
      <c r="Y198" s="17"/>
      <c r="Z198" s="17"/>
      <c r="AB198" s="274"/>
      <c r="AC198" s="17" t="s">
        <v>114</v>
      </c>
      <c r="AD198" s="17"/>
      <c r="AE198" s="19"/>
      <c r="AF198" s="19"/>
      <c r="AG198" s="17"/>
      <c r="AH198" s="41">
        <f>IF(NOT(ISBLANK('Referenz Plattenfertiger'!$I16)),'Referenz Plattenfertiger'!$I16,'Referenz Plattenfertiger'!$F16)/1000*IF(NOT(ISBLANK('Eingabe Preise'!$O10)),'Eingabe Preise'!$O10,'Eingabe Preise'!$M10)</f>
        <v>11468</v>
      </c>
      <c r="AI198" s="20" t="s">
        <v>96</v>
      </c>
    </row>
    <row r="199" spans="15:35" ht="51" hidden="1" outlineLevel="1" x14ac:dyDescent="0.2">
      <c r="O199" s="17"/>
      <c r="P199" s="17"/>
      <c r="Q199" s="17"/>
      <c r="R199" s="17"/>
      <c r="S199" s="36" t="s">
        <v>25</v>
      </c>
      <c r="T199" s="36" t="s">
        <v>77</v>
      </c>
      <c r="U199" s="36" t="s">
        <v>27</v>
      </c>
      <c r="V199" s="17"/>
      <c r="W199" s="17"/>
      <c r="X199" s="39" t="s">
        <v>100</v>
      </c>
      <c r="Y199" s="40" t="s">
        <v>37</v>
      </c>
      <c r="Z199" s="17"/>
      <c r="AB199" s="274"/>
      <c r="AC199" s="17" t="s">
        <v>151</v>
      </c>
      <c r="AD199" s="17"/>
      <c r="AE199" s="20"/>
      <c r="AF199" s="20"/>
      <c r="AG199" s="17"/>
      <c r="AH199" s="41">
        <f>IF(NOT(ISBLANK('Referenz Plattenfertiger'!$I17)),'Referenz Plattenfertiger'!$I17,'Referenz Plattenfertiger'!$F17)/1000*IF(NOT(ISBLANK('Eingabe Preise'!$O11)),'Eingabe Preise'!$O11,'Eingabe Preise'!$M11)</f>
        <v>1104</v>
      </c>
      <c r="AI199" s="20" t="s">
        <v>96</v>
      </c>
    </row>
    <row r="200" spans="15:35" ht="14.25" hidden="1" outlineLevel="1" x14ac:dyDescent="0.25">
      <c r="O200" s="76"/>
      <c r="P200" s="76" t="s">
        <v>176</v>
      </c>
      <c r="Q200" s="76"/>
      <c r="R200" s="76"/>
      <c r="S200" s="77">
        <f>SUM(S202:S215)</f>
        <v>94.932355060000006</v>
      </c>
      <c r="T200" s="77">
        <f>SUM(T202:T215)</f>
        <v>58.782689878035576</v>
      </c>
      <c r="U200" s="77">
        <f>SUM(U202:U215)</f>
        <v>24.699091138455479</v>
      </c>
      <c r="V200" s="76"/>
      <c r="W200" s="76"/>
      <c r="X200" s="77">
        <f>S200+T200</f>
        <v>153.71504493803559</v>
      </c>
      <c r="Y200" s="77">
        <f>SUM(S200:U200)</f>
        <v>178.41413607649108</v>
      </c>
      <c r="Z200" s="76" t="s">
        <v>183</v>
      </c>
      <c r="AB200" s="274"/>
      <c r="AC200" s="17" t="s">
        <v>138</v>
      </c>
      <c r="AD200" s="17"/>
      <c r="AE200" s="20"/>
      <c r="AF200" s="20"/>
      <c r="AG200" s="17"/>
      <c r="AH200" s="41">
        <f>IF(NOT(ISBLANK('Referenz Plattenfertiger'!$I18)),'Referenz Plattenfertiger'!$I18,'Referenz Plattenfertiger'!$F18)/1000*IF(NOT(ISBLANK('Eingabe Preise'!$O12)),'Eingabe Preise'!$O12,'Eingabe Preise'!$M12)</f>
        <v>7740</v>
      </c>
      <c r="AI200" s="20" t="s">
        <v>96</v>
      </c>
    </row>
    <row r="201" spans="15:35" hidden="1" outlineLevel="1" x14ac:dyDescent="0.2">
      <c r="O201" s="17"/>
      <c r="P201" s="17" t="s">
        <v>132</v>
      </c>
      <c r="Q201" s="17"/>
      <c r="R201" s="17"/>
      <c r="S201" s="17"/>
      <c r="T201" s="17"/>
      <c r="U201" s="17"/>
      <c r="V201" s="17"/>
      <c r="W201" s="17"/>
      <c r="X201" s="17"/>
      <c r="Y201" s="17"/>
      <c r="Z201" s="17"/>
      <c r="AB201" s="274"/>
      <c r="AC201" s="17" t="s">
        <v>115</v>
      </c>
      <c r="AD201" s="17"/>
      <c r="AE201" s="20"/>
      <c r="AF201" s="20"/>
      <c r="AG201" s="17"/>
      <c r="AH201" s="41">
        <f>IF(NOT(ISBLANK('Referenz Plattenfertiger'!$I19)),'Referenz Plattenfertiger'!$I19,'Referenz Plattenfertiger'!$F19)/1000*IF(NOT(ISBLANK('Eingabe Preise'!$O16)),'Eingabe Preise'!$O16,0)</f>
        <v>0</v>
      </c>
      <c r="AI201" s="20" t="s">
        <v>96</v>
      </c>
    </row>
    <row r="202" spans="15:35" ht="15.75" hidden="1" outlineLevel="1" x14ac:dyDescent="0.3">
      <c r="O202" s="274"/>
      <c r="P202" s="17"/>
      <c r="Q202" s="17" t="s">
        <v>114</v>
      </c>
      <c r="R202" s="17"/>
      <c r="S202" s="450">
        <f>IF(NOT(ISBLANK('Referenz Plattenfertiger'!$I16)),'Referenz Plattenfertiger'!$I16,'Referenz Plattenfertiger'!$F16)*IF(NOT(ISBLANK('Eingabe EF'!$AS9)),'Eingabe EF'!$AS9,'Eingabe EF'!$AQ9)</f>
        <v>34.434080000000002</v>
      </c>
      <c r="T202" s="450">
        <f>IF(NOT(ISBLANK('Referenz Plattenfertiger'!$I16)),'Referenz Plattenfertiger'!$I16,'Referenz Plattenfertiger'!$F16)*IF(NOT(ISBLANK('Eingabe EF'!$AW9)),'Eingabe EF'!$AW9,'Eingabe EF'!$AU9)</f>
        <v>0</v>
      </c>
      <c r="U202" s="450">
        <f>IF(NOT(ISBLANK('Referenz Plattenfertiger'!$I16)),'Referenz Plattenfertiger'!$I16,'Referenz Plattenfertiger'!$F16)*IF(NOT(ISBLANK('Eingabe EF'!$BA9)),'Eingabe EF'!$BA9,'Eingabe EF'!$AY9)</f>
        <v>5.8938000000000006</v>
      </c>
      <c r="V202" s="17"/>
      <c r="W202" s="17"/>
      <c r="X202" s="37">
        <f>S202+T202</f>
        <v>34.434080000000002</v>
      </c>
      <c r="Y202" s="37">
        <f>SUM(S202:U202)</f>
        <v>40.32788</v>
      </c>
      <c r="Z202" s="17" t="s">
        <v>184</v>
      </c>
      <c r="AB202" s="17" t="s">
        <v>133</v>
      </c>
      <c r="AC202" s="17"/>
      <c r="AD202" s="17"/>
      <c r="AE202" s="20"/>
      <c r="AF202" s="20"/>
      <c r="AG202" s="17"/>
      <c r="AH202" s="20"/>
      <c r="AI202" s="20"/>
    </row>
    <row r="203" spans="15:35" ht="15.75" hidden="1" outlineLevel="1" x14ac:dyDescent="0.3">
      <c r="O203" s="274"/>
      <c r="P203" s="17"/>
      <c r="Q203" s="17" t="s">
        <v>151</v>
      </c>
      <c r="R203" s="17"/>
      <c r="S203" s="450">
        <f>IF(NOT(ISBLANK('Referenz Plattenfertiger'!$I17)),'Referenz Plattenfertiger'!$I17,'Referenz Plattenfertiger'!$F17)*IF(NOT(ISBLANK('Eingabe EF'!$AS10)),'Eingabe EF'!$AS10,'Eingabe EF'!$AQ10)</f>
        <v>6.4022399999999999</v>
      </c>
      <c r="T203" s="450">
        <f>IF(NOT(ISBLANK('Referenz Plattenfertiger'!$I17)),'Referenz Plattenfertiger'!$I17,'Referenz Plattenfertiger'!$F17)*IF(NOT(ISBLANK('Eingabe EF'!$AW10)),'Eingabe EF'!$AW10,'Eingabe EF'!$AU10)</f>
        <v>0</v>
      </c>
      <c r="U203" s="450">
        <f>IF(NOT(ISBLANK('Referenz Plattenfertiger'!$I17)),'Referenz Plattenfertiger'!$I17,'Referenz Plattenfertiger'!$F17)*IF(NOT(ISBLANK('Eingabe EF'!$BA10)),'Eingabe EF'!$BA10,'Eingabe EF'!$AY10)</f>
        <v>0.949824</v>
      </c>
      <c r="V203" s="17"/>
      <c r="W203" s="17"/>
      <c r="X203" s="37">
        <f>S203+T203</f>
        <v>6.4022399999999999</v>
      </c>
      <c r="Y203" s="37">
        <f>SUM(S203:U203)</f>
        <v>7.3520640000000004</v>
      </c>
      <c r="Z203" s="17" t="s">
        <v>184</v>
      </c>
      <c r="AB203" s="274"/>
      <c r="AC203" s="17" t="s">
        <v>29</v>
      </c>
      <c r="AD203" s="17"/>
      <c r="AE203" s="20"/>
      <c r="AF203" s="20"/>
      <c r="AG203" s="17"/>
      <c r="AH203" s="41">
        <f>S192/1000*IF(NOT(ISBLANK('Eingabe Preise'!$O10)),'Eingabe Preise'!$O10,'Eingabe Preise'!$M10)</f>
        <v>2867</v>
      </c>
      <c r="AI203" s="20" t="s">
        <v>96</v>
      </c>
    </row>
    <row r="204" spans="15:35" ht="15.75" hidden="1" outlineLevel="1" x14ac:dyDescent="0.3">
      <c r="O204" s="274"/>
      <c r="P204" s="17"/>
      <c r="Q204" s="17" t="s">
        <v>138</v>
      </c>
      <c r="R204" s="17"/>
      <c r="S204" s="450">
        <f>IF(NOT(ISBLANK('Referenz Plattenfertiger'!$I18)),'Referenz Plattenfertiger'!$I18,'Referenz Plattenfertiger'!$F18)*IF(NOT(ISBLANK('Eingabe EF'!$AS11)),'Eingabe EF'!$AS11,'Eingabe EF'!$AQ11)</f>
        <v>0</v>
      </c>
      <c r="T204" s="450">
        <f>IF(NOT(ISBLANK('Referenz Plattenfertiger'!$I18)),'Referenz Plattenfertiger'!$I18,'Referenz Plattenfertiger'!$F18)*IF(NOT(ISBLANK('Eingabe EF'!$AW11)),'Eingabe EF'!$AW11,'Eingabe EF'!$AU11)</f>
        <v>6.1552554846110556</v>
      </c>
      <c r="U204" s="450">
        <f>IF(NOT(ISBLANK('Referenz Plattenfertiger'!$I18)),'Referenz Plattenfertiger'!$I18,'Referenz Plattenfertiger'!$F18)*IF(NOT(ISBLANK('Eingabe EF'!$BA11)),'Eingabe EF'!$BA11,'Eingabe EF'!$AY11)</f>
        <v>0.90234111816287721</v>
      </c>
      <c r="V204" s="17"/>
      <c r="W204" s="17"/>
      <c r="X204" s="37">
        <f>S204+T204</f>
        <v>6.1552554846110556</v>
      </c>
      <c r="Y204" s="37">
        <f>SUM(S204:U204)</f>
        <v>7.0575966027739332</v>
      </c>
      <c r="Z204" s="17" t="s">
        <v>184</v>
      </c>
      <c r="AB204" s="274"/>
      <c r="AC204" s="17" t="s">
        <v>30</v>
      </c>
      <c r="AD204" s="17"/>
      <c r="AE204" s="20"/>
      <c r="AF204" s="20"/>
      <c r="AG204" s="17"/>
      <c r="AH204" s="41">
        <f>S193/1000*IF(NOT(ISBLANK('Eingabe Preise'!$O11)),'Eingabe Preise'!$O11,'Eingabe Preise'!$M11)</f>
        <v>1656</v>
      </c>
      <c r="AI204" s="20" t="s">
        <v>96</v>
      </c>
    </row>
    <row r="205" spans="15:35" ht="15.75" hidden="1" outlineLevel="1" x14ac:dyDescent="0.3">
      <c r="O205" s="274"/>
      <c r="P205" s="17"/>
      <c r="Q205" s="17" t="s">
        <v>115</v>
      </c>
      <c r="R205" s="17"/>
      <c r="S205" s="450">
        <f>IF(NOT(ISBLANK('Referenz Plattenfertiger'!$I19)),'Referenz Plattenfertiger'!$I19,'Referenz Plattenfertiger'!$F19)*IF(NOT(ISBLANK('Eingabe EF'!$AS12)),'Eingabe EF'!$AS12,0)</f>
        <v>0</v>
      </c>
      <c r="T205" s="450">
        <f>IF(NOT(ISBLANK('Referenz Plattenfertiger'!$I19)),'Referenz Plattenfertiger'!$I19,'Referenz Plattenfertiger'!$F19)*IF(NOT(ISBLANK('Eingabe EF'!$AW12)),'Eingabe EF'!$AW12,0)</f>
        <v>0</v>
      </c>
      <c r="U205" s="450">
        <f>IF(NOT(ISBLANK('Referenz Plattenfertiger'!$I19)),'Referenz Plattenfertiger'!$I19,'Referenz Plattenfertiger'!$F19)*IF(NOT(ISBLANK('Eingabe EF'!$BA12)),'Eingabe EF'!$BA12,0)</f>
        <v>0</v>
      </c>
      <c r="V205" s="17"/>
      <c r="W205" s="17"/>
      <c r="X205" s="37">
        <f>S205+T205</f>
        <v>0</v>
      </c>
      <c r="Y205" s="37">
        <f>SUM(S205:U205)</f>
        <v>0</v>
      </c>
      <c r="Z205" s="17" t="s">
        <v>184</v>
      </c>
      <c r="AB205" s="17" t="s">
        <v>134</v>
      </c>
      <c r="AC205" s="17"/>
      <c r="AD205" s="17"/>
      <c r="AE205" s="20"/>
      <c r="AF205" s="20"/>
      <c r="AG205" s="17"/>
      <c r="AH205" s="20"/>
      <c r="AI205" s="20"/>
    </row>
    <row r="206" spans="15:35" hidden="1" outlineLevel="1" x14ac:dyDescent="0.2">
      <c r="O206" s="17"/>
      <c r="P206" s="17" t="s">
        <v>133</v>
      </c>
      <c r="Q206" s="17"/>
      <c r="R206" s="17"/>
      <c r="S206" s="452"/>
      <c r="T206" s="452"/>
      <c r="U206" s="452"/>
      <c r="V206" s="17"/>
      <c r="W206" s="17"/>
      <c r="X206" s="17"/>
      <c r="Y206" s="17"/>
      <c r="Z206" s="17"/>
      <c r="AB206" s="274"/>
      <c r="AC206" s="17" t="s">
        <v>136</v>
      </c>
      <c r="AD206" s="17"/>
      <c r="AE206" s="20"/>
      <c r="AF206" s="20"/>
      <c r="AG206" s="17"/>
      <c r="AH206" s="41">
        <f>S194/1000*IF(NOT(ISBLANK('Eingabe Preise'!$O12)),'Eingabe Preise'!$O12,'Eingabe Preise'!$M12)</f>
        <v>66177</v>
      </c>
      <c r="AI206" s="20" t="s">
        <v>96</v>
      </c>
    </row>
    <row r="207" spans="15:35" ht="15.75" hidden="1" outlineLevel="1" x14ac:dyDescent="0.3">
      <c r="O207" s="274"/>
      <c r="P207" s="17"/>
      <c r="Q207" s="17" t="s">
        <v>29</v>
      </c>
      <c r="R207" s="17"/>
      <c r="S207" s="450">
        <f>S192*IF(NOT(ISBLANK('Eingabe EF'!$AS9)),'Eingabe EF'!$AS9,'Eingabe EF'!$AQ9)</f>
        <v>8.6085200000000004</v>
      </c>
      <c r="T207" s="450">
        <f>S192*IF(NOT(ISBLANK('Eingabe EF'!$AW9)),'Eingabe EF'!$AW9,'Eingabe EF'!$AU9)</f>
        <v>0</v>
      </c>
      <c r="U207" s="450">
        <f>S192*IF(NOT(ISBLANK('Eingabe EF'!$BA9)),'Eingabe EF'!$BA9,'Eingabe EF'!$AY9)</f>
        <v>1.4734500000000001</v>
      </c>
      <c r="V207" s="17"/>
      <c r="W207" s="17"/>
      <c r="X207" s="37">
        <f t="shared" ref="X207:X208" si="50">S207+T207</f>
        <v>8.6085200000000004</v>
      </c>
      <c r="Y207" s="37">
        <f t="shared" ref="Y207:Y208" si="51">SUM(S207:U207)</f>
        <v>10.08197</v>
      </c>
      <c r="Z207" s="17" t="s">
        <v>184</v>
      </c>
      <c r="AB207" s="274"/>
      <c r="AC207" s="17" t="s">
        <v>111</v>
      </c>
      <c r="AD207" s="17"/>
      <c r="AE207" s="20"/>
      <c r="AF207" s="20"/>
      <c r="AG207" s="17"/>
      <c r="AH207" s="41">
        <f>S195/1000*IF(NOT(ISBLANK('Eingabe Preise'!$O13)),'Eingabe Preise'!$O13,'Eingabe Preise'!$M13)</f>
        <v>0</v>
      </c>
      <c r="AI207" s="20" t="s">
        <v>96</v>
      </c>
    </row>
    <row r="208" spans="15:35" ht="15.75" hidden="1" outlineLevel="1" x14ac:dyDescent="0.3">
      <c r="O208" s="274"/>
      <c r="P208" s="17"/>
      <c r="Q208" s="17" t="s">
        <v>30</v>
      </c>
      <c r="R208" s="17"/>
      <c r="S208" s="450">
        <f>S193*IF(NOT(ISBLANK('Eingabe EF'!$AS10)),'Eingabe EF'!$AS10,'Eingabe EF'!$AQ10)</f>
        <v>9.6033600000000003</v>
      </c>
      <c r="T208" s="450">
        <f>S193*IF(NOT(ISBLANK('Eingabe EF'!$AW10)),'Eingabe EF'!$AW10,'Eingabe EF'!$AU10)</f>
        <v>0</v>
      </c>
      <c r="U208" s="450">
        <f>S193*IF(NOT(ISBLANK('Eingabe EF'!$BA10)),'Eingabe EF'!$BA10,'Eingabe EF'!$AY10)</f>
        <v>1.424736</v>
      </c>
      <c r="V208" s="17"/>
      <c r="W208" s="17"/>
      <c r="X208" s="37">
        <f t="shared" si="50"/>
        <v>9.6033600000000003</v>
      </c>
      <c r="Y208" s="37">
        <f t="shared" si="51"/>
        <v>11.028096</v>
      </c>
      <c r="Z208" s="17" t="s">
        <v>184</v>
      </c>
      <c r="AB208" s="274"/>
      <c r="AC208" s="17" t="s">
        <v>135</v>
      </c>
      <c r="AD208" s="17"/>
      <c r="AE208" s="30"/>
      <c r="AF208" s="30"/>
      <c r="AG208" s="17"/>
      <c r="AH208" s="41">
        <f>S196/1000*IF(NOT(ISBLANK('Eingabe Preise'!$O17)),'Eingabe Preise'!$O17,0)</f>
        <v>0</v>
      </c>
      <c r="AI208" s="20" t="s">
        <v>96</v>
      </c>
    </row>
    <row r="209" spans="15:35" hidden="1" outlineLevel="1" x14ac:dyDescent="0.2">
      <c r="O209" s="17"/>
      <c r="P209" s="17" t="s">
        <v>134</v>
      </c>
      <c r="Q209" s="17"/>
      <c r="R209" s="17"/>
      <c r="S209" s="452"/>
      <c r="T209" s="452"/>
      <c r="U209" s="452"/>
      <c r="V209" s="17"/>
      <c r="W209" s="17"/>
      <c r="X209" s="17"/>
      <c r="Y209" s="17"/>
      <c r="Z209" s="17"/>
      <c r="AB209" s="17"/>
      <c r="AC209" s="17"/>
      <c r="AD209" s="17"/>
      <c r="AE209" s="30"/>
      <c r="AF209" s="30"/>
      <c r="AG209" s="17"/>
      <c r="AH209" s="17"/>
      <c r="AI209" s="17"/>
    </row>
    <row r="210" spans="15:35" ht="15.75" hidden="1" outlineLevel="1" x14ac:dyDescent="0.3">
      <c r="O210" s="274"/>
      <c r="P210" s="17"/>
      <c r="Q210" s="17" t="s">
        <v>136</v>
      </c>
      <c r="R210" s="17"/>
      <c r="S210" s="450">
        <f>S194*IF(NOT(ISBLANK('Eingabe EF'!$AS11)),'Eingabe EF'!$AS11,'Eingabe EF'!$AQ11)</f>
        <v>0</v>
      </c>
      <c r="T210" s="450">
        <f>S194*IF(NOT(ISBLANK('Eingabe EF'!$AW11)),'Eingabe EF'!$AW11,'Eingabe EF'!$AU11)</f>
        <v>52.627434393424522</v>
      </c>
      <c r="U210" s="450">
        <f>S194*IF(NOT(ISBLANK('Eingabe EF'!$BA11)),'Eingabe EF'!$BA11,'Eingabe EF'!$AY11)</f>
        <v>7.7150165602926002</v>
      </c>
      <c r="V210" s="17"/>
      <c r="W210" s="17"/>
      <c r="X210" s="37">
        <f t="shared" ref="X210:X218" si="52">S210+T210</f>
        <v>52.627434393424522</v>
      </c>
      <c r="Y210" s="37">
        <f t="shared" ref="Y210:Y218" si="53">SUM(S210:U210)</f>
        <v>60.342450953717119</v>
      </c>
      <c r="Z210" s="17" t="s">
        <v>184</v>
      </c>
      <c r="AB210" s="17"/>
      <c r="AC210" s="17" t="s">
        <v>32</v>
      </c>
      <c r="AD210" s="17" t="s">
        <v>408</v>
      </c>
      <c r="AE210" s="30"/>
      <c r="AF210" s="30"/>
      <c r="AG210" s="17"/>
      <c r="AH210" s="41">
        <f>IF(NOT(ISBLANK('Referenz Plattenfertiger'!$I28)),'Referenz Plattenfertiger'!$I28,'Referenz Plattenfertiger'!$F28)*IF(NOT(ISBLANK('Eingabe Preise'!$O14)),'Eingabe Preise'!$O14,'Eingabe Preise'!$M14)</f>
        <v>12364.000000000002</v>
      </c>
      <c r="AI210" s="20" t="s">
        <v>96</v>
      </c>
    </row>
    <row r="211" spans="15:35" ht="15.75" hidden="1" outlineLevel="1" x14ac:dyDescent="0.3">
      <c r="O211" s="274"/>
      <c r="P211" s="17"/>
      <c r="Q211" s="17" t="s">
        <v>111</v>
      </c>
      <c r="R211" s="17"/>
      <c r="S211" s="450">
        <f>S195*IF(NOT(ISBLANK('Eingabe EF'!$AS13)),'Eingabe EF'!$AS13,'Eingabe EF'!$AQ13)</f>
        <v>0</v>
      </c>
      <c r="T211" s="450">
        <f>S195*IF(NOT(ISBLANK('Eingabe EF'!$AW13)),'Eingabe EF'!$AW13,'Eingabe EF'!$AU13)</f>
        <v>0</v>
      </c>
      <c r="U211" s="450">
        <f>S195*IF(NOT(ISBLANK('Eingabe EF'!$BA13)),'Eingabe EF'!$BA13,'Eingabe EF'!$AY13)</f>
        <v>0</v>
      </c>
      <c r="V211" s="17"/>
      <c r="W211" s="17"/>
      <c r="X211" s="37">
        <f t="shared" si="52"/>
        <v>0</v>
      </c>
      <c r="Y211" s="37">
        <f t="shared" si="53"/>
        <v>0</v>
      </c>
      <c r="Z211" s="17" t="s">
        <v>184</v>
      </c>
      <c r="AB211" s="17"/>
      <c r="AC211" s="17" t="s">
        <v>32</v>
      </c>
      <c r="AD211" s="17" t="s">
        <v>70</v>
      </c>
      <c r="AE211" s="30"/>
      <c r="AF211" s="30"/>
      <c r="AG211" s="17"/>
      <c r="AH211" s="41">
        <f>IF(NOT(ISBLANK('Referenz Plattenfertiger'!$I29)),'Referenz Plattenfertiger'!$I29,'Referenz Plattenfertiger'!$F29)*IF(NOT(ISBLANK('Eingabe Preise'!$O14)),'Eingabe Preise'!$O14,'Eingabe Preise'!$M14)</f>
        <v>2810.0000000000005</v>
      </c>
      <c r="AI211" s="20" t="s">
        <v>96</v>
      </c>
    </row>
    <row r="212" spans="15:35" ht="15.75" hidden="1" outlineLevel="1" x14ac:dyDescent="0.3">
      <c r="O212" s="274"/>
      <c r="P212" s="17"/>
      <c r="Q212" s="17" t="s">
        <v>135</v>
      </c>
      <c r="R212" s="17"/>
      <c r="S212" s="450">
        <f>S196*IF(NOT(ISBLANK('Eingabe EF'!$AS14)),'Eingabe EF'!$AS14,0)</f>
        <v>0</v>
      </c>
      <c r="T212" s="450">
        <f>S196*IF(NOT(ISBLANK('Eingabe EF'!$AW14)),'Eingabe EF'!$AW14,0)</f>
        <v>0</v>
      </c>
      <c r="U212" s="450">
        <f>S196*IF(NOT(ISBLANK('Eingabe EF'!$BA14)),'Eingabe EF'!$BA14,0)</f>
        <v>0</v>
      </c>
      <c r="V212" s="17"/>
      <c r="W212" s="17"/>
      <c r="X212" s="37">
        <f t="shared" si="52"/>
        <v>0</v>
      </c>
      <c r="Y212" s="37">
        <f t="shared" si="53"/>
        <v>0</v>
      </c>
      <c r="Z212" s="17" t="s">
        <v>184</v>
      </c>
      <c r="AB212" s="17"/>
      <c r="AC212" s="17"/>
      <c r="AD212" s="17"/>
      <c r="AE212" s="30"/>
      <c r="AF212" s="30"/>
      <c r="AG212" s="17"/>
      <c r="AH212" s="17"/>
      <c r="AI212" s="17"/>
    </row>
    <row r="213" spans="15:35" hidden="1" outlineLevel="1" x14ac:dyDescent="0.2">
      <c r="O213" s="17"/>
      <c r="P213" s="17"/>
      <c r="Q213" s="17"/>
      <c r="R213" s="17"/>
      <c r="S213" s="17"/>
      <c r="T213" s="17"/>
      <c r="U213" s="17"/>
      <c r="V213" s="17"/>
      <c r="W213" s="17"/>
      <c r="X213" s="17"/>
      <c r="Y213" s="17"/>
      <c r="Z213" s="17"/>
      <c r="AB213" s="17"/>
      <c r="AC213" s="17"/>
      <c r="AD213" s="17"/>
      <c r="AE213" s="30"/>
      <c r="AF213" s="30"/>
      <c r="AG213" s="17"/>
      <c r="AH213" s="17"/>
      <c r="AI213" s="17"/>
    </row>
    <row r="214" spans="15:35" ht="15.75" hidden="1" outlineLevel="1" x14ac:dyDescent="0.3">
      <c r="O214" s="17"/>
      <c r="P214" s="17" t="s">
        <v>408</v>
      </c>
      <c r="Q214" s="17" t="s">
        <v>32</v>
      </c>
      <c r="R214" s="17"/>
      <c r="S214" s="43">
        <f>IF(NOT(ISBLANK('Referenz Plattenfertiger'!$I28)),'Referenz Plattenfertiger'!$I28,'Referenz Plattenfertiger'!$F28)*IF(NOT(ISBLANK('Eingabe EF'!$AS15)),'Eingabe EF'!$AS15,'Eingabe EF'!$AQ15)</f>
        <v>29.238941159999996</v>
      </c>
      <c r="T214" s="43">
        <f>IF(NOT(ISBLANK('Referenz Plattenfertiger'!$I28)),'Referenz Plattenfertiger'!$I28,'Referenz Plattenfertiger'!$F28)*IF(NOT(ISBLANK('Eingabe EF'!$AW15)),'Eingabe EF'!$AW15,'Eingabe EF'!$AU15)</f>
        <v>0</v>
      </c>
      <c r="U214" s="43">
        <f>IF(NOT(ISBLANK('Referenz Plattenfertiger'!$I28)),'Referenz Plattenfertiger'!$I28,'Referenz Plattenfertiger'!$F28)*IF(NOT(ISBLANK('Eingabe EF'!$BA15)),'Eingabe EF'!$BA15,'Eingabe EF'!$AY15)</f>
        <v>5.1658635600000009</v>
      </c>
      <c r="V214" s="17"/>
      <c r="W214" s="17"/>
      <c r="X214" s="37">
        <f t="shared" ref="X214:X216" si="54">S214+T214</f>
        <v>29.238941159999996</v>
      </c>
      <c r="Y214" s="37">
        <f t="shared" ref="Y214:Y216" si="55">SUM(S214:U214)</f>
        <v>34.404804719999994</v>
      </c>
      <c r="Z214" s="17" t="s">
        <v>184</v>
      </c>
      <c r="AB214" s="17"/>
      <c r="AC214" s="17" t="s">
        <v>28</v>
      </c>
      <c r="AD214" s="17"/>
      <c r="AE214" s="30"/>
      <c r="AF214" s="30"/>
      <c r="AG214" s="17"/>
      <c r="AH214" s="41">
        <f>AH226+AH227</f>
        <v>1800</v>
      </c>
      <c r="AI214" s="20" t="s">
        <v>96</v>
      </c>
    </row>
    <row r="215" spans="15:35" ht="15.75" hidden="1" outlineLevel="1" x14ac:dyDescent="0.3">
      <c r="O215" s="17"/>
      <c r="P215" s="17" t="s">
        <v>70</v>
      </c>
      <c r="Q215" s="17" t="s">
        <v>32</v>
      </c>
      <c r="R215" s="17"/>
      <c r="S215" s="43">
        <f>IF(NOT(ISBLANK('Referenz Plattenfertiger'!$I29)),'Referenz Plattenfertiger'!$I29,'Referenz Plattenfertiger'!$F29)*IF(NOT(ISBLANK('Eingabe EF'!$AS15)),'Eingabe EF'!$AS15,'Eingabe EF'!$AQ15)</f>
        <v>6.645213899999999</v>
      </c>
      <c r="T215" s="43">
        <f>IF(NOT(ISBLANK('Referenz Plattenfertiger'!$I29)),'Referenz Plattenfertiger'!$I29,'Referenz Plattenfertiger'!$F29)*IF(NOT(ISBLANK('Eingabe EF'!$AW15)),'Eingabe EF'!$AW15,'Eingabe EF'!$AU15)</f>
        <v>0</v>
      </c>
      <c r="U215" s="43">
        <f>IF(NOT(ISBLANK('Referenz Plattenfertiger'!$I29)),'Referenz Plattenfertiger'!$I29,'Referenz Plattenfertiger'!$F29)*IF(NOT(ISBLANK('Eingabe EF'!$BA15)),'Eingabe EF'!$BA15,'Eingabe EF'!$AY15)</f>
        <v>1.1740599000000003</v>
      </c>
      <c r="V215" s="17"/>
      <c r="W215" s="17"/>
      <c r="X215" s="37">
        <f t="shared" si="54"/>
        <v>6.645213899999999</v>
      </c>
      <c r="Y215" s="37">
        <f t="shared" si="55"/>
        <v>7.8192737999999995</v>
      </c>
      <c r="Z215" s="17" t="s">
        <v>184</v>
      </c>
      <c r="AB215" s="17"/>
      <c r="AC215" s="44" t="s">
        <v>139</v>
      </c>
      <c r="AD215" s="17"/>
      <c r="AE215" s="30"/>
      <c r="AF215" s="30"/>
      <c r="AG215" s="17"/>
      <c r="AH215" s="41">
        <f>IF(NOT(ISBLANK($K$25)),$K$25,$I$25)</f>
        <v>0</v>
      </c>
      <c r="AI215" s="20" t="s">
        <v>96</v>
      </c>
    </row>
    <row r="216" spans="15:35" ht="14.25" hidden="1" outlineLevel="1" x14ac:dyDescent="0.25">
      <c r="O216" s="69"/>
      <c r="P216" s="69" t="s">
        <v>175</v>
      </c>
      <c r="Q216" s="69"/>
      <c r="R216" s="69"/>
      <c r="S216" s="71"/>
      <c r="T216" s="71"/>
      <c r="U216" s="71">
        <f t="shared" ref="U216" si="56">U217+U218</f>
        <v>469.15642799999995</v>
      </c>
      <c r="V216" s="69"/>
      <c r="W216" s="69"/>
      <c r="X216" s="71">
        <f t="shared" si="54"/>
        <v>0</v>
      </c>
      <c r="Y216" s="71">
        <f t="shared" si="55"/>
        <v>469.15642799999995</v>
      </c>
      <c r="Z216" s="76" t="s">
        <v>183</v>
      </c>
      <c r="AB216" s="17"/>
      <c r="AC216" s="44" t="s">
        <v>146</v>
      </c>
      <c r="AD216" s="17"/>
      <c r="AE216" s="30"/>
      <c r="AF216" s="30"/>
      <c r="AG216" s="17"/>
      <c r="AH216" s="41">
        <f>AH229+AH230</f>
        <v>0</v>
      </c>
      <c r="AI216" s="20" t="s">
        <v>96</v>
      </c>
    </row>
    <row r="217" spans="15:35" ht="15.75" hidden="1" outlineLevel="1" x14ac:dyDescent="0.3">
      <c r="O217" s="17"/>
      <c r="P217" s="17"/>
      <c r="Q217" s="17" t="s">
        <v>43</v>
      </c>
      <c r="R217" s="17"/>
      <c r="S217" s="43"/>
      <c r="T217" s="43"/>
      <c r="U217" s="43">
        <f>IF(NOT(ISBLANK('Referenz Plattenfertiger'!$I32)),'Referenz Plattenfertiger'!$I32,'Referenz Plattenfertiger'!$F32)*IF(NOT(ISBLANK('Eingabe EF'!$BA17)),'Eingabe EF'!$BA17,'Eingabe EF'!$AY17)</f>
        <v>109.4698332</v>
      </c>
      <c r="V217" s="17"/>
      <c r="W217" s="17"/>
      <c r="X217" s="37">
        <f t="shared" si="52"/>
        <v>0</v>
      </c>
      <c r="Y217" s="37">
        <f t="shared" si="53"/>
        <v>109.4698332</v>
      </c>
      <c r="Z217" s="17" t="s">
        <v>184</v>
      </c>
      <c r="AB217" s="17"/>
      <c r="AC217" s="17"/>
      <c r="AD217" s="17"/>
      <c r="AE217" s="17"/>
      <c r="AF217" s="17"/>
      <c r="AG217" s="17"/>
      <c r="AH217" s="17"/>
      <c r="AI217" s="17"/>
    </row>
    <row r="218" spans="15:35" ht="15.75" hidden="1" outlineLevel="1" x14ac:dyDescent="0.3">
      <c r="O218" s="17"/>
      <c r="P218" s="17"/>
      <c r="Q218" s="17" t="s">
        <v>44</v>
      </c>
      <c r="R218" s="17"/>
      <c r="S218" s="43"/>
      <c r="T218" s="43"/>
      <c r="U218" s="43">
        <f>IF(NOT(ISBLANK('Referenz Plattenfertiger'!$I33)),'Referenz Plattenfertiger'!$I33,'Referenz Plattenfertiger'!$F33)*IF(NOT(ISBLANK('Eingabe EF'!$BA18)),'Eingabe EF'!$BA18,'Eingabe EF'!$AY18)</f>
        <v>359.68659479999997</v>
      </c>
      <c r="V218" s="17"/>
      <c r="W218" s="17"/>
      <c r="X218" s="37">
        <f t="shared" si="52"/>
        <v>0</v>
      </c>
      <c r="Y218" s="37">
        <f t="shared" si="53"/>
        <v>359.68659479999997</v>
      </c>
      <c r="Z218" s="17" t="s">
        <v>184</v>
      </c>
      <c r="AB218" s="17"/>
      <c r="AC218" s="17"/>
      <c r="AD218" s="17"/>
      <c r="AE218" s="17"/>
      <c r="AF218" s="17"/>
      <c r="AG218" s="17"/>
      <c r="AH218" s="17"/>
      <c r="AI218" s="17"/>
    </row>
    <row r="219" spans="15:35" hidden="1" outlineLevel="1" x14ac:dyDescent="0.2">
      <c r="O219" s="17"/>
      <c r="P219" s="17"/>
      <c r="Q219" s="17"/>
      <c r="R219" s="17"/>
      <c r="S219" s="20"/>
      <c r="T219" s="20"/>
      <c r="U219" s="20"/>
      <c r="V219" s="17"/>
      <c r="W219" s="17"/>
      <c r="X219" s="20"/>
      <c r="Y219" s="20"/>
      <c r="Z219" s="17"/>
      <c r="AB219" s="17"/>
      <c r="AC219" s="17" t="s">
        <v>490</v>
      </c>
      <c r="AD219" s="17"/>
      <c r="AE219" s="30"/>
      <c r="AF219" s="30"/>
      <c r="AG219" s="17"/>
      <c r="AH219" s="41">
        <f>S263*IF(NOT(ISBLANK('Eingabe Preise'!$O21)),'Eingabe Preise'!$O21,'Eingabe Preise'!$M21)</f>
        <v>7594.5884048000007</v>
      </c>
      <c r="AI219" s="20" t="s">
        <v>96</v>
      </c>
    </row>
    <row r="220" spans="15:35" ht="14.25" hidden="1" outlineLevel="1" x14ac:dyDescent="0.25">
      <c r="O220" s="69"/>
      <c r="P220" s="69" t="s">
        <v>66</v>
      </c>
      <c r="Q220" s="70"/>
      <c r="R220" s="70"/>
      <c r="S220" s="71"/>
      <c r="T220" s="71"/>
      <c r="U220" s="71">
        <f>SUM(U221:U224)</f>
        <v>4548.5439999999999</v>
      </c>
      <c r="V220" s="70"/>
      <c r="W220" s="70"/>
      <c r="X220" s="71">
        <f t="shared" ref="X220:X224" si="57">S220+T220</f>
        <v>0</v>
      </c>
      <c r="Y220" s="71">
        <f t="shared" ref="Y220" si="58">SUM(S220:U220)</f>
        <v>4548.5439999999999</v>
      </c>
      <c r="Z220" s="76" t="s">
        <v>183</v>
      </c>
      <c r="AB220" s="17"/>
      <c r="AC220" s="17" t="s">
        <v>491</v>
      </c>
      <c r="AD220" s="17"/>
      <c r="AE220" s="30"/>
      <c r="AF220" s="30"/>
      <c r="AG220" s="17"/>
      <c r="AH220" s="41">
        <f>T263*IF(NOT(ISBLANK('Eingabe Preise'!$O22)),'Eingabe Preise'!$O22,'Eingabe Preise'!$M22)</f>
        <v>4702.6151902428464</v>
      </c>
      <c r="AI220" s="20" t="s">
        <v>96</v>
      </c>
    </row>
    <row r="221" spans="15:35" ht="15.75" hidden="1" outlineLevel="1" x14ac:dyDescent="0.3">
      <c r="O221" s="17"/>
      <c r="P221" s="17"/>
      <c r="Q221" s="17" t="s">
        <v>45</v>
      </c>
      <c r="R221" s="17"/>
      <c r="S221" s="37"/>
      <c r="T221" s="37"/>
      <c r="U221" s="37">
        <f>'M1 Härtekammern'!T206</f>
        <v>1210.3</v>
      </c>
      <c r="V221" s="17"/>
      <c r="W221" s="17"/>
      <c r="X221" s="37">
        <f t="shared" si="57"/>
        <v>0</v>
      </c>
      <c r="Y221" s="37">
        <f t="shared" ref="Y221:Y224" si="59">SUM(S221:U221)</f>
        <v>1210.3</v>
      </c>
      <c r="Z221" s="17" t="s">
        <v>184</v>
      </c>
      <c r="AB221" s="17"/>
      <c r="AC221" s="17" t="s">
        <v>492</v>
      </c>
      <c r="AD221" s="17"/>
      <c r="AE221" s="30"/>
      <c r="AF221" s="30"/>
      <c r="AG221" s="17"/>
      <c r="AH221" s="41">
        <f>U263*IF(NOT(ISBLANK('Eingabe Preise'!$O23)),'Eingabe Preise'!$O23,'Eingabe Preise'!$M23)</f>
        <v>458770.23523903789</v>
      </c>
      <c r="AI221" s="20" t="s">
        <v>96</v>
      </c>
    </row>
    <row r="222" spans="15:35" ht="15.75" hidden="1" outlineLevel="1" x14ac:dyDescent="0.3">
      <c r="O222" s="17"/>
      <c r="P222" s="17"/>
      <c r="Q222" s="17" t="s">
        <v>47</v>
      </c>
      <c r="R222" s="17"/>
      <c r="S222" s="37"/>
      <c r="T222" s="37"/>
      <c r="U222" s="37">
        <f>'M1 Härtekammern'!T207</f>
        <v>2415.5039999999999</v>
      </c>
      <c r="V222" s="17"/>
      <c r="W222" s="17"/>
      <c r="X222" s="37">
        <f t="shared" si="57"/>
        <v>0</v>
      </c>
      <c r="Y222" s="37">
        <f t="shared" si="59"/>
        <v>2415.5039999999999</v>
      </c>
      <c r="Z222" s="17" t="s">
        <v>184</v>
      </c>
      <c r="AB222" s="17"/>
      <c r="AC222" s="17"/>
      <c r="AD222" s="17"/>
      <c r="AE222" s="17"/>
      <c r="AF222" s="17"/>
      <c r="AG222" s="17"/>
      <c r="AH222" s="17"/>
      <c r="AI222" s="17"/>
    </row>
    <row r="223" spans="15:35" ht="15.75" hidden="1" outlineLevel="1" x14ac:dyDescent="0.3">
      <c r="O223" s="17"/>
      <c r="P223" s="17"/>
      <c r="Q223" s="17" t="s">
        <v>48</v>
      </c>
      <c r="R223" s="17"/>
      <c r="S223" s="37"/>
      <c r="T223" s="37"/>
      <c r="U223" s="37">
        <f>'M1 Härtekammern'!T208</f>
        <v>922.7399999999999</v>
      </c>
      <c r="V223" s="17"/>
      <c r="W223" s="17"/>
      <c r="X223" s="37">
        <f t="shared" si="57"/>
        <v>0</v>
      </c>
      <c r="Y223" s="37">
        <f t="shared" si="59"/>
        <v>922.7399999999999</v>
      </c>
      <c r="Z223" s="17" t="s">
        <v>184</v>
      </c>
      <c r="AB223" s="17"/>
      <c r="AC223" s="17"/>
      <c r="AD223" s="17"/>
      <c r="AE223" s="17"/>
      <c r="AF223" s="17"/>
      <c r="AG223" s="17"/>
      <c r="AH223" s="17"/>
      <c r="AI223" s="17"/>
    </row>
    <row r="224" spans="15:35" ht="15.75" hidden="1" outlineLevel="1" x14ac:dyDescent="0.3">
      <c r="O224" s="17"/>
      <c r="P224" s="17"/>
      <c r="Q224" s="17" t="s">
        <v>147</v>
      </c>
      <c r="R224" s="17"/>
      <c r="S224" s="37"/>
      <c r="T224" s="37"/>
      <c r="U224" s="37">
        <f>'M1 Härtekammern'!T209</f>
        <v>0</v>
      </c>
      <c r="V224" s="17"/>
      <c r="W224" s="17"/>
      <c r="X224" s="37">
        <f t="shared" si="57"/>
        <v>0</v>
      </c>
      <c r="Y224" s="37">
        <f t="shared" si="59"/>
        <v>0</v>
      </c>
      <c r="Z224" s="17" t="s">
        <v>184</v>
      </c>
      <c r="AB224" s="17"/>
      <c r="AC224" s="17"/>
      <c r="AD224" s="17"/>
      <c r="AE224" s="18"/>
      <c r="AF224" s="18"/>
      <c r="AG224" s="17"/>
      <c r="AH224" s="18"/>
      <c r="AI224" s="18"/>
    </row>
    <row r="225" spans="15:35" hidden="1" outlineLevel="1" x14ac:dyDescent="0.2">
      <c r="O225" s="17"/>
      <c r="P225" s="17"/>
      <c r="Q225" s="17"/>
      <c r="R225" s="17"/>
      <c r="S225" s="17"/>
      <c r="T225" s="17"/>
      <c r="U225" s="17"/>
      <c r="V225" s="17"/>
      <c r="W225" s="17"/>
      <c r="X225" s="20"/>
      <c r="Y225" s="20"/>
      <c r="Z225" s="17"/>
      <c r="AB225" s="21" t="s">
        <v>209</v>
      </c>
      <c r="AC225" s="17"/>
      <c r="AD225" s="17"/>
      <c r="AE225" s="17"/>
      <c r="AF225" s="17"/>
      <c r="AG225" s="17"/>
      <c r="AH225" s="17"/>
      <c r="AI225" s="17"/>
    </row>
    <row r="226" spans="15:35" ht="14.25" hidden="1" outlineLevel="1" x14ac:dyDescent="0.25">
      <c r="O226" s="69"/>
      <c r="P226" s="69" t="s">
        <v>163</v>
      </c>
      <c r="Q226" s="70"/>
      <c r="R226" s="70"/>
      <c r="S226" s="71"/>
      <c r="T226" s="71"/>
      <c r="U226" s="71">
        <f>SUM(U227:U231)</f>
        <v>129.59200000000001</v>
      </c>
      <c r="V226" s="70"/>
      <c r="W226" s="70"/>
      <c r="X226" s="71">
        <f t="shared" ref="X226" si="60">S226+T226</f>
        <v>0</v>
      </c>
      <c r="Y226" s="71">
        <f t="shared" ref="Y226" si="61">SUM(S226:U226)</f>
        <v>129.59200000000001</v>
      </c>
      <c r="Z226" s="76" t="s">
        <v>183</v>
      </c>
      <c r="AB226" s="17"/>
      <c r="AC226" s="17" t="s">
        <v>439</v>
      </c>
      <c r="AD226" s="17"/>
      <c r="AE226" s="18">
        <f>S41</f>
        <v>5</v>
      </c>
      <c r="AF226" s="18"/>
      <c r="AG226" s="17"/>
      <c r="AH226" s="41">
        <f>IF(IF(NOT(ISBLANK($G$29)),$G$29,$E$29)&gt;5,AH138,0)</f>
        <v>1800</v>
      </c>
      <c r="AI226" s="20" t="s">
        <v>96</v>
      </c>
    </row>
    <row r="227" spans="15:35" ht="15.75" hidden="1" outlineLevel="1" x14ac:dyDescent="0.3">
      <c r="O227" s="17"/>
      <c r="P227" s="17"/>
      <c r="Q227" s="17" t="s">
        <v>164</v>
      </c>
      <c r="R227" s="17"/>
      <c r="S227" s="37"/>
      <c r="T227" s="37"/>
      <c r="U227" s="37">
        <f>'M1 Härtekammern'!T212</f>
        <v>129.59200000000001</v>
      </c>
      <c r="V227" s="17"/>
      <c r="W227" s="17"/>
      <c r="X227" s="37">
        <f>S227+T227</f>
        <v>0</v>
      </c>
      <c r="Y227" s="37">
        <f>SUM(S227:U227)</f>
        <v>129.59200000000001</v>
      </c>
      <c r="Z227" s="17" t="s">
        <v>184</v>
      </c>
      <c r="AB227" s="17"/>
      <c r="AC227" s="17" t="s">
        <v>440</v>
      </c>
      <c r="AD227" s="17"/>
      <c r="AE227" s="17">
        <f>T41</f>
        <v>10</v>
      </c>
      <c r="AF227" s="17"/>
      <c r="AG227" s="17"/>
      <c r="AH227" s="41">
        <f>IF(NOT(ISBLANK($K$24)),$K$24,$I$24)/IF(NOT(ISBLANK($K$29)),$K$29,$I$29)+IF(NOT(ISBLANK($K$24)),$K$24,$I$24)*(IF(NOT(ISBLANK($K$30)),$K$30,$I$30)/100)</f>
        <v>0</v>
      </c>
      <c r="AI227" s="20" t="s">
        <v>96</v>
      </c>
    </row>
    <row r="228" spans="15:35" ht="15.75" hidden="1" outlineLevel="1" x14ac:dyDescent="0.3">
      <c r="O228" s="17"/>
      <c r="P228" s="17"/>
      <c r="Q228" s="17" t="s">
        <v>165</v>
      </c>
      <c r="R228" s="17"/>
      <c r="S228" s="37"/>
      <c r="T228" s="37"/>
      <c r="U228" s="37">
        <f>'M1 Härtekammern'!T213</f>
        <v>0</v>
      </c>
      <c r="V228" s="17"/>
      <c r="W228" s="17"/>
      <c r="X228" s="37">
        <f>S228+T228</f>
        <v>0</v>
      </c>
      <c r="Y228" s="37">
        <f t="shared" ref="Y228:Y229" si="62">SUM(S228:U228)</f>
        <v>0</v>
      </c>
      <c r="Z228" s="17" t="s">
        <v>184</v>
      </c>
      <c r="AB228" s="17"/>
      <c r="AC228" s="17"/>
      <c r="AD228" s="17"/>
      <c r="AE228" s="18"/>
      <c r="AF228" s="18"/>
      <c r="AG228" s="17"/>
      <c r="AH228" s="18"/>
      <c r="AI228" s="18"/>
    </row>
    <row r="229" spans="15:35" ht="15.75" hidden="1" outlineLevel="1" x14ac:dyDescent="0.3">
      <c r="O229" s="17"/>
      <c r="P229" s="17"/>
      <c r="Q229" s="17" t="s">
        <v>166</v>
      </c>
      <c r="R229" s="17"/>
      <c r="S229" s="37"/>
      <c r="T229" s="37"/>
      <c r="U229" s="37">
        <f>'M1 Härtekammern'!T214</f>
        <v>0</v>
      </c>
      <c r="V229" s="17"/>
      <c r="W229" s="17"/>
      <c r="X229" s="37">
        <f t="shared" ref="X229" si="63">S229+T229</f>
        <v>0</v>
      </c>
      <c r="Y229" s="37">
        <f t="shared" si="62"/>
        <v>0</v>
      </c>
      <c r="Z229" s="17" t="s">
        <v>184</v>
      </c>
      <c r="AB229" s="17"/>
      <c r="AC229" s="17" t="s">
        <v>441</v>
      </c>
      <c r="AD229" s="17"/>
      <c r="AE229" s="17">
        <f>AE226</f>
        <v>5</v>
      </c>
      <c r="AF229" s="17"/>
      <c r="AG229" s="17"/>
      <c r="AH229" s="41">
        <f>IF(IF(NOT(ISBLANK($G$29)),$G$29,$E$29)&gt;5,AH140,0)</f>
        <v>0</v>
      </c>
      <c r="AI229" s="20" t="s">
        <v>96</v>
      </c>
    </row>
    <row r="230" spans="15:35" ht="15.75" hidden="1" outlineLevel="1" x14ac:dyDescent="0.3">
      <c r="O230" s="17"/>
      <c r="P230" s="17"/>
      <c r="Q230" s="17" t="str">
        <f>'M1 Härtekammern'!P215</f>
        <v>Weiterer Zuschlagstoff 1</v>
      </c>
      <c r="R230" s="17"/>
      <c r="S230" s="37"/>
      <c r="T230" s="37"/>
      <c r="U230" s="37">
        <f>'M1 Härtekammern'!T215</f>
        <v>0</v>
      </c>
      <c r="V230" s="17"/>
      <c r="W230" s="17"/>
      <c r="X230" s="37">
        <f t="shared" ref="X230:X231" si="64">S230+T230</f>
        <v>0</v>
      </c>
      <c r="Y230" s="37">
        <f t="shared" ref="Y230:Y231" si="65">SUM(S230:U230)</f>
        <v>0</v>
      </c>
      <c r="Z230" s="17" t="s">
        <v>184</v>
      </c>
      <c r="AB230" s="17"/>
      <c r="AC230" s="17" t="s">
        <v>441</v>
      </c>
      <c r="AD230" s="17"/>
      <c r="AE230" s="18">
        <f>AE227</f>
        <v>10</v>
      </c>
      <c r="AF230" s="18"/>
      <c r="AG230" s="17"/>
      <c r="AH230" s="41">
        <f>IF(NOT(ISBLANK($K$26)),$K$26,$I$26)/IF(NOT(ISBLANK($K$29)),$K$29,$I$29)+IF(NOT(ISBLANK($K$26)),$K$26,$I$26)*(IF(NOT(ISBLANK($K$30)),$K$30,$I$30)/100)</f>
        <v>0</v>
      </c>
      <c r="AI230" s="20" t="s">
        <v>96</v>
      </c>
    </row>
    <row r="231" spans="15:35" ht="15.75" hidden="1" outlineLevel="1" x14ac:dyDescent="0.3">
      <c r="O231" s="17"/>
      <c r="P231" s="17"/>
      <c r="Q231" s="17" t="str">
        <f>'M1 Härtekammern'!P216</f>
        <v>Weiterer Zuschlagstoff 2</v>
      </c>
      <c r="R231" s="17"/>
      <c r="S231" s="37"/>
      <c r="T231" s="37"/>
      <c r="U231" s="37">
        <f>'M1 Härtekammern'!T216</f>
        <v>0</v>
      </c>
      <c r="V231" s="17"/>
      <c r="W231" s="17"/>
      <c r="X231" s="37">
        <f t="shared" si="64"/>
        <v>0</v>
      </c>
      <c r="Y231" s="37">
        <f t="shared" si="65"/>
        <v>0</v>
      </c>
      <c r="Z231" s="17" t="s">
        <v>184</v>
      </c>
      <c r="AB231" s="17"/>
      <c r="AC231" s="17"/>
      <c r="AD231" s="17"/>
      <c r="AE231" s="18"/>
      <c r="AF231" s="18"/>
      <c r="AG231" s="17"/>
      <c r="AH231" s="18"/>
      <c r="AI231" s="18"/>
    </row>
    <row r="232" spans="15:35" hidden="1" outlineLevel="1" x14ac:dyDescent="0.2">
      <c r="O232" s="17"/>
      <c r="P232" s="17"/>
      <c r="Q232" s="17"/>
      <c r="R232" s="17"/>
      <c r="S232" s="17"/>
      <c r="T232" s="17"/>
      <c r="U232" s="17"/>
      <c r="V232" s="17"/>
      <c r="W232" s="17"/>
      <c r="X232" s="20"/>
      <c r="Y232" s="20"/>
      <c r="Z232" s="17"/>
      <c r="AB232" s="17"/>
      <c r="AC232" s="17"/>
      <c r="AD232" s="17"/>
      <c r="AE232" s="17"/>
      <c r="AF232" s="17"/>
      <c r="AG232" s="17"/>
      <c r="AH232" s="17"/>
      <c r="AI232" s="17"/>
    </row>
    <row r="233" spans="15:35" ht="14.25" hidden="1" outlineLevel="1" x14ac:dyDescent="0.25">
      <c r="O233" s="17"/>
      <c r="P233" s="17"/>
      <c r="Q233" s="21" t="s">
        <v>55</v>
      </c>
      <c r="R233" s="21"/>
      <c r="S233" s="74"/>
      <c r="T233" s="74"/>
      <c r="U233" s="37">
        <f>'M1 Härtekammern'!T218</f>
        <v>208</v>
      </c>
      <c r="V233" s="21"/>
      <c r="W233" s="21"/>
      <c r="X233" s="74">
        <f>S233+T233</f>
        <v>0</v>
      </c>
      <c r="Y233" s="74">
        <f t="shared" ref="Y233" si="66">SUM(S233:U233)</f>
        <v>208</v>
      </c>
      <c r="Z233" s="21" t="s">
        <v>183</v>
      </c>
      <c r="AB233" s="17"/>
      <c r="AC233" s="17"/>
      <c r="AD233" s="17"/>
      <c r="AE233" s="18"/>
      <c r="AF233" s="18"/>
      <c r="AG233" s="17"/>
      <c r="AH233" s="18"/>
      <c r="AI233" s="18"/>
    </row>
    <row r="234" spans="15:35" hidden="1" outlineLevel="1" x14ac:dyDescent="0.2">
      <c r="O234" s="17"/>
      <c r="P234" s="17"/>
      <c r="Q234" s="17"/>
      <c r="R234" s="17"/>
      <c r="S234" s="17"/>
      <c r="T234" s="17"/>
      <c r="U234" s="17"/>
      <c r="V234" s="17"/>
      <c r="W234" s="17"/>
      <c r="X234" s="20"/>
      <c r="Y234" s="20"/>
      <c r="Z234" s="17"/>
    </row>
    <row r="235" spans="15:35" ht="14.25" hidden="1" outlineLevel="1" x14ac:dyDescent="0.25">
      <c r="O235" s="69"/>
      <c r="P235" s="69" t="s">
        <v>167</v>
      </c>
      <c r="Q235" s="70"/>
      <c r="R235" s="70"/>
      <c r="S235" s="71"/>
      <c r="T235" s="71"/>
      <c r="U235" s="71">
        <f>SUM(U236:U240)</f>
        <v>81.003999999999991</v>
      </c>
      <c r="V235" s="70"/>
      <c r="W235" s="70"/>
      <c r="X235" s="71">
        <f t="shared" ref="X235" si="67">S235+T235</f>
        <v>0</v>
      </c>
      <c r="Y235" s="71">
        <f t="shared" ref="Y235" si="68">SUM(S235:U235)</f>
        <v>81.003999999999991</v>
      </c>
      <c r="Z235" s="76" t="s">
        <v>183</v>
      </c>
    </row>
    <row r="236" spans="15:35" ht="15.75" hidden="1" outlineLevel="1" x14ac:dyDescent="0.3">
      <c r="O236" s="17"/>
      <c r="P236" s="17"/>
      <c r="Q236" s="17" t="s">
        <v>57</v>
      </c>
      <c r="R236" s="17"/>
      <c r="S236" s="37"/>
      <c r="T236" s="37"/>
      <c r="U236" s="37">
        <f>'M1 Härtekammern'!T221</f>
        <v>0</v>
      </c>
      <c r="V236" s="17"/>
      <c r="W236" s="17"/>
      <c r="X236" s="37">
        <f>S236+T236</f>
        <v>0</v>
      </c>
      <c r="Y236" s="37">
        <f>SUM(S236:U236)</f>
        <v>0</v>
      </c>
      <c r="Z236" s="17" t="s">
        <v>184</v>
      </c>
    </row>
    <row r="237" spans="15:35" ht="15.75" hidden="1" outlineLevel="1" x14ac:dyDescent="0.3">
      <c r="O237" s="17"/>
      <c r="P237" s="17"/>
      <c r="Q237" s="17" t="s">
        <v>58</v>
      </c>
      <c r="R237" s="17"/>
      <c r="S237" s="37"/>
      <c r="T237" s="37"/>
      <c r="U237" s="37">
        <f>'M1 Härtekammern'!T222</f>
        <v>8.6840000000000011</v>
      </c>
      <c r="V237" s="17"/>
      <c r="W237" s="17"/>
      <c r="X237" s="37">
        <f>S237+T237</f>
        <v>0</v>
      </c>
      <c r="Y237" s="37">
        <f>SUM(S237:U237)</f>
        <v>8.6840000000000011</v>
      </c>
      <c r="Z237" s="17" t="s">
        <v>184</v>
      </c>
    </row>
    <row r="238" spans="15:35" ht="15.75" hidden="1" outlineLevel="1" x14ac:dyDescent="0.3">
      <c r="O238" s="17"/>
      <c r="P238" s="17"/>
      <c r="Q238" s="17" t="s">
        <v>59</v>
      </c>
      <c r="R238" s="17"/>
      <c r="S238" s="37"/>
      <c r="T238" s="37"/>
      <c r="U238" s="37">
        <f>'M1 Härtekammern'!T223</f>
        <v>72.319999999999993</v>
      </c>
      <c r="V238" s="17"/>
      <c r="W238" s="17"/>
      <c r="X238" s="37">
        <f>S238+T238</f>
        <v>0</v>
      </c>
      <c r="Y238" s="37">
        <f>SUM(S238:U238)</f>
        <v>72.319999999999993</v>
      </c>
      <c r="Z238" s="17" t="s">
        <v>184</v>
      </c>
    </row>
    <row r="239" spans="15:35" ht="15.75" hidden="1" outlineLevel="1" x14ac:dyDescent="0.3">
      <c r="O239" s="17"/>
      <c r="P239" s="17"/>
      <c r="Q239" s="17" t="str">
        <f>'M1 Härtekammern'!P224</f>
        <v>Weiterer Zusatzstoff 1</v>
      </c>
      <c r="R239" s="17"/>
      <c r="S239" s="37"/>
      <c r="T239" s="37"/>
      <c r="U239" s="37">
        <f>'M1 Härtekammern'!T224</f>
        <v>0</v>
      </c>
      <c r="V239" s="17"/>
      <c r="W239" s="17"/>
      <c r="X239" s="37">
        <f t="shared" ref="X239:X240" si="69">S239+T239</f>
        <v>0</v>
      </c>
      <c r="Y239" s="37">
        <f t="shared" ref="Y239:Y240" si="70">SUM(S239:U239)</f>
        <v>0</v>
      </c>
      <c r="Z239" s="17" t="s">
        <v>184</v>
      </c>
    </row>
    <row r="240" spans="15:35" ht="15.75" hidden="1" outlineLevel="1" x14ac:dyDescent="0.3">
      <c r="O240" s="17"/>
      <c r="P240" s="17"/>
      <c r="Q240" s="17" t="str">
        <f>'M1 Härtekammern'!P225</f>
        <v>Weiterer Zusatzstoff 2</v>
      </c>
      <c r="R240" s="17"/>
      <c r="S240" s="37"/>
      <c r="T240" s="37"/>
      <c r="U240" s="37">
        <f>'M1 Härtekammern'!T225</f>
        <v>0</v>
      </c>
      <c r="V240" s="17"/>
      <c r="W240" s="17"/>
      <c r="X240" s="37">
        <f t="shared" si="69"/>
        <v>0</v>
      </c>
      <c r="Y240" s="37">
        <f t="shared" si="70"/>
        <v>0</v>
      </c>
      <c r="Z240" s="17" t="s">
        <v>184</v>
      </c>
    </row>
    <row r="241" spans="15:26" hidden="1" outlineLevel="1" x14ac:dyDescent="0.2">
      <c r="O241" s="17"/>
      <c r="P241" s="17"/>
      <c r="Q241" s="17"/>
      <c r="R241" s="17"/>
      <c r="S241" s="17"/>
      <c r="T241" s="17"/>
      <c r="U241" s="17"/>
      <c r="V241" s="17"/>
      <c r="W241" s="17"/>
      <c r="X241" s="17"/>
      <c r="Y241" s="20"/>
      <c r="Z241" s="20"/>
    </row>
    <row r="242" spans="15:26" ht="14.25" hidden="1" outlineLevel="1" x14ac:dyDescent="0.25">
      <c r="O242" s="69"/>
      <c r="P242" s="69" t="s">
        <v>49</v>
      </c>
      <c r="Q242" s="70"/>
      <c r="R242" s="70"/>
      <c r="S242" s="71"/>
      <c r="T242" s="71"/>
      <c r="U242" s="71">
        <f t="shared" ref="U242" si="71">SUM(U243:U246)</f>
        <v>148.44746134951595</v>
      </c>
      <c r="V242" s="70"/>
      <c r="W242" s="70"/>
      <c r="X242" s="71">
        <f t="shared" ref="X242:X246" si="72">S242+T242</f>
        <v>0</v>
      </c>
      <c r="Y242" s="71">
        <f t="shared" ref="Y242" si="73">SUM(S242:U242)</f>
        <v>148.44746134951595</v>
      </c>
      <c r="Z242" s="76" t="s">
        <v>183</v>
      </c>
    </row>
    <row r="243" spans="15:26" ht="15.75" hidden="1" outlineLevel="1" x14ac:dyDescent="0.3">
      <c r="O243" s="17"/>
      <c r="P243" s="17"/>
      <c r="Q243" s="17" t="s">
        <v>50</v>
      </c>
      <c r="R243" s="17"/>
      <c r="S243" s="37"/>
      <c r="T243" s="37"/>
      <c r="U243" s="37">
        <f>'M1 Härtekammern'!T228</f>
        <v>47.997919375812742</v>
      </c>
      <c r="V243" s="17"/>
      <c r="W243" s="17"/>
      <c r="X243" s="37">
        <f t="shared" si="72"/>
        <v>0</v>
      </c>
      <c r="Y243" s="37">
        <f t="shared" ref="Y243:Y246" si="74">SUM(S243:U243)</f>
        <v>47.997919375812742</v>
      </c>
      <c r="Z243" s="17" t="s">
        <v>184</v>
      </c>
    </row>
    <row r="244" spans="15:26" ht="15.75" hidden="1" outlineLevel="1" x14ac:dyDescent="0.3">
      <c r="O244" s="17"/>
      <c r="P244" s="17"/>
      <c r="Q244" s="17" t="s">
        <v>52</v>
      </c>
      <c r="R244" s="17"/>
      <c r="S244" s="37"/>
      <c r="T244" s="37"/>
      <c r="U244" s="37">
        <f>'M1 Härtekammern'!T229</f>
        <v>5.7797543707556596</v>
      </c>
      <c r="V244" s="17"/>
      <c r="W244" s="17"/>
      <c r="X244" s="37">
        <f t="shared" si="72"/>
        <v>0</v>
      </c>
      <c r="Y244" s="37">
        <f t="shared" si="74"/>
        <v>5.7797543707556596</v>
      </c>
      <c r="Z244" s="17" t="s">
        <v>184</v>
      </c>
    </row>
    <row r="245" spans="15:26" ht="15.75" hidden="1" outlineLevel="1" x14ac:dyDescent="0.3">
      <c r="O245" s="17"/>
      <c r="P245" s="17"/>
      <c r="Q245" s="17" t="s">
        <v>53</v>
      </c>
      <c r="R245" s="17"/>
      <c r="S245" s="37"/>
      <c r="T245" s="37"/>
      <c r="U245" s="37">
        <f>'M1 Härtekammern'!T230</f>
        <v>1.4217598612917211E-2</v>
      </c>
      <c r="V245" s="17"/>
      <c r="W245" s="17"/>
      <c r="X245" s="37">
        <f t="shared" si="72"/>
        <v>0</v>
      </c>
      <c r="Y245" s="37">
        <f t="shared" si="74"/>
        <v>1.4217598612917211E-2</v>
      </c>
      <c r="Z245" s="17" t="s">
        <v>184</v>
      </c>
    </row>
    <row r="246" spans="15:26" ht="15.75" hidden="1" outlineLevel="1" x14ac:dyDescent="0.3">
      <c r="O246" s="17"/>
      <c r="P246" s="17"/>
      <c r="Q246" s="17" t="s">
        <v>54</v>
      </c>
      <c r="R246" s="17"/>
      <c r="S246" s="37"/>
      <c r="T246" s="37"/>
      <c r="U246" s="37">
        <f>'M1 Härtekammern'!T231</f>
        <v>94.655570004334635</v>
      </c>
      <c r="V246" s="17"/>
      <c r="W246" s="17"/>
      <c r="X246" s="37">
        <f t="shared" si="72"/>
        <v>0</v>
      </c>
      <c r="Y246" s="37">
        <f t="shared" si="74"/>
        <v>94.655570004334635</v>
      </c>
      <c r="Z246" s="17" t="s">
        <v>184</v>
      </c>
    </row>
    <row r="247" spans="15:26" hidden="1" outlineLevel="1" x14ac:dyDescent="0.2">
      <c r="O247" s="17"/>
      <c r="P247" s="17"/>
      <c r="Q247" s="17"/>
      <c r="R247" s="17"/>
      <c r="S247" s="17"/>
      <c r="T247" s="17"/>
      <c r="U247" s="17"/>
      <c r="V247" s="17"/>
      <c r="W247" s="17"/>
      <c r="X247" s="17"/>
      <c r="Y247" s="17"/>
      <c r="Z247" s="20"/>
    </row>
    <row r="248" spans="15:26" ht="14.25" hidden="1" outlineLevel="1" x14ac:dyDescent="0.25">
      <c r="O248" s="17"/>
      <c r="P248" s="17"/>
      <c r="Q248" s="21" t="s">
        <v>99</v>
      </c>
      <c r="R248" s="21"/>
      <c r="S248" s="74"/>
      <c r="T248" s="74"/>
      <c r="U248" s="37">
        <f>'M1 Härtekammern'!T233</f>
        <v>0</v>
      </c>
      <c r="V248" s="21"/>
      <c r="W248" s="21"/>
      <c r="X248" s="74">
        <f>S248+T248</f>
        <v>0</v>
      </c>
      <c r="Y248" s="74">
        <f>SUM(S248:U248)</f>
        <v>0</v>
      </c>
      <c r="Z248" s="21" t="s">
        <v>183</v>
      </c>
    </row>
    <row r="249" spans="15:26" ht="14.25" hidden="1" outlineLevel="1" x14ac:dyDescent="0.25">
      <c r="O249" s="17"/>
      <c r="P249" s="17"/>
      <c r="Q249" s="21" t="s">
        <v>62</v>
      </c>
      <c r="R249" s="21"/>
      <c r="S249" s="75"/>
      <c r="T249" s="75"/>
      <c r="U249" s="37">
        <f>'M1 Härtekammern'!T234</f>
        <v>0.54400000000000004</v>
      </c>
      <c r="V249" s="21"/>
      <c r="W249" s="21"/>
      <c r="X249" s="74">
        <f>S249+T249</f>
        <v>0</v>
      </c>
      <c r="Y249" s="74">
        <f>SUM(S249:U249)</f>
        <v>0.54400000000000004</v>
      </c>
      <c r="Z249" s="21" t="s">
        <v>183</v>
      </c>
    </row>
    <row r="250" spans="15:26" hidden="1" outlineLevel="1" x14ac:dyDescent="0.2">
      <c r="O250" s="17"/>
      <c r="P250" s="17"/>
      <c r="Q250" s="17"/>
      <c r="R250" s="17"/>
      <c r="S250" s="17"/>
      <c r="T250" s="17"/>
      <c r="U250" s="17"/>
      <c r="V250" s="17"/>
      <c r="W250" s="17"/>
      <c r="X250" s="17"/>
      <c r="Y250" s="17"/>
      <c r="Z250" s="20"/>
    </row>
    <row r="251" spans="15:26" ht="14.25" hidden="1" outlineLevel="1" x14ac:dyDescent="0.25">
      <c r="O251" s="69"/>
      <c r="P251" s="69" t="s">
        <v>168</v>
      </c>
      <c r="Q251" s="70"/>
      <c r="R251" s="70"/>
      <c r="S251" s="71"/>
      <c r="T251" s="71"/>
      <c r="U251" s="71">
        <f t="shared" ref="U251" si="75">SUM(U252:U254)</f>
        <v>0.16095999999999999</v>
      </c>
      <c r="V251" s="70"/>
      <c r="W251" s="70"/>
      <c r="X251" s="71">
        <f t="shared" ref="X251" si="76">S251+T251</f>
        <v>0</v>
      </c>
      <c r="Y251" s="71">
        <f t="shared" ref="Y251" si="77">SUM(S251:U251)</f>
        <v>0.16095999999999999</v>
      </c>
      <c r="Z251" s="76" t="s">
        <v>183</v>
      </c>
    </row>
    <row r="252" spans="15:26" ht="15.75" hidden="1" outlineLevel="1" x14ac:dyDescent="0.3">
      <c r="O252" s="17"/>
      <c r="P252" s="17"/>
      <c r="Q252" s="17" t="s">
        <v>169</v>
      </c>
      <c r="R252" s="17"/>
      <c r="S252" s="37"/>
      <c r="T252" s="37"/>
      <c r="U252" s="37">
        <f>'M1 Härtekammern'!T237</f>
        <v>0</v>
      </c>
      <c r="V252" s="17"/>
      <c r="W252" s="17"/>
      <c r="X252" s="37">
        <f>S252+T252</f>
        <v>0</v>
      </c>
      <c r="Y252" s="37">
        <f>SUM(S252:U252)</f>
        <v>0</v>
      </c>
      <c r="Z252" s="17" t="s">
        <v>184</v>
      </c>
    </row>
    <row r="253" spans="15:26" ht="15.75" hidden="1" outlineLevel="1" x14ac:dyDescent="0.3">
      <c r="O253" s="17"/>
      <c r="P253" s="17"/>
      <c r="Q253" s="17" t="s">
        <v>60</v>
      </c>
      <c r="R253" s="17"/>
      <c r="S253" s="37"/>
      <c r="T253" s="37"/>
      <c r="U253" s="37">
        <f>'M1 Härtekammern'!T238</f>
        <v>0.16095999999999999</v>
      </c>
      <c r="V253" s="17"/>
      <c r="W253" s="17"/>
      <c r="X253" s="37">
        <f t="shared" ref="X253" si="78">S253+T253</f>
        <v>0</v>
      </c>
      <c r="Y253" s="37">
        <f t="shared" ref="Y253" si="79">SUM(S253:U253)</f>
        <v>0.16095999999999999</v>
      </c>
      <c r="Z253" s="17" t="s">
        <v>184</v>
      </c>
    </row>
    <row r="254" spans="15:26" ht="15.75" hidden="1" outlineLevel="1" x14ac:dyDescent="0.3">
      <c r="O254" s="17"/>
      <c r="P254" s="17"/>
      <c r="Q254" s="17" t="s">
        <v>170</v>
      </c>
      <c r="R254" s="17"/>
      <c r="S254" s="37"/>
      <c r="T254" s="37"/>
      <c r="U254" s="37">
        <f>'M1 Härtekammern'!T239</f>
        <v>0</v>
      </c>
      <c r="V254" s="17"/>
      <c r="W254" s="17"/>
      <c r="X254" s="37">
        <f>S254+T254</f>
        <v>0</v>
      </c>
      <c r="Y254" s="37">
        <f>SUM(S254:U254)</f>
        <v>0</v>
      </c>
      <c r="Z254" s="17" t="s">
        <v>184</v>
      </c>
    </row>
    <row r="255" spans="15:26" hidden="1" outlineLevel="1" x14ac:dyDescent="0.2">
      <c r="O255" s="17"/>
      <c r="P255" s="17"/>
      <c r="Q255" s="17"/>
      <c r="R255" s="17"/>
      <c r="S255" s="17"/>
      <c r="T255" s="17"/>
      <c r="U255" s="17"/>
      <c r="V255" s="17"/>
      <c r="W255" s="17"/>
      <c r="X255" s="17"/>
      <c r="Y255" s="17"/>
      <c r="Z255" s="20"/>
    </row>
    <row r="256" spans="15:26" ht="14.25" hidden="1" outlineLevel="1" x14ac:dyDescent="0.25">
      <c r="O256" s="69"/>
      <c r="P256" s="69" t="s">
        <v>171</v>
      </c>
      <c r="Q256" s="70"/>
      <c r="R256" s="70"/>
      <c r="S256" s="71"/>
      <c r="T256" s="71"/>
      <c r="U256" s="71">
        <f t="shared" ref="U256" si="80">SUM(U257:U259)</f>
        <v>60</v>
      </c>
      <c r="V256" s="70"/>
      <c r="W256" s="70"/>
      <c r="X256" s="71">
        <f t="shared" ref="X256" si="81">S256+T256</f>
        <v>0</v>
      </c>
      <c r="Y256" s="71">
        <f t="shared" ref="Y256" si="82">SUM(S256:U256)</f>
        <v>60</v>
      </c>
      <c r="Z256" s="76" t="s">
        <v>183</v>
      </c>
    </row>
    <row r="257" spans="15:26" ht="15.75" hidden="1" outlineLevel="1" x14ac:dyDescent="0.3">
      <c r="O257" s="17"/>
      <c r="P257" s="17"/>
      <c r="Q257" s="17" t="s">
        <v>64</v>
      </c>
      <c r="R257" s="17"/>
      <c r="S257" s="43"/>
      <c r="T257" s="43"/>
      <c r="U257" s="37">
        <f>'M1 Härtekammern'!T242</f>
        <v>60</v>
      </c>
      <c r="V257" s="17"/>
      <c r="W257" s="17"/>
      <c r="X257" s="37">
        <f>S257+T257</f>
        <v>0</v>
      </c>
      <c r="Y257" s="37">
        <f>SUM(S257:U257)</f>
        <v>60</v>
      </c>
      <c r="Z257" s="17" t="s">
        <v>184</v>
      </c>
    </row>
    <row r="258" spans="15:26" ht="15.75" hidden="1" outlineLevel="1" x14ac:dyDescent="0.3">
      <c r="O258" s="17"/>
      <c r="P258" s="17"/>
      <c r="Q258" s="17" t="s">
        <v>173</v>
      </c>
      <c r="R258" s="17"/>
      <c r="S258" s="43"/>
      <c r="T258" s="43"/>
      <c r="U258" s="37">
        <f>'M1 Härtekammern'!T243</f>
        <v>0</v>
      </c>
      <c r="V258" s="17"/>
      <c r="W258" s="17"/>
      <c r="X258" s="37">
        <f t="shared" ref="X258:X259" si="83">S258+T258</f>
        <v>0</v>
      </c>
      <c r="Y258" s="37">
        <f t="shared" ref="Y258:Y259" si="84">SUM(S258:U258)</f>
        <v>0</v>
      </c>
      <c r="Z258" s="17" t="s">
        <v>184</v>
      </c>
    </row>
    <row r="259" spans="15:26" ht="15.75" hidden="1" outlineLevel="1" x14ac:dyDescent="0.3">
      <c r="O259" s="17"/>
      <c r="P259" s="17"/>
      <c r="Q259" s="17" t="s">
        <v>172</v>
      </c>
      <c r="R259" s="17"/>
      <c r="S259" s="43"/>
      <c r="T259" s="43"/>
      <c r="U259" s="37">
        <f>'M1 Härtekammern'!T244</f>
        <v>0</v>
      </c>
      <c r="V259" s="17"/>
      <c r="W259" s="17"/>
      <c r="X259" s="37">
        <f t="shared" si="83"/>
        <v>0</v>
      </c>
      <c r="Y259" s="37">
        <f t="shared" si="84"/>
        <v>0</v>
      </c>
      <c r="Z259" s="17" t="s">
        <v>184</v>
      </c>
    </row>
    <row r="260" spans="15:26" hidden="1" outlineLevel="1" x14ac:dyDescent="0.2">
      <c r="O260" s="17"/>
      <c r="P260" s="17"/>
      <c r="Q260" s="17"/>
      <c r="R260" s="17"/>
      <c r="S260" s="17"/>
      <c r="T260" s="17"/>
      <c r="U260" s="17"/>
      <c r="V260" s="17"/>
      <c r="W260" s="17"/>
      <c r="X260" s="17"/>
      <c r="Y260" s="17"/>
      <c r="Z260" s="20"/>
    </row>
    <row r="261" spans="15:26" ht="14.25" hidden="1" outlineLevel="1" x14ac:dyDescent="0.25">
      <c r="O261" s="17"/>
      <c r="P261" s="17"/>
      <c r="Q261" s="21" t="s">
        <v>61</v>
      </c>
      <c r="R261" s="21"/>
      <c r="S261" s="75"/>
      <c r="T261" s="75"/>
      <c r="U261" s="37">
        <f>'M1 Härtekammern'!T246</f>
        <v>64.48</v>
      </c>
      <c r="V261" s="21"/>
      <c r="W261" s="21"/>
      <c r="X261" s="74">
        <f t="shared" ref="X261" si="85">S261+T261</f>
        <v>0</v>
      </c>
      <c r="Y261" s="74">
        <f t="shared" ref="Y261" si="86">SUM(S261:U261)</f>
        <v>64.48</v>
      </c>
      <c r="Z261" s="21" t="s">
        <v>183</v>
      </c>
    </row>
    <row r="262" spans="15:26" hidden="1" outlineLevel="1" x14ac:dyDescent="0.2">
      <c r="O262" s="17"/>
      <c r="P262" s="17"/>
      <c r="Q262" s="17"/>
      <c r="R262" s="17"/>
      <c r="S262" s="20"/>
      <c r="T262" s="20"/>
      <c r="U262" s="20"/>
      <c r="V262" s="17"/>
      <c r="W262" s="17"/>
      <c r="X262" s="17"/>
      <c r="Y262" s="20"/>
      <c r="Z262" s="20"/>
    </row>
    <row r="263" spans="15:26" ht="15" hidden="1" outlineLevel="1" thickBot="1" x14ac:dyDescent="0.3">
      <c r="O263" s="17"/>
      <c r="P263" s="17"/>
      <c r="Q263" s="67" t="s">
        <v>67</v>
      </c>
      <c r="R263" s="67"/>
      <c r="S263" s="68">
        <f>SUM(S202:S261)-S216-S220-S226-S235-S242-S251-S256</f>
        <v>94.932355060000006</v>
      </c>
      <c r="T263" s="68">
        <f>SUM(T202:T261)-T216-T220-T226-T235-T242-T251-T256</f>
        <v>58.782689878035576</v>
      </c>
      <c r="U263" s="68">
        <f>SUM(U202:U261)-U216-U220-U226-U235-U242-U251-U256</f>
        <v>5734.6279404879733</v>
      </c>
      <c r="V263" s="21"/>
      <c r="W263" s="21"/>
      <c r="X263" s="68">
        <f>SUM(X202:X261)-X216-X220-X226-X235-X242-X251-X256</f>
        <v>153.71504493803556</v>
      </c>
      <c r="Y263" s="68">
        <f>SUM(Y202:Y261)-Y216-Y220-Y226-Y235-Y242-Y251-Y256</f>
        <v>5888.3429854260085</v>
      </c>
      <c r="Z263" s="68" t="s">
        <v>183</v>
      </c>
    </row>
    <row r="264" spans="15:26" ht="13.5" hidden="1" outlineLevel="1" thickTop="1" x14ac:dyDescent="0.2">
      <c r="O264" s="17"/>
      <c r="P264" s="17"/>
      <c r="Q264" s="17"/>
      <c r="R264" s="17"/>
      <c r="S264" s="20"/>
      <c r="T264" s="20"/>
      <c r="U264" s="20"/>
      <c r="V264" s="17"/>
      <c r="W264" s="17"/>
      <c r="X264" s="17"/>
      <c r="Y264" s="20"/>
      <c r="Z264" s="20"/>
    </row>
    <row r="265" spans="15:26" hidden="1" outlineLevel="1" x14ac:dyDescent="0.2"/>
    <row r="266" spans="15:26" hidden="1" outlineLevel="1" x14ac:dyDescent="0.2"/>
    <row r="267" spans="15:26" hidden="1" outlineLevel="1" x14ac:dyDescent="0.2"/>
    <row r="268" spans="15:26" hidden="1" outlineLevel="1" x14ac:dyDescent="0.2"/>
    <row r="269" spans="15:26" hidden="1" outlineLevel="1" x14ac:dyDescent="0.2"/>
    <row r="270" spans="15:26" hidden="1" outlineLevel="1" x14ac:dyDescent="0.2"/>
    <row r="271" spans="15:26" hidden="1" outlineLevel="1" x14ac:dyDescent="0.2"/>
    <row r="272" spans="15:26"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x14ac:dyDescent="0.2"/>
    <row r="282" hidden="1" outlineLevel="1" x14ac:dyDescent="0.2"/>
    <row r="283" hidden="1" outlineLevel="1" x14ac:dyDescent="0.2"/>
    <row r="284" hidden="1" outlineLevel="1" x14ac:dyDescent="0.2"/>
    <row r="285" hidden="1" outlineLevel="1" x14ac:dyDescent="0.2"/>
    <row r="286" hidden="1" outlineLevel="1" x14ac:dyDescent="0.2"/>
    <row r="287" hidden="1" outlineLevel="1" x14ac:dyDescent="0.2"/>
    <row r="288" hidden="1" outlineLevel="1" x14ac:dyDescent="0.2"/>
    <row r="289" hidden="1" outlineLevel="1" x14ac:dyDescent="0.2"/>
    <row r="290" hidden="1" outlineLevel="1" x14ac:dyDescent="0.2"/>
    <row r="291" hidden="1" outlineLevel="1" x14ac:dyDescent="0.2"/>
    <row r="292" collapsed="1" x14ac:dyDescent="0.2"/>
  </sheetData>
  <sheetProtection algorithmName="SHA-512" hashValue="Fm2hBVg7EghXnYn+m1Pvz8pxxsUrhy7ChXB4bl1eBs9Q+CgVR3fW3zNU7LVmWtX0SO2Rbu4DGECLrDntN/kyww==" saltValue="w4d3DYxG6z907t2yrWdfCQ==" spinCount="100000" sheet="1" selectLockedCells="1"/>
  <mergeCells count="8">
    <mergeCell ref="AH41:AH42"/>
    <mergeCell ref="Y50:Y51"/>
    <mergeCell ref="D6:L6"/>
    <mergeCell ref="D12:J12"/>
    <mergeCell ref="E13:G13"/>
    <mergeCell ref="E19:G19"/>
    <mergeCell ref="I19:K19"/>
    <mergeCell ref="P41:P42"/>
  </mergeCells>
  <hyperlinks>
    <hyperlink ref="A1" location="Cockpit!A1" display="zurück zu Cockpit" xr:uid="{B61BA5F5-42E2-48B8-9361-2CFC27B8538A}"/>
  </hyperlinks>
  <printOptions horizontalCentered="1"/>
  <pageMargins left="0.39370078740157483" right="0.39370078740157483" top="0.39370078740157483" bottom="0.59055118110236227" header="0.19685039370078741" footer="0.19685039370078741"/>
  <pageSetup paperSize="9" scale="48" fitToWidth="4" orientation="portrait" verticalDpi="601" r:id="rId1"/>
  <colBreaks count="3" manualBreakCount="3">
    <brk id="13" max="1048575" man="1"/>
    <brk id="22" max="1048575" man="1"/>
    <brk id="3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Check Box 1">
              <controlPr defaultSize="0" autoFill="0" autoLine="0" autoPict="0">
                <anchor moveWithCells="1">
                  <from>
                    <xdr:col>15</xdr:col>
                    <xdr:colOff>523875</xdr:colOff>
                    <xdr:row>42</xdr:row>
                    <xdr:rowOff>28575</xdr:rowOff>
                  </from>
                  <to>
                    <xdr:col>15</xdr:col>
                    <xdr:colOff>704850</xdr:colOff>
                    <xdr:row>43</xdr:row>
                    <xdr:rowOff>0</xdr:rowOff>
                  </to>
                </anchor>
              </controlPr>
            </control>
          </mc:Choice>
        </mc:AlternateContent>
        <mc:AlternateContent xmlns:mc="http://schemas.openxmlformats.org/markup-compatibility/2006">
          <mc:Choice Requires="x14">
            <control shapeId="123906" r:id="rId5" name="Check Box 2">
              <controlPr defaultSize="0" autoFill="0" autoLine="0" autoPict="0">
                <anchor moveWithCells="1">
                  <from>
                    <xdr:col>15</xdr:col>
                    <xdr:colOff>523875</xdr:colOff>
                    <xdr:row>43</xdr:row>
                    <xdr:rowOff>28575</xdr:rowOff>
                  </from>
                  <to>
                    <xdr:col>15</xdr:col>
                    <xdr:colOff>704850</xdr:colOff>
                    <xdr:row>43</xdr:row>
                    <xdr:rowOff>190500</xdr:rowOff>
                  </to>
                </anchor>
              </controlPr>
            </control>
          </mc:Choice>
        </mc:AlternateContent>
        <mc:AlternateContent xmlns:mc="http://schemas.openxmlformats.org/markup-compatibility/2006">
          <mc:Choice Requires="x14">
            <control shapeId="123907" r:id="rId6" name="Check Box 3">
              <controlPr defaultSize="0" autoFill="0" autoLine="0" autoPict="0">
                <anchor moveWithCells="1">
                  <from>
                    <xdr:col>15</xdr:col>
                    <xdr:colOff>523875</xdr:colOff>
                    <xdr:row>44</xdr:row>
                    <xdr:rowOff>28575</xdr:rowOff>
                  </from>
                  <to>
                    <xdr:col>15</xdr:col>
                    <xdr:colOff>704850</xdr:colOff>
                    <xdr:row>44</xdr:row>
                    <xdr:rowOff>180975</xdr:rowOff>
                  </to>
                </anchor>
              </controlPr>
            </control>
          </mc:Choice>
        </mc:AlternateContent>
        <mc:AlternateContent xmlns:mc="http://schemas.openxmlformats.org/markup-compatibility/2006">
          <mc:Choice Requires="x14">
            <control shapeId="123908" r:id="rId7" name="Check Box 4">
              <controlPr defaultSize="0" autoFill="0" autoLine="0" autoPict="0">
                <anchor moveWithCells="1">
                  <from>
                    <xdr:col>15</xdr:col>
                    <xdr:colOff>523875</xdr:colOff>
                    <xdr:row>45</xdr:row>
                    <xdr:rowOff>19050</xdr:rowOff>
                  </from>
                  <to>
                    <xdr:col>15</xdr:col>
                    <xdr:colOff>704850</xdr:colOff>
                    <xdr:row>45</xdr:row>
                    <xdr:rowOff>190500</xdr:rowOff>
                  </to>
                </anchor>
              </controlPr>
            </control>
          </mc:Choice>
        </mc:AlternateContent>
        <mc:AlternateContent xmlns:mc="http://schemas.openxmlformats.org/markup-compatibility/2006">
          <mc:Choice Requires="x14">
            <control shapeId="123909" r:id="rId8" name="Check Box 5">
              <controlPr defaultSize="0" autoFill="0" autoLine="0" autoPict="0">
                <anchor moveWithCells="1">
                  <from>
                    <xdr:col>15</xdr:col>
                    <xdr:colOff>523875</xdr:colOff>
                    <xdr:row>46</xdr:row>
                    <xdr:rowOff>19050</xdr:rowOff>
                  </from>
                  <to>
                    <xdr:col>15</xdr:col>
                    <xdr:colOff>704850</xdr:colOff>
                    <xdr:row>46</xdr:row>
                    <xdr:rowOff>180975</xdr:rowOff>
                  </to>
                </anchor>
              </controlPr>
            </control>
          </mc:Choice>
        </mc:AlternateContent>
        <mc:AlternateContent xmlns:mc="http://schemas.openxmlformats.org/markup-compatibility/2006">
          <mc:Choice Requires="x14">
            <control shapeId="123910" r:id="rId9" name="Check Box 6">
              <controlPr defaultSize="0" autoFill="0" autoLine="0" autoPict="0">
                <anchor moveWithCells="1">
                  <from>
                    <xdr:col>15</xdr:col>
                    <xdr:colOff>523875</xdr:colOff>
                    <xdr:row>47</xdr:row>
                    <xdr:rowOff>0</xdr:rowOff>
                  </from>
                  <to>
                    <xdr:col>15</xdr:col>
                    <xdr:colOff>704850</xdr:colOff>
                    <xdr:row>47</xdr:row>
                    <xdr:rowOff>180975</xdr:rowOff>
                  </to>
                </anchor>
              </controlPr>
            </control>
          </mc:Choice>
        </mc:AlternateContent>
        <mc:AlternateContent xmlns:mc="http://schemas.openxmlformats.org/markup-compatibility/2006">
          <mc:Choice Requires="x14">
            <control shapeId="123911" r:id="rId10" name="Check Box 7">
              <controlPr defaultSize="0" autoFill="0" autoLine="0" autoPict="0">
                <anchor moveWithCells="1">
                  <from>
                    <xdr:col>15</xdr:col>
                    <xdr:colOff>523875</xdr:colOff>
                    <xdr:row>48</xdr:row>
                    <xdr:rowOff>9525</xdr:rowOff>
                  </from>
                  <to>
                    <xdr:col>15</xdr:col>
                    <xdr:colOff>704850</xdr:colOff>
                    <xdr:row>48</xdr:row>
                    <xdr:rowOff>190500</xdr:rowOff>
                  </to>
                </anchor>
              </controlPr>
            </control>
          </mc:Choice>
        </mc:AlternateContent>
        <mc:AlternateContent xmlns:mc="http://schemas.openxmlformats.org/markup-compatibility/2006">
          <mc:Choice Requires="x14">
            <control shapeId="123912" r:id="rId11" name="Check Box 8">
              <controlPr defaultSize="0" autoFill="0" autoLine="0" autoPict="0">
                <anchor moveWithCells="1">
                  <from>
                    <xdr:col>33</xdr:col>
                    <xdr:colOff>457200</xdr:colOff>
                    <xdr:row>53</xdr:row>
                    <xdr:rowOff>0</xdr:rowOff>
                  </from>
                  <to>
                    <xdr:col>33</xdr:col>
                    <xdr:colOff>676275</xdr:colOff>
                    <xdr:row>53</xdr:row>
                    <xdr:rowOff>180975</xdr:rowOff>
                  </to>
                </anchor>
              </controlPr>
            </control>
          </mc:Choice>
        </mc:AlternateContent>
        <mc:AlternateContent xmlns:mc="http://schemas.openxmlformats.org/markup-compatibility/2006">
          <mc:Choice Requires="x14">
            <control shapeId="123913" r:id="rId12" name="Check Box 9">
              <controlPr defaultSize="0" autoFill="0" autoLine="0" autoPict="0">
                <anchor moveWithCells="1">
                  <from>
                    <xdr:col>33</xdr:col>
                    <xdr:colOff>571500</xdr:colOff>
                    <xdr:row>54</xdr:row>
                    <xdr:rowOff>19050</xdr:rowOff>
                  </from>
                  <to>
                    <xdr:col>34</xdr:col>
                    <xdr:colOff>0</xdr:colOff>
                    <xdr:row>55</xdr:row>
                    <xdr:rowOff>0</xdr:rowOff>
                  </to>
                </anchor>
              </controlPr>
            </control>
          </mc:Choice>
        </mc:AlternateContent>
        <mc:AlternateContent xmlns:mc="http://schemas.openxmlformats.org/markup-compatibility/2006">
          <mc:Choice Requires="x14">
            <control shapeId="123914" r:id="rId13" name="Check Box 10">
              <controlPr defaultSize="0" autoFill="0" autoLine="0" autoPict="0">
                <anchor moveWithCells="1">
                  <from>
                    <xdr:col>33</xdr:col>
                    <xdr:colOff>571500</xdr:colOff>
                    <xdr:row>55</xdr:row>
                    <xdr:rowOff>19050</xdr:rowOff>
                  </from>
                  <to>
                    <xdr:col>34</xdr:col>
                    <xdr:colOff>0</xdr:colOff>
                    <xdr:row>56</xdr:row>
                    <xdr:rowOff>0</xdr:rowOff>
                  </to>
                </anchor>
              </controlPr>
            </control>
          </mc:Choice>
        </mc:AlternateContent>
        <mc:AlternateContent xmlns:mc="http://schemas.openxmlformats.org/markup-compatibility/2006">
          <mc:Choice Requires="x14">
            <control shapeId="123915" r:id="rId14" name="Check Box 11">
              <controlPr defaultSize="0" autoFill="0" autoLine="0" autoPict="0">
                <anchor moveWithCells="1">
                  <from>
                    <xdr:col>33</xdr:col>
                    <xdr:colOff>571500</xdr:colOff>
                    <xdr:row>56</xdr:row>
                    <xdr:rowOff>9525</xdr:rowOff>
                  </from>
                  <to>
                    <xdr:col>34</xdr:col>
                    <xdr:colOff>0</xdr:colOff>
                    <xdr:row>56</xdr:row>
                    <xdr:rowOff>190500</xdr:rowOff>
                  </to>
                </anchor>
              </controlPr>
            </control>
          </mc:Choice>
        </mc:AlternateContent>
        <mc:AlternateContent xmlns:mc="http://schemas.openxmlformats.org/markup-compatibility/2006">
          <mc:Choice Requires="x14">
            <control shapeId="123916" r:id="rId15" name="Check Box 12">
              <controlPr defaultSize="0" autoFill="0" autoLine="0" autoPict="0">
                <anchor moveWithCells="1">
                  <from>
                    <xdr:col>33</xdr:col>
                    <xdr:colOff>457200</xdr:colOff>
                    <xdr:row>51</xdr:row>
                    <xdr:rowOff>9525</xdr:rowOff>
                  </from>
                  <to>
                    <xdr:col>33</xdr:col>
                    <xdr:colOff>676275</xdr:colOff>
                    <xdr:row>52</xdr:row>
                    <xdr:rowOff>9525</xdr:rowOff>
                  </to>
                </anchor>
              </controlPr>
            </control>
          </mc:Choice>
        </mc:AlternateContent>
        <mc:AlternateContent xmlns:mc="http://schemas.openxmlformats.org/markup-compatibility/2006">
          <mc:Choice Requires="x14">
            <control shapeId="123917" r:id="rId16" name="Check Box 13">
              <controlPr defaultSize="0" autoFill="0" autoLine="0" autoPict="0">
                <anchor moveWithCells="1">
                  <from>
                    <xdr:col>33</xdr:col>
                    <xdr:colOff>457200</xdr:colOff>
                    <xdr:row>50</xdr:row>
                    <xdr:rowOff>0</xdr:rowOff>
                  </from>
                  <to>
                    <xdr:col>33</xdr:col>
                    <xdr:colOff>676275</xdr:colOff>
                    <xdr:row>51</xdr:row>
                    <xdr:rowOff>9525</xdr:rowOff>
                  </to>
                </anchor>
              </controlPr>
            </control>
          </mc:Choice>
        </mc:AlternateContent>
        <mc:AlternateContent xmlns:mc="http://schemas.openxmlformats.org/markup-compatibility/2006">
          <mc:Choice Requires="x14">
            <control shapeId="123918" r:id="rId17" name="Check Box 14">
              <controlPr defaultSize="0" autoFill="0" autoLine="0" autoPict="0">
                <anchor moveWithCells="1">
                  <from>
                    <xdr:col>33</xdr:col>
                    <xdr:colOff>457200</xdr:colOff>
                    <xdr:row>52</xdr:row>
                    <xdr:rowOff>9525</xdr:rowOff>
                  </from>
                  <to>
                    <xdr:col>33</xdr:col>
                    <xdr:colOff>676275</xdr:colOff>
                    <xdr:row>53</xdr:row>
                    <xdr:rowOff>0</xdr:rowOff>
                  </to>
                </anchor>
              </controlPr>
            </control>
          </mc:Choice>
        </mc:AlternateContent>
        <mc:AlternateContent xmlns:mc="http://schemas.openxmlformats.org/markup-compatibility/2006">
          <mc:Choice Requires="x14">
            <control shapeId="123919" r:id="rId18" name="Check Box 15">
              <controlPr defaultSize="0" autoFill="0" autoLine="0" autoPict="0">
                <anchor moveWithCells="1">
                  <from>
                    <xdr:col>24</xdr:col>
                    <xdr:colOff>514350</xdr:colOff>
                    <xdr:row>50</xdr:row>
                    <xdr:rowOff>152400</xdr:rowOff>
                  </from>
                  <to>
                    <xdr:col>24</xdr:col>
                    <xdr:colOff>723900</xdr:colOff>
                    <xdr:row>52</xdr:row>
                    <xdr:rowOff>0</xdr:rowOff>
                  </to>
                </anchor>
              </controlPr>
            </control>
          </mc:Choice>
        </mc:AlternateContent>
        <mc:AlternateContent xmlns:mc="http://schemas.openxmlformats.org/markup-compatibility/2006">
          <mc:Choice Requires="x14">
            <control shapeId="123920" r:id="rId19" name="Check Box 16">
              <controlPr defaultSize="0" autoFill="0" autoLine="0" autoPict="0">
                <anchor moveWithCells="1">
                  <from>
                    <xdr:col>24</xdr:col>
                    <xdr:colOff>514350</xdr:colOff>
                    <xdr:row>51</xdr:row>
                    <xdr:rowOff>171450</xdr:rowOff>
                  </from>
                  <to>
                    <xdr:col>24</xdr:col>
                    <xdr:colOff>723900</xdr:colOff>
                    <xdr:row>52</xdr:row>
                    <xdr:rowOff>190500</xdr:rowOff>
                  </to>
                </anchor>
              </controlPr>
            </control>
          </mc:Choice>
        </mc:AlternateContent>
        <mc:AlternateContent xmlns:mc="http://schemas.openxmlformats.org/markup-compatibility/2006">
          <mc:Choice Requires="x14">
            <control shapeId="123921" r:id="rId20" name="Check Box 17">
              <controlPr defaultSize="0" autoFill="0" autoLine="0" autoPict="0">
                <anchor moveWithCells="1">
                  <from>
                    <xdr:col>24</xdr:col>
                    <xdr:colOff>514350</xdr:colOff>
                    <xdr:row>52</xdr:row>
                    <xdr:rowOff>180975</xdr:rowOff>
                  </from>
                  <to>
                    <xdr:col>24</xdr:col>
                    <xdr:colOff>723900</xdr:colOff>
                    <xdr:row>53</xdr:row>
                    <xdr:rowOff>190500</xdr:rowOff>
                  </to>
                </anchor>
              </controlPr>
            </control>
          </mc:Choice>
        </mc:AlternateContent>
        <mc:AlternateContent xmlns:mc="http://schemas.openxmlformats.org/markup-compatibility/2006">
          <mc:Choice Requires="x14">
            <control shapeId="123922" r:id="rId21" name="Check Box 18">
              <controlPr defaultSize="0" autoFill="0" autoLine="0" autoPict="0">
                <anchor moveWithCells="1">
                  <from>
                    <xdr:col>24</xdr:col>
                    <xdr:colOff>514350</xdr:colOff>
                    <xdr:row>53</xdr:row>
                    <xdr:rowOff>180975</xdr:rowOff>
                  </from>
                  <to>
                    <xdr:col>24</xdr:col>
                    <xdr:colOff>723900</xdr:colOff>
                    <xdr:row>55</xdr:row>
                    <xdr:rowOff>0</xdr:rowOff>
                  </to>
                </anchor>
              </controlPr>
            </control>
          </mc:Choice>
        </mc:AlternateContent>
        <mc:AlternateContent xmlns:mc="http://schemas.openxmlformats.org/markup-compatibility/2006">
          <mc:Choice Requires="x14">
            <control shapeId="123923" r:id="rId22" name="Check Box 19">
              <controlPr defaultSize="0" autoFill="0" autoLine="0" autoPict="0">
                <anchor moveWithCells="1">
                  <from>
                    <xdr:col>24</xdr:col>
                    <xdr:colOff>514350</xdr:colOff>
                    <xdr:row>54</xdr:row>
                    <xdr:rowOff>180975</xdr:rowOff>
                  </from>
                  <to>
                    <xdr:col>24</xdr:col>
                    <xdr:colOff>723900</xdr:colOff>
                    <xdr:row>56</xdr:row>
                    <xdr:rowOff>0</xdr:rowOff>
                  </to>
                </anchor>
              </controlPr>
            </control>
          </mc:Choice>
        </mc:AlternateContent>
        <mc:AlternateContent xmlns:mc="http://schemas.openxmlformats.org/markup-compatibility/2006">
          <mc:Choice Requires="x14">
            <control shapeId="123924" r:id="rId23" name="Check Box 20">
              <controlPr defaultSize="0" autoFill="0" autoLine="0" autoPict="0">
                <anchor moveWithCells="1">
                  <from>
                    <xdr:col>24</xdr:col>
                    <xdr:colOff>514350</xdr:colOff>
                    <xdr:row>55</xdr:row>
                    <xdr:rowOff>180975</xdr:rowOff>
                  </from>
                  <to>
                    <xdr:col>24</xdr:col>
                    <xdr:colOff>723900</xdr:colOff>
                    <xdr:row>57</xdr:row>
                    <xdr:rowOff>0</xdr:rowOff>
                  </to>
                </anchor>
              </controlPr>
            </control>
          </mc:Choice>
        </mc:AlternateContent>
        <mc:AlternateContent xmlns:mc="http://schemas.openxmlformats.org/markup-compatibility/2006">
          <mc:Choice Requires="x14">
            <control shapeId="123925" r:id="rId24" name="Check Box 21">
              <controlPr defaultSize="0" autoFill="0" autoLine="0" autoPict="0">
                <anchor moveWithCells="1">
                  <from>
                    <xdr:col>24</xdr:col>
                    <xdr:colOff>514350</xdr:colOff>
                    <xdr:row>56</xdr:row>
                    <xdr:rowOff>180975</xdr:rowOff>
                  </from>
                  <to>
                    <xdr:col>24</xdr:col>
                    <xdr:colOff>723900</xdr:colOff>
                    <xdr:row>58</xdr:row>
                    <xdr:rowOff>0</xdr:rowOff>
                  </to>
                </anchor>
              </controlPr>
            </control>
          </mc:Choice>
        </mc:AlternateContent>
        <mc:AlternateContent xmlns:mc="http://schemas.openxmlformats.org/markup-compatibility/2006">
          <mc:Choice Requires="x14">
            <control shapeId="123926" r:id="rId25" name="Check Box 22">
              <controlPr defaultSize="0" autoFill="0" autoLine="0" autoPict="0">
                <anchor moveWithCells="1">
                  <from>
                    <xdr:col>24</xdr:col>
                    <xdr:colOff>514350</xdr:colOff>
                    <xdr:row>57</xdr:row>
                    <xdr:rowOff>190500</xdr:rowOff>
                  </from>
                  <to>
                    <xdr:col>24</xdr:col>
                    <xdr:colOff>723900</xdr:colOff>
                    <xdr:row>58</xdr:row>
                    <xdr:rowOff>190500</xdr:rowOff>
                  </to>
                </anchor>
              </controlPr>
            </control>
          </mc:Choice>
        </mc:AlternateContent>
        <mc:AlternateContent xmlns:mc="http://schemas.openxmlformats.org/markup-compatibility/2006">
          <mc:Choice Requires="x14">
            <control shapeId="123927" r:id="rId26" name="Check Box 23">
              <controlPr defaultSize="0" autoFill="0" autoLine="0" autoPict="0">
                <anchor moveWithCells="1">
                  <from>
                    <xdr:col>24</xdr:col>
                    <xdr:colOff>514350</xdr:colOff>
                    <xdr:row>58</xdr:row>
                    <xdr:rowOff>180975</xdr:rowOff>
                  </from>
                  <to>
                    <xdr:col>24</xdr:col>
                    <xdr:colOff>723900</xdr:colOff>
                    <xdr:row>59</xdr:row>
                    <xdr:rowOff>190500</xdr:rowOff>
                  </to>
                </anchor>
              </controlPr>
            </control>
          </mc:Choice>
        </mc:AlternateContent>
        <mc:AlternateContent xmlns:mc="http://schemas.openxmlformats.org/markup-compatibility/2006">
          <mc:Choice Requires="x14">
            <control shapeId="123928" r:id="rId27" name="Check Box 24">
              <controlPr defaultSize="0" autoFill="0" autoLine="0" autoPict="0">
                <anchor moveWithCells="1">
                  <from>
                    <xdr:col>24</xdr:col>
                    <xdr:colOff>514350</xdr:colOff>
                    <xdr:row>59</xdr:row>
                    <xdr:rowOff>171450</xdr:rowOff>
                  </from>
                  <to>
                    <xdr:col>24</xdr:col>
                    <xdr:colOff>723900</xdr:colOff>
                    <xdr:row>60</xdr:row>
                    <xdr:rowOff>180975</xdr:rowOff>
                  </to>
                </anchor>
              </controlPr>
            </control>
          </mc:Choice>
        </mc:AlternateContent>
        <mc:AlternateContent xmlns:mc="http://schemas.openxmlformats.org/markup-compatibility/2006">
          <mc:Choice Requires="x14">
            <control shapeId="123929" r:id="rId28" name="Check Box 25">
              <controlPr defaultSize="0" autoFill="0" autoLine="0" autoPict="0">
                <anchor moveWithCells="1">
                  <from>
                    <xdr:col>24</xdr:col>
                    <xdr:colOff>514350</xdr:colOff>
                    <xdr:row>60</xdr:row>
                    <xdr:rowOff>171450</xdr:rowOff>
                  </from>
                  <to>
                    <xdr:col>24</xdr:col>
                    <xdr:colOff>723900</xdr:colOff>
                    <xdr:row>61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xr:uid="{12357A6F-3A33-428C-9CB9-502C45CD1F90}">
          <x14:formula1>
            <xm:f>'Drop-Down'!$B$12:$B$15</xm:f>
          </x14:formula1>
          <xm:sqref>G16</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1BE32-5AB5-44EC-A8F6-80A99B20E5A7}">
  <dimension ref="A1:AQ316"/>
  <sheetViews>
    <sheetView workbookViewId="0">
      <selection activeCell="K41" sqref="K41"/>
    </sheetView>
  </sheetViews>
  <sheetFormatPr baseColWidth="10" defaultColWidth="9" defaultRowHeight="12.75" outlineLevelRow="1" x14ac:dyDescent="0.2"/>
  <cols>
    <col min="1" max="1" width="2.5" style="6" customWidth="1"/>
    <col min="2" max="2" width="2.25" style="6" customWidth="1"/>
    <col min="3" max="3" width="2.75" style="6" customWidth="1"/>
    <col min="4" max="4" width="22.875" style="6" customWidth="1"/>
    <col min="5" max="5" width="10.75" style="6" customWidth="1"/>
    <col min="6" max="7" width="10.375" style="6" customWidth="1"/>
    <col min="8" max="9" width="9" style="6" customWidth="1"/>
    <col min="10" max="11" width="10.75" style="6" customWidth="1"/>
    <col min="12" max="12" width="14" style="6" customWidth="1"/>
    <col min="13" max="13" width="43" style="6" customWidth="1"/>
    <col min="14" max="14" width="10.75" style="6" customWidth="1"/>
    <col min="15" max="15" width="2.375" style="6" customWidth="1"/>
    <col min="16" max="16" width="2.25" style="6" customWidth="1"/>
    <col min="17" max="17" width="10.5" style="6" customWidth="1"/>
    <col min="18" max="18" width="39.5" style="6" customWidth="1"/>
    <col min="19" max="19" width="9" style="6"/>
    <col min="20" max="20" width="10.375" style="6" customWidth="1"/>
    <col min="21" max="21" width="10.125" style="6" customWidth="1"/>
    <col min="22" max="22" width="12" style="6" customWidth="1"/>
    <col min="23" max="23" width="9" style="6"/>
    <col min="24" max="24" width="2.125" style="6" customWidth="1"/>
    <col min="25" max="25" width="5" style="6" customWidth="1"/>
    <col min="26" max="26" width="10.5" style="6" customWidth="1"/>
    <col min="27" max="27" width="14.25" style="6" customWidth="1"/>
    <col min="28" max="28" width="41.25" style="6" customWidth="1"/>
    <col min="29" max="30" width="9" style="6"/>
    <col min="31" max="31" width="12" style="6" customWidth="1"/>
    <col min="32" max="32" width="9" style="6"/>
    <col min="33" max="33" width="2.375" style="6" customWidth="1"/>
    <col min="34" max="34" width="9.875" style="6" bestFit="1" customWidth="1"/>
    <col min="35" max="35" width="10.375" style="6" customWidth="1"/>
    <col min="36" max="36" width="31.5" style="6" bestFit="1" customWidth="1"/>
    <col min="37" max="37" width="9" style="6"/>
    <col min="38" max="38" width="11.75" style="6" bestFit="1" customWidth="1"/>
    <col min="39" max="39" width="10" style="6" bestFit="1" customWidth="1"/>
    <col min="40" max="40" width="9" style="6"/>
    <col min="41" max="41" width="9" style="6" customWidth="1"/>
    <col min="42" max="16384" width="9" style="6"/>
  </cols>
  <sheetData>
    <row r="1" spans="1:43" s="2" customFormat="1" x14ac:dyDescent="0.2">
      <c r="A1" s="428" t="s">
        <v>467</v>
      </c>
      <c r="B1" s="418"/>
      <c r="C1" s="6"/>
    </row>
    <row r="2" spans="1:43" x14ac:dyDescent="0.2">
      <c r="B2" s="3"/>
      <c r="C2" s="89"/>
      <c r="D2" s="89"/>
      <c r="E2" s="89"/>
      <c r="F2" s="89"/>
      <c r="G2" s="89"/>
      <c r="H2" s="89"/>
      <c r="I2" s="89"/>
      <c r="J2" s="89"/>
      <c r="K2" s="89"/>
      <c r="L2" s="89"/>
      <c r="M2" s="3"/>
      <c r="N2" s="3"/>
      <c r="O2" s="2"/>
      <c r="P2" s="3"/>
      <c r="Q2" s="3"/>
      <c r="R2" s="14"/>
      <c r="S2" s="3"/>
      <c r="T2" s="3"/>
      <c r="U2" s="3"/>
      <c r="V2" s="3"/>
      <c r="W2" s="3"/>
      <c r="X2" s="2"/>
      <c r="Y2" s="3"/>
      <c r="Z2" s="3"/>
      <c r="AA2" s="3"/>
      <c r="AB2" s="3"/>
      <c r="AC2" s="3"/>
      <c r="AD2" s="3"/>
      <c r="AE2" s="3"/>
      <c r="AF2" s="3"/>
      <c r="AG2" s="2"/>
      <c r="AH2" s="3"/>
      <c r="AI2" s="3"/>
      <c r="AJ2" s="3"/>
      <c r="AK2" s="3"/>
      <c r="AL2" s="3"/>
      <c r="AM2" s="3"/>
      <c r="AN2" s="3"/>
      <c r="AO2" s="3"/>
      <c r="AP2" s="3"/>
      <c r="AQ2" s="3"/>
    </row>
    <row r="3" spans="1:43" ht="18" x14ac:dyDescent="0.25">
      <c r="B3" s="3"/>
      <c r="C3" s="89"/>
      <c r="D3" s="90" t="s">
        <v>233</v>
      </c>
      <c r="E3" s="89"/>
      <c r="F3" s="89"/>
      <c r="G3" s="89"/>
      <c r="H3" s="89"/>
      <c r="I3" s="89"/>
      <c r="J3" s="89"/>
      <c r="K3" s="89"/>
      <c r="L3" s="89"/>
      <c r="M3" s="3"/>
      <c r="N3" s="3"/>
      <c r="O3" s="2"/>
      <c r="P3" s="3"/>
      <c r="Q3" s="96" t="s">
        <v>234</v>
      </c>
      <c r="R3" s="14"/>
      <c r="S3" s="3"/>
      <c r="T3" s="3"/>
      <c r="U3" s="3"/>
      <c r="V3" s="3"/>
      <c r="W3" s="3"/>
      <c r="X3" s="2"/>
      <c r="Y3" s="3"/>
      <c r="Z3" s="96" t="s">
        <v>234</v>
      </c>
      <c r="AA3" s="3"/>
      <c r="AB3" s="3"/>
      <c r="AC3" s="3"/>
      <c r="AD3" s="3"/>
      <c r="AE3" s="3"/>
      <c r="AF3" s="3"/>
      <c r="AG3" s="2"/>
      <c r="AH3" s="3"/>
      <c r="AI3" s="96" t="s">
        <v>234</v>
      </c>
      <c r="AJ3" s="3"/>
      <c r="AK3" s="3"/>
      <c r="AL3" s="3"/>
      <c r="AM3" s="3"/>
      <c r="AN3" s="3"/>
      <c r="AO3" s="3"/>
      <c r="AP3" s="3"/>
      <c r="AQ3" s="3"/>
    </row>
    <row r="4" spans="1:43" x14ac:dyDescent="0.2">
      <c r="B4" s="3"/>
      <c r="C4" s="89"/>
      <c r="D4" s="3"/>
      <c r="E4" s="3"/>
      <c r="F4" s="3"/>
      <c r="G4" s="3"/>
      <c r="H4" s="3"/>
      <c r="I4" s="3"/>
      <c r="J4" s="3"/>
      <c r="K4" s="3"/>
      <c r="L4" s="3"/>
      <c r="M4" s="3"/>
      <c r="N4" s="3"/>
      <c r="O4" s="2"/>
      <c r="P4" s="3"/>
      <c r="Q4" s="3"/>
      <c r="R4" s="14"/>
      <c r="S4" s="3"/>
      <c r="T4" s="3"/>
      <c r="U4" s="111"/>
      <c r="V4" s="3"/>
      <c r="W4" s="3"/>
      <c r="X4" s="2"/>
      <c r="Y4" s="3"/>
      <c r="Z4" s="3"/>
      <c r="AA4" s="3"/>
      <c r="AB4" s="3"/>
      <c r="AC4" s="3"/>
      <c r="AD4" s="3"/>
      <c r="AE4" s="3"/>
      <c r="AF4" s="3"/>
      <c r="AG4" s="2"/>
      <c r="AH4" s="3"/>
      <c r="AI4" s="3"/>
      <c r="AJ4" s="3"/>
      <c r="AK4" s="3"/>
      <c r="AL4" s="3"/>
      <c r="AM4" s="3"/>
      <c r="AN4" s="3"/>
      <c r="AO4" s="3"/>
      <c r="AP4" s="3"/>
      <c r="AQ4" s="3"/>
    </row>
    <row r="5" spans="1:43" ht="15" x14ac:dyDescent="0.25">
      <c r="B5" s="3"/>
      <c r="C5" s="89"/>
      <c r="D5" s="103" t="s">
        <v>294</v>
      </c>
      <c r="E5" s="103"/>
      <c r="F5" s="103"/>
      <c r="G5" s="103"/>
      <c r="H5" s="103"/>
      <c r="I5" s="103"/>
      <c r="J5" s="103"/>
      <c r="K5" s="103"/>
      <c r="L5" s="103"/>
      <c r="M5" s="3"/>
      <c r="N5" s="3"/>
      <c r="O5" s="2"/>
      <c r="P5" s="3"/>
      <c r="Q5" s="91" t="s">
        <v>237</v>
      </c>
      <c r="R5" s="3"/>
      <c r="S5" s="3"/>
      <c r="T5" s="3"/>
      <c r="U5" s="3"/>
      <c r="V5" s="3"/>
      <c r="W5" s="3"/>
      <c r="X5" s="2"/>
      <c r="Y5" s="3"/>
      <c r="Z5" s="91" t="s">
        <v>105</v>
      </c>
      <c r="AA5" s="3"/>
      <c r="AB5" s="3"/>
      <c r="AC5" s="3"/>
      <c r="AD5" s="3"/>
      <c r="AE5" s="3"/>
      <c r="AF5" s="3"/>
      <c r="AG5" s="2"/>
      <c r="AH5" s="3"/>
      <c r="AI5" s="386" t="s">
        <v>79</v>
      </c>
      <c r="AJ5" s="3"/>
      <c r="AK5" s="3"/>
      <c r="AL5" s="3"/>
      <c r="AM5" s="3"/>
      <c r="AN5" s="3"/>
      <c r="AO5" s="3"/>
      <c r="AP5" s="3"/>
      <c r="AQ5" s="3"/>
    </row>
    <row r="6" spans="1:43" ht="205.5" customHeight="1" x14ac:dyDescent="0.2">
      <c r="B6" s="3"/>
      <c r="C6" s="93"/>
      <c r="D6" s="481" t="s">
        <v>535</v>
      </c>
      <c r="E6" s="481"/>
      <c r="F6" s="481"/>
      <c r="G6" s="481"/>
      <c r="H6" s="481"/>
      <c r="I6" s="481"/>
      <c r="J6" s="481"/>
      <c r="K6" s="481"/>
      <c r="L6" s="481"/>
      <c r="M6" s="3"/>
      <c r="N6" s="3"/>
      <c r="O6" s="2"/>
      <c r="P6" s="3"/>
      <c r="Q6" s="3"/>
      <c r="R6" s="14"/>
      <c r="S6" s="3"/>
      <c r="T6" s="3"/>
      <c r="U6" s="3"/>
      <c r="V6" s="3"/>
      <c r="W6" s="3"/>
      <c r="X6" s="2"/>
      <c r="Y6" s="3"/>
      <c r="Z6" s="3"/>
      <c r="AA6" s="3"/>
      <c r="AB6" s="3"/>
      <c r="AC6" s="3"/>
      <c r="AD6" s="3"/>
      <c r="AE6" s="3"/>
      <c r="AF6" s="3"/>
      <c r="AG6" s="2"/>
      <c r="AH6" s="3"/>
      <c r="AI6" s="3"/>
      <c r="AJ6" s="3"/>
      <c r="AK6" s="3"/>
      <c r="AL6" s="3"/>
      <c r="AM6" s="3"/>
      <c r="AN6" s="3"/>
      <c r="AO6" s="3"/>
      <c r="AP6" s="3"/>
      <c r="AQ6" s="3"/>
    </row>
    <row r="7" spans="1:43" x14ac:dyDescent="0.2">
      <c r="B7" s="3"/>
      <c r="C7" s="89"/>
      <c r="D7" s="89"/>
      <c r="E7" s="89"/>
      <c r="F7" s="89"/>
      <c r="G7" s="89"/>
      <c r="H7" s="89"/>
      <c r="I7" s="89"/>
      <c r="J7" s="89"/>
      <c r="K7" s="89"/>
      <c r="L7" s="89"/>
      <c r="M7" s="3"/>
      <c r="N7" s="3"/>
      <c r="O7" s="2"/>
      <c r="P7" s="3"/>
      <c r="Q7" s="3"/>
      <c r="R7" s="3"/>
      <c r="S7" s="3"/>
      <c r="T7" s="3"/>
      <c r="U7" s="3"/>
      <c r="V7" s="3"/>
      <c r="W7" s="3"/>
      <c r="X7" s="2"/>
      <c r="Y7" s="3"/>
      <c r="Z7" s="3"/>
      <c r="AA7" s="3"/>
      <c r="AB7" s="3"/>
      <c r="AC7" s="3"/>
      <c r="AD7" s="3"/>
      <c r="AE7" s="3"/>
      <c r="AF7" s="3"/>
      <c r="AG7" s="2"/>
      <c r="AH7" s="3"/>
      <c r="AI7" s="3"/>
      <c r="AJ7" s="3"/>
      <c r="AK7" s="3"/>
      <c r="AL7" s="3"/>
      <c r="AM7" s="3"/>
      <c r="AN7" s="3"/>
      <c r="AO7" s="3"/>
      <c r="AP7" s="3"/>
      <c r="AQ7" s="3"/>
    </row>
    <row r="8" spans="1:43" x14ac:dyDescent="0.2">
      <c r="O8" s="2"/>
      <c r="P8" s="3"/>
      <c r="Q8" s="3"/>
      <c r="R8" s="3"/>
      <c r="S8" s="3"/>
      <c r="T8" s="3"/>
      <c r="U8" s="3"/>
      <c r="V8" s="3"/>
      <c r="W8" s="3"/>
      <c r="X8" s="2"/>
      <c r="Y8" s="3"/>
      <c r="Z8" s="3"/>
      <c r="AA8" s="3"/>
      <c r="AB8" s="3"/>
      <c r="AC8" s="3"/>
      <c r="AD8" s="3"/>
      <c r="AE8" s="3"/>
      <c r="AF8" s="3"/>
      <c r="AG8" s="2"/>
      <c r="AH8" s="3"/>
      <c r="AI8" s="3"/>
      <c r="AJ8" s="3"/>
      <c r="AK8" s="3"/>
      <c r="AL8" s="3"/>
      <c r="AM8" s="3"/>
      <c r="AN8" s="3"/>
      <c r="AO8" s="3"/>
      <c r="AP8" s="3"/>
      <c r="AQ8" s="3"/>
    </row>
    <row r="9" spans="1:43" x14ac:dyDescent="0.2">
      <c r="B9" s="3"/>
      <c r="C9" s="3"/>
      <c r="D9" s="3"/>
      <c r="E9" s="3"/>
      <c r="F9" s="3"/>
      <c r="G9" s="3"/>
      <c r="H9" s="3"/>
      <c r="I9" s="3"/>
      <c r="J9" s="3"/>
      <c r="K9" s="3"/>
      <c r="L9" s="3"/>
      <c r="M9" s="3"/>
      <c r="N9" s="3"/>
      <c r="O9" s="2"/>
      <c r="P9" s="3"/>
      <c r="Q9" s="3"/>
      <c r="R9" s="3"/>
      <c r="S9" s="3"/>
      <c r="T9" s="3"/>
      <c r="U9" s="3"/>
      <c r="V9" s="3"/>
      <c r="W9" s="3"/>
      <c r="X9" s="2"/>
      <c r="Y9" s="3"/>
      <c r="Z9" s="3"/>
      <c r="AA9" s="3"/>
      <c r="AB9" s="3"/>
      <c r="AC9" s="3"/>
      <c r="AD9" s="3"/>
      <c r="AE9" s="3"/>
      <c r="AF9" s="3"/>
      <c r="AG9" s="2"/>
      <c r="AH9" s="3"/>
      <c r="AI9" s="3"/>
      <c r="AJ9" s="3"/>
      <c r="AK9" s="3"/>
      <c r="AL9" s="3"/>
      <c r="AM9" s="3"/>
      <c r="AN9" s="3"/>
      <c r="AO9" s="3"/>
      <c r="AP9" s="3"/>
      <c r="AQ9" s="3"/>
    </row>
    <row r="10" spans="1:43" x14ac:dyDescent="0.2">
      <c r="B10" s="3"/>
      <c r="C10" s="3"/>
      <c r="D10" s="3"/>
      <c r="E10" s="3"/>
      <c r="F10" s="3"/>
      <c r="G10" s="3"/>
      <c r="H10" s="3"/>
      <c r="I10" s="3"/>
      <c r="J10" s="3"/>
      <c r="K10" s="3"/>
      <c r="L10" s="3"/>
      <c r="M10" s="3"/>
      <c r="N10" s="3"/>
      <c r="O10" s="2"/>
      <c r="P10" s="3"/>
      <c r="Q10" s="3"/>
      <c r="R10" s="3"/>
      <c r="S10" s="3"/>
      <c r="T10" s="3"/>
      <c r="U10" s="3"/>
      <c r="V10" s="3"/>
      <c r="W10" s="3"/>
      <c r="X10" s="2"/>
      <c r="Y10" s="3"/>
      <c r="Z10" s="3"/>
      <c r="AA10" s="3"/>
      <c r="AB10" s="3"/>
      <c r="AC10" s="3"/>
      <c r="AD10" s="3"/>
      <c r="AE10" s="3"/>
      <c r="AF10" s="3"/>
      <c r="AG10" s="2"/>
      <c r="AH10" s="3"/>
      <c r="AI10" s="3"/>
      <c r="AJ10" s="3"/>
      <c r="AK10" s="3"/>
      <c r="AL10" s="3"/>
      <c r="AM10" s="3"/>
      <c r="AN10" s="3"/>
      <c r="AO10" s="3"/>
      <c r="AP10" s="3"/>
      <c r="AQ10" s="3"/>
    </row>
    <row r="11" spans="1:43" ht="18" x14ac:dyDescent="0.25">
      <c r="B11" s="3"/>
      <c r="C11" s="3"/>
      <c r="D11" s="85" t="s">
        <v>418</v>
      </c>
      <c r="E11" s="94"/>
      <c r="F11" s="95"/>
      <c r="G11" s="7"/>
      <c r="H11" s="7"/>
      <c r="I11" s="7"/>
      <c r="J11" s="7"/>
      <c r="K11" s="7"/>
      <c r="L11" s="3"/>
      <c r="M11" s="3"/>
      <c r="N11" s="3"/>
      <c r="O11" s="2"/>
      <c r="P11" s="3"/>
      <c r="Q11" s="3"/>
      <c r="R11" s="3"/>
      <c r="S11" s="3"/>
      <c r="T11" s="3"/>
      <c r="U11" s="3"/>
      <c r="V11" s="3"/>
      <c r="W11" s="3"/>
      <c r="X11" s="2"/>
      <c r="Y11" s="3"/>
      <c r="Z11" s="3"/>
      <c r="AA11" s="3"/>
      <c r="AB11" s="3"/>
      <c r="AC11" s="3"/>
      <c r="AD11" s="3"/>
      <c r="AE11" s="3"/>
      <c r="AF11" s="3"/>
      <c r="AG11" s="2"/>
      <c r="AH11" s="3"/>
      <c r="AI11" s="3"/>
      <c r="AJ11" s="3"/>
      <c r="AK11" s="3"/>
      <c r="AL11" s="3"/>
      <c r="AM11" s="3"/>
      <c r="AN11" s="3"/>
      <c r="AO11" s="3"/>
      <c r="AP11" s="3"/>
      <c r="AQ11" s="3"/>
    </row>
    <row r="12" spans="1:43" ht="14.25" x14ac:dyDescent="0.2">
      <c r="B12" s="3"/>
      <c r="C12" s="3"/>
      <c r="D12" s="3"/>
      <c r="E12" s="3"/>
      <c r="F12" s="3"/>
      <c r="G12" s="3"/>
      <c r="H12" s="7"/>
      <c r="I12" s="7"/>
      <c r="J12" s="7"/>
      <c r="K12" s="7"/>
      <c r="L12" s="3"/>
      <c r="M12" s="3"/>
      <c r="N12" s="3"/>
      <c r="O12" s="2"/>
      <c r="P12" s="3"/>
      <c r="Q12" s="3"/>
      <c r="R12" s="3"/>
      <c r="S12" s="3"/>
      <c r="T12" s="3"/>
      <c r="U12" s="3"/>
      <c r="V12" s="3"/>
      <c r="W12" s="3"/>
      <c r="X12" s="2"/>
      <c r="Y12" s="3"/>
      <c r="Z12" s="3"/>
      <c r="AA12" s="3"/>
      <c r="AB12" s="3"/>
      <c r="AC12" s="3"/>
      <c r="AD12" s="3"/>
      <c r="AE12" s="3"/>
      <c r="AF12" s="3"/>
      <c r="AG12" s="2"/>
      <c r="AH12" s="3"/>
      <c r="AI12" s="3"/>
      <c r="AJ12" s="3"/>
      <c r="AK12" s="3"/>
      <c r="AL12" s="3"/>
      <c r="AM12" s="3"/>
      <c r="AN12" s="3"/>
      <c r="AO12" s="3"/>
      <c r="AP12" s="3"/>
      <c r="AQ12" s="3"/>
    </row>
    <row r="13" spans="1:43" x14ac:dyDescent="0.2">
      <c r="B13" s="3"/>
      <c r="C13" s="3"/>
      <c r="D13" s="8"/>
      <c r="E13" s="482">
        <f>'Referenz Plattenfertiger'!D9+5</f>
        <v>5</v>
      </c>
      <c r="F13" s="482"/>
      <c r="G13" s="482"/>
      <c r="H13" s="13"/>
      <c r="I13" s="482">
        <f>'Referenz Plattenfertiger'!D9+10</f>
        <v>10</v>
      </c>
      <c r="J13" s="482"/>
      <c r="K13" s="482"/>
      <c r="L13" s="8"/>
      <c r="M13" s="378" t="s">
        <v>255</v>
      </c>
      <c r="N13" s="3"/>
      <c r="O13" s="2"/>
      <c r="P13" s="3"/>
      <c r="Q13" s="3"/>
      <c r="R13" s="3"/>
      <c r="S13" s="3"/>
      <c r="T13" s="3"/>
      <c r="U13" s="3"/>
      <c r="V13" s="3"/>
      <c r="W13" s="3"/>
      <c r="X13" s="2"/>
      <c r="Y13" s="3"/>
      <c r="Z13" s="3"/>
      <c r="AA13" s="3"/>
      <c r="AB13" s="3"/>
      <c r="AC13" s="3"/>
      <c r="AD13" s="3"/>
      <c r="AE13" s="3"/>
      <c r="AF13" s="3"/>
      <c r="AG13" s="2"/>
      <c r="AH13" s="3"/>
      <c r="AI13" s="3"/>
      <c r="AJ13" s="3"/>
      <c r="AK13" s="3"/>
      <c r="AL13" s="3"/>
      <c r="AM13" s="3"/>
      <c r="AN13" s="3"/>
      <c r="AO13" s="3"/>
      <c r="AP13" s="3"/>
      <c r="AQ13" s="3"/>
    </row>
    <row r="14" spans="1:43" x14ac:dyDescent="0.2">
      <c r="B14" s="3"/>
      <c r="C14" s="3"/>
      <c r="D14" s="8"/>
      <c r="E14" s="101" t="s">
        <v>75</v>
      </c>
      <c r="F14" s="101"/>
      <c r="G14" s="101" t="s">
        <v>72</v>
      </c>
      <c r="H14" s="13"/>
      <c r="I14" s="101" t="s">
        <v>75</v>
      </c>
      <c r="J14" s="101"/>
      <c r="K14" s="101" t="s">
        <v>72</v>
      </c>
      <c r="L14" s="8"/>
      <c r="M14" s="486" t="s">
        <v>424</v>
      </c>
      <c r="N14" s="3"/>
      <c r="O14" s="2"/>
      <c r="P14" s="3"/>
      <c r="Q14" s="3"/>
      <c r="R14" s="3"/>
      <c r="S14" s="3"/>
      <c r="T14" s="3"/>
      <c r="U14" s="3"/>
      <c r="V14" s="3"/>
      <c r="W14" s="3"/>
      <c r="X14" s="2"/>
      <c r="Y14" s="3"/>
      <c r="Z14" s="3"/>
      <c r="AA14" s="3"/>
      <c r="AB14" s="3"/>
      <c r="AC14" s="3"/>
      <c r="AD14" s="3"/>
      <c r="AE14" s="3"/>
      <c r="AF14" s="3"/>
      <c r="AG14" s="2"/>
      <c r="AH14" s="3"/>
      <c r="AI14" s="3"/>
      <c r="AJ14" s="3"/>
      <c r="AK14" s="3"/>
      <c r="AL14" s="3"/>
      <c r="AM14" s="3"/>
      <c r="AN14" s="3"/>
      <c r="AO14" s="3"/>
      <c r="AP14" s="3"/>
      <c r="AQ14" s="3"/>
    </row>
    <row r="15" spans="1:43" x14ac:dyDescent="0.2">
      <c r="B15" s="3"/>
      <c r="C15" s="3"/>
      <c r="D15" s="3"/>
      <c r="E15" s="3"/>
      <c r="F15" s="3"/>
      <c r="G15" s="3"/>
      <c r="H15" s="3"/>
      <c r="I15" s="3"/>
      <c r="J15" s="3"/>
      <c r="K15" s="3"/>
      <c r="L15" s="3"/>
      <c r="M15" s="486"/>
      <c r="N15" s="3"/>
      <c r="O15" s="2"/>
      <c r="P15" s="3"/>
      <c r="Q15" s="3"/>
      <c r="R15" s="3"/>
      <c r="S15" s="3"/>
      <c r="T15" s="3"/>
      <c r="U15" s="3"/>
      <c r="V15" s="3"/>
      <c r="W15" s="3"/>
      <c r="X15" s="2"/>
      <c r="Y15" s="3"/>
      <c r="Z15" s="3"/>
      <c r="AA15" s="3"/>
      <c r="AB15" s="3"/>
      <c r="AC15" s="3"/>
      <c r="AD15" s="3"/>
      <c r="AE15" s="3"/>
      <c r="AF15" s="3"/>
      <c r="AG15" s="2"/>
      <c r="AH15" s="3"/>
      <c r="AI15" s="3"/>
      <c r="AJ15" s="3"/>
      <c r="AK15" s="3"/>
      <c r="AL15" s="3"/>
      <c r="AM15" s="3"/>
      <c r="AN15" s="3"/>
      <c r="AO15" s="3"/>
      <c r="AP15" s="3"/>
      <c r="AQ15" s="3"/>
    </row>
    <row r="16" spans="1:43" x14ac:dyDescent="0.2">
      <c r="B16" s="3"/>
      <c r="C16" s="3"/>
      <c r="D16" s="8" t="s">
        <v>417</v>
      </c>
      <c r="E16" s="3"/>
      <c r="F16" s="3"/>
      <c r="G16" s="3"/>
      <c r="H16" s="3"/>
      <c r="I16" s="3"/>
      <c r="J16" s="3"/>
      <c r="K16" s="3"/>
      <c r="L16" s="3"/>
      <c r="M16" s="3"/>
      <c r="N16" s="3"/>
      <c r="O16" s="2"/>
      <c r="P16" s="3"/>
      <c r="Q16" s="3"/>
      <c r="R16" s="3"/>
      <c r="S16" s="3"/>
      <c r="T16" s="3"/>
      <c r="U16" s="3"/>
      <c r="V16" s="3"/>
      <c r="W16" s="3"/>
      <c r="X16" s="2"/>
      <c r="Y16" s="3"/>
      <c r="Z16" s="3"/>
      <c r="AA16" s="3"/>
      <c r="AB16" s="3"/>
      <c r="AC16" s="3"/>
      <c r="AD16" s="3"/>
      <c r="AE16" s="3"/>
      <c r="AF16" s="3"/>
      <c r="AG16" s="2"/>
      <c r="AH16" s="3"/>
      <c r="AI16" s="3"/>
      <c r="AJ16" s="3"/>
      <c r="AK16" s="3"/>
      <c r="AL16" s="3"/>
      <c r="AM16" s="3"/>
      <c r="AN16" s="3"/>
      <c r="AO16" s="3"/>
      <c r="AP16" s="3"/>
      <c r="AQ16" s="3"/>
    </row>
    <row r="17" spans="2:43" x14ac:dyDescent="0.2">
      <c r="B17" s="3"/>
      <c r="C17" s="3"/>
      <c r="D17" s="116" t="s">
        <v>235</v>
      </c>
      <c r="E17" s="79">
        <v>-2</v>
      </c>
      <c r="F17" s="15" t="s">
        <v>89</v>
      </c>
      <c r="G17" s="113"/>
      <c r="H17" s="15" t="s">
        <v>89</v>
      </c>
      <c r="I17" s="79">
        <v>-5</v>
      </c>
      <c r="J17" s="15" t="s">
        <v>89</v>
      </c>
      <c r="K17" s="113"/>
      <c r="L17" s="15" t="s">
        <v>89</v>
      </c>
      <c r="M17" s="3"/>
      <c r="N17" s="3"/>
      <c r="O17" s="2"/>
      <c r="P17" s="3"/>
      <c r="Q17" s="3"/>
      <c r="R17" s="3"/>
      <c r="S17" s="3"/>
      <c r="T17" s="3"/>
      <c r="U17" s="3"/>
      <c r="V17" s="3"/>
      <c r="W17" s="3"/>
      <c r="X17" s="2"/>
      <c r="Y17" s="3"/>
      <c r="Z17" s="3"/>
      <c r="AA17" s="3"/>
      <c r="AB17" s="3"/>
      <c r="AC17" s="3"/>
      <c r="AD17" s="3"/>
      <c r="AE17" s="3"/>
      <c r="AF17" s="3"/>
      <c r="AG17" s="2"/>
      <c r="AH17" s="3"/>
      <c r="AI17" s="3"/>
      <c r="AJ17" s="3"/>
      <c r="AK17" s="3"/>
      <c r="AL17" s="3"/>
      <c r="AM17" s="3"/>
      <c r="AN17" s="3"/>
      <c r="AO17" s="3"/>
      <c r="AP17" s="3"/>
      <c r="AQ17" s="3"/>
    </row>
    <row r="18" spans="2:43" x14ac:dyDescent="0.2">
      <c r="B18" s="3"/>
      <c r="C18" s="3"/>
      <c r="D18" s="116" t="s">
        <v>236</v>
      </c>
      <c r="E18" s="79">
        <v>-2</v>
      </c>
      <c r="F18" s="15" t="s">
        <v>89</v>
      </c>
      <c r="G18" s="113"/>
      <c r="H18" s="15" t="s">
        <v>89</v>
      </c>
      <c r="I18" s="79">
        <v>-5</v>
      </c>
      <c r="J18" s="15" t="s">
        <v>89</v>
      </c>
      <c r="K18" s="113"/>
      <c r="L18" s="15" t="s">
        <v>89</v>
      </c>
      <c r="M18" s="3"/>
      <c r="N18" s="3"/>
      <c r="O18" s="2"/>
      <c r="P18" s="3"/>
      <c r="Q18" s="3"/>
      <c r="R18" s="3"/>
      <c r="S18" s="3"/>
      <c r="T18" s="3"/>
      <c r="U18" s="3"/>
      <c r="V18" s="3"/>
      <c r="W18" s="3"/>
      <c r="X18" s="2"/>
      <c r="Y18" s="3"/>
      <c r="Z18" s="3"/>
      <c r="AA18" s="3"/>
      <c r="AB18" s="3"/>
      <c r="AC18" s="3"/>
      <c r="AD18" s="3"/>
      <c r="AE18" s="3"/>
      <c r="AF18" s="3"/>
      <c r="AG18" s="2"/>
      <c r="AH18" s="3"/>
      <c r="AI18" s="3"/>
      <c r="AJ18" s="3"/>
      <c r="AK18" s="3"/>
      <c r="AL18" s="3"/>
      <c r="AM18" s="3"/>
      <c r="AN18" s="3"/>
      <c r="AO18" s="3"/>
      <c r="AP18" s="3"/>
      <c r="AQ18" s="3"/>
    </row>
    <row r="19" spans="2:43" x14ac:dyDescent="0.2">
      <c r="B19" s="3"/>
      <c r="C19" s="3"/>
      <c r="D19" s="116" t="s">
        <v>48</v>
      </c>
      <c r="E19" s="79">
        <v>-2</v>
      </c>
      <c r="F19" s="15" t="s">
        <v>89</v>
      </c>
      <c r="G19" s="113"/>
      <c r="H19" s="15" t="s">
        <v>89</v>
      </c>
      <c r="I19" s="79">
        <v>-5</v>
      </c>
      <c r="J19" s="15" t="s">
        <v>89</v>
      </c>
      <c r="K19" s="113"/>
      <c r="L19" s="15" t="s">
        <v>89</v>
      </c>
      <c r="M19" s="3"/>
      <c r="N19" s="3"/>
      <c r="O19" s="2"/>
      <c r="P19" s="3"/>
      <c r="Q19" s="3"/>
      <c r="R19" s="3"/>
      <c r="S19" s="3"/>
      <c r="T19" s="3"/>
      <c r="U19" s="3"/>
      <c r="V19" s="3"/>
      <c r="W19" s="3"/>
      <c r="X19" s="2"/>
      <c r="Y19" s="3"/>
      <c r="Z19" s="3"/>
      <c r="AA19" s="3"/>
      <c r="AB19" s="3"/>
      <c r="AC19" s="3"/>
      <c r="AD19" s="3"/>
      <c r="AE19" s="3"/>
      <c r="AF19" s="3"/>
      <c r="AG19" s="2"/>
      <c r="AH19" s="3"/>
      <c r="AI19" s="3"/>
      <c r="AJ19" s="3"/>
      <c r="AK19" s="3"/>
      <c r="AL19" s="3"/>
      <c r="AM19" s="3"/>
      <c r="AN19" s="3"/>
      <c r="AO19" s="3"/>
      <c r="AP19" s="3"/>
      <c r="AQ19" s="3"/>
    </row>
    <row r="20" spans="2:43" ht="14.25" x14ac:dyDescent="0.2">
      <c r="B20" s="3"/>
      <c r="C20" s="458" t="s">
        <v>280</v>
      </c>
      <c r="D20" s="116" t="str">
        <f>'Referenz Plattenfertiger'!D39</f>
        <v>Weitere Zementsorte</v>
      </c>
      <c r="E20" s="79">
        <v>-2</v>
      </c>
      <c r="F20" s="15" t="s">
        <v>89</v>
      </c>
      <c r="G20" s="113"/>
      <c r="H20" s="15" t="s">
        <v>89</v>
      </c>
      <c r="I20" s="79">
        <v>-5</v>
      </c>
      <c r="J20" s="15" t="s">
        <v>89</v>
      </c>
      <c r="K20" s="113"/>
      <c r="L20" s="15" t="s">
        <v>89</v>
      </c>
      <c r="M20" s="113"/>
      <c r="N20" s="3"/>
      <c r="O20" s="2"/>
      <c r="P20" s="3"/>
      <c r="Q20" s="3"/>
      <c r="R20" s="3"/>
      <c r="S20" s="3"/>
      <c r="T20" s="3"/>
      <c r="U20" s="3"/>
      <c r="V20" s="3"/>
      <c r="W20" s="3"/>
      <c r="X20" s="2"/>
      <c r="Y20" s="3"/>
      <c r="Z20" s="3"/>
      <c r="AA20" s="3"/>
      <c r="AB20" s="3"/>
      <c r="AC20" s="3"/>
      <c r="AD20" s="3"/>
      <c r="AE20" s="3"/>
      <c r="AF20" s="3"/>
      <c r="AG20" s="2"/>
      <c r="AH20" s="3"/>
      <c r="AI20" s="3"/>
      <c r="AJ20" s="3"/>
      <c r="AK20" s="3"/>
      <c r="AL20" s="3"/>
      <c r="AM20" s="3"/>
      <c r="AN20" s="3"/>
      <c r="AO20" s="3"/>
      <c r="AP20" s="3"/>
      <c r="AQ20" s="3"/>
    </row>
    <row r="21" spans="2:43" x14ac:dyDescent="0.2">
      <c r="B21" s="3"/>
      <c r="C21" s="3"/>
      <c r="D21" s="11"/>
      <c r="E21" s="79"/>
      <c r="F21" s="79"/>
      <c r="G21" s="79"/>
      <c r="H21" s="79"/>
      <c r="I21" s="79"/>
      <c r="J21" s="79"/>
      <c r="K21" s="79"/>
      <c r="L21" s="15"/>
      <c r="M21" s="3"/>
      <c r="N21" s="3"/>
      <c r="O21" s="2"/>
      <c r="P21" s="3"/>
      <c r="Q21" s="3"/>
      <c r="R21" s="3"/>
      <c r="S21" s="3"/>
      <c r="T21" s="3"/>
      <c r="U21" s="3"/>
      <c r="V21" s="3"/>
      <c r="W21" s="3"/>
      <c r="X21" s="2"/>
      <c r="Y21" s="3"/>
      <c r="Z21" s="3"/>
      <c r="AA21" s="3"/>
      <c r="AB21" s="3"/>
      <c r="AC21" s="3"/>
      <c r="AD21" s="3"/>
      <c r="AE21" s="3"/>
      <c r="AF21" s="3"/>
      <c r="AG21" s="2"/>
      <c r="AH21" s="3"/>
      <c r="AI21" s="3"/>
      <c r="AJ21" s="3"/>
      <c r="AK21" s="3"/>
      <c r="AL21" s="3"/>
      <c r="AM21" s="3"/>
      <c r="AN21" s="3"/>
      <c r="AO21" s="3"/>
      <c r="AP21" s="3"/>
      <c r="AQ21" s="3"/>
    </row>
    <row r="22" spans="2:43" x14ac:dyDescent="0.2">
      <c r="B22" s="3"/>
      <c r="C22" s="3"/>
      <c r="D22" s="8" t="s">
        <v>507</v>
      </c>
      <c r="E22" s="79"/>
      <c r="F22" s="15"/>
      <c r="G22" s="15"/>
      <c r="H22" s="15"/>
      <c r="I22" s="15"/>
      <c r="J22" s="15"/>
      <c r="K22" s="15"/>
      <c r="L22" s="15"/>
      <c r="M22" s="3"/>
      <c r="N22" s="3"/>
      <c r="O22" s="2"/>
      <c r="P22" s="3"/>
      <c r="Q22" s="3"/>
      <c r="R22" s="3"/>
      <c r="S22" s="3"/>
      <c r="T22" s="3"/>
      <c r="U22" s="3"/>
      <c r="V22" s="3"/>
      <c r="W22" s="3"/>
      <c r="X22" s="2"/>
      <c r="Y22" s="3"/>
      <c r="Z22" s="3"/>
      <c r="AA22" s="3"/>
      <c r="AB22" s="3"/>
      <c r="AC22" s="3"/>
      <c r="AD22" s="3"/>
      <c r="AE22" s="3"/>
      <c r="AF22" s="3"/>
      <c r="AG22" s="2"/>
      <c r="AH22" s="3"/>
      <c r="AI22" s="3"/>
      <c r="AJ22" s="3"/>
      <c r="AK22" s="3"/>
      <c r="AL22" s="3"/>
      <c r="AM22" s="3"/>
      <c r="AN22" s="3"/>
      <c r="AO22" s="3"/>
      <c r="AP22" s="3"/>
      <c r="AQ22" s="3"/>
    </row>
    <row r="23" spans="2:43" x14ac:dyDescent="0.2">
      <c r="B23" s="3"/>
      <c r="C23" s="3"/>
      <c r="D23" s="116" t="str">
        <f>'Referenz Plattenfertiger'!D51</f>
        <v>Flugasche</v>
      </c>
      <c r="E23" s="79">
        <v>0</v>
      </c>
      <c r="F23" s="15" t="s">
        <v>89</v>
      </c>
      <c r="G23" s="113"/>
      <c r="H23" s="15" t="s">
        <v>89</v>
      </c>
      <c r="I23" s="79">
        <v>0</v>
      </c>
      <c r="J23" s="15" t="s">
        <v>89</v>
      </c>
      <c r="K23" s="113"/>
      <c r="L23" s="15" t="s">
        <v>89</v>
      </c>
      <c r="M23" s="3"/>
      <c r="N23" s="3"/>
      <c r="O23" s="2"/>
      <c r="P23" s="3"/>
      <c r="Q23" s="3"/>
      <c r="R23" s="3"/>
      <c r="S23" s="3"/>
      <c r="T23" s="3"/>
      <c r="U23" s="3"/>
      <c r="V23" s="3"/>
      <c r="W23" s="3"/>
      <c r="X23" s="2"/>
      <c r="Y23" s="3"/>
      <c r="Z23" s="3"/>
      <c r="AA23" s="3"/>
      <c r="AB23" s="3"/>
      <c r="AC23" s="3"/>
      <c r="AD23" s="3"/>
      <c r="AE23" s="3"/>
      <c r="AF23" s="3"/>
      <c r="AG23" s="2"/>
      <c r="AH23" s="3"/>
      <c r="AI23" s="3"/>
      <c r="AJ23" s="3"/>
      <c r="AK23" s="3"/>
      <c r="AL23" s="3"/>
      <c r="AM23" s="3"/>
      <c r="AN23" s="3"/>
      <c r="AO23" s="3"/>
      <c r="AP23" s="3"/>
      <c r="AQ23" s="3"/>
    </row>
    <row r="24" spans="2:43" x14ac:dyDescent="0.2">
      <c r="B24" s="3"/>
      <c r="C24" s="3"/>
      <c r="D24" s="116" t="str">
        <f>'Referenz Plattenfertiger'!D52</f>
        <v>Quarzsteinmehl</v>
      </c>
      <c r="E24" s="79">
        <v>2</v>
      </c>
      <c r="F24" s="15" t="s">
        <v>89</v>
      </c>
      <c r="G24" s="113"/>
      <c r="H24" s="15" t="s">
        <v>89</v>
      </c>
      <c r="I24" s="79">
        <v>5</v>
      </c>
      <c r="J24" s="15" t="s">
        <v>89</v>
      </c>
      <c r="K24" s="113"/>
      <c r="L24" s="15" t="s">
        <v>89</v>
      </c>
      <c r="M24" s="3"/>
      <c r="N24" s="3"/>
      <c r="O24" s="2"/>
      <c r="P24" s="3"/>
      <c r="Q24" s="3"/>
      <c r="R24" s="3"/>
      <c r="S24" s="3"/>
      <c r="T24" s="3"/>
      <c r="U24" s="3"/>
      <c r="V24" s="3"/>
      <c r="W24" s="3"/>
      <c r="X24" s="2"/>
      <c r="Y24" s="3"/>
      <c r="Z24" s="3"/>
      <c r="AA24" s="3"/>
      <c r="AB24" s="3"/>
      <c r="AC24" s="3"/>
      <c r="AD24" s="3"/>
      <c r="AE24" s="3"/>
      <c r="AF24" s="3"/>
      <c r="AG24" s="2"/>
      <c r="AH24" s="3"/>
      <c r="AI24" s="3"/>
      <c r="AJ24" s="3"/>
      <c r="AK24" s="3"/>
      <c r="AL24" s="3"/>
      <c r="AM24" s="3"/>
      <c r="AN24" s="3"/>
      <c r="AO24" s="3"/>
      <c r="AP24" s="3"/>
      <c r="AQ24" s="3"/>
    </row>
    <row r="25" spans="2:43" x14ac:dyDescent="0.2">
      <c r="B25" s="3"/>
      <c r="C25" s="3"/>
      <c r="D25" s="116" t="str">
        <f>'Referenz Plattenfertiger'!D53</f>
        <v>Kalksteinmehl</v>
      </c>
      <c r="E25" s="79">
        <v>2</v>
      </c>
      <c r="F25" s="15" t="s">
        <v>89</v>
      </c>
      <c r="G25" s="113"/>
      <c r="H25" s="15" t="s">
        <v>89</v>
      </c>
      <c r="I25" s="79">
        <v>5</v>
      </c>
      <c r="J25" s="15" t="s">
        <v>89</v>
      </c>
      <c r="K25" s="113"/>
      <c r="L25" s="15" t="s">
        <v>89</v>
      </c>
      <c r="M25" s="3"/>
      <c r="N25" s="3"/>
      <c r="O25" s="2"/>
      <c r="P25" s="3"/>
      <c r="Q25" s="3"/>
      <c r="R25" s="3"/>
      <c r="S25" s="3"/>
      <c r="T25" s="3"/>
      <c r="U25" s="3"/>
      <c r="V25" s="3"/>
      <c r="W25" s="3"/>
      <c r="X25" s="2"/>
      <c r="Y25" s="3"/>
      <c r="Z25" s="3"/>
      <c r="AA25" s="3"/>
      <c r="AB25" s="3"/>
      <c r="AC25" s="3"/>
      <c r="AD25" s="3"/>
      <c r="AE25" s="3"/>
      <c r="AF25" s="3"/>
      <c r="AG25" s="2"/>
      <c r="AH25" s="3"/>
      <c r="AI25" s="3"/>
      <c r="AJ25" s="3"/>
      <c r="AK25" s="3"/>
      <c r="AL25" s="3"/>
      <c r="AM25" s="3"/>
      <c r="AN25" s="3"/>
      <c r="AO25" s="3"/>
      <c r="AP25" s="3"/>
      <c r="AQ25" s="3"/>
    </row>
    <row r="26" spans="2:43" x14ac:dyDescent="0.2">
      <c r="B26" s="3"/>
      <c r="C26" s="3"/>
      <c r="D26" s="116" t="str">
        <f>'Referenz Plattenfertiger'!D54</f>
        <v>Weiterer Zusatzstoff 1</v>
      </c>
      <c r="E26" s="79">
        <v>0</v>
      </c>
      <c r="F26" s="15" t="s">
        <v>89</v>
      </c>
      <c r="G26" s="113"/>
      <c r="H26" s="15" t="s">
        <v>89</v>
      </c>
      <c r="I26" s="79">
        <v>0</v>
      </c>
      <c r="J26" s="15" t="s">
        <v>89</v>
      </c>
      <c r="K26" s="113"/>
      <c r="L26" s="15" t="s">
        <v>89</v>
      </c>
      <c r="M26" s="3"/>
      <c r="N26" s="3"/>
      <c r="O26" s="2"/>
      <c r="P26" s="3"/>
      <c r="Q26" s="3"/>
      <c r="R26" s="3"/>
      <c r="S26" s="3"/>
      <c r="T26" s="3"/>
      <c r="U26" s="3"/>
      <c r="V26" s="3"/>
      <c r="W26" s="3"/>
      <c r="X26" s="2"/>
      <c r="Y26" s="3"/>
      <c r="Z26" s="3"/>
      <c r="AA26" s="3"/>
      <c r="AB26" s="3"/>
      <c r="AC26" s="3"/>
      <c r="AD26" s="3"/>
      <c r="AE26" s="3"/>
      <c r="AF26" s="3"/>
      <c r="AG26" s="2"/>
      <c r="AH26" s="3"/>
      <c r="AI26" s="3"/>
      <c r="AJ26" s="3"/>
      <c r="AK26" s="3"/>
      <c r="AL26" s="3"/>
      <c r="AM26" s="3"/>
      <c r="AN26" s="3"/>
      <c r="AO26" s="3"/>
      <c r="AP26" s="3"/>
      <c r="AQ26" s="3"/>
    </row>
    <row r="27" spans="2:43" x14ac:dyDescent="0.2">
      <c r="B27" s="3"/>
      <c r="C27" s="3"/>
      <c r="D27" s="116" t="str">
        <f>'Referenz Plattenfertiger'!D55</f>
        <v>Weiterer Zusatzstoff 2</v>
      </c>
      <c r="E27" s="79">
        <v>0</v>
      </c>
      <c r="F27" s="15" t="s">
        <v>89</v>
      </c>
      <c r="G27" s="113"/>
      <c r="H27" s="15" t="s">
        <v>89</v>
      </c>
      <c r="I27" s="79">
        <v>0</v>
      </c>
      <c r="J27" s="15" t="s">
        <v>89</v>
      </c>
      <c r="K27" s="113"/>
      <c r="L27" s="15" t="s">
        <v>89</v>
      </c>
      <c r="M27" s="3"/>
      <c r="N27" s="3"/>
      <c r="O27" s="2"/>
      <c r="P27" s="3"/>
      <c r="Q27" s="3"/>
      <c r="R27" s="3"/>
      <c r="S27" s="3"/>
      <c r="T27" s="3"/>
      <c r="U27" s="3"/>
      <c r="V27" s="3"/>
      <c r="W27" s="3"/>
      <c r="X27" s="2"/>
      <c r="Y27" s="3"/>
      <c r="Z27" s="3"/>
      <c r="AA27" s="3"/>
      <c r="AB27" s="3"/>
      <c r="AC27" s="3"/>
      <c r="AD27" s="3"/>
      <c r="AE27" s="3"/>
      <c r="AF27" s="3"/>
      <c r="AG27" s="2"/>
      <c r="AH27" s="3"/>
      <c r="AI27" s="3"/>
      <c r="AJ27" s="3"/>
      <c r="AK27" s="3"/>
      <c r="AL27" s="3"/>
      <c r="AM27" s="3"/>
      <c r="AN27" s="3"/>
      <c r="AO27" s="3"/>
      <c r="AP27" s="3"/>
      <c r="AQ27" s="3"/>
    </row>
    <row r="28" spans="2:43" ht="14.25" x14ac:dyDescent="0.2">
      <c r="B28" s="3"/>
      <c r="C28" s="3"/>
      <c r="D28" s="11" t="s">
        <v>521</v>
      </c>
      <c r="E28" s="79">
        <v>0</v>
      </c>
      <c r="F28" s="15" t="s">
        <v>46</v>
      </c>
      <c r="G28" s="272"/>
      <c r="H28" s="15" t="s">
        <v>46</v>
      </c>
      <c r="I28" s="79">
        <v>0</v>
      </c>
      <c r="J28" s="15" t="s">
        <v>46</v>
      </c>
      <c r="K28" s="272"/>
      <c r="L28" s="15" t="s">
        <v>46</v>
      </c>
      <c r="M28" s="113"/>
      <c r="N28" s="3"/>
      <c r="O28" s="2"/>
      <c r="P28" s="3"/>
      <c r="Q28" s="3"/>
      <c r="R28" s="3"/>
      <c r="S28" s="3"/>
      <c r="T28" s="3"/>
      <c r="U28" s="3"/>
      <c r="V28" s="3"/>
      <c r="W28" s="3"/>
      <c r="X28" s="2"/>
      <c r="Y28" s="3"/>
      <c r="Z28" s="3"/>
      <c r="AA28" s="3"/>
      <c r="AB28" s="3"/>
      <c r="AC28" s="3"/>
      <c r="AD28" s="3"/>
      <c r="AE28" s="3"/>
      <c r="AF28" s="3"/>
      <c r="AG28" s="2"/>
      <c r="AH28" s="3"/>
      <c r="AI28" s="3"/>
      <c r="AJ28" s="3"/>
      <c r="AK28" s="3"/>
      <c r="AL28" s="3"/>
      <c r="AM28" s="3"/>
      <c r="AN28" s="3"/>
      <c r="AO28" s="3"/>
      <c r="AP28" s="3"/>
      <c r="AQ28" s="3"/>
    </row>
    <row r="29" spans="2:43" ht="14.25" x14ac:dyDescent="0.2">
      <c r="B29" s="3"/>
      <c r="C29" s="3"/>
      <c r="D29" s="11" t="s">
        <v>522</v>
      </c>
      <c r="E29" s="79">
        <v>0</v>
      </c>
      <c r="F29" s="15" t="s">
        <v>46</v>
      </c>
      <c r="G29" s="272"/>
      <c r="H29" s="15" t="s">
        <v>46</v>
      </c>
      <c r="I29" s="79">
        <v>0</v>
      </c>
      <c r="J29" s="15" t="s">
        <v>46</v>
      </c>
      <c r="K29" s="272"/>
      <c r="L29" s="15" t="s">
        <v>46</v>
      </c>
      <c r="M29" s="113"/>
      <c r="N29" s="3"/>
      <c r="O29" s="2"/>
      <c r="P29" s="3"/>
      <c r="Q29" s="3"/>
      <c r="R29" s="3"/>
      <c r="S29" s="3"/>
      <c r="T29" s="3"/>
      <c r="U29" s="3"/>
      <c r="V29" s="3"/>
      <c r="W29" s="3"/>
      <c r="X29" s="2"/>
      <c r="Y29" s="3"/>
      <c r="Z29" s="3"/>
      <c r="AA29" s="3"/>
      <c r="AB29" s="3"/>
      <c r="AC29" s="3"/>
      <c r="AD29" s="3"/>
      <c r="AE29" s="3"/>
      <c r="AF29" s="3"/>
      <c r="AG29" s="2"/>
      <c r="AH29" s="3"/>
      <c r="AI29" s="3"/>
      <c r="AJ29" s="3"/>
      <c r="AK29" s="3"/>
      <c r="AL29" s="3"/>
      <c r="AM29" s="3"/>
      <c r="AN29" s="3"/>
      <c r="AO29" s="3"/>
      <c r="AP29" s="3"/>
      <c r="AQ29" s="3"/>
    </row>
    <row r="30" spans="2:43" x14ac:dyDescent="0.2">
      <c r="B30" s="3"/>
      <c r="C30" s="3"/>
      <c r="D30" s="3"/>
      <c r="E30" s="3"/>
      <c r="F30" s="3"/>
      <c r="G30" s="3"/>
      <c r="H30" s="3"/>
      <c r="I30" s="3"/>
      <c r="J30" s="3"/>
      <c r="K30" s="3"/>
      <c r="L30" s="3"/>
      <c r="M30" s="3"/>
      <c r="N30" s="3"/>
      <c r="O30" s="2"/>
      <c r="P30" s="3"/>
      <c r="Q30" s="3"/>
      <c r="R30" s="3"/>
      <c r="S30" s="3"/>
      <c r="T30" s="3"/>
      <c r="U30" s="3"/>
      <c r="V30" s="3"/>
      <c r="W30" s="3"/>
      <c r="X30" s="2"/>
      <c r="Y30" s="3"/>
      <c r="Z30" s="3"/>
      <c r="AA30" s="3"/>
      <c r="AB30" s="3"/>
      <c r="AC30" s="3"/>
      <c r="AD30" s="3"/>
      <c r="AE30" s="3"/>
      <c r="AF30" s="3"/>
      <c r="AG30" s="2"/>
      <c r="AH30" s="3"/>
      <c r="AI30" s="3"/>
      <c r="AJ30" s="3"/>
      <c r="AK30" s="3"/>
      <c r="AL30" s="3"/>
      <c r="AM30" s="3"/>
      <c r="AN30" s="3"/>
      <c r="AO30" s="3"/>
      <c r="AP30" s="3"/>
      <c r="AQ30" s="3"/>
    </row>
    <row r="31" spans="2:43" ht="15.75" x14ac:dyDescent="0.2">
      <c r="B31" s="3"/>
      <c r="C31" s="3"/>
      <c r="D31" s="3" t="s">
        <v>244</v>
      </c>
      <c r="E31" s="289"/>
      <c r="F31" s="15"/>
      <c r="G31" s="292"/>
      <c r="H31" s="15" t="s">
        <v>289</v>
      </c>
      <c r="I31" s="289"/>
      <c r="J31" s="15"/>
      <c r="K31" s="292"/>
      <c r="L31" s="15" t="s">
        <v>289</v>
      </c>
      <c r="M31" s="113"/>
      <c r="N31" s="3"/>
      <c r="O31" s="2"/>
      <c r="P31" s="3"/>
      <c r="Q31" s="3"/>
      <c r="R31" s="3"/>
      <c r="S31" s="3"/>
      <c r="T31" s="3"/>
      <c r="U31" s="3"/>
      <c r="V31" s="3"/>
      <c r="W31" s="3"/>
      <c r="X31" s="2"/>
      <c r="Y31" s="3"/>
      <c r="Z31" s="3"/>
      <c r="AA31" s="3"/>
      <c r="AB31" s="3"/>
      <c r="AC31" s="3"/>
      <c r="AD31" s="3"/>
      <c r="AE31" s="3"/>
      <c r="AF31" s="3"/>
      <c r="AG31" s="2"/>
      <c r="AH31" s="3"/>
      <c r="AI31" s="3"/>
      <c r="AJ31" s="3"/>
      <c r="AK31" s="3"/>
      <c r="AL31" s="3"/>
      <c r="AM31" s="3"/>
      <c r="AN31" s="3"/>
      <c r="AO31" s="3"/>
      <c r="AP31" s="3"/>
      <c r="AQ31" s="3"/>
    </row>
    <row r="32" spans="2:43" ht="15.75" x14ac:dyDescent="0.2">
      <c r="B32" s="3"/>
      <c r="C32" s="8"/>
      <c r="D32" s="3" t="s">
        <v>245</v>
      </c>
      <c r="E32" s="289"/>
      <c r="F32" s="15"/>
      <c r="G32" s="292"/>
      <c r="H32" s="15" t="s">
        <v>289</v>
      </c>
      <c r="I32" s="289"/>
      <c r="J32" s="15"/>
      <c r="K32" s="292"/>
      <c r="L32" s="15" t="s">
        <v>289</v>
      </c>
      <c r="M32" s="113"/>
      <c r="N32" s="3"/>
      <c r="O32" s="2"/>
      <c r="P32" s="3"/>
      <c r="Q32" s="3"/>
      <c r="R32" s="3"/>
      <c r="S32" s="3"/>
      <c r="T32" s="3"/>
      <c r="U32" s="3"/>
      <c r="V32" s="3"/>
      <c r="W32" s="3"/>
      <c r="X32" s="2"/>
      <c r="Y32" s="3"/>
      <c r="Z32" s="3"/>
      <c r="AA32" s="3"/>
      <c r="AB32" s="3"/>
      <c r="AC32" s="3"/>
      <c r="AD32" s="3"/>
      <c r="AE32" s="3"/>
      <c r="AF32" s="3"/>
      <c r="AG32" s="2"/>
      <c r="AH32" s="3"/>
      <c r="AI32" s="3"/>
      <c r="AJ32" s="3"/>
      <c r="AK32" s="3"/>
      <c r="AL32" s="3"/>
      <c r="AM32" s="3"/>
      <c r="AN32" s="3"/>
      <c r="AO32" s="3"/>
      <c r="AP32" s="3"/>
      <c r="AQ32" s="3"/>
    </row>
    <row r="33" spans="1:43" x14ac:dyDescent="0.2">
      <c r="B33" s="3"/>
      <c r="C33" s="3"/>
      <c r="D33" s="11"/>
      <c r="E33" s="79"/>
      <c r="F33" s="79"/>
      <c r="G33" s="79"/>
      <c r="H33" s="79"/>
      <c r="I33" s="79"/>
      <c r="J33" s="79"/>
      <c r="K33" s="79"/>
      <c r="L33" s="15"/>
      <c r="M33" s="3"/>
      <c r="N33" s="3"/>
      <c r="O33" s="2"/>
      <c r="P33" s="3"/>
      <c r="Q33" s="3"/>
      <c r="R33" s="3"/>
      <c r="S33" s="3"/>
      <c r="T33" s="3"/>
      <c r="U33" s="3"/>
      <c r="V33" s="3"/>
      <c r="W33" s="3"/>
      <c r="X33" s="2"/>
      <c r="Y33" s="3"/>
      <c r="Z33" s="3"/>
      <c r="AA33" s="3"/>
      <c r="AB33" s="3"/>
      <c r="AC33" s="3"/>
      <c r="AD33" s="3"/>
      <c r="AE33" s="3"/>
      <c r="AF33" s="3"/>
      <c r="AG33" s="2"/>
      <c r="AH33" s="3"/>
      <c r="AI33" s="3"/>
      <c r="AJ33" s="3"/>
      <c r="AK33" s="3"/>
      <c r="AL33" s="3"/>
      <c r="AM33" s="3"/>
      <c r="AN33" s="3"/>
      <c r="AO33" s="3"/>
      <c r="AP33" s="3"/>
      <c r="AQ33" s="3"/>
    </row>
    <row r="34" spans="1:43" x14ac:dyDescent="0.2">
      <c r="B34" s="3"/>
      <c r="C34" s="3"/>
      <c r="D34" s="8"/>
      <c r="E34" s="80"/>
      <c r="F34" s="15"/>
      <c r="G34" s="15"/>
      <c r="H34" s="15"/>
      <c r="I34" s="80"/>
      <c r="J34" s="15"/>
      <c r="K34" s="15"/>
      <c r="L34" s="3"/>
      <c r="M34" s="3"/>
      <c r="N34" s="3"/>
      <c r="O34" s="2"/>
      <c r="P34" s="3"/>
      <c r="Q34" s="3"/>
      <c r="R34" s="3"/>
      <c r="S34" s="3"/>
      <c r="T34" s="3"/>
      <c r="U34" s="3"/>
      <c r="V34" s="3"/>
      <c r="W34" s="3"/>
      <c r="X34" s="2"/>
      <c r="Y34" s="3"/>
      <c r="Z34" s="3"/>
      <c r="AA34" s="3"/>
      <c r="AB34" s="3"/>
      <c r="AC34" s="3"/>
      <c r="AD34" s="3"/>
      <c r="AE34" s="3"/>
      <c r="AF34" s="3"/>
      <c r="AG34" s="2"/>
      <c r="AH34" s="3"/>
      <c r="AI34" s="3"/>
      <c r="AJ34" s="3"/>
      <c r="AK34" s="3"/>
      <c r="AL34" s="3"/>
      <c r="AM34" s="3"/>
      <c r="AN34" s="3"/>
      <c r="AO34" s="3"/>
      <c r="AP34" s="3"/>
      <c r="AQ34" s="3"/>
    </row>
    <row r="35" spans="1:43" ht="27" x14ac:dyDescent="0.2">
      <c r="B35" s="3"/>
      <c r="C35" s="3"/>
      <c r="D35" s="12" t="s">
        <v>508</v>
      </c>
      <c r="E35" s="79">
        <v>0</v>
      </c>
      <c r="F35" s="15" t="s">
        <v>95</v>
      </c>
      <c r="G35" s="272"/>
      <c r="H35" s="15" t="s">
        <v>95</v>
      </c>
      <c r="I35" s="79">
        <v>0</v>
      </c>
      <c r="J35" s="15" t="s">
        <v>95</v>
      </c>
      <c r="K35" s="272"/>
      <c r="L35" s="3" t="s">
        <v>95</v>
      </c>
      <c r="M35" s="3"/>
      <c r="N35" s="3"/>
      <c r="O35" s="2"/>
      <c r="P35" s="3"/>
      <c r="Q35" s="3"/>
      <c r="R35" s="3"/>
      <c r="S35" s="3"/>
      <c r="T35" s="3"/>
      <c r="U35" s="3"/>
      <c r="V35" s="3"/>
      <c r="W35" s="3"/>
      <c r="X35" s="2"/>
      <c r="Y35" s="3"/>
      <c r="Z35" s="3"/>
      <c r="AA35" s="3"/>
      <c r="AB35" s="3"/>
      <c r="AC35" s="3"/>
      <c r="AD35" s="3"/>
      <c r="AE35" s="3"/>
      <c r="AF35" s="3"/>
      <c r="AG35" s="2"/>
      <c r="AH35" s="3"/>
      <c r="AI35" s="3"/>
      <c r="AJ35" s="3"/>
      <c r="AK35" s="3"/>
      <c r="AL35" s="3"/>
      <c r="AM35" s="3"/>
      <c r="AN35" s="3"/>
      <c r="AO35" s="3"/>
      <c r="AP35" s="3"/>
      <c r="AQ35" s="3"/>
    </row>
    <row r="36" spans="1:43" ht="14.25" x14ac:dyDescent="0.2">
      <c r="B36" s="3"/>
      <c r="C36" s="3"/>
      <c r="D36" s="78" t="s">
        <v>511</v>
      </c>
      <c r="E36" s="79">
        <v>0</v>
      </c>
      <c r="F36" s="15" t="s">
        <v>96</v>
      </c>
      <c r="G36" s="272"/>
      <c r="H36" s="15" t="s">
        <v>96</v>
      </c>
      <c r="I36" s="79">
        <v>0</v>
      </c>
      <c r="J36" s="15" t="s">
        <v>96</v>
      </c>
      <c r="K36" s="272"/>
      <c r="L36" s="3" t="s">
        <v>96</v>
      </c>
      <c r="M36" s="3"/>
      <c r="N36" s="3"/>
      <c r="O36" s="2"/>
      <c r="P36" s="3"/>
      <c r="Q36" s="3"/>
      <c r="R36" s="3"/>
      <c r="S36" s="3"/>
      <c r="T36" s="3"/>
      <c r="U36" s="3"/>
      <c r="V36" s="3"/>
      <c r="W36" s="3"/>
      <c r="X36" s="2"/>
      <c r="Y36" s="3"/>
      <c r="Z36" s="3"/>
      <c r="AA36" s="3"/>
      <c r="AB36" s="3"/>
      <c r="AC36" s="3"/>
      <c r="AD36" s="3"/>
      <c r="AE36" s="3"/>
      <c r="AF36" s="3"/>
      <c r="AG36" s="2"/>
      <c r="AH36" s="3"/>
      <c r="AI36" s="3"/>
      <c r="AJ36" s="3"/>
      <c r="AK36" s="3"/>
      <c r="AL36" s="3"/>
      <c r="AM36" s="3"/>
      <c r="AN36" s="3"/>
      <c r="AO36" s="3"/>
      <c r="AP36" s="3"/>
      <c r="AQ36" s="3"/>
    </row>
    <row r="37" spans="1:43" ht="18" x14ac:dyDescent="0.25">
      <c r="B37" s="3"/>
      <c r="C37" s="3"/>
      <c r="D37" s="78" t="s">
        <v>518</v>
      </c>
      <c r="E37" s="79">
        <v>0</v>
      </c>
      <c r="F37" s="15" t="s">
        <v>95</v>
      </c>
      <c r="G37" s="272"/>
      <c r="H37" s="15" t="s">
        <v>95</v>
      </c>
      <c r="I37" s="79">
        <v>0</v>
      </c>
      <c r="J37" s="15" t="s">
        <v>95</v>
      </c>
      <c r="K37" s="272"/>
      <c r="L37" s="3" t="s">
        <v>95</v>
      </c>
      <c r="M37" s="3"/>
      <c r="N37" s="3"/>
      <c r="O37" s="2"/>
      <c r="P37" s="3"/>
      <c r="Q37" s="96"/>
      <c r="R37" s="61"/>
      <c r="S37" s="3"/>
      <c r="T37" s="3"/>
      <c r="U37" s="3"/>
      <c r="V37" s="3"/>
      <c r="W37" s="3"/>
      <c r="X37" s="2"/>
      <c r="Y37" s="3"/>
      <c r="Z37" s="3"/>
      <c r="AA37" s="3"/>
      <c r="AB37" s="3"/>
      <c r="AC37" s="3"/>
      <c r="AD37" s="3"/>
      <c r="AE37" s="3"/>
      <c r="AF37" s="3"/>
      <c r="AG37" s="2"/>
      <c r="AH37" s="3"/>
      <c r="AI37" s="3"/>
      <c r="AJ37" s="3"/>
      <c r="AK37" s="3"/>
      <c r="AL37" s="3"/>
      <c r="AM37" s="3"/>
      <c r="AN37" s="3"/>
      <c r="AO37" s="84"/>
      <c r="AP37" s="84"/>
      <c r="AQ37" s="3"/>
    </row>
    <row r="38" spans="1:43" x14ac:dyDescent="0.2">
      <c r="B38" s="3"/>
      <c r="C38" s="3"/>
      <c r="D38" s="78"/>
      <c r="E38" s="78"/>
      <c r="F38" s="78"/>
      <c r="G38" s="78"/>
      <c r="H38" s="78"/>
      <c r="I38" s="78"/>
      <c r="J38" s="78"/>
      <c r="K38" s="78"/>
      <c r="L38" s="78"/>
      <c r="M38" s="3"/>
      <c r="N38" s="3"/>
      <c r="O38" s="2"/>
      <c r="P38" s="3"/>
      <c r="Q38" s="3"/>
      <c r="R38" s="3"/>
      <c r="S38" s="3"/>
      <c r="T38" s="3"/>
      <c r="U38" s="3"/>
      <c r="V38" s="3"/>
      <c r="W38" s="3"/>
      <c r="X38" s="2"/>
      <c r="Y38" s="3"/>
      <c r="Z38" s="3"/>
      <c r="AA38" s="3"/>
      <c r="AB38" s="3"/>
      <c r="AC38" s="3"/>
      <c r="AD38" s="3"/>
      <c r="AE38" s="3"/>
      <c r="AF38" s="3"/>
      <c r="AG38" s="2"/>
      <c r="AH38" s="3"/>
      <c r="AI38" s="3"/>
      <c r="AJ38" s="3"/>
      <c r="AK38" s="3"/>
      <c r="AL38" s="3"/>
      <c r="AM38" s="3"/>
      <c r="AN38" s="3"/>
      <c r="AO38" s="83"/>
      <c r="AP38" s="83"/>
      <c r="AQ38" s="3"/>
    </row>
    <row r="39" spans="1:43" x14ac:dyDescent="0.2">
      <c r="B39" s="3"/>
      <c r="C39" s="3"/>
      <c r="D39" s="78"/>
      <c r="E39" s="15"/>
      <c r="F39" s="15"/>
      <c r="G39" s="15"/>
      <c r="H39" s="15"/>
      <c r="I39" s="15"/>
      <c r="J39" s="15"/>
      <c r="K39" s="15"/>
      <c r="L39" s="15"/>
      <c r="M39" s="3"/>
      <c r="N39" s="3"/>
      <c r="O39" s="2"/>
      <c r="P39" s="3"/>
      <c r="Q39" s="3"/>
      <c r="R39" s="3"/>
      <c r="S39" s="3"/>
      <c r="T39" s="3"/>
      <c r="U39" s="3"/>
      <c r="V39" s="3"/>
      <c r="W39" s="3"/>
      <c r="X39" s="2"/>
      <c r="Y39" s="3"/>
      <c r="Z39" s="3"/>
      <c r="AA39" s="3"/>
      <c r="AB39" s="3"/>
      <c r="AC39" s="3"/>
      <c r="AD39" s="3"/>
      <c r="AE39" s="3"/>
      <c r="AF39" s="3"/>
      <c r="AG39" s="2"/>
      <c r="AH39" s="3"/>
      <c r="AI39" s="3"/>
      <c r="AJ39" s="3"/>
      <c r="AK39" s="3"/>
      <c r="AL39" s="3"/>
      <c r="AM39" s="3"/>
      <c r="AN39" s="3"/>
      <c r="AO39" s="83"/>
      <c r="AP39" s="83"/>
      <c r="AQ39" s="3"/>
    </row>
    <row r="40" spans="1:43" ht="15" x14ac:dyDescent="0.25">
      <c r="B40" s="3"/>
      <c r="C40" s="3"/>
      <c r="D40" s="78" t="s">
        <v>23</v>
      </c>
      <c r="E40" s="79">
        <v>10</v>
      </c>
      <c r="F40" s="15" t="s">
        <v>88</v>
      </c>
      <c r="G40" s="113"/>
      <c r="H40" s="15" t="s">
        <v>88</v>
      </c>
      <c r="I40" s="79">
        <v>10</v>
      </c>
      <c r="J40" s="15" t="s">
        <v>88</v>
      </c>
      <c r="K40" s="113"/>
      <c r="L40" s="15" t="s">
        <v>88</v>
      </c>
      <c r="M40" s="3"/>
      <c r="N40" s="3"/>
      <c r="O40" s="2"/>
      <c r="P40" s="3"/>
      <c r="Q40" s="3"/>
      <c r="R40" s="23" t="s">
        <v>178</v>
      </c>
      <c r="S40" s="24"/>
      <c r="T40" s="24"/>
      <c r="U40" s="24"/>
      <c r="V40" s="24"/>
      <c r="W40" s="3"/>
      <c r="X40" s="2"/>
      <c r="Y40" s="3"/>
      <c r="Z40" s="3"/>
      <c r="AA40" s="23" t="s">
        <v>180</v>
      </c>
      <c r="AB40" s="24"/>
      <c r="AC40" s="24"/>
      <c r="AD40" s="24"/>
      <c r="AE40" s="24"/>
      <c r="AF40" s="3"/>
      <c r="AG40" s="2"/>
      <c r="AH40" s="3"/>
      <c r="AI40" s="3"/>
      <c r="AJ40" s="23" t="s">
        <v>185</v>
      </c>
      <c r="AK40" s="24"/>
      <c r="AL40" s="24"/>
      <c r="AM40" s="24"/>
      <c r="AN40" s="3"/>
      <c r="AO40" s="83"/>
      <c r="AP40" s="83"/>
      <c r="AQ40" s="3"/>
    </row>
    <row r="41" spans="1:43" ht="15" x14ac:dyDescent="0.25">
      <c r="B41" s="3"/>
      <c r="C41" s="3"/>
      <c r="D41" s="78" t="s">
        <v>24</v>
      </c>
      <c r="E41" s="81">
        <v>8</v>
      </c>
      <c r="F41" s="15" t="s">
        <v>89</v>
      </c>
      <c r="G41" s="273"/>
      <c r="H41" s="15" t="s">
        <v>89</v>
      </c>
      <c r="I41" s="81">
        <v>8</v>
      </c>
      <c r="J41" s="15" t="s">
        <v>89</v>
      </c>
      <c r="K41" s="273"/>
      <c r="L41" s="15" t="s">
        <v>89</v>
      </c>
      <c r="M41" s="3"/>
      <c r="N41" s="3"/>
      <c r="O41" s="2"/>
      <c r="P41" s="3"/>
      <c r="Q41" s="483" t="s">
        <v>131</v>
      </c>
      <c r="R41" s="34"/>
      <c r="S41" s="45">
        <f>'Referenz Plattenfertiger'!D9</f>
        <v>0</v>
      </c>
      <c r="T41" s="46">
        <f>S41+5</f>
        <v>5</v>
      </c>
      <c r="U41" s="46">
        <f>S41+10</f>
        <v>10</v>
      </c>
      <c r="V41" s="34"/>
      <c r="W41" s="3"/>
      <c r="X41" s="2"/>
      <c r="Y41" s="3"/>
      <c r="Z41" s="3"/>
      <c r="AA41" s="34"/>
      <c r="AB41" s="45">
        <f>S$41</f>
        <v>0</v>
      </c>
      <c r="AC41" s="45">
        <f>T$41</f>
        <v>5</v>
      </c>
      <c r="AD41" s="45">
        <f>U$41</f>
        <v>10</v>
      </c>
      <c r="AE41" s="34"/>
      <c r="AF41" s="3"/>
      <c r="AG41" s="2"/>
      <c r="AH41" s="3"/>
      <c r="AI41" s="483" t="s">
        <v>131</v>
      </c>
      <c r="AJ41" s="34"/>
      <c r="AK41" s="45">
        <f>AB$41</f>
        <v>0</v>
      </c>
      <c r="AL41" s="45">
        <f>AC$41</f>
        <v>5</v>
      </c>
      <c r="AM41" s="45">
        <f>AD$41</f>
        <v>10</v>
      </c>
      <c r="AN41" s="46"/>
      <c r="AO41" s="83"/>
      <c r="AP41" s="83"/>
      <c r="AQ41" s="62"/>
    </row>
    <row r="42" spans="1:43" ht="25.5" customHeight="1" x14ac:dyDescent="0.2">
      <c r="B42" s="3"/>
      <c r="C42" s="3"/>
      <c r="D42" s="15"/>
      <c r="E42" s="81"/>
      <c r="F42" s="15"/>
      <c r="G42" s="15"/>
      <c r="H42" s="15"/>
      <c r="I42" s="80"/>
      <c r="J42" s="15"/>
      <c r="K42" s="15"/>
      <c r="L42" s="3"/>
      <c r="M42" s="3"/>
      <c r="N42" s="3"/>
      <c r="O42" s="2"/>
      <c r="P42" s="3"/>
      <c r="Q42" s="483"/>
      <c r="R42" s="24"/>
      <c r="S42" s="47" t="s">
        <v>81</v>
      </c>
      <c r="T42" s="48"/>
      <c r="U42" s="48"/>
      <c r="V42" s="24"/>
      <c r="W42" s="3"/>
      <c r="X42" s="2"/>
      <c r="Y42" s="3"/>
      <c r="Z42" s="3"/>
      <c r="AA42" s="24"/>
      <c r="AB42" s="47" t="s">
        <v>81</v>
      </c>
      <c r="AC42" s="48"/>
      <c r="AD42" s="48"/>
      <c r="AE42" s="24"/>
      <c r="AF42" s="3"/>
      <c r="AG42" s="2"/>
      <c r="AH42" s="3"/>
      <c r="AI42" s="483"/>
      <c r="AJ42" s="24"/>
      <c r="AK42" s="47" t="s">
        <v>81</v>
      </c>
      <c r="AL42" s="48"/>
      <c r="AM42" s="48"/>
      <c r="AN42" s="3"/>
      <c r="AO42" s="83"/>
      <c r="AP42" s="83"/>
      <c r="AQ42" s="62"/>
    </row>
    <row r="43" spans="1:43" ht="29.25" customHeight="1" x14ac:dyDescent="0.3">
      <c r="B43" s="3"/>
      <c r="C43" s="3"/>
      <c r="D43" s="15"/>
      <c r="E43" s="81"/>
      <c r="F43" s="15"/>
      <c r="G43" s="15"/>
      <c r="H43" s="15"/>
      <c r="I43" s="80"/>
      <c r="J43" s="15"/>
      <c r="K43" s="15"/>
      <c r="L43" s="3"/>
      <c r="M43" s="3"/>
      <c r="N43" s="3"/>
      <c r="O43" s="2"/>
      <c r="P43" s="3"/>
      <c r="Q43" s="3"/>
      <c r="R43" s="29" t="str">
        <f>Q123</f>
        <v>Energieträger gesamt</v>
      </c>
      <c r="S43" s="26">
        <f>SUM('Referenz Plattenfertiger'!U16:U29)</f>
        <v>41.281733459999998</v>
      </c>
      <c r="T43" s="26">
        <f>V123</f>
        <v>34.39057387091087</v>
      </c>
      <c r="U43" s="26">
        <f>V211</f>
        <v>25.105144641628776</v>
      </c>
      <c r="V43" s="25" t="s">
        <v>148</v>
      </c>
      <c r="W43" s="3"/>
      <c r="X43" s="2"/>
      <c r="Y43" s="3"/>
      <c r="Z43" s="3"/>
      <c r="AA43" s="29" t="s">
        <v>104</v>
      </c>
      <c r="AB43" s="26">
        <f>'Referenz Plattenfertiger'!S78</f>
        <v>94.932355060000006</v>
      </c>
      <c r="AC43" s="26">
        <f>T193</f>
        <v>94.932355060000006</v>
      </c>
      <c r="AD43" s="26">
        <f>T278</f>
        <v>94.932355060000006</v>
      </c>
      <c r="AE43" s="25" t="s">
        <v>148</v>
      </c>
      <c r="AF43" s="3"/>
      <c r="AG43" s="2"/>
      <c r="AH43" s="3"/>
      <c r="AI43" s="3"/>
      <c r="AJ43" s="56" t="s">
        <v>144</v>
      </c>
      <c r="AK43" s="57">
        <f>SUM(AK44:AK50)</f>
        <v>109669</v>
      </c>
      <c r="AL43" s="57">
        <f t="shared" ref="AL43:AM43" si="0">SUM(AL44:AL50)</f>
        <v>109669</v>
      </c>
      <c r="AM43" s="57">
        <f t="shared" si="0"/>
        <v>109669</v>
      </c>
      <c r="AN43" s="3"/>
      <c r="AO43" s="112"/>
      <c r="AP43" s="112"/>
      <c r="AQ43" s="62"/>
    </row>
    <row r="44" spans="1:43" ht="26.25" customHeight="1" x14ac:dyDescent="0.3">
      <c r="B44" s="3"/>
      <c r="C44" s="290" t="s">
        <v>280</v>
      </c>
      <c r="D44" s="487" t="s">
        <v>279</v>
      </c>
      <c r="E44" s="487"/>
      <c r="F44" s="487"/>
      <c r="G44" s="487"/>
      <c r="H44" s="487"/>
      <c r="I44" s="487"/>
      <c r="J44" s="487"/>
      <c r="K44" s="487"/>
      <c r="L44" s="487"/>
      <c r="M44" s="3"/>
      <c r="N44" s="3"/>
      <c r="O44" s="2"/>
      <c r="P44" s="3"/>
      <c r="Q44" s="3"/>
      <c r="R44" s="8" t="str">
        <f>Q139</f>
        <v>Transport gesamt</v>
      </c>
      <c r="S44" s="9">
        <f>'Referenz Plattenfertiger'!U32+'Referenz Plattenfertiger'!U33</f>
        <v>469.15642799999995</v>
      </c>
      <c r="T44" s="9">
        <f>V139</f>
        <v>469.15642799999995</v>
      </c>
      <c r="U44" s="9">
        <f>V227</f>
        <v>469.15642799999995</v>
      </c>
      <c r="V44" s="3" t="s">
        <v>148</v>
      </c>
      <c r="W44" s="3"/>
      <c r="X44" s="2"/>
      <c r="Y44" s="3"/>
      <c r="Z44" s="3"/>
      <c r="AA44" s="8" t="s">
        <v>26</v>
      </c>
      <c r="AB44" s="9">
        <f>'Referenz Plattenfertiger'!T78</f>
        <v>171.9</v>
      </c>
      <c r="AC44" s="9">
        <f>U193</f>
        <v>124.8924470887134</v>
      </c>
      <c r="AD44" s="9">
        <f>U278</f>
        <v>61.552554846110553</v>
      </c>
      <c r="AE44" s="3" t="s">
        <v>148</v>
      </c>
      <c r="AF44" s="3"/>
      <c r="AG44" s="2"/>
      <c r="AH44" s="3"/>
      <c r="AI44" s="3"/>
      <c r="AJ44" s="31" t="s">
        <v>29</v>
      </c>
      <c r="AK44" s="51">
        <f>'Referenz Plattenfertiger'!AD16</f>
        <v>14335</v>
      </c>
      <c r="AL44" s="51">
        <f>AI122+AI127</f>
        <v>14335</v>
      </c>
      <c r="AM44" s="51">
        <f>AI203+AI208</f>
        <v>14335</v>
      </c>
      <c r="AN44" s="3"/>
      <c r="AO44" s="112"/>
      <c r="AP44" s="112"/>
      <c r="AQ44" s="62"/>
    </row>
    <row r="45" spans="1:43" ht="23.25" customHeight="1" x14ac:dyDescent="0.3">
      <c r="B45" s="3"/>
      <c r="C45" s="290" t="s">
        <v>281</v>
      </c>
      <c r="D45" s="488" t="s">
        <v>285</v>
      </c>
      <c r="E45" s="488"/>
      <c r="F45" s="488"/>
      <c r="G45" s="488"/>
      <c r="H45" s="488"/>
      <c r="I45" s="488"/>
      <c r="J45" s="488"/>
      <c r="K45" s="488"/>
      <c r="L45" s="488"/>
      <c r="M45" s="3"/>
      <c r="N45" s="3"/>
      <c r="O45" s="2"/>
      <c r="P45" s="3"/>
      <c r="Q45" s="3"/>
      <c r="R45" s="29" t="str">
        <f>Q143</f>
        <v>Zement</v>
      </c>
      <c r="S45" s="26">
        <f>'Referenz Plattenfertiger'!U35</f>
        <v>4548.5439999999999</v>
      </c>
      <c r="T45" s="26">
        <f>V143</f>
        <v>4457.57312</v>
      </c>
      <c r="U45" s="26">
        <f>V231</f>
        <v>4321.1167999999998</v>
      </c>
      <c r="V45" s="25" t="s">
        <v>148</v>
      </c>
      <c r="W45" s="3"/>
      <c r="X45" s="2"/>
      <c r="Y45" s="3"/>
      <c r="Z45" s="3"/>
      <c r="AA45" s="29" t="s">
        <v>27</v>
      </c>
      <c r="AB45" s="26">
        <f>'Referenz Plattenfertiger'!U78</f>
        <v>5831.5296228095176</v>
      </c>
      <c r="AC45" s="26">
        <f>V193</f>
        <v>5655.5126232204293</v>
      </c>
      <c r="AD45" s="26">
        <f>V278</f>
        <v>5511.6569939911478</v>
      </c>
      <c r="AE45" s="25" t="s">
        <v>148</v>
      </c>
      <c r="AF45" s="3"/>
      <c r="AG45" s="2"/>
      <c r="AH45" s="3"/>
      <c r="AI45" s="3"/>
      <c r="AJ45" s="31" t="s">
        <v>30</v>
      </c>
      <c r="AK45" s="51">
        <f>'Referenz Plattenfertiger'!AD17</f>
        <v>2760</v>
      </c>
      <c r="AL45" s="51">
        <f>AI123+AI128</f>
        <v>2760</v>
      </c>
      <c r="AM45" s="51">
        <f>AI204+AI209</f>
        <v>2760</v>
      </c>
      <c r="AN45" s="3"/>
      <c r="AO45" s="112"/>
      <c r="AP45" s="112"/>
      <c r="AQ45" s="62"/>
    </row>
    <row r="46" spans="1:43" ht="32.25" customHeight="1" thickBot="1" x14ac:dyDescent="0.35">
      <c r="B46" s="3"/>
      <c r="C46" s="290" t="s">
        <v>282</v>
      </c>
      <c r="D46" s="489" t="s">
        <v>288</v>
      </c>
      <c r="E46" s="489"/>
      <c r="F46" s="489"/>
      <c r="G46" s="489"/>
      <c r="H46" s="489"/>
      <c r="I46" s="489"/>
      <c r="J46" s="489"/>
      <c r="K46" s="489"/>
      <c r="L46" s="489"/>
      <c r="M46" s="3"/>
      <c r="N46" s="3"/>
      <c r="O46" s="2"/>
      <c r="P46" s="3"/>
      <c r="Q46" s="3"/>
      <c r="R46" s="8" t="str">
        <f>Q149</f>
        <v>Gesteinskörnungen (Zuschlagsstoffe)</v>
      </c>
      <c r="S46" s="9">
        <f>'Referenz Plattenfertiger'!U41</f>
        <v>129.59200000000001</v>
      </c>
      <c r="T46" s="9">
        <f>V149</f>
        <v>129.59200000000001</v>
      </c>
      <c r="U46" s="9">
        <f>V237</f>
        <v>129.59200000000001</v>
      </c>
      <c r="V46" s="3" t="s">
        <v>148</v>
      </c>
      <c r="W46" s="3"/>
      <c r="X46" s="2"/>
      <c r="Y46" s="3"/>
      <c r="Z46" s="3"/>
      <c r="AA46" s="27" t="s">
        <v>67</v>
      </c>
      <c r="AB46" s="28">
        <f>SUM(AB43:AB45)</f>
        <v>6098.3619778695174</v>
      </c>
      <c r="AC46" s="28">
        <f t="shared" ref="AC46:AD46" si="1">SUM(AC43:AC45)</f>
        <v>5875.3374253691427</v>
      </c>
      <c r="AD46" s="28">
        <f t="shared" si="1"/>
        <v>5668.1419038972581</v>
      </c>
      <c r="AE46" s="27" t="s">
        <v>149</v>
      </c>
      <c r="AF46" s="3"/>
      <c r="AG46" s="2"/>
      <c r="AH46" s="3"/>
      <c r="AI46" s="3"/>
      <c r="AJ46" s="31" t="s">
        <v>31</v>
      </c>
      <c r="AK46" s="51">
        <f>'Referenz Plattenfertiger'!AD18</f>
        <v>77400</v>
      </c>
      <c r="AL46" s="51">
        <f>AI124+AI130</f>
        <v>77400</v>
      </c>
      <c r="AM46" s="51">
        <f>AI205+AI211</f>
        <v>77400</v>
      </c>
      <c r="AN46" s="3"/>
      <c r="AO46" s="112"/>
      <c r="AP46" s="112"/>
      <c r="AQ46" s="62"/>
    </row>
    <row r="47" spans="1:43" ht="16.5" thickTop="1" x14ac:dyDescent="0.3">
      <c r="B47" s="3"/>
      <c r="C47" s="290" t="s">
        <v>283</v>
      </c>
      <c r="D47" s="490" t="s">
        <v>286</v>
      </c>
      <c r="E47" s="490"/>
      <c r="F47" s="490"/>
      <c r="G47" s="490"/>
      <c r="H47" s="490"/>
      <c r="I47" s="490"/>
      <c r="J47" s="490"/>
      <c r="K47" s="490"/>
      <c r="L47" s="490"/>
      <c r="M47" s="3"/>
      <c r="N47" s="3"/>
      <c r="O47" s="2"/>
      <c r="P47" s="3"/>
      <c r="Q47" s="3"/>
      <c r="R47" s="29" t="str">
        <f>R156</f>
        <v>Farben</v>
      </c>
      <c r="S47" s="26">
        <f>'Referenz Plattenfertiger'!U48</f>
        <v>208</v>
      </c>
      <c r="T47" s="26">
        <f>V156</f>
        <v>208</v>
      </c>
      <c r="U47" s="26">
        <f>V244</f>
        <v>208</v>
      </c>
      <c r="V47" s="25" t="s">
        <v>148</v>
      </c>
      <c r="W47" s="3"/>
      <c r="X47" s="2"/>
      <c r="Y47" s="3"/>
      <c r="Z47" s="3"/>
      <c r="AA47" s="3"/>
      <c r="AB47" s="3"/>
      <c r="AC47" s="3"/>
      <c r="AD47" s="3"/>
      <c r="AE47" s="3"/>
      <c r="AF47" s="3"/>
      <c r="AG47" s="2"/>
      <c r="AH47" s="3"/>
      <c r="AI47" s="3"/>
      <c r="AJ47" s="31" t="s">
        <v>111</v>
      </c>
      <c r="AK47" s="51">
        <f>'Referenz Plattenfertiger'!AD19</f>
        <v>0</v>
      </c>
      <c r="AL47" s="51">
        <f>AI131</f>
        <v>0</v>
      </c>
      <c r="AM47" s="51">
        <f>AI212</f>
        <v>0</v>
      </c>
      <c r="AN47" s="3"/>
      <c r="AO47" s="112"/>
      <c r="AP47" s="112"/>
      <c r="AQ47" s="62"/>
    </row>
    <row r="48" spans="1:43" ht="15.75" x14ac:dyDescent="0.3">
      <c r="A48" s="2"/>
      <c r="B48" s="3"/>
      <c r="C48" s="290" t="s">
        <v>284</v>
      </c>
      <c r="D48" s="490" t="s">
        <v>287</v>
      </c>
      <c r="E48" s="490"/>
      <c r="F48" s="490"/>
      <c r="G48" s="490"/>
      <c r="H48" s="490"/>
      <c r="I48" s="490"/>
      <c r="J48" s="490"/>
      <c r="K48" s="490"/>
      <c r="L48" s="490"/>
      <c r="M48" s="3"/>
      <c r="N48" s="3"/>
      <c r="O48" s="2"/>
      <c r="P48" s="3"/>
      <c r="Q48" s="3"/>
      <c r="R48" s="8" t="str">
        <f>Q158</f>
        <v>Zusatzstoffe (Füllstoffe)</v>
      </c>
      <c r="S48" s="9">
        <f>'Referenz Plattenfertiger'!U50</f>
        <v>81.003999999999991</v>
      </c>
      <c r="T48" s="9">
        <f>V158</f>
        <v>82.624079999999992</v>
      </c>
      <c r="U48" s="9">
        <f>V246</f>
        <v>85.054199999999994</v>
      </c>
      <c r="V48" s="3" t="s">
        <v>148</v>
      </c>
      <c r="W48" s="3"/>
      <c r="X48" s="2"/>
      <c r="Y48" s="3"/>
      <c r="Z48" s="3"/>
      <c r="AA48" s="3"/>
      <c r="AB48" s="3"/>
      <c r="AC48" s="3"/>
      <c r="AD48" s="3"/>
      <c r="AE48" s="3"/>
      <c r="AF48" s="3"/>
      <c r="AG48" s="2"/>
      <c r="AH48" s="3"/>
      <c r="AI48" s="3"/>
      <c r="AJ48" s="31" t="s">
        <v>112</v>
      </c>
      <c r="AK48" s="51">
        <f>'Referenz Plattenfertiger'!AD20</f>
        <v>0</v>
      </c>
      <c r="AL48" s="51">
        <f>AI125</f>
        <v>0</v>
      </c>
      <c r="AM48" s="51">
        <f>AI206</f>
        <v>0</v>
      </c>
      <c r="AN48" s="3"/>
      <c r="AO48" s="112"/>
      <c r="AP48" s="112"/>
      <c r="AQ48" s="62"/>
    </row>
    <row r="49" spans="1:43" ht="15.75" x14ac:dyDescent="0.3">
      <c r="A49" s="2"/>
      <c r="B49" s="3"/>
      <c r="C49" s="3"/>
      <c r="D49" s="15"/>
      <c r="E49" s="10"/>
      <c r="F49" s="3"/>
      <c r="G49" s="3"/>
      <c r="H49" s="3"/>
      <c r="I49" s="16"/>
      <c r="J49" s="3"/>
      <c r="K49" s="3"/>
      <c r="L49" s="3"/>
      <c r="M49" s="3"/>
      <c r="N49" s="3"/>
      <c r="P49" s="3"/>
      <c r="Q49" s="3"/>
      <c r="R49" s="29" t="str">
        <f>Q165</f>
        <v>Zusatzmittel</v>
      </c>
      <c r="S49" s="26">
        <f>'Referenz Plattenfertiger'!U57</f>
        <v>148.44746134951595</v>
      </c>
      <c r="T49" s="26">
        <f>V165</f>
        <v>148.44746134951595</v>
      </c>
      <c r="U49" s="26">
        <f>V253</f>
        <v>148.44746134951595</v>
      </c>
      <c r="V49" s="25" t="s">
        <v>148</v>
      </c>
      <c r="W49" s="3"/>
      <c r="X49" s="2"/>
      <c r="Y49" s="3"/>
      <c r="Z49" s="3"/>
      <c r="AA49" s="23" t="s">
        <v>238</v>
      </c>
      <c r="AB49" s="24"/>
      <c r="AC49" s="24"/>
      <c r="AD49" s="24"/>
      <c r="AE49" s="24"/>
      <c r="AF49" s="3"/>
      <c r="AG49" s="2"/>
      <c r="AH49" s="3"/>
      <c r="AI49" s="3"/>
      <c r="AJ49" s="31" t="s">
        <v>410</v>
      </c>
      <c r="AK49" s="51">
        <f>'Referenz Plattenfertiger'!AD21</f>
        <v>0</v>
      </c>
      <c r="AL49" s="51">
        <f>AI132</f>
        <v>0</v>
      </c>
      <c r="AM49" s="51">
        <f>AI213</f>
        <v>0</v>
      </c>
      <c r="AN49" s="3"/>
      <c r="AO49" s="112"/>
      <c r="AP49" s="112"/>
      <c r="AQ49" s="62"/>
    </row>
    <row r="50" spans="1:43" ht="15.75" x14ac:dyDescent="0.3">
      <c r="A50" s="2"/>
      <c r="B50" s="2"/>
      <c r="C50" s="2"/>
      <c r="D50" s="2"/>
      <c r="E50" s="2"/>
      <c r="F50" s="2"/>
      <c r="G50" s="2"/>
      <c r="H50" s="2"/>
      <c r="I50" s="2"/>
      <c r="J50" s="2"/>
      <c r="K50" s="2"/>
      <c r="L50" s="2"/>
      <c r="M50" s="2"/>
      <c r="N50" s="2"/>
      <c r="P50" s="3"/>
      <c r="Q50" s="3"/>
      <c r="R50" s="8" t="str">
        <f>Q174</f>
        <v>Zusätzliche Ersatzstoffe</v>
      </c>
      <c r="S50" s="9">
        <v>0</v>
      </c>
      <c r="T50" s="9">
        <f>V174</f>
        <v>0</v>
      </c>
      <c r="U50" s="9">
        <f>V259</f>
        <v>0</v>
      </c>
      <c r="V50" s="3" t="s">
        <v>148</v>
      </c>
      <c r="W50" s="3"/>
      <c r="X50" s="2"/>
      <c r="Y50" s="3"/>
      <c r="Z50" s="483" t="s">
        <v>131</v>
      </c>
      <c r="AA50" s="45"/>
      <c r="AB50" s="45">
        <f>S$41</f>
        <v>0</v>
      </c>
      <c r="AC50" s="45">
        <f>T$41</f>
        <v>5</v>
      </c>
      <c r="AD50" s="45">
        <f>U$41</f>
        <v>10</v>
      </c>
      <c r="AE50" s="34"/>
      <c r="AF50" s="3"/>
      <c r="AG50" s="2"/>
      <c r="AH50" s="3"/>
      <c r="AI50" s="3"/>
      <c r="AJ50" s="50" t="s">
        <v>32</v>
      </c>
      <c r="AK50" s="52">
        <f>'Referenz Plattenfertiger'!AD22</f>
        <v>15174.000000000002</v>
      </c>
      <c r="AL50" s="53">
        <f>AI134+AI135</f>
        <v>15174.000000000002</v>
      </c>
      <c r="AM50" s="53">
        <f>AI215+AI216</f>
        <v>15174.000000000002</v>
      </c>
      <c r="AN50" s="3"/>
      <c r="AO50" s="112"/>
      <c r="AP50" s="112"/>
      <c r="AQ50" s="62"/>
    </row>
    <row r="51" spans="1:43" ht="15.75" x14ac:dyDescent="0.3">
      <c r="A51" s="2"/>
      <c r="B51" s="2"/>
      <c r="C51" s="2"/>
      <c r="D51" s="2"/>
      <c r="E51" s="2"/>
      <c r="F51" s="2"/>
      <c r="G51" s="2"/>
      <c r="H51" s="2"/>
      <c r="I51" s="2"/>
      <c r="J51" s="2"/>
      <c r="K51" s="2"/>
      <c r="L51" s="2"/>
      <c r="M51" s="2"/>
      <c r="N51" s="2"/>
      <c r="P51" s="3"/>
      <c r="Q51" s="3"/>
      <c r="R51" s="29" t="s">
        <v>179</v>
      </c>
      <c r="S51" s="26">
        <f>'Referenz Plattenfertiger'!U63+'Referenz Plattenfertiger'!U64</f>
        <v>0.54400000000000004</v>
      </c>
      <c r="T51" s="26">
        <f>V178+V179</f>
        <v>0.54400000000000004</v>
      </c>
      <c r="U51" s="26">
        <f>V263+V264</f>
        <v>0.54400000000000004</v>
      </c>
      <c r="V51" s="25" t="s">
        <v>148</v>
      </c>
      <c r="W51" s="3"/>
      <c r="X51" s="2"/>
      <c r="Y51" s="3"/>
      <c r="Z51" s="483"/>
      <c r="AA51" s="24"/>
      <c r="AB51" s="47" t="s">
        <v>81</v>
      </c>
      <c r="AC51" s="48"/>
      <c r="AD51" s="48"/>
      <c r="AE51" s="24"/>
      <c r="AF51" s="3"/>
      <c r="AG51" s="2"/>
      <c r="AH51" s="3"/>
      <c r="AI51" s="3"/>
      <c r="AJ51" s="8" t="s">
        <v>28</v>
      </c>
      <c r="AK51" s="54">
        <v>0</v>
      </c>
      <c r="AL51" s="54">
        <f>AI138</f>
        <v>0</v>
      </c>
      <c r="AM51" s="54">
        <f>AI219</f>
        <v>0</v>
      </c>
      <c r="AN51" s="3"/>
      <c r="AO51" s="112"/>
      <c r="AP51" s="112"/>
      <c r="AQ51" s="62"/>
    </row>
    <row r="52" spans="1:43" ht="15.75" x14ac:dyDescent="0.3">
      <c r="A52" s="2"/>
      <c r="B52" s="2"/>
      <c r="C52" s="2"/>
      <c r="D52" s="2"/>
      <c r="E52" s="2"/>
      <c r="F52" s="2"/>
      <c r="G52" s="2"/>
      <c r="H52" s="2"/>
      <c r="I52" s="2"/>
      <c r="J52" s="2"/>
      <c r="K52" s="2"/>
      <c r="L52" s="2"/>
      <c r="M52" s="2"/>
      <c r="N52" s="2"/>
      <c r="P52" s="3"/>
      <c r="Q52" s="3"/>
      <c r="R52" s="8" t="str">
        <f>Q181</f>
        <v>Oberflächenschutzsysteme</v>
      </c>
      <c r="S52" s="9">
        <f>'Referenz Plattenfertiger'!U66</f>
        <v>80.47999999999999</v>
      </c>
      <c r="T52" s="9">
        <f>V181</f>
        <v>0.16095999999999999</v>
      </c>
      <c r="U52" s="9">
        <f>V266</f>
        <v>0.16095999999999999</v>
      </c>
      <c r="V52" s="3" t="s">
        <v>148</v>
      </c>
      <c r="W52" s="3"/>
      <c r="X52" s="2"/>
      <c r="Y52" s="3"/>
      <c r="Z52" s="3"/>
      <c r="AA52" s="29" t="s">
        <v>29</v>
      </c>
      <c r="AB52" s="32">
        <f>'Referenz Plattenfertiger'!$W$16+'Referenz Plattenfertiger'!W21</f>
        <v>43.0426</v>
      </c>
      <c r="AC52" s="32">
        <f>Y125+Y130</f>
        <v>43.0426</v>
      </c>
      <c r="AD52" s="32">
        <f>Y213+Y218</f>
        <v>43.0426</v>
      </c>
      <c r="AE52" s="25" t="s">
        <v>148</v>
      </c>
      <c r="AF52" s="3"/>
      <c r="AG52" s="2"/>
      <c r="AH52" s="3"/>
      <c r="AI52" s="3"/>
      <c r="AJ52" s="8" t="s">
        <v>139</v>
      </c>
      <c r="AK52" s="54">
        <v>0</v>
      </c>
      <c r="AL52" s="54">
        <f>AI139</f>
        <v>0</v>
      </c>
      <c r="AM52" s="54">
        <f>AI220</f>
        <v>0</v>
      </c>
      <c r="AN52" s="3"/>
      <c r="AO52" s="112"/>
      <c r="AP52" s="112"/>
      <c r="AQ52" s="62"/>
    </row>
    <row r="53" spans="1:43" ht="15.75" x14ac:dyDescent="0.3">
      <c r="A53" s="2"/>
      <c r="B53" s="2"/>
      <c r="C53" s="2"/>
      <c r="D53" s="2"/>
      <c r="E53" s="2"/>
      <c r="F53" s="2"/>
      <c r="G53" s="2"/>
      <c r="H53" s="2"/>
      <c r="I53" s="2"/>
      <c r="J53" s="2"/>
      <c r="K53" s="2"/>
      <c r="L53" s="2"/>
      <c r="M53" s="2"/>
      <c r="N53" s="2"/>
      <c r="P53" s="3"/>
      <c r="Q53" s="3"/>
      <c r="R53" s="29" t="str">
        <f>Q186</f>
        <v>Oberflächenbearbeitung (vor/nach Erhärtung)</v>
      </c>
      <c r="S53" s="26">
        <f>'Referenz Plattenfertiger'!U71</f>
        <v>60</v>
      </c>
      <c r="T53" s="26">
        <f>V186</f>
        <v>60</v>
      </c>
      <c r="U53" s="26">
        <f>V271</f>
        <v>60</v>
      </c>
      <c r="V53" s="25" t="s">
        <v>148</v>
      </c>
      <c r="W53" s="3"/>
      <c r="X53" s="2"/>
      <c r="Y53" s="3"/>
      <c r="Z53" s="3"/>
      <c r="AA53" s="8" t="s">
        <v>30</v>
      </c>
      <c r="AB53" s="10">
        <f>'Referenz Plattenfertiger'!$W$17+'Referenz Plattenfertiger'!W22</f>
        <v>16.005600000000001</v>
      </c>
      <c r="AC53" s="10">
        <f>Y126+Y131</f>
        <v>16.005600000000001</v>
      </c>
      <c r="AD53" s="10">
        <f>Y214+Y219</f>
        <v>16.005600000000001</v>
      </c>
      <c r="AE53" s="3" t="s">
        <v>148</v>
      </c>
      <c r="AF53" s="3"/>
      <c r="AG53" s="2"/>
      <c r="AH53" s="3"/>
      <c r="AI53" s="3"/>
      <c r="AJ53" s="58" t="s">
        <v>146</v>
      </c>
      <c r="AK53" s="60">
        <v>0</v>
      </c>
      <c r="AL53" s="60">
        <f>AI140</f>
        <v>0</v>
      </c>
      <c r="AM53" s="60">
        <f>AI221</f>
        <v>0</v>
      </c>
      <c r="AN53" s="3"/>
      <c r="AO53" s="112"/>
      <c r="AP53" s="112"/>
      <c r="AQ53" s="62"/>
    </row>
    <row r="54" spans="1:43" ht="15.75" x14ac:dyDescent="0.3">
      <c r="A54" s="2"/>
      <c r="B54" s="2"/>
      <c r="C54" s="2"/>
      <c r="D54" s="2"/>
      <c r="E54" s="2"/>
      <c r="F54" s="2"/>
      <c r="G54" s="2"/>
      <c r="H54" s="2"/>
      <c r="I54" s="2"/>
      <c r="J54" s="2"/>
      <c r="K54" s="2"/>
      <c r="L54" s="2"/>
      <c r="M54" s="2"/>
      <c r="N54" s="2"/>
      <c r="P54" s="3"/>
      <c r="Q54" s="3"/>
      <c r="R54" s="8" t="str">
        <f>R191</f>
        <v>Verpackungsmaterial</v>
      </c>
      <c r="S54" s="9">
        <f>'Referenz Plattenfertiger'!U76</f>
        <v>64.48</v>
      </c>
      <c r="T54" s="9">
        <f>V191</f>
        <v>64.48</v>
      </c>
      <c r="U54" s="9">
        <f>V276</f>
        <v>64.48</v>
      </c>
      <c r="V54" s="3" t="s">
        <v>148</v>
      </c>
      <c r="W54" s="3"/>
      <c r="X54" s="2"/>
      <c r="Y54" s="3"/>
      <c r="Z54" s="3"/>
      <c r="AA54" s="29" t="s">
        <v>31</v>
      </c>
      <c r="AB54" s="32">
        <f>'Referenz Plattenfertiger'!$W$18+'Referenz Plattenfertiger'!T24</f>
        <v>171.9</v>
      </c>
      <c r="AC54" s="32">
        <f>Y127+Y133</f>
        <v>124.8924470887134</v>
      </c>
      <c r="AD54" s="32">
        <f>Y215+Y221</f>
        <v>61.552554846110553</v>
      </c>
      <c r="AE54" s="25" t="s">
        <v>148</v>
      </c>
      <c r="AF54" s="3"/>
      <c r="AG54" s="2"/>
      <c r="AH54" s="3"/>
      <c r="AI54" s="3"/>
      <c r="AJ54" s="56" t="s">
        <v>140</v>
      </c>
      <c r="AK54" s="57">
        <f>SUM(AK55:AK57)</f>
        <v>152459.04944673795</v>
      </c>
      <c r="AL54" s="57">
        <f t="shared" ref="AL54:AM54" si="2">SUM(AL55:AL57)</f>
        <v>264390.18414161145</v>
      </c>
      <c r="AM54" s="57">
        <f t="shared" si="2"/>
        <v>453451.35231178068</v>
      </c>
      <c r="AN54" s="3"/>
      <c r="AO54" s="112"/>
      <c r="AP54" s="112"/>
      <c r="AQ54" s="62"/>
    </row>
    <row r="55" spans="1:43" ht="16.5" thickBot="1" x14ac:dyDescent="0.35">
      <c r="A55" s="2"/>
      <c r="B55" s="2"/>
      <c r="C55" s="2"/>
      <c r="D55" s="2"/>
      <c r="E55" s="2"/>
      <c r="F55" s="2"/>
      <c r="G55" s="2"/>
      <c r="H55" s="2"/>
      <c r="I55" s="2"/>
      <c r="J55" s="2"/>
      <c r="K55" s="2"/>
      <c r="L55" s="2"/>
      <c r="M55" s="2"/>
      <c r="N55" s="2"/>
      <c r="P55" s="3"/>
      <c r="Q55" s="3"/>
      <c r="R55" s="27" t="s">
        <v>67</v>
      </c>
      <c r="S55" s="28">
        <f>SUM(S43:S54)</f>
        <v>5831.529622809514</v>
      </c>
      <c r="T55" s="28">
        <f>SUM(T43:T54)</f>
        <v>5654.9686232204258</v>
      </c>
      <c r="U55" s="28">
        <f>SUM(U43:U54)</f>
        <v>5511.6569939911433</v>
      </c>
      <c r="V55" s="27" t="s">
        <v>149</v>
      </c>
      <c r="W55" s="3"/>
      <c r="X55" s="2"/>
      <c r="Y55" s="3"/>
      <c r="Z55" s="3"/>
      <c r="AA55" s="8" t="s">
        <v>115</v>
      </c>
      <c r="AB55" s="10">
        <f>'Referenz Plattenfertiger'!$W$19</f>
        <v>0</v>
      </c>
      <c r="AC55" s="10">
        <f>Y128</f>
        <v>0</v>
      </c>
      <c r="AD55" s="10">
        <f>Y216</f>
        <v>0</v>
      </c>
      <c r="AE55" s="3" t="s">
        <v>148</v>
      </c>
      <c r="AF55" s="3"/>
      <c r="AG55" s="2"/>
      <c r="AH55" s="3"/>
      <c r="AI55" s="3"/>
      <c r="AJ55" s="31" t="s">
        <v>141</v>
      </c>
      <c r="AK55" s="51">
        <f>'Referenz Plattenfertiger'!AD26</f>
        <v>2373.3088765000002</v>
      </c>
      <c r="AL55" s="51">
        <f>AI143</f>
        <v>4271.9559777000004</v>
      </c>
      <c r="AM55" s="51">
        <f>AI224</f>
        <v>7594.5884048000007</v>
      </c>
      <c r="AN55" s="3"/>
      <c r="AO55" s="112"/>
      <c r="AP55" s="112"/>
      <c r="AQ55" s="62"/>
    </row>
    <row r="56" spans="1:43" ht="16.5" thickTop="1" x14ac:dyDescent="0.3">
      <c r="A56" s="2"/>
      <c r="B56" s="2"/>
      <c r="C56" s="2"/>
      <c r="D56" s="2"/>
      <c r="E56" s="2"/>
      <c r="F56" s="2"/>
      <c r="G56" s="2"/>
      <c r="H56" s="2"/>
      <c r="I56" s="2"/>
      <c r="J56" s="2"/>
      <c r="K56" s="2"/>
      <c r="L56" s="2"/>
      <c r="M56" s="2"/>
      <c r="N56" s="2"/>
      <c r="P56" s="3"/>
      <c r="Q56" s="3"/>
      <c r="R56" s="3"/>
      <c r="S56" s="3"/>
      <c r="T56" s="3"/>
      <c r="U56" s="3"/>
      <c r="V56" s="3"/>
      <c r="W56" s="3"/>
      <c r="X56" s="2"/>
      <c r="Y56" s="3"/>
      <c r="Z56" s="3"/>
      <c r="AA56" s="29" t="s">
        <v>111</v>
      </c>
      <c r="AB56" s="32">
        <f>'Referenz Plattenfertiger'!$W$25</f>
        <v>0</v>
      </c>
      <c r="AC56" s="32">
        <f>Y134</f>
        <v>0</v>
      </c>
      <c r="AD56" s="32">
        <f>Y222</f>
        <v>0</v>
      </c>
      <c r="AE56" s="25" t="s">
        <v>148</v>
      </c>
      <c r="AF56" s="3"/>
      <c r="AG56" s="2"/>
      <c r="AH56" s="3"/>
      <c r="AI56" s="3"/>
      <c r="AJ56" s="31" t="s">
        <v>142</v>
      </c>
      <c r="AK56" s="51">
        <f>'Referenz Plattenfertiger'!AD27</f>
        <v>4297.5</v>
      </c>
      <c r="AL56" s="51">
        <f>AI144</f>
        <v>5620.160118992103</v>
      </c>
      <c r="AM56" s="51">
        <f>AI225</f>
        <v>4924.2043876888438</v>
      </c>
      <c r="AN56" s="3"/>
      <c r="AO56" s="112"/>
      <c r="AP56" s="112"/>
      <c r="AQ56" s="62"/>
    </row>
    <row r="57" spans="1:43" ht="15.75" x14ac:dyDescent="0.3">
      <c r="A57" s="2"/>
      <c r="B57" s="2"/>
      <c r="C57" s="2"/>
      <c r="D57" s="2"/>
      <c r="E57" s="2"/>
      <c r="F57" s="2"/>
      <c r="G57" s="2"/>
      <c r="H57" s="2"/>
      <c r="I57" s="2"/>
      <c r="J57" s="2"/>
      <c r="K57" s="2"/>
      <c r="L57" s="2"/>
      <c r="M57" s="2"/>
      <c r="N57" s="2"/>
      <c r="P57" s="3"/>
      <c r="Q57" s="3"/>
      <c r="R57" s="3"/>
      <c r="S57" s="3"/>
      <c r="T57" s="3"/>
      <c r="U57" s="3"/>
      <c r="V57" s="3"/>
      <c r="W57" s="3"/>
      <c r="X57" s="2"/>
      <c r="Y57" s="3"/>
      <c r="Z57" s="3"/>
      <c r="AA57" s="8" t="s">
        <v>135</v>
      </c>
      <c r="AB57" s="10">
        <f>'Referenz Plattenfertiger'!$W$26</f>
        <v>0</v>
      </c>
      <c r="AC57" s="10">
        <f>Y135</f>
        <v>0</v>
      </c>
      <c r="AD57" s="10">
        <f>Y223</f>
        <v>0</v>
      </c>
      <c r="AE57" s="3" t="s">
        <v>148</v>
      </c>
      <c r="AF57" s="3"/>
      <c r="AG57" s="2"/>
      <c r="AH57" s="3"/>
      <c r="AI57" s="3"/>
      <c r="AJ57" s="31" t="s">
        <v>143</v>
      </c>
      <c r="AK57" s="51">
        <f>'Referenz Plattenfertiger'!AD28</f>
        <v>145788.24057023795</v>
      </c>
      <c r="AL57" s="51">
        <f>AI145</f>
        <v>254498.06804491932</v>
      </c>
      <c r="AM57" s="51">
        <f>AI226</f>
        <v>440932.55951929186</v>
      </c>
      <c r="AN57" s="3"/>
      <c r="AO57" s="112"/>
      <c r="AP57" s="112"/>
      <c r="AQ57" s="62"/>
    </row>
    <row r="58" spans="1:43" ht="16.5" thickBot="1" x14ac:dyDescent="0.35">
      <c r="A58" s="2"/>
      <c r="B58" s="2"/>
      <c r="C58" s="2"/>
      <c r="D58" s="2"/>
      <c r="E58" s="2"/>
      <c r="F58" s="2"/>
      <c r="G58" s="2"/>
      <c r="H58" s="2"/>
      <c r="I58" s="2"/>
      <c r="J58" s="2"/>
      <c r="K58" s="2"/>
      <c r="L58" s="2"/>
      <c r="M58" s="2"/>
      <c r="N58" s="2"/>
      <c r="P58" s="3"/>
      <c r="Q58" s="3"/>
      <c r="R58" s="3"/>
      <c r="S58" s="3"/>
      <c r="T58" s="3"/>
      <c r="U58" s="3"/>
      <c r="V58" s="3"/>
      <c r="W58" s="3"/>
      <c r="X58" s="2"/>
      <c r="Y58" s="3"/>
      <c r="Z58" s="3"/>
      <c r="AA58" s="29" t="s">
        <v>32</v>
      </c>
      <c r="AB58" s="32">
        <f>'Referenz Plattenfertiger'!$W$28+'Referenz Plattenfertiger'!$W$29</f>
        <v>35.884155059999998</v>
      </c>
      <c r="AC58" s="32">
        <f>Y137+Y138</f>
        <v>35.884155059999998</v>
      </c>
      <c r="AD58" s="32">
        <f>Y225+Y226</f>
        <v>35.884155059999998</v>
      </c>
      <c r="AE58" s="25" t="s">
        <v>148</v>
      </c>
      <c r="AF58" s="3"/>
      <c r="AG58" s="2"/>
      <c r="AH58" s="3"/>
      <c r="AI58" s="3"/>
      <c r="AJ58" s="27" t="s">
        <v>67</v>
      </c>
      <c r="AK58" s="55">
        <f>AK54+AK53+AK52+AK51+AK43</f>
        <v>262128.04944673795</v>
      </c>
      <c r="AL58" s="55">
        <f t="shared" ref="AL58:AM58" si="3">AL54+AL53+AL52+AL51+AL43</f>
        <v>374059.18414161145</v>
      </c>
      <c r="AM58" s="55">
        <f t="shared" si="3"/>
        <v>563120.35231178068</v>
      </c>
      <c r="AN58" s="3"/>
      <c r="AO58" s="112"/>
      <c r="AP58" s="112"/>
      <c r="AQ58" s="62"/>
    </row>
    <row r="59" spans="1:43" ht="15.75" thickTop="1" thickBot="1" x14ac:dyDescent="0.3">
      <c r="A59" s="2"/>
      <c r="B59" s="2"/>
      <c r="C59" s="2"/>
      <c r="D59" s="2"/>
      <c r="E59" s="2"/>
      <c r="F59" s="2"/>
      <c r="G59" s="2"/>
      <c r="H59" s="2"/>
      <c r="I59" s="2"/>
      <c r="J59" s="2"/>
      <c r="K59" s="2"/>
      <c r="L59" s="2"/>
      <c r="M59" s="2"/>
      <c r="N59" s="2"/>
      <c r="P59" s="3"/>
      <c r="Q59" s="3"/>
      <c r="R59" s="3"/>
      <c r="S59" s="3"/>
      <c r="T59" s="3"/>
      <c r="U59" s="3"/>
      <c r="V59" s="3"/>
      <c r="W59" s="3"/>
      <c r="X59" s="2"/>
      <c r="Y59" s="3"/>
      <c r="Z59" s="3"/>
      <c r="AA59" s="27" t="s">
        <v>67</v>
      </c>
      <c r="AB59" s="33">
        <f>SUM(AB52:AB58)</f>
        <v>266.83235506</v>
      </c>
      <c r="AC59" s="33">
        <f>SUM(AC52:AC58)</f>
        <v>219.82480214871339</v>
      </c>
      <c r="AD59" s="33">
        <f>SUM(AD52:AD58)</f>
        <v>156.48490990611054</v>
      </c>
      <c r="AE59" s="27" t="s">
        <v>149</v>
      </c>
      <c r="AF59" s="3"/>
      <c r="AG59" s="2"/>
      <c r="AH59" s="3"/>
      <c r="AI59" s="3"/>
      <c r="AJ59" s="3"/>
      <c r="AK59" s="3"/>
      <c r="AL59" s="3"/>
      <c r="AM59" s="3"/>
      <c r="AN59" s="3"/>
      <c r="AO59" s="62"/>
      <c r="AP59" s="62"/>
      <c r="AQ59" s="62"/>
    </row>
    <row r="60" spans="1:43" ht="17.25" thickTop="1" thickBot="1" x14ac:dyDescent="0.35">
      <c r="A60" s="2"/>
      <c r="B60" s="2"/>
      <c r="C60" s="2"/>
      <c r="D60" s="2"/>
      <c r="E60" s="2"/>
      <c r="F60" s="2"/>
      <c r="G60" s="2"/>
      <c r="H60" s="2"/>
      <c r="I60" s="2"/>
      <c r="J60" s="2"/>
      <c r="K60" s="2"/>
      <c r="L60" s="2"/>
      <c r="M60" s="2"/>
      <c r="N60" s="2"/>
      <c r="P60" s="3"/>
      <c r="Q60" s="3"/>
      <c r="R60" s="3"/>
      <c r="S60" s="3"/>
      <c r="T60" s="3"/>
      <c r="U60" s="3"/>
      <c r="V60" s="3"/>
      <c r="W60" s="3"/>
      <c r="X60" s="2"/>
      <c r="Y60" s="3"/>
      <c r="Z60" s="3"/>
      <c r="AA60" s="3"/>
      <c r="AB60" s="3"/>
      <c r="AC60" s="3"/>
      <c r="AD60" s="3"/>
      <c r="AE60" s="3"/>
      <c r="AF60" s="3"/>
      <c r="AG60" s="2"/>
      <c r="AH60" s="3"/>
      <c r="AI60" s="3"/>
      <c r="AJ60" s="104" t="s">
        <v>196</v>
      </c>
      <c r="AK60" s="105">
        <f>AK58-AK57</f>
        <v>116339.8088765</v>
      </c>
      <c r="AL60" s="105">
        <f>AL58-AL57</f>
        <v>119561.11609669213</v>
      </c>
      <c r="AM60" s="105">
        <f>AM58-AM57</f>
        <v>122187.79279248882</v>
      </c>
      <c r="AN60" s="3"/>
      <c r="AO60" s="3"/>
      <c r="AP60" s="3"/>
      <c r="AQ60" s="3"/>
    </row>
    <row r="61" spans="1:43" ht="16.5" thickBot="1" x14ac:dyDescent="0.35">
      <c r="A61" s="2"/>
      <c r="B61" s="2"/>
      <c r="C61" s="2"/>
      <c r="D61" s="2"/>
      <c r="E61" s="2"/>
      <c r="F61" s="2"/>
      <c r="G61" s="2"/>
      <c r="H61" s="2"/>
      <c r="I61" s="2"/>
      <c r="J61" s="2"/>
      <c r="K61" s="2"/>
      <c r="L61" s="2"/>
      <c r="M61" s="2"/>
      <c r="N61" s="2"/>
      <c r="P61" s="3"/>
      <c r="Q61" s="3"/>
      <c r="R61" s="3"/>
      <c r="S61" s="3"/>
      <c r="T61" s="3"/>
      <c r="U61" s="3"/>
      <c r="V61" s="3"/>
      <c r="W61" s="3"/>
      <c r="X61" s="2"/>
      <c r="Y61" s="3"/>
      <c r="Z61" s="3"/>
      <c r="AA61" s="3"/>
      <c r="AB61" s="3"/>
      <c r="AC61" s="3"/>
      <c r="AD61" s="3"/>
      <c r="AE61" s="3"/>
      <c r="AF61" s="3"/>
      <c r="AG61" s="2"/>
      <c r="AH61" s="3"/>
      <c r="AI61" s="3"/>
      <c r="AJ61" s="106" t="s">
        <v>145</v>
      </c>
      <c r="AK61" s="107">
        <f>AK58-AK54</f>
        <v>109669</v>
      </c>
      <c r="AL61" s="107">
        <f>AL58-AL54</f>
        <v>109669</v>
      </c>
      <c r="AM61" s="107">
        <f>AM58-AM54</f>
        <v>109669</v>
      </c>
      <c r="AN61" s="3"/>
      <c r="AO61" s="3"/>
      <c r="AP61" s="3"/>
      <c r="AQ61" s="3"/>
    </row>
    <row r="62" spans="1:43" x14ac:dyDescent="0.2">
      <c r="A62" s="2"/>
      <c r="B62" s="2"/>
      <c r="C62" s="2"/>
      <c r="D62" s="2"/>
      <c r="E62" s="2"/>
      <c r="F62" s="2"/>
      <c r="G62" s="2"/>
      <c r="H62" s="2"/>
      <c r="I62" s="2"/>
      <c r="J62" s="2"/>
      <c r="K62" s="2"/>
      <c r="L62" s="2"/>
      <c r="M62" s="2"/>
      <c r="N62" s="2"/>
      <c r="P62" s="3"/>
      <c r="Q62" s="3"/>
      <c r="R62" s="3"/>
      <c r="S62" s="3"/>
      <c r="T62" s="3"/>
      <c r="U62" s="3"/>
      <c r="V62" s="3"/>
      <c r="W62" s="3"/>
      <c r="X62" s="2"/>
      <c r="Y62" s="3"/>
      <c r="Z62" s="3"/>
      <c r="AA62" s="3"/>
      <c r="AB62" s="3"/>
      <c r="AC62" s="3"/>
      <c r="AD62" s="3"/>
      <c r="AE62" s="3"/>
      <c r="AF62" s="3"/>
      <c r="AG62" s="2"/>
      <c r="AH62" s="3"/>
      <c r="AI62" s="3"/>
      <c r="AJ62" s="3"/>
      <c r="AK62" s="3"/>
      <c r="AL62" s="3"/>
      <c r="AM62" s="3"/>
      <c r="AN62" s="3"/>
      <c r="AO62" s="3"/>
      <c r="AP62" s="3"/>
      <c r="AQ62" s="3"/>
    </row>
    <row r="63" spans="1:43" x14ac:dyDescent="0.2">
      <c r="A63" s="2"/>
      <c r="B63" s="2"/>
      <c r="C63" s="2"/>
      <c r="D63" s="2"/>
      <c r="E63" s="2"/>
      <c r="F63" s="2"/>
      <c r="G63" s="2"/>
      <c r="H63" s="2"/>
      <c r="I63" s="2"/>
      <c r="J63" s="2"/>
      <c r="K63" s="2"/>
      <c r="L63" s="2"/>
      <c r="M63" s="2"/>
      <c r="N63" s="2"/>
      <c r="P63" s="3"/>
      <c r="Q63" s="3"/>
      <c r="R63" s="3"/>
      <c r="S63" s="3"/>
      <c r="T63" s="3"/>
      <c r="U63" s="3"/>
      <c r="V63" s="3"/>
      <c r="W63" s="3"/>
      <c r="X63" s="2"/>
      <c r="Y63" s="3"/>
      <c r="Z63" s="3"/>
      <c r="AA63" s="3"/>
      <c r="AB63" s="3"/>
      <c r="AC63" s="3"/>
      <c r="AD63" s="3"/>
      <c r="AE63" s="3"/>
      <c r="AF63" s="3"/>
      <c r="AG63" s="2"/>
      <c r="AH63" s="3"/>
      <c r="AI63" s="3"/>
      <c r="AJ63" s="3"/>
      <c r="AK63" s="3"/>
      <c r="AL63" s="3"/>
      <c r="AM63" s="3"/>
      <c r="AN63" s="3"/>
      <c r="AO63" s="3"/>
      <c r="AP63" s="3"/>
      <c r="AQ63" s="3"/>
    </row>
    <row r="64" spans="1:43" x14ac:dyDescent="0.2">
      <c r="A64" s="2"/>
      <c r="B64" s="2"/>
      <c r="C64" s="2"/>
      <c r="D64" s="2"/>
      <c r="E64" s="2"/>
      <c r="F64" s="2"/>
      <c r="G64" s="2"/>
      <c r="H64" s="2"/>
      <c r="I64" s="2"/>
      <c r="J64" s="2"/>
      <c r="K64" s="2"/>
      <c r="L64" s="2"/>
      <c r="M64" s="2"/>
      <c r="N64" s="2"/>
      <c r="P64" s="3"/>
      <c r="Q64" s="3"/>
      <c r="R64" s="3"/>
      <c r="S64" s="3"/>
      <c r="T64" s="3"/>
      <c r="U64" s="3"/>
      <c r="V64" s="3"/>
      <c r="W64" s="3"/>
      <c r="X64" s="2"/>
      <c r="Y64" s="3"/>
      <c r="Z64" s="3"/>
      <c r="AA64" s="8"/>
      <c r="AB64" s="82"/>
      <c r="AC64" s="82"/>
      <c r="AD64" s="82"/>
      <c r="AE64" s="8"/>
      <c r="AF64" s="3"/>
      <c r="AG64" s="2"/>
      <c r="AH64" s="3"/>
      <c r="AI64" s="3"/>
      <c r="AJ64" s="3"/>
      <c r="AK64" s="3"/>
      <c r="AL64" s="3"/>
      <c r="AM64" s="3"/>
      <c r="AN64" s="3"/>
      <c r="AO64" s="3"/>
      <c r="AP64" s="3"/>
      <c r="AQ64" s="3"/>
    </row>
    <row r="65" spans="1:43" x14ac:dyDescent="0.2">
      <c r="A65" s="2"/>
      <c r="B65" s="2"/>
      <c r="C65" s="2"/>
      <c r="D65" s="2"/>
      <c r="E65" s="2"/>
      <c r="F65" s="2"/>
      <c r="G65" s="2"/>
      <c r="H65" s="2"/>
      <c r="I65" s="2"/>
      <c r="J65" s="2"/>
      <c r="K65" s="2"/>
      <c r="L65" s="2"/>
      <c r="M65" s="2"/>
      <c r="N65" s="2"/>
      <c r="P65" s="3"/>
      <c r="Q65" s="3"/>
      <c r="R65" s="3"/>
      <c r="S65" s="3"/>
      <c r="T65" s="3"/>
      <c r="U65" s="3"/>
      <c r="V65" s="3"/>
      <c r="W65" s="3"/>
      <c r="X65" s="2"/>
      <c r="Y65" s="3"/>
      <c r="Z65" s="3"/>
      <c r="AA65" s="8"/>
      <c r="AB65" s="82"/>
      <c r="AC65" s="82"/>
      <c r="AD65" s="82"/>
      <c r="AE65" s="8"/>
      <c r="AF65" s="3"/>
      <c r="AG65" s="2"/>
      <c r="AH65" s="3"/>
      <c r="AI65" s="3"/>
      <c r="AJ65" s="3"/>
      <c r="AK65" s="3"/>
      <c r="AL65" s="3"/>
      <c r="AM65" s="3"/>
      <c r="AN65" s="3"/>
      <c r="AO65" s="3"/>
      <c r="AP65" s="3"/>
      <c r="AQ65" s="3"/>
    </row>
    <row r="66" spans="1:43" ht="15" x14ac:dyDescent="0.25">
      <c r="A66" s="2"/>
      <c r="B66" s="2"/>
      <c r="C66" s="2"/>
      <c r="D66" s="2"/>
      <c r="E66" s="2"/>
      <c r="F66" s="2"/>
      <c r="G66" s="2"/>
      <c r="H66" s="2"/>
      <c r="I66" s="2"/>
      <c r="J66" s="2"/>
      <c r="K66" s="2"/>
      <c r="L66" s="2"/>
      <c r="M66" s="2"/>
      <c r="N66" s="2"/>
      <c r="P66" s="3"/>
      <c r="Q66" s="3"/>
      <c r="R66" s="3"/>
      <c r="S66" s="3"/>
      <c r="T66" s="3"/>
      <c r="U66" s="3"/>
      <c r="V66" s="3"/>
      <c r="W66" s="3"/>
      <c r="X66" s="2"/>
      <c r="Y66" s="3"/>
      <c r="Z66" s="3"/>
      <c r="AA66" s="23" t="s">
        <v>194</v>
      </c>
      <c r="AB66" s="3"/>
      <c r="AC66" s="3"/>
      <c r="AD66" s="3"/>
      <c r="AE66" s="3"/>
      <c r="AF66" s="3"/>
      <c r="AG66" s="2"/>
      <c r="AH66" s="3"/>
      <c r="AI66" s="3"/>
      <c r="AJ66" s="3"/>
      <c r="AK66" s="3"/>
      <c r="AL66" s="3"/>
      <c r="AM66" s="3"/>
      <c r="AN66" s="3"/>
      <c r="AO66" s="3"/>
      <c r="AP66" s="3"/>
      <c r="AQ66" s="3"/>
    </row>
    <row r="67" spans="1:43" ht="15" x14ac:dyDescent="0.25">
      <c r="A67" s="2"/>
      <c r="B67" s="2"/>
      <c r="C67" s="2"/>
      <c r="D67" s="2"/>
      <c r="E67" s="2"/>
      <c r="F67" s="2"/>
      <c r="G67" s="2"/>
      <c r="H67" s="2"/>
      <c r="I67" s="2"/>
      <c r="J67" s="2"/>
      <c r="K67" s="2"/>
      <c r="L67" s="2"/>
      <c r="M67" s="2"/>
      <c r="N67" s="2"/>
      <c r="P67" s="3"/>
      <c r="Q67" s="3"/>
      <c r="R67" s="3"/>
      <c r="S67" s="3"/>
      <c r="T67" s="3"/>
      <c r="U67" s="3"/>
      <c r="V67" s="3"/>
      <c r="W67" s="3"/>
      <c r="X67" s="2"/>
      <c r="Y67" s="3"/>
      <c r="Z67" s="3"/>
      <c r="AA67" s="34"/>
      <c r="AB67" s="45">
        <f>S$41</f>
        <v>0</v>
      </c>
      <c r="AC67" s="45">
        <f>T$41</f>
        <v>5</v>
      </c>
      <c r="AD67" s="45">
        <f>U$41</f>
        <v>10</v>
      </c>
      <c r="AE67" s="34"/>
      <c r="AF67" s="3"/>
      <c r="AG67" s="2"/>
      <c r="AH67" s="3"/>
      <c r="AI67" s="3"/>
      <c r="AJ67" s="3"/>
      <c r="AK67" s="3"/>
      <c r="AL67" s="3"/>
      <c r="AM67" s="3"/>
      <c r="AN67" s="3"/>
      <c r="AO67" s="3"/>
      <c r="AP67" s="3"/>
      <c r="AQ67" s="3"/>
    </row>
    <row r="68" spans="1:43" x14ac:dyDescent="0.2">
      <c r="A68" s="2"/>
      <c r="B68" s="2"/>
      <c r="C68" s="2"/>
      <c r="D68" s="2"/>
      <c r="E68" s="2"/>
      <c r="F68" s="2"/>
      <c r="G68" s="2"/>
      <c r="H68" s="2"/>
      <c r="I68" s="2"/>
      <c r="J68" s="2"/>
      <c r="K68" s="2"/>
      <c r="L68" s="2"/>
      <c r="M68" s="2"/>
      <c r="N68" s="2"/>
      <c r="P68" s="3"/>
      <c r="Q68" s="3"/>
      <c r="R68" s="3"/>
      <c r="S68" s="3"/>
      <c r="T68" s="3"/>
      <c r="U68" s="3"/>
      <c r="V68" s="3"/>
      <c r="W68" s="3"/>
      <c r="X68" s="2"/>
      <c r="Y68" s="3"/>
      <c r="Z68" s="3"/>
      <c r="AA68" s="24"/>
      <c r="AB68" s="47" t="s">
        <v>81</v>
      </c>
      <c r="AC68" s="48"/>
      <c r="AD68" s="48"/>
      <c r="AE68" s="24"/>
      <c r="AF68" s="3"/>
      <c r="AG68" s="2"/>
      <c r="AH68" s="3"/>
      <c r="AI68" s="3"/>
      <c r="AJ68" s="3"/>
      <c r="AK68" s="3"/>
      <c r="AL68" s="3"/>
      <c r="AM68" s="3"/>
      <c r="AN68" s="3"/>
      <c r="AO68" s="3"/>
      <c r="AP68" s="3"/>
      <c r="AQ68" s="3"/>
    </row>
    <row r="69" spans="1:43" ht="15.75" x14ac:dyDescent="0.3">
      <c r="A69" s="2"/>
      <c r="B69" s="2"/>
      <c r="C69" s="2"/>
      <c r="D69" s="2"/>
      <c r="E69" s="2"/>
      <c r="F69" s="2"/>
      <c r="G69" s="2"/>
      <c r="H69" s="2"/>
      <c r="I69" s="2"/>
      <c r="J69" s="2"/>
      <c r="K69" s="2"/>
      <c r="L69" s="2"/>
      <c r="M69" s="2"/>
      <c r="N69" s="2"/>
      <c r="P69" s="3"/>
      <c r="Q69" s="3"/>
      <c r="R69" s="3"/>
      <c r="S69" s="3"/>
      <c r="T69" s="3"/>
      <c r="U69" s="3"/>
      <c r="V69" s="3"/>
      <c r="W69" s="3"/>
      <c r="X69" s="2"/>
      <c r="Y69" s="3"/>
      <c r="Z69" s="3"/>
      <c r="AA69" s="29" t="s">
        <v>104</v>
      </c>
      <c r="AB69" s="97">
        <f>AB43/IF(NOT(ISBLANK('Referenz Plattenfertiger'!$I$12)),'Referenz Plattenfertiger'!$I$12,'Referenz Plattenfertiger'!$F$12)</f>
        <v>2.3733088764999999E-3</v>
      </c>
      <c r="AC69" s="97">
        <f>AC43/IF(NOT(ISBLANK('Referenz Plattenfertiger'!$I$12)),'Referenz Plattenfertiger'!$I$12,'Referenz Plattenfertiger'!$F$12)</f>
        <v>2.3733088764999999E-3</v>
      </c>
      <c r="AD69" s="97">
        <f>AD43/IF(NOT(ISBLANK('Referenz Plattenfertiger'!$I$12)),'Referenz Plattenfertiger'!$I$12,'Referenz Plattenfertiger'!$F$12)</f>
        <v>2.3733088764999999E-3</v>
      </c>
      <c r="AE69" s="25" t="s">
        <v>193</v>
      </c>
      <c r="AF69" s="3"/>
      <c r="AG69" s="2"/>
      <c r="AH69" s="3"/>
      <c r="AI69" s="3"/>
      <c r="AJ69" s="3"/>
      <c r="AK69" s="3"/>
      <c r="AL69" s="3"/>
      <c r="AM69" s="3"/>
      <c r="AN69" s="3"/>
      <c r="AO69" s="3"/>
      <c r="AP69" s="3"/>
      <c r="AQ69" s="3"/>
    </row>
    <row r="70" spans="1:43" ht="15.75" x14ac:dyDescent="0.3">
      <c r="A70" s="2"/>
      <c r="B70" s="2"/>
      <c r="C70" s="2"/>
      <c r="D70" s="2"/>
      <c r="E70" s="2"/>
      <c r="F70" s="2"/>
      <c r="G70" s="2"/>
      <c r="H70" s="2"/>
      <c r="I70" s="2"/>
      <c r="J70" s="2"/>
      <c r="K70" s="2"/>
      <c r="L70" s="2"/>
      <c r="M70" s="2"/>
      <c r="N70" s="2"/>
      <c r="P70" s="3"/>
      <c r="Q70" s="3"/>
      <c r="R70" s="3"/>
      <c r="S70" s="3"/>
      <c r="T70" s="3"/>
      <c r="U70" s="3"/>
      <c r="V70" s="3"/>
      <c r="W70" s="3"/>
      <c r="X70" s="2"/>
      <c r="Y70" s="3"/>
      <c r="Z70" s="3"/>
      <c r="AA70" s="8" t="s">
        <v>26</v>
      </c>
      <c r="AB70" s="98">
        <f>AB44/IF(NOT(ISBLANK('Referenz Plattenfertiger'!$I$12)),'Referenz Plattenfertiger'!$I$12,'Referenz Plattenfertiger'!$F$12)</f>
        <v>4.2975000000000001E-3</v>
      </c>
      <c r="AC70" s="98">
        <f>AC44/IF(NOT(ISBLANK('Referenz Plattenfertiger'!$I$12)),'Referenz Plattenfertiger'!$I$12,'Referenz Plattenfertiger'!$F$12)</f>
        <v>3.122311177217835E-3</v>
      </c>
      <c r="AD70" s="98">
        <f>AD44/IF(NOT(ISBLANK('Referenz Plattenfertiger'!$I$12)),'Referenz Plattenfertiger'!$I$12,'Referenz Plattenfertiger'!$F$12)</f>
        <v>1.5388138711527638E-3</v>
      </c>
      <c r="AE70" s="3" t="s">
        <v>193</v>
      </c>
      <c r="AF70" s="3"/>
      <c r="AG70" s="2"/>
      <c r="AH70" s="3"/>
      <c r="AI70" s="3"/>
      <c r="AJ70" s="3"/>
      <c r="AK70" s="3"/>
      <c r="AL70" s="3"/>
      <c r="AM70" s="3"/>
      <c r="AN70" s="3"/>
      <c r="AO70" s="3"/>
      <c r="AP70" s="3"/>
      <c r="AQ70" s="3"/>
    </row>
    <row r="71" spans="1:43" ht="15.75" x14ac:dyDescent="0.3">
      <c r="A71" s="2"/>
      <c r="B71" s="2"/>
      <c r="C71" s="2"/>
      <c r="D71" s="2"/>
      <c r="E71" s="2"/>
      <c r="F71" s="2"/>
      <c r="G71" s="2"/>
      <c r="H71" s="2"/>
      <c r="I71" s="2"/>
      <c r="J71" s="2"/>
      <c r="K71" s="2"/>
      <c r="L71" s="2"/>
      <c r="M71" s="2"/>
      <c r="N71" s="2"/>
      <c r="P71" s="3"/>
      <c r="Q71" s="3"/>
      <c r="R71" s="3"/>
      <c r="S71" s="3"/>
      <c r="T71" s="3"/>
      <c r="U71" s="3"/>
      <c r="V71" s="3"/>
      <c r="W71" s="3"/>
      <c r="X71" s="2"/>
      <c r="Y71" s="3"/>
      <c r="Z71" s="3"/>
      <c r="AA71" s="29" t="s">
        <v>27</v>
      </c>
      <c r="AB71" s="97">
        <f>AB45/IF(NOT(ISBLANK('Referenz Plattenfertiger'!$I$12)),'Referenz Plattenfertiger'!$I$12,'Referenz Plattenfertiger'!$F$12)</f>
        <v>0.14578824057023795</v>
      </c>
      <c r="AC71" s="97">
        <f>AC45/IF(NOT(ISBLANK('Referenz Plattenfertiger'!$I$12)),'Referenz Plattenfertiger'!$I$12,'Referenz Plattenfertiger'!$F$12)</f>
        <v>0.14138781558051072</v>
      </c>
      <c r="AD71" s="97">
        <f>AD45/IF(NOT(ISBLANK('Referenz Plattenfertiger'!$I$12)),'Referenz Plattenfertiger'!$I$12,'Referenz Plattenfertiger'!$F$12)</f>
        <v>0.13779142484977869</v>
      </c>
      <c r="AE71" s="25" t="s">
        <v>193</v>
      </c>
      <c r="AF71" s="3"/>
      <c r="AG71" s="2"/>
      <c r="AH71" s="3"/>
      <c r="AI71" s="3"/>
      <c r="AJ71" s="3"/>
      <c r="AK71" s="3"/>
      <c r="AL71" s="3"/>
      <c r="AM71" s="3"/>
      <c r="AN71" s="3"/>
      <c r="AO71" s="3"/>
      <c r="AP71" s="3"/>
      <c r="AQ71" s="3"/>
    </row>
    <row r="72" spans="1:43" ht="15" thickBot="1" x14ac:dyDescent="0.3">
      <c r="A72" s="2"/>
      <c r="B72" s="2"/>
      <c r="C72" s="2"/>
      <c r="D72" s="2"/>
      <c r="E72" s="2"/>
      <c r="F72" s="2"/>
      <c r="G72" s="2"/>
      <c r="H72" s="2"/>
      <c r="I72" s="2"/>
      <c r="J72" s="2"/>
      <c r="K72" s="2"/>
      <c r="L72" s="2"/>
      <c r="M72" s="2"/>
      <c r="N72" s="2"/>
      <c r="P72" s="3"/>
      <c r="Q72" s="3"/>
      <c r="R72" s="3"/>
      <c r="S72" s="3"/>
      <c r="T72" s="3"/>
      <c r="U72" s="3"/>
      <c r="V72" s="3"/>
      <c r="W72" s="3"/>
      <c r="X72" s="2"/>
      <c r="Y72" s="3"/>
      <c r="Z72" s="3"/>
      <c r="AA72" s="27" t="s">
        <v>67</v>
      </c>
      <c r="AB72" s="99">
        <f>AB46/IF(NOT(ISBLANK('Referenz Plattenfertiger'!$I$12)),'Referenz Plattenfertiger'!$I$12,'Referenz Plattenfertiger'!$F$12)</f>
        <v>0.15245904944673794</v>
      </c>
      <c r="AC72" s="99">
        <f>AC46/IF(NOT(ISBLANK('Referenz Plattenfertiger'!$I$12)),'Referenz Plattenfertiger'!$I$12,'Referenz Plattenfertiger'!$F$12)</f>
        <v>0.14688343563422857</v>
      </c>
      <c r="AD72" s="99">
        <f>AD46/IF(NOT(ISBLANK('Referenz Plattenfertiger'!$I$12)),'Referenz Plattenfertiger'!$I$12,'Referenz Plattenfertiger'!$F$12)</f>
        <v>0.14170354759743145</v>
      </c>
      <c r="AE72" s="27" t="s">
        <v>195</v>
      </c>
      <c r="AF72" s="3"/>
      <c r="AG72" s="2"/>
      <c r="AH72" s="3"/>
      <c r="AI72" s="3"/>
      <c r="AJ72" s="3"/>
      <c r="AK72" s="3"/>
      <c r="AL72" s="3"/>
      <c r="AM72" s="3"/>
      <c r="AN72" s="3"/>
      <c r="AO72" s="3"/>
      <c r="AP72" s="3"/>
      <c r="AQ72" s="3"/>
    </row>
    <row r="73" spans="1:43" ht="13.5" thickTop="1" x14ac:dyDescent="0.2">
      <c r="A73" s="2"/>
      <c r="B73" s="2"/>
      <c r="C73" s="2"/>
      <c r="D73" s="2"/>
      <c r="E73" s="2"/>
      <c r="F73" s="2"/>
      <c r="G73" s="2"/>
      <c r="H73" s="2"/>
      <c r="I73" s="2"/>
      <c r="J73" s="2"/>
      <c r="K73" s="2"/>
      <c r="L73" s="2"/>
      <c r="M73" s="2"/>
      <c r="N73" s="2"/>
      <c r="P73" s="3"/>
      <c r="Q73" s="3"/>
      <c r="R73" s="3"/>
      <c r="S73" s="3"/>
      <c r="T73" s="3"/>
      <c r="U73" s="3"/>
      <c r="V73" s="3"/>
      <c r="W73" s="3"/>
      <c r="X73" s="2"/>
      <c r="Y73" s="3"/>
      <c r="Z73" s="3"/>
      <c r="AA73" s="3"/>
      <c r="AB73" s="3"/>
      <c r="AC73" s="3"/>
      <c r="AD73" s="3"/>
      <c r="AE73" s="3"/>
      <c r="AF73" s="3"/>
      <c r="AG73" s="2"/>
      <c r="AH73" s="3"/>
      <c r="AI73" s="3"/>
      <c r="AJ73" s="3"/>
      <c r="AK73" s="3"/>
      <c r="AL73" s="3"/>
      <c r="AM73" s="3"/>
      <c r="AN73" s="3"/>
      <c r="AO73" s="3"/>
      <c r="AP73" s="3"/>
      <c r="AQ73" s="3"/>
    </row>
    <row r="74" spans="1:43" x14ac:dyDescent="0.2">
      <c r="A74" s="2"/>
      <c r="B74" s="2"/>
      <c r="C74" s="2"/>
      <c r="D74" s="2"/>
      <c r="E74" s="2"/>
      <c r="F74" s="2"/>
      <c r="G74" s="2"/>
      <c r="H74" s="2"/>
      <c r="I74" s="2"/>
      <c r="J74" s="2"/>
      <c r="K74" s="2"/>
      <c r="L74" s="2"/>
      <c r="M74" s="2"/>
      <c r="N74" s="2"/>
      <c r="P74" s="3"/>
      <c r="Q74" s="3"/>
      <c r="R74" s="3"/>
      <c r="S74" s="3"/>
      <c r="T74" s="3"/>
      <c r="U74" s="3"/>
      <c r="V74" s="3"/>
      <c r="W74" s="3"/>
      <c r="X74" s="2"/>
      <c r="Y74" s="3"/>
      <c r="Z74" s="3"/>
      <c r="AA74" s="3"/>
      <c r="AB74" s="3"/>
      <c r="AC74" s="3"/>
      <c r="AD74" s="3"/>
      <c r="AE74" s="3"/>
      <c r="AF74" s="3"/>
      <c r="AG74" s="2"/>
      <c r="AH74" s="3"/>
      <c r="AI74" s="3"/>
      <c r="AJ74" s="3"/>
      <c r="AK74" s="3"/>
      <c r="AL74" s="3"/>
      <c r="AM74" s="3"/>
      <c r="AN74" s="3"/>
      <c r="AO74" s="3"/>
      <c r="AP74" s="3"/>
      <c r="AQ74" s="3"/>
    </row>
    <row r="75" spans="1:43" hidden="1" outlineLevel="1" x14ac:dyDescent="0.2">
      <c r="A75" s="2"/>
      <c r="B75" s="2"/>
      <c r="C75" s="2"/>
      <c r="D75" s="2"/>
      <c r="E75" s="2"/>
      <c r="F75" s="2"/>
      <c r="G75" s="2"/>
      <c r="H75" s="2"/>
      <c r="I75" s="2"/>
      <c r="J75" s="2"/>
      <c r="K75" s="2"/>
      <c r="L75" s="2"/>
      <c r="M75" s="2"/>
      <c r="N75" s="2"/>
      <c r="P75" s="3"/>
      <c r="Q75" s="3"/>
      <c r="R75" s="3"/>
      <c r="S75" s="3"/>
      <c r="T75" s="3"/>
      <c r="U75" s="3"/>
      <c r="V75" s="3"/>
      <c r="W75" s="3"/>
      <c r="X75" s="2"/>
      <c r="Y75" s="3"/>
      <c r="Z75" s="3"/>
      <c r="AA75" s="3"/>
      <c r="AB75" s="3"/>
      <c r="AC75" s="3"/>
      <c r="AD75" s="3"/>
      <c r="AE75" s="3"/>
      <c r="AF75" s="3"/>
      <c r="AG75" s="2"/>
      <c r="AH75" s="3"/>
      <c r="AI75" s="3"/>
      <c r="AJ75" s="3"/>
      <c r="AK75" s="3"/>
      <c r="AL75" s="3"/>
      <c r="AM75" s="3"/>
      <c r="AN75" s="3"/>
      <c r="AO75" s="3"/>
      <c r="AP75" s="3"/>
      <c r="AQ75" s="3"/>
    </row>
    <row r="76" spans="1:43" hidden="1" outlineLevel="1" x14ac:dyDescent="0.2">
      <c r="B76" s="6" t="str">
        <f>IF(AND($F$16&gt;0,J16&lt;F16),"Bitte den Handeingabewert 'Reduktion' für 'Bilanzjahr +10 Jahre' auch anpassen. Dieser muss dem Werte Ihrer Handeingabe  'Bilanzjahr + 5 Jahre' entsprechen, sollte nur eine Maßnahme im  'Bilanzjahr + 5 Jahre' umgesetzt werden.","")</f>
        <v/>
      </c>
      <c r="C76" s="2"/>
      <c r="D76" s="2"/>
      <c r="E76" s="2"/>
      <c r="F76" s="2"/>
      <c r="G76" s="2"/>
      <c r="H76" s="2"/>
      <c r="I76" s="2"/>
      <c r="J76" s="2"/>
      <c r="K76" s="2"/>
      <c r="L76" s="2"/>
      <c r="M76" s="2"/>
      <c r="N76" s="2"/>
    </row>
    <row r="77" spans="1:43" hidden="1" outlineLevel="1" x14ac:dyDescent="0.2">
      <c r="C77" s="2"/>
      <c r="D77" s="2"/>
      <c r="E77" s="2"/>
      <c r="F77" s="2"/>
      <c r="G77" s="2"/>
      <c r="H77" s="2"/>
      <c r="I77" s="2"/>
      <c r="J77" s="2"/>
      <c r="K77" s="2"/>
      <c r="L77" s="2"/>
      <c r="M77" s="2"/>
      <c r="N77" s="2"/>
    </row>
    <row r="78" spans="1:43" hidden="1" outlineLevel="1" x14ac:dyDescent="0.2">
      <c r="B78" s="102"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P78" s="3"/>
      <c r="Q78" s="3"/>
      <c r="R78" s="3"/>
      <c r="S78" s="3"/>
      <c r="T78" s="3"/>
      <c r="U78" s="3"/>
      <c r="V78" s="3"/>
      <c r="W78" s="3"/>
      <c r="X78" s="3"/>
      <c r="Y78" s="3"/>
      <c r="Z78" s="3"/>
      <c r="AA78" s="3"/>
      <c r="AB78" s="3"/>
      <c r="AC78" s="3"/>
      <c r="AD78" s="3"/>
      <c r="AE78" s="3"/>
      <c r="AF78" s="3"/>
      <c r="AG78" s="3"/>
      <c r="AH78" s="3"/>
      <c r="AI78" s="3"/>
      <c r="AJ78" s="3"/>
      <c r="AK78" s="3"/>
      <c r="AL78" s="3"/>
      <c r="AM78" s="3"/>
      <c r="AN78" s="3"/>
      <c r="AO78" s="3"/>
    </row>
    <row r="79" spans="1:43" ht="15.75" hidden="1" outlineLevel="1" x14ac:dyDescent="0.25">
      <c r="B79" s="102" t="str">
        <f>IF(AND(G23&gt;0,K23&lt;G23),"Bitte den Handeingabewert 'Umstellung Dieselstapler' für 'Bilanzjahr +10 Jahre' und ggf. 'Bilanzjahr +5 Jahre' auch anpassen. Diese Werte dürfen nicht größer Ihrer Handeingabe 'Anzahl Dieselstapler im Werk' sein. Ansonsten ist die Berechnung fehlerhaft.","")</f>
        <v/>
      </c>
      <c r="P79" s="3"/>
      <c r="Q79" s="3"/>
      <c r="R79" s="61" t="s">
        <v>130</v>
      </c>
      <c r="S79" s="3"/>
      <c r="T79" s="3"/>
      <c r="U79" s="3"/>
      <c r="V79" s="3"/>
      <c r="W79" s="3"/>
      <c r="X79" s="3"/>
      <c r="Y79" s="3"/>
      <c r="Z79" s="3"/>
      <c r="AA79" s="61" t="s">
        <v>130</v>
      </c>
      <c r="AB79" s="3"/>
      <c r="AC79" s="3"/>
      <c r="AD79" s="3"/>
      <c r="AE79" s="3"/>
      <c r="AF79" s="3"/>
      <c r="AG79" s="3"/>
      <c r="AH79" s="3"/>
      <c r="AI79" s="61" t="s">
        <v>130</v>
      </c>
      <c r="AJ79" s="24"/>
      <c r="AK79" s="24"/>
      <c r="AL79" s="24"/>
      <c r="AM79" s="24"/>
      <c r="AN79" s="3"/>
      <c r="AO79" s="3"/>
    </row>
    <row r="80" spans="1:43" ht="15" hidden="1" outlineLevel="1" x14ac:dyDescent="0.25">
      <c r="B80" s="102" t="str">
        <f>IF(OR(G28&gt;0,G29&gt;0,K28&gt;0,K29&gt;0),"Hinweis: Bitte den Handeingabewert 'Emissionsfaktor' für Ersatzstoff 1 und / oder Ersatzstoff 2 eintragen.","")</f>
        <v/>
      </c>
      <c r="P80" s="3"/>
      <c r="Q80" s="3"/>
      <c r="R80" s="35" t="s">
        <v>102</v>
      </c>
      <c r="S80" s="35"/>
      <c r="T80" s="35"/>
      <c r="U80" s="35"/>
      <c r="V80" s="34"/>
      <c r="W80" s="3"/>
      <c r="X80" s="3"/>
      <c r="Y80" s="3"/>
      <c r="Z80" s="3"/>
      <c r="AA80" s="35" t="s">
        <v>239</v>
      </c>
      <c r="AB80" s="45">
        <f>AB67</f>
        <v>0</v>
      </c>
      <c r="AC80" s="45">
        <f t="shared" ref="AC80:AD80" si="4">AC67</f>
        <v>5</v>
      </c>
      <c r="AD80" s="45">
        <f t="shared" si="4"/>
        <v>10</v>
      </c>
      <c r="AE80" s="34"/>
      <c r="AF80" s="3"/>
      <c r="AG80" s="3"/>
      <c r="AH80" s="3"/>
      <c r="AI80" s="3"/>
      <c r="AJ80" s="45" t="s">
        <v>185</v>
      </c>
      <c r="AK80" s="46">
        <f>AB67</f>
        <v>0</v>
      </c>
      <c r="AL80" s="46">
        <f t="shared" ref="AL80:AM80" si="5">AC67</f>
        <v>5</v>
      </c>
      <c r="AM80" s="46">
        <f t="shared" si="5"/>
        <v>10</v>
      </c>
      <c r="AN80" s="3"/>
      <c r="AO80" s="3"/>
    </row>
    <row r="81" spans="16:41" hidden="1" outlineLevel="1" x14ac:dyDescent="0.2">
      <c r="P81" s="3"/>
      <c r="Q81" s="3"/>
      <c r="R81" s="24"/>
      <c r="S81" s="59" t="s">
        <v>81</v>
      </c>
      <c r="T81" s="58"/>
      <c r="U81" s="58"/>
      <c r="V81" s="24"/>
      <c r="W81" s="3"/>
      <c r="X81" s="3"/>
      <c r="Y81" s="3"/>
      <c r="Z81" s="3"/>
      <c r="AA81" s="24"/>
      <c r="AB81" s="59" t="s">
        <v>81</v>
      </c>
      <c r="AC81" s="58"/>
      <c r="AD81" s="58"/>
      <c r="AE81" s="24"/>
      <c r="AF81" s="3"/>
      <c r="AG81" s="3"/>
      <c r="AH81" s="3"/>
      <c r="AI81" s="3"/>
      <c r="AJ81" s="24"/>
      <c r="AK81" s="49" t="s">
        <v>81</v>
      </c>
      <c r="AL81" s="49"/>
      <c r="AM81" s="58"/>
      <c r="AN81" s="3"/>
      <c r="AO81" s="3"/>
    </row>
    <row r="82" spans="16:41" ht="15.75" hidden="1" outlineLevel="1" x14ac:dyDescent="0.3">
      <c r="P82" s="3"/>
      <c r="Q82" s="3"/>
      <c r="R82" s="3" t="str">
        <f t="shared" ref="R82:R88" si="6">IF($W82,AA52,"")</f>
        <v>Erdgas</v>
      </c>
      <c r="S82" s="10">
        <f t="shared" ref="S82:U88" si="7">IF($W82,AB52,NA())</f>
        <v>43.0426</v>
      </c>
      <c r="T82" s="10">
        <f t="shared" si="7"/>
        <v>43.0426</v>
      </c>
      <c r="U82" s="10">
        <f t="shared" si="7"/>
        <v>43.0426</v>
      </c>
      <c r="V82" s="3" t="s">
        <v>148</v>
      </c>
      <c r="W82" s="3" t="b">
        <v>1</v>
      </c>
      <c r="X82" s="3"/>
      <c r="Y82" s="3"/>
      <c r="Z82" s="3"/>
      <c r="AA82" s="3" t="str">
        <f t="shared" ref="AA82:AA93" si="8">IF($AF82,R43,"")</f>
        <v>Energieträger gesamt</v>
      </c>
      <c r="AB82" s="9">
        <f t="shared" ref="AB82:AB93" si="9">IF($AF82,S43,NA())</f>
        <v>41.281733459999998</v>
      </c>
      <c r="AC82" s="9">
        <f t="shared" ref="AC82:AC93" si="10">IF($AF82,T43,NA())</f>
        <v>34.39057387091087</v>
      </c>
      <c r="AD82" s="9">
        <f t="shared" ref="AD82:AD93" si="11">IF($AF82,U43,NA())</f>
        <v>25.105144641628776</v>
      </c>
      <c r="AE82" s="3" t="s">
        <v>148</v>
      </c>
      <c r="AF82" s="374" t="b">
        <v>1</v>
      </c>
      <c r="AG82" s="374"/>
      <c r="AH82" s="3"/>
      <c r="AI82" s="3"/>
      <c r="AJ82" s="56" t="s">
        <v>144</v>
      </c>
      <c r="AK82" s="57">
        <f>SUM(AK83:AK89)</f>
        <v>109669</v>
      </c>
      <c r="AL82" s="57">
        <f t="shared" ref="AL82:AM82" si="12">SUM(AL83:AL89)</f>
        <v>109669</v>
      </c>
      <c r="AM82" s="57">
        <f t="shared" si="12"/>
        <v>109669</v>
      </c>
      <c r="AN82" s="3"/>
      <c r="AO82" s="3"/>
    </row>
    <row r="83" spans="16:41" ht="15.75" hidden="1" outlineLevel="1" x14ac:dyDescent="0.3">
      <c r="P83" s="3"/>
      <c r="Q83" s="3"/>
      <c r="R83" s="3" t="str">
        <f t="shared" si="6"/>
        <v>Heizöl</v>
      </c>
      <c r="S83" s="10">
        <f t="shared" si="7"/>
        <v>16.005600000000001</v>
      </c>
      <c r="T83" s="10">
        <f t="shared" si="7"/>
        <v>16.005600000000001</v>
      </c>
      <c r="U83" s="10">
        <f t="shared" si="7"/>
        <v>16.005600000000001</v>
      </c>
      <c r="V83" s="3" t="s">
        <v>148</v>
      </c>
      <c r="W83" s="3" t="b">
        <v>1</v>
      </c>
      <c r="X83" s="3"/>
      <c r="Y83" s="3"/>
      <c r="Z83" s="3"/>
      <c r="AA83" s="3" t="str">
        <f t="shared" si="8"/>
        <v>Transport gesamt</v>
      </c>
      <c r="AB83" s="9">
        <f t="shared" si="9"/>
        <v>469.15642799999995</v>
      </c>
      <c r="AC83" s="9">
        <f t="shared" si="10"/>
        <v>469.15642799999995</v>
      </c>
      <c r="AD83" s="9">
        <f t="shared" si="11"/>
        <v>469.15642799999995</v>
      </c>
      <c r="AE83" s="3" t="s">
        <v>148</v>
      </c>
      <c r="AF83" s="374" t="b">
        <v>1</v>
      </c>
      <c r="AG83" s="374"/>
      <c r="AH83" s="3"/>
      <c r="AI83" s="3"/>
      <c r="AJ83" s="31" t="s">
        <v>29</v>
      </c>
      <c r="AK83" s="51">
        <f>AK44</f>
        <v>14335</v>
      </c>
      <c r="AL83" s="51">
        <f t="shared" ref="AL83:AM83" si="13">AL44</f>
        <v>14335</v>
      </c>
      <c r="AM83" s="51">
        <f t="shared" si="13"/>
        <v>14335</v>
      </c>
      <c r="AN83" s="3"/>
      <c r="AO83" s="3"/>
    </row>
    <row r="84" spans="16:41" ht="15.75" hidden="1" outlineLevel="1" x14ac:dyDescent="0.3">
      <c r="P84" s="3"/>
      <c r="Q84" s="3"/>
      <c r="R84" s="3" t="str">
        <f t="shared" si="6"/>
        <v>Strom</v>
      </c>
      <c r="S84" s="10">
        <f t="shared" si="7"/>
        <v>171.9</v>
      </c>
      <c r="T84" s="10">
        <f t="shared" si="7"/>
        <v>124.8924470887134</v>
      </c>
      <c r="U84" s="10">
        <f t="shared" si="7"/>
        <v>61.552554846110553</v>
      </c>
      <c r="V84" s="3" t="s">
        <v>148</v>
      </c>
      <c r="W84" s="3" t="b">
        <v>1</v>
      </c>
      <c r="X84" s="3"/>
      <c r="Y84" s="3"/>
      <c r="Z84" s="3"/>
      <c r="AA84" s="3" t="str">
        <f t="shared" si="8"/>
        <v>Zement</v>
      </c>
      <c r="AB84" s="9">
        <f t="shared" si="9"/>
        <v>4548.5439999999999</v>
      </c>
      <c r="AC84" s="9">
        <f t="shared" si="10"/>
        <v>4457.57312</v>
      </c>
      <c r="AD84" s="9">
        <f t="shared" si="11"/>
        <v>4321.1167999999998</v>
      </c>
      <c r="AE84" s="3" t="s">
        <v>148</v>
      </c>
      <c r="AF84" s="374" t="b">
        <v>1</v>
      </c>
      <c r="AG84" s="374"/>
      <c r="AH84" s="3"/>
      <c r="AI84" s="3"/>
      <c r="AJ84" s="31" t="s">
        <v>30</v>
      </c>
      <c r="AK84" s="51">
        <f t="shared" ref="AK84:AM89" si="14">AK45</f>
        <v>2760</v>
      </c>
      <c r="AL84" s="51">
        <f t="shared" si="14"/>
        <v>2760</v>
      </c>
      <c r="AM84" s="51">
        <f t="shared" si="14"/>
        <v>2760</v>
      </c>
      <c r="AN84" s="3"/>
      <c r="AO84" s="3"/>
    </row>
    <row r="85" spans="16:41" ht="15.75" hidden="1" outlineLevel="1" x14ac:dyDescent="0.3">
      <c r="P85" s="3"/>
      <c r="Q85" s="3"/>
      <c r="R85" s="3" t="str">
        <f t="shared" si="6"/>
        <v/>
      </c>
      <c r="S85" s="10" t="e">
        <f t="shared" si="7"/>
        <v>#N/A</v>
      </c>
      <c r="T85" s="10" t="e">
        <f t="shared" si="7"/>
        <v>#N/A</v>
      </c>
      <c r="U85" s="10" t="e">
        <f t="shared" si="7"/>
        <v>#N/A</v>
      </c>
      <c r="V85" s="3" t="s">
        <v>148</v>
      </c>
      <c r="W85" s="3" t="b">
        <v>0</v>
      </c>
      <c r="X85" s="3"/>
      <c r="Y85" s="3"/>
      <c r="Z85" s="3"/>
      <c r="AA85" s="3" t="str">
        <f t="shared" si="8"/>
        <v>Gesteinskörnungen (Zuschlagsstoffe)</v>
      </c>
      <c r="AB85" s="9">
        <f t="shared" si="9"/>
        <v>129.59200000000001</v>
      </c>
      <c r="AC85" s="9">
        <f t="shared" si="10"/>
        <v>129.59200000000001</v>
      </c>
      <c r="AD85" s="9">
        <f t="shared" si="11"/>
        <v>129.59200000000001</v>
      </c>
      <c r="AE85" s="3" t="s">
        <v>148</v>
      </c>
      <c r="AF85" s="374" t="b">
        <v>1</v>
      </c>
      <c r="AG85" s="374"/>
      <c r="AH85" s="3"/>
      <c r="AI85" s="3"/>
      <c r="AJ85" s="31" t="s">
        <v>31</v>
      </c>
      <c r="AK85" s="51">
        <f t="shared" si="14"/>
        <v>77400</v>
      </c>
      <c r="AL85" s="51">
        <f t="shared" si="14"/>
        <v>77400</v>
      </c>
      <c r="AM85" s="51">
        <f t="shared" si="14"/>
        <v>77400</v>
      </c>
      <c r="AN85" s="3"/>
      <c r="AO85" s="3"/>
    </row>
    <row r="86" spans="16:41" ht="15.75" hidden="1" outlineLevel="1" x14ac:dyDescent="0.3">
      <c r="P86" s="3"/>
      <c r="Q86" s="3"/>
      <c r="R86" s="3" t="str">
        <f t="shared" si="6"/>
        <v/>
      </c>
      <c r="S86" s="10" t="e">
        <f t="shared" si="7"/>
        <v>#N/A</v>
      </c>
      <c r="T86" s="10" t="e">
        <f t="shared" si="7"/>
        <v>#N/A</v>
      </c>
      <c r="U86" s="10" t="e">
        <f t="shared" si="7"/>
        <v>#N/A</v>
      </c>
      <c r="V86" s="3" t="s">
        <v>148</v>
      </c>
      <c r="W86" s="3" t="b">
        <v>0</v>
      </c>
      <c r="X86" s="3"/>
      <c r="Y86" s="3"/>
      <c r="Z86" s="3"/>
      <c r="AA86" s="3" t="str">
        <f t="shared" si="8"/>
        <v>Farben</v>
      </c>
      <c r="AB86" s="9">
        <f t="shared" si="9"/>
        <v>208</v>
      </c>
      <c r="AC86" s="9">
        <f t="shared" si="10"/>
        <v>208</v>
      </c>
      <c r="AD86" s="9">
        <f t="shared" si="11"/>
        <v>208</v>
      </c>
      <c r="AE86" s="3" t="s">
        <v>148</v>
      </c>
      <c r="AF86" s="374" t="b">
        <v>1</v>
      </c>
      <c r="AG86" s="374"/>
      <c r="AH86" s="3"/>
      <c r="AI86" s="3"/>
      <c r="AJ86" s="31" t="s">
        <v>111</v>
      </c>
      <c r="AK86" s="51">
        <f t="shared" si="14"/>
        <v>0</v>
      </c>
      <c r="AL86" s="51">
        <f t="shared" si="14"/>
        <v>0</v>
      </c>
      <c r="AM86" s="51">
        <f t="shared" si="14"/>
        <v>0</v>
      </c>
      <c r="AN86" s="3"/>
      <c r="AO86" s="3"/>
    </row>
    <row r="87" spans="16:41" ht="15.75" hidden="1" outlineLevel="1" x14ac:dyDescent="0.3">
      <c r="P87" s="3"/>
      <c r="Q87" s="3"/>
      <c r="R87" s="3" t="str">
        <f t="shared" si="6"/>
        <v/>
      </c>
      <c r="S87" s="10" t="e">
        <f t="shared" si="7"/>
        <v>#N/A</v>
      </c>
      <c r="T87" s="10" t="e">
        <f t="shared" si="7"/>
        <v>#N/A</v>
      </c>
      <c r="U87" s="10" t="e">
        <f t="shared" si="7"/>
        <v>#N/A</v>
      </c>
      <c r="V87" s="3" t="s">
        <v>148</v>
      </c>
      <c r="W87" s="3" t="b">
        <v>0</v>
      </c>
      <c r="X87" s="3"/>
      <c r="Y87" s="3"/>
      <c r="Z87" s="3"/>
      <c r="AA87" s="3" t="str">
        <f t="shared" si="8"/>
        <v>Zusatzstoffe (Füllstoffe)</v>
      </c>
      <c r="AB87" s="9">
        <f t="shared" si="9"/>
        <v>81.003999999999991</v>
      </c>
      <c r="AC87" s="9">
        <f t="shared" si="10"/>
        <v>82.624079999999992</v>
      </c>
      <c r="AD87" s="9">
        <f t="shared" si="11"/>
        <v>85.054199999999994</v>
      </c>
      <c r="AE87" s="3" t="s">
        <v>148</v>
      </c>
      <c r="AF87" s="374" t="b">
        <v>1</v>
      </c>
      <c r="AG87" s="374"/>
      <c r="AH87" s="3"/>
      <c r="AI87" s="3"/>
      <c r="AJ87" s="31" t="s">
        <v>112</v>
      </c>
      <c r="AK87" s="51">
        <f t="shared" si="14"/>
        <v>0</v>
      </c>
      <c r="AL87" s="51">
        <f t="shared" si="14"/>
        <v>0</v>
      </c>
      <c r="AM87" s="51">
        <f t="shared" si="14"/>
        <v>0</v>
      </c>
      <c r="AN87" s="3"/>
      <c r="AO87" s="3"/>
    </row>
    <row r="88" spans="16:41" ht="15.75" hidden="1" outlineLevel="1" x14ac:dyDescent="0.3">
      <c r="P88" s="3"/>
      <c r="Q88" s="3"/>
      <c r="R88" s="3" t="str">
        <f t="shared" si="6"/>
        <v>Diesel</v>
      </c>
      <c r="S88" s="10">
        <f t="shared" si="7"/>
        <v>35.884155059999998</v>
      </c>
      <c r="T88" s="10">
        <f t="shared" si="7"/>
        <v>35.884155059999998</v>
      </c>
      <c r="U88" s="10">
        <f t="shared" si="7"/>
        <v>35.884155059999998</v>
      </c>
      <c r="V88" s="3" t="s">
        <v>148</v>
      </c>
      <c r="W88" s="3" t="b">
        <v>1</v>
      </c>
      <c r="X88" s="3"/>
      <c r="Y88" s="3"/>
      <c r="Z88" s="3"/>
      <c r="AA88" s="3" t="str">
        <f t="shared" si="8"/>
        <v>Zusatzmittel</v>
      </c>
      <c r="AB88" s="9">
        <f t="shared" si="9"/>
        <v>148.44746134951595</v>
      </c>
      <c r="AC88" s="9">
        <f t="shared" si="10"/>
        <v>148.44746134951595</v>
      </c>
      <c r="AD88" s="9">
        <f t="shared" si="11"/>
        <v>148.44746134951595</v>
      </c>
      <c r="AE88" s="3" t="s">
        <v>148</v>
      </c>
      <c r="AF88" s="374" t="b">
        <v>1</v>
      </c>
      <c r="AG88" s="374"/>
      <c r="AH88" s="3"/>
      <c r="AI88" s="3"/>
      <c r="AJ88" s="31" t="s">
        <v>113</v>
      </c>
      <c r="AK88" s="51">
        <f t="shared" si="14"/>
        <v>0</v>
      </c>
      <c r="AL88" s="51">
        <f t="shared" si="14"/>
        <v>0</v>
      </c>
      <c r="AM88" s="51">
        <f t="shared" si="14"/>
        <v>0</v>
      </c>
      <c r="AN88" s="3"/>
      <c r="AO88" s="3"/>
    </row>
    <row r="89" spans="16:41" ht="16.5" hidden="1" outlineLevel="1" thickBot="1" x14ac:dyDescent="0.35">
      <c r="P89" s="3"/>
      <c r="Q89" s="3"/>
      <c r="R89" s="27" t="s">
        <v>67</v>
      </c>
      <c r="S89" s="33">
        <f>SUMIF($W$82:$W$88,TRUE,S82:S88)</f>
        <v>266.83235506</v>
      </c>
      <c r="T89" s="33">
        <f>SUMIF($W$82:$W$88,TRUE,T82:T88)</f>
        <v>219.82480214871339</v>
      </c>
      <c r="U89" s="33">
        <f>SUMIF($W$82:$W$88,TRUE,U82:U88)</f>
        <v>156.48490990611054</v>
      </c>
      <c r="V89" s="27" t="s">
        <v>149</v>
      </c>
      <c r="W89" s="3"/>
      <c r="X89" s="3"/>
      <c r="Y89" s="3"/>
      <c r="Z89" s="3"/>
      <c r="AA89" s="3" t="str">
        <f t="shared" si="8"/>
        <v>Zusätzliche Ersatzstoffe</v>
      </c>
      <c r="AB89" s="9">
        <f t="shared" si="9"/>
        <v>0</v>
      </c>
      <c r="AC89" s="9">
        <f t="shared" si="10"/>
        <v>0</v>
      </c>
      <c r="AD89" s="9">
        <f t="shared" si="11"/>
        <v>0</v>
      </c>
      <c r="AE89" s="3" t="s">
        <v>148</v>
      </c>
      <c r="AF89" s="374" t="b">
        <v>1</v>
      </c>
      <c r="AG89" s="374"/>
      <c r="AH89" s="3"/>
      <c r="AI89" s="3"/>
      <c r="AJ89" s="50" t="s">
        <v>32</v>
      </c>
      <c r="AK89" s="52">
        <f t="shared" si="14"/>
        <v>15174.000000000002</v>
      </c>
      <c r="AL89" s="53">
        <f t="shared" si="14"/>
        <v>15174.000000000002</v>
      </c>
      <c r="AM89" s="53">
        <f t="shared" si="14"/>
        <v>15174.000000000002</v>
      </c>
      <c r="AN89" s="3"/>
      <c r="AO89" s="3"/>
    </row>
    <row r="90" spans="16:41" ht="16.5" hidden="1" outlineLevel="1" thickTop="1" x14ac:dyDescent="0.3">
      <c r="P90" s="3"/>
      <c r="Q90" s="3"/>
      <c r="R90" s="3"/>
      <c r="S90" s="3"/>
      <c r="T90" s="3"/>
      <c r="U90" s="3"/>
      <c r="V90" s="3"/>
      <c r="W90" s="3"/>
      <c r="X90" s="3"/>
      <c r="Y90" s="3"/>
      <c r="Z90" s="3"/>
      <c r="AA90" s="3" t="str">
        <f t="shared" si="8"/>
        <v>Wasser &amp; Abwasser</v>
      </c>
      <c r="AB90" s="9">
        <f t="shared" si="9"/>
        <v>0.54400000000000004</v>
      </c>
      <c r="AC90" s="9">
        <f t="shared" si="10"/>
        <v>0.54400000000000004</v>
      </c>
      <c r="AD90" s="9">
        <f t="shared" si="11"/>
        <v>0.54400000000000004</v>
      </c>
      <c r="AE90" s="3" t="s">
        <v>148</v>
      </c>
      <c r="AF90" s="374" t="b">
        <v>1</v>
      </c>
      <c r="AG90" s="374"/>
      <c r="AH90" s="3"/>
      <c r="AI90" s="3"/>
      <c r="AJ90" s="8" t="str">
        <f>IF(AN90,"CAPEX","")</f>
        <v>CAPEX</v>
      </c>
      <c r="AK90" s="54">
        <f>IF($AN90,AK51,NA())</f>
        <v>0</v>
      </c>
      <c r="AL90" s="54">
        <f t="shared" ref="AL90:AM92" si="15">IF($AN90,AL51,NA())</f>
        <v>0</v>
      </c>
      <c r="AM90" s="54">
        <f t="shared" si="15"/>
        <v>0</v>
      </c>
      <c r="AN90" s="374" t="b">
        <v>1</v>
      </c>
      <c r="AO90" s="3"/>
    </row>
    <row r="91" spans="16:41" ht="15.75" hidden="1" outlineLevel="1" x14ac:dyDescent="0.3">
      <c r="P91" s="3"/>
      <c r="Q91" s="3"/>
      <c r="R91" s="3"/>
      <c r="S91" s="3"/>
      <c r="T91" s="3"/>
      <c r="U91" s="3"/>
      <c r="V91" s="3"/>
      <c r="W91" s="3"/>
      <c r="X91" s="3"/>
      <c r="Y91" s="3"/>
      <c r="Z91" s="3"/>
      <c r="AA91" s="3" t="str">
        <f t="shared" si="8"/>
        <v>Oberflächenschutzsysteme</v>
      </c>
      <c r="AB91" s="9">
        <f t="shared" si="9"/>
        <v>80.47999999999999</v>
      </c>
      <c r="AC91" s="9">
        <f t="shared" si="10"/>
        <v>0.16095999999999999</v>
      </c>
      <c r="AD91" s="9">
        <f t="shared" si="11"/>
        <v>0.16095999999999999</v>
      </c>
      <c r="AE91" s="3" t="s">
        <v>148</v>
      </c>
      <c r="AF91" s="374" t="b">
        <v>1</v>
      </c>
      <c r="AG91" s="374"/>
      <c r="AH91" s="3"/>
      <c r="AI91" s="3"/>
      <c r="AJ91" s="8" t="str">
        <f>IF(AN91,"Zusätzliche jährliche Kosten","")</f>
        <v>Zusätzliche jährliche Kosten</v>
      </c>
      <c r="AK91" s="54">
        <f>IF($AN91,AK52,NA())</f>
        <v>0</v>
      </c>
      <c r="AL91" s="54">
        <f t="shared" si="15"/>
        <v>0</v>
      </c>
      <c r="AM91" s="54">
        <f t="shared" si="15"/>
        <v>0</v>
      </c>
      <c r="AN91" s="374" t="b">
        <v>1</v>
      </c>
      <c r="AO91" s="3"/>
    </row>
    <row r="92" spans="16:41" ht="15.75" hidden="1" outlineLevel="1" x14ac:dyDescent="0.3">
      <c r="P92" s="3"/>
      <c r="Q92" s="3"/>
      <c r="R92" s="3"/>
      <c r="S92" s="3"/>
      <c r="T92" s="3"/>
      <c r="U92" s="3"/>
      <c r="V92" s="3"/>
      <c r="W92" s="3"/>
      <c r="X92" s="3"/>
      <c r="Y92" s="3"/>
      <c r="Z92" s="3"/>
      <c r="AA92" s="3" t="str">
        <f t="shared" si="8"/>
        <v>Oberflächenbearbeitung (vor/nach Erhärtung)</v>
      </c>
      <c r="AB92" s="9">
        <f t="shared" si="9"/>
        <v>60</v>
      </c>
      <c r="AC92" s="9">
        <f t="shared" si="10"/>
        <v>60</v>
      </c>
      <c r="AD92" s="9">
        <f t="shared" si="11"/>
        <v>60</v>
      </c>
      <c r="AE92" s="3" t="s">
        <v>148</v>
      </c>
      <c r="AF92" s="374" t="b">
        <v>1</v>
      </c>
      <c r="AG92" s="374"/>
      <c r="AH92" s="3"/>
      <c r="AI92" s="3"/>
      <c r="AJ92" s="58" t="str">
        <f>IF(AN92,"Einmalige Kosten","")</f>
        <v>Einmalige Kosten</v>
      </c>
      <c r="AK92" s="54">
        <f>IF($AN92,AK53,NA())</f>
        <v>0</v>
      </c>
      <c r="AL92" s="54">
        <f t="shared" si="15"/>
        <v>0</v>
      </c>
      <c r="AM92" s="54">
        <f t="shared" si="15"/>
        <v>0</v>
      </c>
      <c r="AN92" s="374" t="b">
        <v>1</v>
      </c>
      <c r="AO92" s="3"/>
    </row>
    <row r="93" spans="16:41" ht="15.75" hidden="1" outlineLevel="1" x14ac:dyDescent="0.3">
      <c r="P93" s="3"/>
      <c r="Q93" s="3"/>
      <c r="R93" s="3"/>
      <c r="S93" s="3"/>
      <c r="T93" s="3"/>
      <c r="U93" s="3"/>
      <c r="V93" s="3"/>
      <c r="W93" s="3"/>
      <c r="X93" s="3"/>
      <c r="Y93" s="3"/>
      <c r="Z93" s="3"/>
      <c r="AA93" s="3" t="str">
        <f t="shared" si="8"/>
        <v>Verpackungsmaterial</v>
      </c>
      <c r="AB93" s="9">
        <f t="shared" si="9"/>
        <v>64.48</v>
      </c>
      <c r="AC93" s="9">
        <f t="shared" si="10"/>
        <v>64.48</v>
      </c>
      <c r="AD93" s="9">
        <f t="shared" si="11"/>
        <v>64.48</v>
      </c>
      <c r="AE93" s="3" t="s">
        <v>148</v>
      </c>
      <c r="AF93" s="374" t="b">
        <v>1</v>
      </c>
      <c r="AG93" s="374"/>
      <c r="AH93" s="3"/>
      <c r="AI93" s="3"/>
      <c r="AJ93" s="56" t="str">
        <f>IF(AN93,"CO2-Kosten","")</f>
        <v>CO2-Kosten</v>
      </c>
      <c r="AK93" s="57">
        <f>IF($AN$93,SUMIF($AN$94:$AN$96,TRUE,AK94:AK96),NA())</f>
        <v>152459.04944673795</v>
      </c>
      <c r="AL93" s="57">
        <f>IF($AN$93,SUMIF($AN$94:$AN$96,TRUE,AL94:AL96),NA())</f>
        <v>264390.18414161145</v>
      </c>
      <c r="AM93" s="57">
        <f>IF($AN$93,SUMIF($AN$94:$AN$96,TRUE,AM94:AM96),NA())</f>
        <v>453451.35231178068</v>
      </c>
      <c r="AN93" s="374" t="b">
        <v>1</v>
      </c>
      <c r="AO93" s="3"/>
    </row>
    <row r="94" spans="16:41" ht="16.5" hidden="1" outlineLevel="1" thickBot="1" x14ac:dyDescent="0.35">
      <c r="P94" s="3"/>
      <c r="Q94" s="3"/>
      <c r="R94" s="3"/>
      <c r="S94" s="3"/>
      <c r="T94" s="3"/>
      <c r="U94" s="3"/>
      <c r="V94" s="3"/>
      <c r="W94" s="3"/>
      <c r="X94" s="3"/>
      <c r="Y94" s="3"/>
      <c r="Z94" s="3"/>
      <c r="AA94" s="27" t="s">
        <v>67</v>
      </c>
      <c r="AB94" s="28">
        <f>SUMIF($AF$82:$AF$93,TRUE,AB82:AB93)</f>
        <v>5831.529622809514</v>
      </c>
      <c r="AC94" s="28">
        <f>SUMIF($AF$82:$AF$93,TRUE,AC82:AC93)</f>
        <v>5654.9686232204258</v>
      </c>
      <c r="AD94" s="28">
        <f>SUMIF($AF$82:$AF$93,TRUE,AD82:AD93)</f>
        <v>5511.6569939911433</v>
      </c>
      <c r="AE94" s="27" t="s">
        <v>149</v>
      </c>
      <c r="AF94" s="3"/>
      <c r="AG94" s="3"/>
      <c r="AH94" s="3"/>
      <c r="AI94" s="3"/>
      <c r="AJ94" s="31" t="s">
        <v>141</v>
      </c>
      <c r="AK94" s="51">
        <f>IF($AN94,AK55,NA())</f>
        <v>2373.3088765000002</v>
      </c>
      <c r="AL94" s="51">
        <f t="shared" ref="AL94:AM94" si="16">IF($AN94,AL55,NA())</f>
        <v>4271.9559777000004</v>
      </c>
      <c r="AM94" s="51">
        <f t="shared" si="16"/>
        <v>7594.5884048000007</v>
      </c>
      <c r="AN94" s="374" t="b">
        <v>1</v>
      </c>
      <c r="AO94" s="3"/>
    </row>
    <row r="95" spans="16:41" ht="16.5" hidden="1" outlineLevel="1" thickTop="1" x14ac:dyDescent="0.3">
      <c r="P95" s="3"/>
      <c r="Q95" s="3"/>
      <c r="R95" s="3"/>
      <c r="S95" s="3"/>
      <c r="T95" s="3"/>
      <c r="U95" s="3"/>
      <c r="V95" s="3"/>
      <c r="W95" s="3"/>
      <c r="X95" s="3"/>
      <c r="Y95" s="3"/>
      <c r="Z95" s="3"/>
      <c r="AA95" s="3"/>
      <c r="AB95" s="3"/>
      <c r="AC95" s="3"/>
      <c r="AD95" s="3"/>
      <c r="AE95" s="3"/>
      <c r="AF95" s="3"/>
      <c r="AG95" s="3"/>
      <c r="AH95" s="3"/>
      <c r="AI95" s="3"/>
      <c r="AJ95" s="31" t="s">
        <v>142</v>
      </c>
      <c r="AK95" s="51">
        <f t="shared" ref="AK95:AM96" si="17">IF($AN95,AK56,NA())</f>
        <v>4297.5</v>
      </c>
      <c r="AL95" s="51">
        <f t="shared" si="17"/>
        <v>5620.160118992103</v>
      </c>
      <c r="AM95" s="51">
        <f t="shared" si="17"/>
        <v>4924.2043876888438</v>
      </c>
      <c r="AN95" s="374" t="b">
        <v>1</v>
      </c>
      <c r="AO95" s="3"/>
    </row>
    <row r="96" spans="16:41" ht="15.75" hidden="1" outlineLevel="1" x14ac:dyDescent="0.3">
      <c r="P96" s="3"/>
      <c r="Q96" s="3"/>
      <c r="R96" s="3"/>
      <c r="S96" s="3"/>
      <c r="T96" s="3"/>
      <c r="U96" s="3"/>
      <c r="V96" s="3"/>
      <c r="W96" s="3"/>
      <c r="X96" s="3"/>
      <c r="Y96" s="3"/>
      <c r="Z96" s="3"/>
      <c r="AA96" s="3"/>
      <c r="AB96" s="3"/>
      <c r="AC96" s="3"/>
      <c r="AD96" s="3"/>
      <c r="AE96" s="3"/>
      <c r="AF96" s="3"/>
      <c r="AG96" s="3"/>
      <c r="AH96" s="3"/>
      <c r="AI96" s="3"/>
      <c r="AJ96" s="31" t="s">
        <v>143</v>
      </c>
      <c r="AK96" s="51">
        <f t="shared" si="17"/>
        <v>145788.24057023795</v>
      </c>
      <c r="AL96" s="51">
        <f t="shared" si="17"/>
        <v>254498.06804491932</v>
      </c>
      <c r="AM96" s="51">
        <f t="shared" si="17"/>
        <v>440932.55951929186</v>
      </c>
      <c r="AN96" s="374" t="b">
        <v>1</v>
      </c>
      <c r="AO96" s="3"/>
    </row>
    <row r="97" spans="2:41" ht="13.5" hidden="1" outlineLevel="1" thickBot="1" x14ac:dyDescent="0.25">
      <c r="P97" s="3"/>
      <c r="Q97" s="3"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W97" s="3"/>
      <c r="X97" s="3"/>
      <c r="Y97" s="3"/>
      <c r="Z97" s="3"/>
      <c r="AA97" s="3"/>
      <c r="AB97" s="3"/>
      <c r="AC97" s="3"/>
      <c r="AD97" s="3"/>
      <c r="AE97" s="3"/>
      <c r="AF97" s="3"/>
      <c r="AG97" s="3"/>
      <c r="AH97" s="3"/>
      <c r="AI97" s="3"/>
      <c r="AJ97" s="27" t="s">
        <v>67</v>
      </c>
      <c r="AK97" s="55">
        <f>IF($AN$93,AK93,0)+IF($AN$92,AK92,0)+IF($AN$91,AK91,0)+IF($AN$90,AK90,0)+AK82</f>
        <v>262128.04944673795</v>
      </c>
      <c r="AL97" s="55">
        <f t="shared" ref="AL97:AM97" si="18">IF($AN$93,AL93,0)+IF($AN$92,AL92,0)+IF($AN$91,AL91,0)+IF($AN$90,AL90,0)+AL82</f>
        <v>374059.18414161145</v>
      </c>
      <c r="AM97" s="55">
        <f t="shared" si="18"/>
        <v>563120.35231178068</v>
      </c>
      <c r="AN97" s="3"/>
      <c r="AO97" s="3"/>
    </row>
    <row r="98" spans="2:41" ht="13.5" hidden="1" outlineLevel="1" thickTop="1" x14ac:dyDescent="0.2">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2:41" hidden="1" outlineLevel="1" x14ac:dyDescent="0.2">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2:41" hidden="1" outlineLevel="1" x14ac:dyDescent="0.2">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2:41" hidden="1" outlineLevel="1" x14ac:dyDescent="0.2">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2:41" hidden="1" outlineLevel="1" x14ac:dyDescent="0.2">
      <c r="P102" s="3"/>
      <c r="Q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2:41" hidden="1" outlineLevel="1" x14ac:dyDescent="0.2">
      <c r="P103" s="3"/>
      <c r="Q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2:41" hidden="1" outlineLevel="1" x14ac:dyDescent="0.2">
      <c r="P104" s="3"/>
      <c r="Q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2:41" hidden="1" outlineLevel="1" x14ac:dyDescent="0.2">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2:41" hidden="1" outlineLevel="1" x14ac:dyDescent="0.2"/>
    <row r="107" spans="2:41" hidden="1" outlineLevel="1" x14ac:dyDescent="0.2">
      <c r="B107" s="6" t="str">
        <f>IF(AND($G$16&gt;0,K16&lt;G16),"Bitte den Handeingabewert 'selbsterzeugte Strommenge' für 'Bilanzjahr +10 Jahre' auch anpassen. Dieser muss dem Werte Ihrer Handeingabe 'Bilanzjahr +5 Jahre' entsprechen, sollte nur eine Maßnahme in 'Bilanzjahr +5 Jahre' umgesetzt werden.","")</f>
        <v/>
      </c>
    </row>
    <row r="108" spans="2:41" ht="15.75" hidden="1" outlineLevel="1" x14ac:dyDescent="0.25">
      <c r="P108" s="22"/>
      <c r="Q108" s="22" t="s">
        <v>103</v>
      </c>
      <c r="R108" s="17"/>
      <c r="S108" s="17"/>
      <c r="T108" s="17"/>
      <c r="U108" s="17"/>
      <c r="V108" s="17"/>
      <c r="W108" s="17"/>
      <c r="X108" s="17"/>
      <c r="Y108" s="17"/>
      <c r="Z108" s="17"/>
      <c r="AA108" s="17"/>
      <c r="AC108" s="22" t="s">
        <v>106</v>
      </c>
      <c r="AD108" s="17"/>
      <c r="AE108" s="17"/>
      <c r="AF108" s="17"/>
      <c r="AG108" s="17"/>
      <c r="AH108" s="17"/>
      <c r="AI108" s="17"/>
      <c r="AJ108" s="17"/>
    </row>
    <row r="109" spans="2:41" ht="15" hidden="1" outlineLevel="1" x14ac:dyDescent="0.25">
      <c r="P109" s="64"/>
      <c r="Q109" s="64">
        <f>T41</f>
        <v>5</v>
      </c>
      <c r="R109" s="17" t="s">
        <v>240</v>
      </c>
      <c r="S109" s="17"/>
      <c r="T109" s="17"/>
      <c r="U109" s="17"/>
      <c r="V109" s="17"/>
      <c r="W109" s="17"/>
      <c r="X109" s="17"/>
      <c r="Y109" s="17"/>
      <c r="Z109" s="17"/>
      <c r="AA109" s="17"/>
      <c r="AC109" s="64">
        <f>Q109</f>
        <v>5</v>
      </c>
      <c r="AD109" s="17"/>
      <c r="AE109" s="17"/>
      <c r="AF109" s="17"/>
      <c r="AG109" s="17"/>
      <c r="AH109" s="17"/>
      <c r="AI109" s="17"/>
      <c r="AJ109" s="17"/>
    </row>
    <row r="110" spans="2:41" hidden="1" outlineLevel="1" x14ac:dyDescent="0.2">
      <c r="P110" s="274"/>
      <c r="Q110" s="17"/>
      <c r="R110" s="17" t="s">
        <v>235</v>
      </c>
      <c r="S110" s="287">
        <f>(1+(IF(NOT(ISBLANK($G17)),$G17/100,$E17/100)))</f>
        <v>0.98</v>
      </c>
      <c r="T110" s="17"/>
      <c r="U110" s="17"/>
      <c r="V110" s="17"/>
      <c r="W110" s="17"/>
      <c r="X110" s="17"/>
      <c r="Y110" s="17"/>
      <c r="Z110" s="17"/>
      <c r="AA110" s="17"/>
      <c r="AC110" s="21"/>
      <c r="AD110" s="17"/>
      <c r="AE110" s="17"/>
      <c r="AF110" s="17"/>
      <c r="AG110" s="17"/>
      <c r="AH110" s="17"/>
      <c r="AI110" s="17"/>
      <c r="AJ110" s="17"/>
    </row>
    <row r="111" spans="2:41" hidden="1" outlineLevel="1" x14ac:dyDescent="0.2">
      <c r="P111" s="274"/>
      <c r="Q111" s="17"/>
      <c r="R111" s="17" t="s">
        <v>236</v>
      </c>
      <c r="S111" s="287">
        <f>(1+(IF(NOT(ISBLANK($G18)),$G18/100,$E18/100)))</f>
        <v>0.98</v>
      </c>
      <c r="T111" s="17"/>
      <c r="U111" s="17"/>
      <c r="V111" s="17"/>
      <c r="W111" s="17"/>
      <c r="X111" s="17"/>
      <c r="Y111" s="17"/>
      <c r="Z111" s="17"/>
      <c r="AA111" s="17"/>
      <c r="AC111" s="21"/>
      <c r="AD111" s="17"/>
      <c r="AE111" s="17"/>
      <c r="AF111" s="17"/>
      <c r="AG111" s="17"/>
      <c r="AH111" s="17"/>
      <c r="AI111" s="17"/>
      <c r="AJ111" s="17"/>
    </row>
    <row r="112" spans="2:41" hidden="1" outlineLevel="1" x14ac:dyDescent="0.2">
      <c r="P112" s="274"/>
      <c r="Q112" s="17"/>
      <c r="R112" s="17" t="s">
        <v>48</v>
      </c>
      <c r="S112" s="287">
        <f>(1+(IF(NOT(ISBLANK($G19)),$G19/100,$E19/100)))</f>
        <v>0.98</v>
      </c>
      <c r="T112" s="17"/>
      <c r="U112" s="17"/>
      <c r="V112" s="17"/>
      <c r="W112" s="17"/>
      <c r="X112" s="17"/>
      <c r="Y112" s="17"/>
      <c r="Z112" s="17"/>
      <c r="AA112" s="17"/>
      <c r="AC112" s="21"/>
      <c r="AD112" s="17"/>
      <c r="AE112" s="17"/>
      <c r="AF112" s="17"/>
      <c r="AG112" s="17"/>
      <c r="AH112" s="17"/>
      <c r="AI112" s="17"/>
      <c r="AJ112" s="17"/>
    </row>
    <row r="113" spans="2:36" hidden="1" outlineLevel="1" x14ac:dyDescent="0.2">
      <c r="B113" s="6" t="str">
        <f>IF(AND($G$21&gt;0,K21&lt;G21),"Bitte den Handeingabewert 'Reduktion' für 'Bilanzjahr +10 Jahre' auch anpassen. Dieser muss dem Werte Ihrer Handeingabe 'Bilanzjahr +5 Jahre' entsprechen, sollte nur eine Maßnahme in 'Bilanzjahr +5 Jahre' umgesetzt werden.","")</f>
        <v/>
      </c>
      <c r="P113" s="274"/>
      <c r="Q113" s="17"/>
      <c r="R113" s="17" t="s">
        <v>147</v>
      </c>
      <c r="S113" s="287">
        <f>(1+(IF(NOT(ISBLANK($G20)),$G20/100,$E20/100)))</f>
        <v>0.98</v>
      </c>
      <c r="T113" s="17"/>
      <c r="U113" s="17"/>
      <c r="V113" s="17"/>
      <c r="W113" s="17"/>
      <c r="X113" s="17"/>
      <c r="Y113" s="17"/>
      <c r="Z113" s="17"/>
      <c r="AA113" s="17"/>
      <c r="AC113" s="21"/>
      <c r="AD113" s="17"/>
      <c r="AE113" s="17"/>
      <c r="AF113" s="17"/>
      <c r="AG113" s="17"/>
      <c r="AH113" s="17"/>
      <c r="AI113" s="17"/>
      <c r="AJ113" s="17"/>
    </row>
    <row r="114" spans="2:36" hidden="1" outlineLevel="1" x14ac:dyDescent="0.2">
      <c r="P114" s="274"/>
      <c r="Q114" s="17"/>
      <c r="R114" s="17"/>
      <c r="S114" s="288"/>
      <c r="T114" s="17"/>
      <c r="U114" s="17"/>
      <c r="V114" s="17"/>
      <c r="W114" s="17"/>
      <c r="X114" s="17"/>
      <c r="Y114" s="17"/>
      <c r="Z114" s="17"/>
      <c r="AA114" s="17"/>
      <c r="AC114" s="21"/>
      <c r="AD114" s="17"/>
      <c r="AE114" s="17"/>
      <c r="AF114" s="17"/>
      <c r="AG114" s="17"/>
      <c r="AH114" s="17"/>
      <c r="AI114" s="17"/>
      <c r="AJ114" s="17"/>
    </row>
    <row r="115" spans="2:36" hidden="1" outlineLevel="1" x14ac:dyDescent="0.2">
      <c r="P115" s="274"/>
      <c r="Q115" s="17"/>
      <c r="R115" s="17" t="s">
        <v>57</v>
      </c>
      <c r="S115" s="287">
        <f>(1+(IF(NOT(ISBLANK($G23)),$G23/100,$E23/100)))</f>
        <v>1</v>
      </c>
      <c r="T115" s="17"/>
      <c r="U115" s="17"/>
      <c r="V115" s="17"/>
      <c r="W115" s="17"/>
      <c r="X115" s="17"/>
      <c r="Y115" s="17"/>
      <c r="Z115" s="17"/>
      <c r="AA115" s="17"/>
      <c r="AC115" s="21"/>
      <c r="AD115" s="17"/>
      <c r="AE115" s="17"/>
      <c r="AF115" s="17"/>
      <c r="AG115" s="17"/>
      <c r="AH115" s="17"/>
      <c r="AI115" s="17"/>
      <c r="AJ115" s="17"/>
    </row>
    <row r="116" spans="2:36" hidden="1" outlineLevel="1" x14ac:dyDescent="0.2">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P116" s="274"/>
      <c r="Q116" s="17"/>
      <c r="R116" s="17" t="s">
        <v>58</v>
      </c>
      <c r="S116" s="287">
        <f>(1+(IF(NOT(ISBLANK($G24)),$G24/100,$E24/100)))</f>
        <v>1.02</v>
      </c>
      <c r="T116" s="17"/>
      <c r="U116" s="17"/>
      <c r="V116" s="17"/>
      <c r="W116" s="17"/>
      <c r="X116" s="17"/>
      <c r="Y116" s="17"/>
      <c r="Z116" s="17"/>
      <c r="AA116" s="17"/>
      <c r="AC116" s="21"/>
      <c r="AD116" s="17"/>
      <c r="AE116" s="17"/>
      <c r="AF116" s="17"/>
      <c r="AG116" s="17"/>
      <c r="AH116" s="17"/>
      <c r="AI116" s="17"/>
      <c r="AJ116" s="17"/>
    </row>
    <row r="117" spans="2:36" hidden="1" outlineLevel="1" x14ac:dyDescent="0.2">
      <c r="P117" s="274"/>
      <c r="Q117" s="17"/>
      <c r="R117" s="17" t="s">
        <v>59</v>
      </c>
      <c r="S117" s="287">
        <f>(1+(IF(NOT(ISBLANK($G25)),$G25/100,$E25/100)))</f>
        <v>1.02</v>
      </c>
      <c r="T117" s="17"/>
      <c r="U117" s="17"/>
      <c r="V117" s="17"/>
      <c r="W117" s="17"/>
      <c r="X117" s="17"/>
      <c r="Y117" s="17"/>
      <c r="Z117" s="17"/>
      <c r="AA117" s="17"/>
      <c r="AC117" s="17"/>
      <c r="AD117" s="17"/>
      <c r="AE117" s="17"/>
      <c r="AF117" s="17"/>
      <c r="AG117" s="17"/>
      <c r="AH117" s="17"/>
      <c r="AI117" s="17"/>
      <c r="AJ117" s="17"/>
    </row>
    <row r="118" spans="2:36" hidden="1" outlineLevel="1" x14ac:dyDescent="0.2">
      <c r="P118" s="274"/>
      <c r="Q118" s="17"/>
      <c r="R118" s="17" t="str">
        <f>D26</f>
        <v>Weiterer Zusatzstoff 1</v>
      </c>
      <c r="S118" s="287">
        <f t="shared" ref="S118:S119" si="19">(1+(IF(NOT(ISBLANK($G26)),$G26/100,$E26/100)))</f>
        <v>1</v>
      </c>
      <c r="T118" s="17"/>
      <c r="U118" s="17"/>
      <c r="V118" s="17"/>
      <c r="W118" s="17"/>
      <c r="X118" s="17"/>
      <c r="Y118" s="17"/>
      <c r="Z118" s="17"/>
      <c r="AA118" s="17"/>
      <c r="AC118" s="17"/>
      <c r="AD118" s="17"/>
      <c r="AE118" s="17"/>
      <c r="AF118" s="17"/>
      <c r="AG118" s="17"/>
      <c r="AH118" s="17"/>
      <c r="AI118" s="17"/>
      <c r="AJ118" s="17"/>
    </row>
    <row r="119" spans="2:36" hidden="1" outlineLevel="1" x14ac:dyDescent="0.2">
      <c r="P119" s="274"/>
      <c r="Q119" s="17"/>
      <c r="R119" s="17" t="str">
        <f>D27</f>
        <v>Weiterer Zusatzstoff 2</v>
      </c>
      <c r="S119" s="287">
        <f t="shared" si="19"/>
        <v>1</v>
      </c>
      <c r="T119" s="17"/>
      <c r="U119" s="17"/>
      <c r="V119" s="17"/>
      <c r="W119" s="17"/>
      <c r="X119" s="17"/>
      <c r="Y119" s="17"/>
      <c r="Z119" s="17"/>
      <c r="AA119" s="17"/>
      <c r="AC119" s="17"/>
      <c r="AD119" s="17"/>
      <c r="AE119" s="17"/>
      <c r="AF119" s="18"/>
      <c r="AG119" s="18"/>
      <c r="AH119" s="18"/>
      <c r="AI119" s="18"/>
      <c r="AJ119" s="18"/>
    </row>
    <row r="120" spans="2:36" hidden="1" outlineLevel="1" x14ac:dyDescent="0.2">
      <c r="B120" s="6"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
      </c>
      <c r="P120" s="17"/>
      <c r="Q120" s="17"/>
      <c r="R120" s="17"/>
      <c r="S120" s="17"/>
      <c r="T120" s="20"/>
      <c r="U120" s="20"/>
      <c r="V120" s="20"/>
      <c r="W120" s="17"/>
      <c r="X120" s="17"/>
      <c r="Y120" s="17"/>
      <c r="Z120" s="17"/>
      <c r="AA120" s="17"/>
      <c r="AC120" s="17"/>
      <c r="AD120" s="17"/>
      <c r="AE120" s="17"/>
      <c r="AF120" s="18"/>
      <c r="AG120" s="18"/>
      <c r="AH120" s="18"/>
      <c r="AI120" s="18"/>
      <c r="AJ120" s="18"/>
    </row>
    <row r="121" spans="2:36" hidden="1" outlineLevel="1" x14ac:dyDescent="0.2">
      <c r="P121" s="17"/>
      <c r="Q121" s="17"/>
      <c r="R121" s="17"/>
      <c r="S121" s="17"/>
      <c r="T121" s="20"/>
      <c r="U121" s="20"/>
      <c r="V121" s="20"/>
      <c r="W121" s="17"/>
      <c r="X121" s="17"/>
      <c r="Y121" s="17"/>
      <c r="Z121" s="17"/>
      <c r="AA121" s="17"/>
      <c r="AC121" s="17" t="s">
        <v>132</v>
      </c>
      <c r="AD121" s="17"/>
      <c r="AE121" s="17"/>
      <c r="AF121" s="18"/>
      <c r="AG121" s="18"/>
      <c r="AH121" s="18"/>
      <c r="AI121" s="18"/>
      <c r="AJ121" s="18"/>
    </row>
    <row r="122" spans="2:36" ht="63.75" hidden="1" outlineLevel="1" x14ac:dyDescent="0.2">
      <c r="P122" s="17"/>
      <c r="Q122" s="17"/>
      <c r="R122" s="17"/>
      <c r="S122" s="17"/>
      <c r="T122" s="36" t="s">
        <v>25</v>
      </c>
      <c r="U122" s="36" t="s">
        <v>77</v>
      </c>
      <c r="V122" s="36" t="s">
        <v>27</v>
      </c>
      <c r="W122" s="17"/>
      <c r="X122" s="17"/>
      <c r="Y122" s="39" t="s">
        <v>100</v>
      </c>
      <c r="Z122" s="40" t="s">
        <v>37</v>
      </c>
      <c r="AA122" s="17"/>
      <c r="AC122" s="274"/>
      <c r="AD122" s="17" t="s">
        <v>114</v>
      </c>
      <c r="AE122" s="17"/>
      <c r="AF122" s="19"/>
      <c r="AG122" s="19"/>
      <c r="AH122" s="20"/>
      <c r="AI122" s="41">
        <f>IF(NOT(ISBLANK('Referenz Plattenfertiger'!$I16)),'Referenz Plattenfertiger'!$I16,'Referenz Plattenfertiger'!$F16)/1000*IF(NOT(ISBLANK('Eingabe Preise'!$K10)),'Eingabe Preise'!$K10,'Eingabe Preise'!$I10)</f>
        <v>11468</v>
      </c>
      <c r="AJ122" s="20" t="s">
        <v>96</v>
      </c>
    </row>
    <row r="123" spans="2:36" ht="14.25" hidden="1" outlineLevel="1" x14ac:dyDescent="0.25">
      <c r="P123" s="76"/>
      <c r="Q123" s="76" t="s">
        <v>176</v>
      </c>
      <c r="R123" s="76"/>
      <c r="S123" s="76"/>
      <c r="T123" s="77">
        <f>SUM(T125:T138)</f>
        <v>94.932355060000006</v>
      </c>
      <c r="U123" s="77">
        <f t="shared" ref="U123:V123" si="20">SUM(U125:U138)</f>
        <v>124.8924470887134</v>
      </c>
      <c r="V123" s="77">
        <f t="shared" si="20"/>
        <v>34.39057387091087</v>
      </c>
      <c r="W123" s="76"/>
      <c r="X123" s="76"/>
      <c r="Y123" s="77">
        <f>T123+U123</f>
        <v>219.82480214871339</v>
      </c>
      <c r="Z123" s="77">
        <f>SUM(T123:V123)</f>
        <v>254.21537601962427</v>
      </c>
      <c r="AA123" s="76" t="s">
        <v>183</v>
      </c>
      <c r="AC123" s="274"/>
      <c r="AD123" s="17" t="s">
        <v>151</v>
      </c>
      <c r="AE123" s="17"/>
      <c r="AF123" s="20"/>
      <c r="AG123" s="20"/>
      <c r="AH123" s="20"/>
      <c r="AI123" s="41">
        <f>IF(NOT(ISBLANK('Referenz Plattenfertiger'!$I17)),'Referenz Plattenfertiger'!$I17,'Referenz Plattenfertiger'!$F17)/1000*IF(NOT(ISBLANK('Eingabe Preise'!$K11)),'Eingabe Preise'!$K11,'Eingabe Preise'!$I11)</f>
        <v>1104</v>
      </c>
      <c r="AJ123" s="20" t="s">
        <v>96</v>
      </c>
    </row>
    <row r="124" spans="2:36" hidden="1" outlineLevel="1" x14ac:dyDescent="0.2">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P124" s="17"/>
      <c r="Q124" s="17" t="s">
        <v>132</v>
      </c>
      <c r="R124" s="17"/>
      <c r="S124" s="17"/>
      <c r="T124" s="17"/>
      <c r="U124" s="17"/>
      <c r="V124" s="17"/>
      <c r="W124" s="17"/>
      <c r="X124" s="17"/>
      <c r="Y124" s="17"/>
      <c r="Z124" s="17"/>
      <c r="AA124" s="17"/>
      <c r="AC124" s="274"/>
      <c r="AD124" s="17" t="s">
        <v>152</v>
      </c>
      <c r="AE124" s="17"/>
      <c r="AF124" s="20"/>
      <c r="AG124" s="20"/>
      <c r="AH124" s="20"/>
      <c r="AI124" s="41">
        <f>IF(NOT(ISBLANK('Referenz Plattenfertiger'!$I18)),'Referenz Plattenfertiger'!$I18,'Referenz Plattenfertiger'!$F18)/1000*IF(NOT(ISBLANK('Eingabe Preise'!$K12)),'Eingabe Preise'!$K12,'Eingabe Preise'!$I12)</f>
        <v>7740</v>
      </c>
      <c r="AJ124" s="20" t="s">
        <v>96</v>
      </c>
    </row>
    <row r="125" spans="2:36" ht="15.75" hidden="1" outlineLevel="1" x14ac:dyDescent="0.3">
      <c r="P125" s="274"/>
      <c r="Q125" s="17"/>
      <c r="R125" s="17" t="s">
        <v>114</v>
      </c>
      <c r="S125" s="17"/>
      <c r="T125" s="37">
        <f>IF(NOT(ISBLANK('Referenz Plattenfertiger'!$I16)),'Referenz Plattenfertiger'!$I16,'Referenz Plattenfertiger'!$F16)*IF(NOT(ISBLANK('Eingabe EF'!$AA9)),'Eingabe EF'!$AA9,'Eingabe EF'!$Y9)</f>
        <v>34.434080000000002</v>
      </c>
      <c r="U125" s="37">
        <f>IF(NOT(ISBLANK('Referenz Plattenfertiger'!$I16)),'Referenz Plattenfertiger'!$I16,'Referenz Plattenfertiger'!$F16)*IF(NOT(ISBLANK('Eingabe EF'!$AE9)),'Eingabe EF'!$AE9,'Eingabe EF'!$AC9)</f>
        <v>0</v>
      </c>
      <c r="V125" s="37">
        <f>IF(NOT(ISBLANK('Referenz Plattenfertiger'!$I16)),'Referenz Plattenfertiger'!$I16,'Referenz Plattenfertiger'!$F16)*IF(NOT(ISBLANK('Eingabe EF'!$AI9)),'Eingabe EF'!$AI9,'Eingabe EF'!$AG9)</f>
        <v>5.8938000000000006</v>
      </c>
      <c r="W125" s="17"/>
      <c r="X125" s="17"/>
      <c r="Y125" s="37">
        <f>T125+U125</f>
        <v>34.434080000000002</v>
      </c>
      <c r="Z125" s="37">
        <f>SUM(T125:V125)</f>
        <v>40.32788</v>
      </c>
      <c r="AA125" s="17" t="s">
        <v>184</v>
      </c>
      <c r="AC125" s="274"/>
      <c r="AD125" s="17" t="s">
        <v>115</v>
      </c>
      <c r="AE125" s="17"/>
      <c r="AF125" s="20"/>
      <c r="AG125" s="20"/>
      <c r="AH125" s="20"/>
      <c r="AI125" s="41">
        <f>IF(NOT(ISBLANK('Referenz Plattenfertiger'!$I19)),'Referenz Plattenfertiger'!$I19,'Referenz Plattenfertiger'!$F19)/1000*IF(NOT(ISBLANK('Eingabe Preise'!$K16)),'Eingabe Preise'!$K16,0)</f>
        <v>0</v>
      </c>
      <c r="AJ125" s="20" t="s">
        <v>96</v>
      </c>
    </row>
    <row r="126" spans="2:36" ht="15.75" hidden="1" outlineLevel="1" x14ac:dyDescent="0.3">
      <c r="P126" s="274"/>
      <c r="Q126" s="17"/>
      <c r="R126" s="17" t="s">
        <v>151</v>
      </c>
      <c r="S126" s="17"/>
      <c r="T126" s="37">
        <f>IF(NOT(ISBLANK('Referenz Plattenfertiger'!$I17)),'Referenz Plattenfertiger'!$I17,'Referenz Plattenfertiger'!$F17)*IF(NOT(ISBLANK('Eingabe EF'!$AA10)),'Eingabe EF'!$AA10,'Eingabe EF'!$Y10)</f>
        <v>6.4022399999999999</v>
      </c>
      <c r="U126" s="37">
        <f>IF(NOT(ISBLANK('Referenz Plattenfertiger'!$I17)),'Referenz Plattenfertiger'!$I17,'Referenz Plattenfertiger'!$F17)*IF(NOT(ISBLANK('Eingabe EF'!$AE10)),'Eingabe EF'!$AE10,'Eingabe EF'!$AC10)</f>
        <v>0</v>
      </c>
      <c r="V126" s="37">
        <f>IF(NOT(ISBLANK('Referenz Plattenfertiger'!$I17)),'Referenz Plattenfertiger'!$I17,'Referenz Plattenfertiger'!$F17)*IF(NOT(ISBLANK('Eingabe EF'!$AI10)),'Eingabe EF'!$AI10,'Eingabe EF'!$AG10)</f>
        <v>0.949824</v>
      </c>
      <c r="W126" s="17"/>
      <c r="X126" s="17"/>
      <c r="Y126" s="37">
        <f>T126+U126</f>
        <v>6.4022399999999999</v>
      </c>
      <c r="Z126" s="37">
        <f>SUM(T126:V126)</f>
        <v>7.3520640000000004</v>
      </c>
      <c r="AA126" s="17" t="s">
        <v>184</v>
      </c>
      <c r="AC126" s="17" t="s">
        <v>133</v>
      </c>
      <c r="AD126" s="17"/>
      <c r="AE126" s="17"/>
      <c r="AF126" s="20"/>
      <c r="AG126" s="20"/>
      <c r="AH126" s="20"/>
      <c r="AI126" s="20"/>
      <c r="AJ126" s="20"/>
    </row>
    <row r="127" spans="2:36" ht="15.75" hidden="1" outlineLevel="1" x14ac:dyDescent="0.3">
      <c r="P127" s="274"/>
      <c r="Q127" s="17"/>
      <c r="R127" s="17" t="s">
        <v>152</v>
      </c>
      <c r="S127" s="17"/>
      <c r="T127" s="37">
        <f>IF(NOT(ISBLANK('Referenz Plattenfertiger'!$I18)),'Referenz Plattenfertiger'!$I18,'Referenz Plattenfertiger'!$F18)*IF(NOT(ISBLANK('Eingabe EF'!$AA11)),'Eingabe EF'!$AA11,'Eingabe EF'!$Y11)</f>
        <v>0</v>
      </c>
      <c r="U127" s="37">
        <f>IF(NOT(ISBLANK('Referenz Plattenfertiger'!$I18)),'Referenz Plattenfertiger'!$I18,'Referenz Plattenfertiger'!$F18)*IF(NOT(ISBLANK('Eingabe EF'!$AE11)),'Eingabe EF'!$AE11,'Eingabe EF'!$AC11)</f>
        <v>12.48924470887134</v>
      </c>
      <c r="V127" s="37">
        <f>IF(NOT(ISBLANK('Referenz Plattenfertiger'!$I18)),'Referenz Plattenfertiger'!$I18,'Referenz Plattenfertiger'!$F18)*IF(NOT(ISBLANK('Eingabe EF'!$AI11)),'Eingabe EF'!$AI11,'Eingabe EF'!$AG11)</f>
        <v>1.8308840410910865</v>
      </c>
      <c r="W127" s="17"/>
      <c r="X127" s="17"/>
      <c r="Y127" s="37">
        <f>T127+U127</f>
        <v>12.48924470887134</v>
      </c>
      <c r="Z127" s="37">
        <f>SUM(T127:V127)</f>
        <v>14.320128749962427</v>
      </c>
      <c r="AA127" s="17" t="s">
        <v>184</v>
      </c>
      <c r="AC127" s="17"/>
      <c r="AD127" s="17" t="s">
        <v>29</v>
      </c>
      <c r="AE127" s="17"/>
      <c r="AF127" s="20"/>
      <c r="AG127" s="20"/>
      <c r="AH127" s="20"/>
      <c r="AI127" s="41">
        <f>IF(NOT(ISBLANK('Referenz Plattenfertiger'!$I21)),'Referenz Plattenfertiger'!$I21,'Referenz Plattenfertiger'!$F21)/1000*IF(NOT(ISBLANK('Eingabe Preise'!$K10)),'Eingabe Preise'!$K10,'Eingabe Preise'!$I10)</f>
        <v>2867</v>
      </c>
      <c r="AJ127" s="20" t="s">
        <v>96</v>
      </c>
    </row>
    <row r="128" spans="2:36" ht="15.75" hidden="1" outlineLevel="1" x14ac:dyDescent="0.3">
      <c r="P128" s="274"/>
      <c r="Q128" s="17"/>
      <c r="R128" s="17" t="s">
        <v>115</v>
      </c>
      <c r="S128" s="17"/>
      <c r="T128" s="43">
        <f>IF(NOT(ISBLANK('Referenz Plattenfertiger'!$I19)),'Referenz Plattenfertiger'!$I19,'Referenz Plattenfertiger'!$F19)*IF(NOT(ISBLANK('Eingabe EF'!$AA12)),'Eingabe EF'!$AA12,0)</f>
        <v>0</v>
      </c>
      <c r="U128" s="43">
        <f>IF(NOT(ISBLANK('Referenz Plattenfertiger'!$I19)),'Referenz Plattenfertiger'!$I19,'Referenz Plattenfertiger'!$F19)*IF(NOT(ISBLANK('Eingabe EF'!$AE12)),'Eingabe EF'!$AE12,0)</f>
        <v>0</v>
      </c>
      <c r="V128" s="43">
        <f>IF(NOT(ISBLANK('Referenz Plattenfertiger'!$I19)),'Referenz Plattenfertiger'!$I19,'Referenz Plattenfertiger'!$F19)*IF(NOT(ISBLANK('Eingabe EF'!$AI12)),'Eingabe EF'!$AI12,0)</f>
        <v>0</v>
      </c>
      <c r="W128" s="17"/>
      <c r="X128" s="17"/>
      <c r="Y128" s="37">
        <f>T128+U128</f>
        <v>0</v>
      </c>
      <c r="Z128" s="37">
        <f>SUM(T128:V128)</f>
        <v>0</v>
      </c>
      <c r="AA128" s="17" t="s">
        <v>184</v>
      </c>
      <c r="AB128" s="42"/>
      <c r="AC128" s="17"/>
      <c r="AD128" s="17" t="s">
        <v>30</v>
      </c>
      <c r="AE128" s="17"/>
      <c r="AF128" s="20"/>
      <c r="AG128" s="20"/>
      <c r="AH128" s="20"/>
      <c r="AI128" s="41">
        <f>IF(NOT(ISBLANK('Referenz Plattenfertiger'!$I22)),'Referenz Plattenfertiger'!$I22,'Referenz Plattenfertiger'!$F22)/1000*IF(NOT(ISBLANK('Eingabe Preise'!$K11)),'Eingabe Preise'!$K11,'Eingabe Preise'!$I11)</f>
        <v>1656</v>
      </c>
      <c r="AJ128" s="20" t="s">
        <v>96</v>
      </c>
    </row>
    <row r="129" spans="16:43" hidden="1" outlineLevel="1" x14ac:dyDescent="0.2">
      <c r="P129" s="17"/>
      <c r="Q129" s="17" t="s">
        <v>133</v>
      </c>
      <c r="R129" s="17"/>
      <c r="S129" s="17"/>
      <c r="T129" s="20"/>
      <c r="U129" s="20"/>
      <c r="V129" s="20"/>
      <c r="W129" s="17"/>
      <c r="X129" s="17"/>
      <c r="Y129" s="17"/>
      <c r="Z129" s="17"/>
      <c r="AA129" s="17"/>
      <c r="AB129" s="42"/>
      <c r="AC129" s="17" t="s">
        <v>134</v>
      </c>
      <c r="AD129" s="17"/>
      <c r="AE129" s="17"/>
      <c r="AF129" s="20"/>
      <c r="AG129" s="20"/>
      <c r="AH129" s="20"/>
      <c r="AI129" s="20"/>
      <c r="AJ129" s="20"/>
    </row>
    <row r="130" spans="16:43" ht="15.75" hidden="1" outlineLevel="1" x14ac:dyDescent="0.3">
      <c r="P130" s="17"/>
      <c r="Q130" s="17"/>
      <c r="R130" s="17" t="s">
        <v>29</v>
      </c>
      <c r="S130" s="17"/>
      <c r="T130" s="37">
        <f>IF(NOT(ISBLANK('Referenz Plattenfertiger'!$I21)),'Referenz Plattenfertiger'!$I21,'Referenz Plattenfertiger'!$F21)*IF(NOT(ISBLANK('Eingabe EF'!$AA9)),'Eingabe EF'!$AA9,'Eingabe EF'!$Y9)</f>
        <v>8.6085200000000004</v>
      </c>
      <c r="U130" s="37">
        <f>IF(NOT(ISBLANK('Referenz Plattenfertiger'!$I21)),'Referenz Plattenfertiger'!$I21,'Referenz Plattenfertiger'!$F21)*IF(NOT(ISBLANK('Eingabe EF'!$AE9)),'Eingabe EF'!$AE9,'Eingabe EF'!$AC9)</f>
        <v>0</v>
      </c>
      <c r="V130" s="37">
        <f>IF(NOT(ISBLANK('Referenz Plattenfertiger'!$I21)),'Referenz Plattenfertiger'!$I21,'Referenz Plattenfertiger'!$F21)*IF(NOT(ISBLANK('Eingabe EF'!$AG9)),'Eingabe EF'!$AG9,'Eingabe EF'!$AIC9)</f>
        <v>1.4734500000000001</v>
      </c>
      <c r="W130" s="17"/>
      <c r="X130" s="17"/>
      <c r="Y130" s="37">
        <f t="shared" ref="Y130:Y131" si="21">T130+U130</f>
        <v>8.6085200000000004</v>
      </c>
      <c r="Z130" s="37">
        <f t="shared" ref="Z130:Z141" si="22">SUM(T130:V130)</f>
        <v>10.08197</v>
      </c>
      <c r="AA130" s="17" t="s">
        <v>184</v>
      </c>
      <c r="AC130" s="17"/>
      <c r="AD130" s="17" t="s">
        <v>153</v>
      </c>
      <c r="AE130" s="17"/>
      <c r="AF130" s="20"/>
      <c r="AG130" s="20"/>
      <c r="AH130" s="20"/>
      <c r="AI130" s="41">
        <f>IF(NOT(ISBLANK('Referenz Plattenfertiger'!$I24)),'Referenz Plattenfertiger'!$I24,'Referenz Plattenfertiger'!$F24)/1000*IF(NOT(ISBLANK('Eingabe Preise'!$K12)),'Eingabe Preise'!$K12,'Eingabe Preise'!$I12)</f>
        <v>69660</v>
      </c>
      <c r="AJ130" s="20" t="s">
        <v>96</v>
      </c>
    </row>
    <row r="131" spans="16:43" ht="15.75" hidden="1" outlineLevel="1" x14ac:dyDescent="0.3">
      <c r="P131" s="17"/>
      <c r="Q131" s="17"/>
      <c r="R131" s="17" t="s">
        <v>30</v>
      </c>
      <c r="S131" s="17"/>
      <c r="T131" s="37">
        <f>IF(NOT(ISBLANK('Referenz Plattenfertiger'!$I22)),'Referenz Plattenfertiger'!$I22,'Referenz Plattenfertiger'!$F22)*IF(NOT(ISBLANK('Eingabe EF'!$AA10)),'Eingabe EF'!$AA10,'Eingabe EF'!$Y10)</f>
        <v>9.6033600000000003</v>
      </c>
      <c r="U131" s="37">
        <f>IF(NOT(ISBLANK('Referenz Plattenfertiger'!$I22)),'Referenz Plattenfertiger'!$I22,'Referenz Plattenfertiger'!$F22)*IF(NOT(ISBLANK('Eingabe EF'!$AE10)),'Eingabe EF'!$AE10,'Eingabe EF'!$AC10)</f>
        <v>0</v>
      </c>
      <c r="V131" s="37">
        <f>IF(NOT(ISBLANK('Referenz Plattenfertiger'!$I22)),'Referenz Plattenfertiger'!$I22,'Referenz Plattenfertiger'!$F22)*IF(NOT(ISBLANK('Eingabe EF'!$AG10)),'Eingabe EF'!$AG10,'Eingabe EF'!$AIC10)</f>
        <v>1.424736</v>
      </c>
      <c r="W131" s="17"/>
      <c r="X131" s="17"/>
      <c r="Y131" s="37">
        <f t="shared" si="21"/>
        <v>9.6033600000000003</v>
      </c>
      <c r="Z131" s="37">
        <f t="shared" si="22"/>
        <v>11.028096</v>
      </c>
      <c r="AA131" s="17" t="s">
        <v>184</v>
      </c>
      <c r="AB131" s="42"/>
      <c r="AC131" s="17"/>
      <c r="AD131" s="17" t="s">
        <v>111</v>
      </c>
      <c r="AE131" s="17"/>
      <c r="AF131" s="20"/>
      <c r="AG131" s="20"/>
      <c r="AH131" s="20"/>
      <c r="AI131" s="41">
        <f>IF(NOT(ISBLANK('Referenz Plattenfertiger'!$I25)),'Referenz Plattenfertiger'!$I25,'Referenz Plattenfertiger'!$F25)/1000*IF(NOT(ISBLANK('Eingabe Preise'!$K13)),'Eingabe Preise'!$K13,'Eingabe Preise'!$I13)</f>
        <v>0</v>
      </c>
      <c r="AJ131" s="20" t="s">
        <v>96</v>
      </c>
    </row>
    <row r="132" spans="16:43" hidden="1" outlineLevel="1" x14ac:dyDescent="0.2">
      <c r="P132" s="17"/>
      <c r="Q132" s="17" t="s">
        <v>134</v>
      </c>
      <c r="R132" s="17"/>
      <c r="S132" s="17"/>
      <c r="T132" s="20"/>
      <c r="U132" s="20"/>
      <c r="V132" s="20"/>
      <c r="W132" s="17"/>
      <c r="X132" s="17"/>
      <c r="Y132" s="17"/>
      <c r="Z132" s="17"/>
      <c r="AA132" s="17"/>
      <c r="AB132" s="42"/>
      <c r="AC132" s="17"/>
      <c r="AD132" s="17" t="s">
        <v>135</v>
      </c>
      <c r="AE132" s="17"/>
      <c r="AF132" s="30"/>
      <c r="AG132" s="30"/>
      <c r="AH132" s="17"/>
      <c r="AI132" s="41">
        <f>IF(NOT(ISBLANK('Referenz Plattenfertiger'!$I26)),'Referenz Plattenfertiger'!$I26,'Referenz Plattenfertiger'!$F26)/1000*IF(NOT(ISBLANK('Eingabe Preise'!$K17)),'Eingabe Preise'!$K17,0)</f>
        <v>0</v>
      </c>
      <c r="AJ132" s="20" t="s">
        <v>96</v>
      </c>
    </row>
    <row r="133" spans="16:43" ht="15.75" hidden="1" outlineLevel="1" x14ac:dyDescent="0.3">
      <c r="P133" s="17"/>
      <c r="Q133" s="17"/>
      <c r="R133" s="17" t="s">
        <v>136</v>
      </c>
      <c r="S133" s="17"/>
      <c r="T133" s="37">
        <f>IF(NOT(ISBLANK('Referenz Plattenfertiger'!$I24)),'Referenz Plattenfertiger'!$I24,'Referenz Plattenfertiger'!$F24)*IF(NOT(ISBLANK('Eingabe EF'!$AA11)),'Eingabe EF'!$AA11,'Eingabe EF'!$Y11)</f>
        <v>0</v>
      </c>
      <c r="U133" s="37">
        <f>IF(NOT(ISBLANK('Referenz Plattenfertiger'!$I24)),'Referenz Plattenfertiger'!$I24,'Referenz Plattenfertiger'!$F24)*IF(NOT(ISBLANK('Eingabe EF'!$AE11)),'Eingabe EF'!$AE11,'Eingabe EF'!$AC11)</f>
        <v>112.40320237984206</v>
      </c>
      <c r="V133" s="37">
        <f>IF(NOT(ISBLANK('Referenz Plattenfertiger'!$I24)),'Referenz Plattenfertiger'!$I24,'Referenz Plattenfertiger'!$F24)*IF(NOT(ISBLANK('Eingabe EF'!$AI11)),'Eingabe EF'!$AI11,'Eingabe EF'!$AG11)</f>
        <v>16.477956369819779</v>
      </c>
      <c r="W133" s="17"/>
      <c r="X133" s="17"/>
      <c r="Y133" s="37">
        <f t="shared" ref="Y133:Y141" si="23">T133+U133</f>
        <v>112.40320237984206</v>
      </c>
      <c r="Z133" s="37">
        <f t="shared" si="22"/>
        <v>128.88115874966184</v>
      </c>
      <c r="AA133" s="17" t="s">
        <v>184</v>
      </c>
      <c r="AB133" s="42"/>
      <c r="AC133" s="17"/>
      <c r="AD133" s="17"/>
      <c r="AE133" s="17"/>
      <c r="AF133" s="30"/>
      <c r="AG133" s="30"/>
      <c r="AH133" s="17"/>
      <c r="AI133" s="17"/>
      <c r="AJ133" s="17"/>
    </row>
    <row r="134" spans="16:43" ht="15.75" hidden="1" outlineLevel="1" x14ac:dyDescent="0.3">
      <c r="P134" s="17"/>
      <c r="Q134" s="17"/>
      <c r="R134" s="17" t="s">
        <v>111</v>
      </c>
      <c r="S134" s="17"/>
      <c r="T134" s="37">
        <f>IF(NOT(ISBLANK('Referenz Plattenfertiger'!$I25)),'Referenz Plattenfertiger'!$I25,'Referenz Plattenfertiger'!$F25)*IF(NOT(ISBLANK('Eingabe EF'!$AA13)),'Eingabe EF'!$AA13,'Eingabe EF'!$Y13)</f>
        <v>0</v>
      </c>
      <c r="U134" s="37">
        <f>IF(NOT(ISBLANK('Referenz Plattenfertiger'!$I25)),'Referenz Plattenfertiger'!$I25,'Referenz Plattenfertiger'!$F25)*IF(NOT(ISBLANK('Eingabe EF'!$AE13)),'Eingabe EF'!$AE13,'Eingabe EF'!$AC13)</f>
        <v>0</v>
      </c>
      <c r="V134" s="37">
        <f>IF(NOT(ISBLANK('Referenz Plattenfertiger'!$I25)),'Referenz Plattenfertiger'!$I25,'Referenz Plattenfertiger'!$F25)*IF(NOT(ISBLANK('Eingabe EF'!$AI13)),'Eingabe EF'!$AI13,'Eingabe EF'!$AG13)</f>
        <v>0</v>
      </c>
      <c r="W134" s="17"/>
      <c r="X134" s="17"/>
      <c r="Y134" s="37">
        <f t="shared" si="23"/>
        <v>0</v>
      </c>
      <c r="Z134" s="37">
        <f t="shared" si="22"/>
        <v>0</v>
      </c>
      <c r="AA134" s="17" t="s">
        <v>184</v>
      </c>
      <c r="AC134" s="17"/>
      <c r="AD134" s="17" t="s">
        <v>32</v>
      </c>
      <c r="AE134" s="17" t="s">
        <v>408</v>
      </c>
      <c r="AF134" s="30"/>
      <c r="AG134" s="30"/>
      <c r="AH134" s="17"/>
      <c r="AI134" s="41">
        <f>IF(NOT(ISBLANK('Referenz Plattenfertiger'!$I28)),'Referenz Plattenfertiger'!$I28,'Referenz Plattenfertiger'!$F28)*IF(NOT(ISBLANK('Eingabe Preise'!$K14)),'Eingabe Preise'!$K14,'Eingabe Preise'!$I14)</f>
        <v>12364.000000000002</v>
      </c>
      <c r="AJ134" s="20" t="s">
        <v>96</v>
      </c>
    </row>
    <row r="135" spans="16:43" ht="15.75" hidden="1" outlineLevel="1" x14ac:dyDescent="0.3">
      <c r="P135" s="17"/>
      <c r="Q135" s="17"/>
      <c r="R135" s="17" t="s">
        <v>135</v>
      </c>
      <c r="S135" s="17"/>
      <c r="T135" s="37">
        <f>IF(NOT(ISBLANK('Referenz Plattenfertiger'!$I26)),'Referenz Plattenfertiger'!$I26,'Referenz Plattenfertiger'!$F26)*IF(NOT(ISBLANK('Eingabe EF'!$AA14)),'Eingabe EF'!$AA14,0)</f>
        <v>0</v>
      </c>
      <c r="U135" s="37">
        <f>IF(NOT(ISBLANK('Referenz Plattenfertiger'!$I26)),'Referenz Plattenfertiger'!$I26,'Referenz Plattenfertiger'!$F26)*IF(NOT(ISBLANK('Eingabe EF'!$AE14)),'Eingabe EF'!$AE14,0)</f>
        <v>0</v>
      </c>
      <c r="V135" s="37">
        <f>IF(NOT(ISBLANK('Referenz Plattenfertiger'!$I26)),'Referenz Plattenfertiger'!$I26,'Referenz Plattenfertiger'!$F26)*IF(NOT(ISBLANK('Eingabe EF'!$AI14)),'Eingabe EF'!$AI14,0)</f>
        <v>0</v>
      </c>
      <c r="W135" s="17"/>
      <c r="X135" s="17"/>
      <c r="Y135" s="37">
        <f t="shared" si="23"/>
        <v>0</v>
      </c>
      <c r="Z135" s="37">
        <f t="shared" si="22"/>
        <v>0</v>
      </c>
      <c r="AA135" s="17" t="s">
        <v>184</v>
      </c>
      <c r="AB135" s="42"/>
      <c r="AC135" s="17"/>
      <c r="AD135" s="17" t="s">
        <v>32</v>
      </c>
      <c r="AE135" s="17" t="s">
        <v>70</v>
      </c>
      <c r="AF135" s="30"/>
      <c r="AG135" s="30"/>
      <c r="AH135" s="17"/>
      <c r="AI135" s="41">
        <f>IF(NOT(ISBLANK('Referenz Plattenfertiger'!$I29)),'Referenz Plattenfertiger'!$I29,'Referenz Plattenfertiger'!$F29)*IF(NOT(ISBLANK('Eingabe Preise'!$K14)),'Eingabe Preise'!$K14,'Eingabe Preise'!$I14)</f>
        <v>2810.0000000000005</v>
      </c>
      <c r="AJ135" s="20" t="s">
        <v>96</v>
      </c>
    </row>
    <row r="136" spans="16:43" hidden="1" outlineLevel="1" x14ac:dyDescent="0.2">
      <c r="P136" s="17"/>
      <c r="Q136" s="17"/>
      <c r="R136" s="17"/>
      <c r="S136" s="17"/>
      <c r="T136" s="20"/>
      <c r="U136" s="20"/>
      <c r="V136" s="20"/>
      <c r="W136" s="17"/>
      <c r="X136" s="17"/>
      <c r="Y136" s="17"/>
      <c r="Z136" s="17"/>
      <c r="AA136" s="17"/>
      <c r="AB136" s="42"/>
      <c r="AC136" s="21"/>
      <c r="AD136" s="21"/>
      <c r="AE136" s="21"/>
      <c r="AF136" s="73"/>
      <c r="AG136" s="73"/>
      <c r="AH136" s="21"/>
      <c r="AI136" s="21"/>
      <c r="AJ136" s="21"/>
      <c r="AL136" s="72"/>
      <c r="AM136" s="72"/>
      <c r="AN136" s="72"/>
      <c r="AO136" s="72"/>
      <c r="AP136" s="72"/>
      <c r="AQ136" s="72"/>
    </row>
    <row r="137" spans="16:43" ht="15.75" hidden="1" outlineLevel="1" x14ac:dyDescent="0.3">
      <c r="P137" s="17"/>
      <c r="Q137" s="17" t="s">
        <v>408</v>
      </c>
      <c r="R137" s="17" t="s">
        <v>32</v>
      </c>
      <c r="S137" s="17"/>
      <c r="T137" s="37">
        <f>IF(NOT(ISBLANK('Referenz Plattenfertiger'!$I28)),'Referenz Plattenfertiger'!$I28,'Referenz Plattenfertiger'!$F28)*IF(NOT(ISBLANK('Eingabe EF'!$AA15)),'Eingabe EF'!$AA15,'Eingabe EF'!$Y15)</f>
        <v>29.238941159999996</v>
      </c>
      <c r="U137" s="37">
        <f>IF(NOT(ISBLANK('Referenz Plattenfertiger'!$I28)),'Referenz Plattenfertiger'!$I28,'Referenz Plattenfertiger'!$F28)*IF(NOT(ISBLANK('Eingabe EF'!$AE15)),'Eingabe EF'!$AE15,'Eingabe EF'!$AC15)</f>
        <v>0</v>
      </c>
      <c r="V137" s="37">
        <f>IF(NOT(ISBLANK('Referenz Plattenfertiger'!$I28)),'Referenz Plattenfertiger'!$I28,'Referenz Plattenfertiger'!$F28)*IF(NOT(ISBLANK('Eingabe EF'!$AI15)),'Eingabe EF'!$AI15,'Eingabe EF'!$AG15)</f>
        <v>5.1658635600000009</v>
      </c>
      <c r="W137" s="17"/>
      <c r="X137" s="17"/>
      <c r="Y137" s="37">
        <f t="shared" si="23"/>
        <v>29.238941159999996</v>
      </c>
      <c r="Z137" s="37">
        <f t="shared" si="22"/>
        <v>34.404804719999994</v>
      </c>
      <c r="AA137" s="17" t="s">
        <v>184</v>
      </c>
      <c r="AB137" s="72"/>
      <c r="AC137" s="17"/>
      <c r="AD137" s="17"/>
      <c r="AE137" s="17"/>
      <c r="AF137" s="30"/>
      <c r="AG137" s="30"/>
      <c r="AH137" s="17"/>
      <c r="AI137" s="17"/>
      <c r="AJ137" s="17"/>
    </row>
    <row r="138" spans="16:43" ht="15.75" hidden="1" outlineLevel="1" x14ac:dyDescent="0.3">
      <c r="P138" s="17"/>
      <c r="Q138" s="17" t="s">
        <v>70</v>
      </c>
      <c r="R138" s="17" t="s">
        <v>32</v>
      </c>
      <c r="S138" s="17"/>
      <c r="T138" s="37">
        <f>IF(NOT(ISBLANK('Referenz Plattenfertiger'!$I29)),'Referenz Plattenfertiger'!$I29,'Referenz Plattenfertiger'!$F29)*IF(NOT(ISBLANK('Eingabe EF'!$AA15)),'Eingabe EF'!$AA15,'Eingabe EF'!$Y15)</f>
        <v>6.645213899999999</v>
      </c>
      <c r="U138" s="37">
        <f>IF(NOT(ISBLANK('Referenz Plattenfertiger'!$I29)),'Referenz Plattenfertiger'!$I29,'Referenz Plattenfertiger'!$F29)*IF(NOT(ISBLANK('Eingabe EF'!$AE15)),'Eingabe EF'!$AE15,'Eingabe EF'!$AC15)</f>
        <v>0</v>
      </c>
      <c r="V138" s="37">
        <f>IF(NOT(ISBLANK('Referenz Plattenfertiger'!$I29)),'Referenz Plattenfertiger'!$I29,'Referenz Plattenfertiger'!$F29)*IF(NOT(ISBLANK('Eingabe EF'!$AI15)),'Eingabe EF'!$AI15,'Eingabe EF'!$AG15)</f>
        <v>1.1740599000000003</v>
      </c>
      <c r="W138" s="17"/>
      <c r="X138" s="17"/>
      <c r="Y138" s="37">
        <f t="shared" si="23"/>
        <v>6.645213899999999</v>
      </c>
      <c r="Z138" s="37">
        <f t="shared" si="22"/>
        <v>7.8192737999999995</v>
      </c>
      <c r="AA138" s="17" t="s">
        <v>184</v>
      </c>
      <c r="AB138" s="42"/>
      <c r="AC138" s="17"/>
      <c r="AD138" s="17" t="s">
        <v>28</v>
      </c>
      <c r="AE138" s="17"/>
      <c r="AF138" s="30"/>
      <c r="AG138" s="30"/>
      <c r="AH138" s="17"/>
      <c r="AI138" s="41">
        <f>IF(NOT(ISBLANK($G$35)),$G$35,$E$35)/IF(NOT(ISBLANK($G$40)),$G$40,$E$40)+IF(NOT(ISBLANK($G$35)),$G$35,$E$35)*(IF(NOT(ISBLANK($G$41)),$G$41,$E$41)/100)</f>
        <v>0</v>
      </c>
      <c r="AJ138" s="20" t="s">
        <v>96</v>
      </c>
    </row>
    <row r="139" spans="16:43" ht="14.25" hidden="1" outlineLevel="1" x14ac:dyDescent="0.25">
      <c r="P139" s="69"/>
      <c r="Q139" s="69" t="s">
        <v>175</v>
      </c>
      <c r="R139" s="69"/>
      <c r="S139" s="69"/>
      <c r="T139" s="71"/>
      <c r="U139" s="71"/>
      <c r="V139" s="71">
        <f t="shared" ref="V139" si="24">V140+V141</f>
        <v>469.15642799999995</v>
      </c>
      <c r="W139" s="69"/>
      <c r="X139" s="69"/>
      <c r="Y139" s="71">
        <f t="shared" si="23"/>
        <v>0</v>
      </c>
      <c r="Z139" s="71">
        <f t="shared" si="22"/>
        <v>469.15642799999995</v>
      </c>
      <c r="AA139" s="76" t="s">
        <v>183</v>
      </c>
      <c r="AB139" s="42"/>
      <c r="AC139" s="17"/>
      <c r="AD139" s="44" t="s">
        <v>139</v>
      </c>
      <c r="AE139" s="17"/>
      <c r="AF139" s="30"/>
      <c r="AG139" s="30"/>
      <c r="AH139" s="17"/>
      <c r="AI139" s="41">
        <f>IF(NOT(ISBLANK($G$36)),$G$36,$E$36)</f>
        <v>0</v>
      </c>
      <c r="AJ139" s="20" t="s">
        <v>96</v>
      </c>
    </row>
    <row r="140" spans="16:43" ht="15.75" hidden="1" outlineLevel="1" x14ac:dyDescent="0.3">
      <c r="P140" s="17"/>
      <c r="Q140" s="17"/>
      <c r="R140" s="17" t="s">
        <v>43</v>
      </c>
      <c r="S140" s="17"/>
      <c r="T140" s="37"/>
      <c r="U140" s="37"/>
      <c r="V140" s="37">
        <f>IF(NOT(ISBLANK('Referenz Plattenfertiger'!$I32)),'Referenz Plattenfertiger'!$I32,'Referenz Plattenfertiger'!$F32)*IF(NOT(ISBLANK('Eingabe EF'!$AI17)),'Eingabe EF'!$AI17,'Eingabe EF'!$AG17)</f>
        <v>109.4698332</v>
      </c>
      <c r="W140" s="17"/>
      <c r="X140" s="17"/>
      <c r="Y140" s="37">
        <f t="shared" si="23"/>
        <v>0</v>
      </c>
      <c r="Z140" s="37">
        <f t="shared" si="22"/>
        <v>109.4698332</v>
      </c>
      <c r="AA140" s="17" t="s">
        <v>184</v>
      </c>
      <c r="AC140" s="17"/>
      <c r="AD140" s="44" t="s">
        <v>146</v>
      </c>
      <c r="AE140" s="17"/>
      <c r="AF140" s="30"/>
      <c r="AG140" s="30"/>
      <c r="AH140" s="17"/>
      <c r="AI140" s="41">
        <f>IF(NOT(ISBLANK($G$37)),$G$37,$E$37)/IF(NOT(ISBLANK($G$40)),$G$40,$E$40)+IF(NOT(ISBLANK($G$37)),$G$37,$E$37)*(IF(NOT(ISBLANK($G$41)),$G$41,$E$41)/100)</f>
        <v>0</v>
      </c>
      <c r="AJ140" s="20" t="s">
        <v>96</v>
      </c>
    </row>
    <row r="141" spans="16:43" ht="15.75" hidden="1" outlineLevel="1" x14ac:dyDescent="0.3">
      <c r="P141" s="17"/>
      <c r="Q141" s="17"/>
      <c r="R141" s="17" t="s">
        <v>44</v>
      </c>
      <c r="S141" s="17"/>
      <c r="T141" s="37"/>
      <c r="U141" s="37"/>
      <c r="V141" s="37">
        <f>IF(NOT(ISBLANK('Referenz Plattenfertiger'!$I33)),'Referenz Plattenfertiger'!$I33,'Referenz Plattenfertiger'!$F33)*IF(NOT(ISBLANK('Eingabe EF'!$AI18)),'Eingabe EF'!$AI18,'Eingabe EF'!$AG18)</f>
        <v>359.68659479999997</v>
      </c>
      <c r="W141" s="17"/>
      <c r="X141" s="17"/>
      <c r="Y141" s="37">
        <f t="shared" si="23"/>
        <v>0</v>
      </c>
      <c r="Z141" s="37">
        <f t="shared" si="22"/>
        <v>359.68659479999997</v>
      </c>
      <c r="AA141" s="17" t="s">
        <v>184</v>
      </c>
      <c r="AC141" s="17"/>
      <c r="AD141" s="17"/>
      <c r="AE141" s="17"/>
      <c r="AF141" s="17"/>
      <c r="AG141" s="17"/>
      <c r="AH141" s="17"/>
      <c r="AI141" s="17"/>
      <c r="AJ141" s="17"/>
    </row>
    <row r="142" spans="16:43" hidden="1" outlineLevel="1" x14ac:dyDescent="0.2">
      <c r="P142" s="17"/>
      <c r="Q142" s="17"/>
      <c r="R142" s="17"/>
      <c r="S142" s="17"/>
      <c r="T142" s="20"/>
      <c r="U142" s="20"/>
      <c r="V142" s="20"/>
      <c r="W142" s="17"/>
      <c r="X142" s="17"/>
      <c r="Y142" s="20"/>
      <c r="Z142" s="20"/>
      <c r="AA142" s="17"/>
      <c r="AB142" s="42"/>
      <c r="AC142" s="17"/>
      <c r="AD142" s="17"/>
      <c r="AE142" s="17"/>
      <c r="AF142" s="17"/>
      <c r="AG142" s="17"/>
      <c r="AH142" s="17"/>
      <c r="AI142" s="17"/>
      <c r="AJ142" s="17"/>
    </row>
    <row r="143" spans="16:43" ht="15.75" hidden="1" outlineLevel="1" x14ac:dyDescent="0.3">
      <c r="P143" s="69"/>
      <c r="Q143" s="69" t="s">
        <v>66</v>
      </c>
      <c r="R143" s="70"/>
      <c r="S143" s="70"/>
      <c r="T143" s="71"/>
      <c r="U143" s="71"/>
      <c r="V143" s="71">
        <f>SUM(V144:V147)</f>
        <v>4457.57312</v>
      </c>
      <c r="W143" s="70"/>
      <c r="X143" s="70"/>
      <c r="Y143" s="71">
        <f t="shared" ref="Y143:Y147" si="25">T143+U143</f>
        <v>0</v>
      </c>
      <c r="Z143" s="71">
        <f t="shared" ref="Z143:Z146" si="26">SUM(T143:V143)</f>
        <v>4457.57312</v>
      </c>
      <c r="AA143" s="76" t="s">
        <v>183</v>
      </c>
      <c r="AB143" s="42"/>
      <c r="AC143" s="17"/>
      <c r="AD143" s="17" t="s">
        <v>186</v>
      </c>
      <c r="AE143" s="17"/>
      <c r="AF143" s="30"/>
      <c r="AG143" s="30"/>
      <c r="AH143" s="17"/>
      <c r="AI143" s="41">
        <f>T193*IF(NOT(ISBLANK('Eingabe Preise'!$K21)),'Eingabe Preise'!$K21,'Eingabe Preise'!$I21)</f>
        <v>4271.9559777000004</v>
      </c>
      <c r="AJ143" s="20" t="s">
        <v>96</v>
      </c>
    </row>
    <row r="144" spans="16:43" ht="15.75" hidden="1" outlineLevel="1" x14ac:dyDescent="0.3">
      <c r="P144" s="274"/>
      <c r="Q144" s="17"/>
      <c r="R144" s="17" t="s">
        <v>45</v>
      </c>
      <c r="S144" s="17"/>
      <c r="T144" s="37"/>
      <c r="U144" s="37"/>
      <c r="V144" s="450">
        <f>'M1 Härtekammern'!T134*S110</f>
        <v>1186.0939999999998</v>
      </c>
      <c r="W144" s="17"/>
      <c r="X144" s="17"/>
      <c r="Y144" s="37">
        <f t="shared" si="25"/>
        <v>0</v>
      </c>
      <c r="Z144" s="37">
        <f t="shared" si="26"/>
        <v>1186.0939999999998</v>
      </c>
      <c r="AA144" s="17" t="s">
        <v>184</v>
      </c>
      <c r="AB144" s="42"/>
      <c r="AC144" s="17"/>
      <c r="AD144" s="17" t="s">
        <v>187</v>
      </c>
      <c r="AE144" s="17"/>
      <c r="AF144" s="30"/>
      <c r="AG144" s="30"/>
      <c r="AH144" s="17"/>
      <c r="AI144" s="41">
        <f>U193*IF(NOT(ISBLANK('Eingabe Preise'!$K22)),'Eingabe Preise'!$K22,'Eingabe Preise'!$I22)</f>
        <v>5620.160118992103</v>
      </c>
      <c r="AJ144" s="20" t="s">
        <v>96</v>
      </c>
    </row>
    <row r="145" spans="16:36" ht="15.75" hidden="1" outlineLevel="1" x14ac:dyDescent="0.3">
      <c r="P145" s="274"/>
      <c r="Q145" s="17"/>
      <c r="R145" s="17" t="s">
        <v>47</v>
      </c>
      <c r="S145" s="17"/>
      <c r="T145" s="37"/>
      <c r="U145" s="37"/>
      <c r="V145" s="450">
        <f>'M1 Härtekammern'!T135*S111</f>
        <v>2367.1939199999997</v>
      </c>
      <c r="W145" s="17"/>
      <c r="X145" s="17"/>
      <c r="Y145" s="37">
        <f t="shared" si="25"/>
        <v>0</v>
      </c>
      <c r="Z145" s="37">
        <f t="shared" si="26"/>
        <v>2367.1939199999997</v>
      </c>
      <c r="AA145" s="17" t="s">
        <v>184</v>
      </c>
      <c r="AB145" s="42"/>
      <c r="AC145" s="17"/>
      <c r="AD145" s="17" t="s">
        <v>188</v>
      </c>
      <c r="AE145" s="17"/>
      <c r="AF145" s="30"/>
      <c r="AG145" s="30"/>
      <c r="AH145" s="17"/>
      <c r="AI145" s="41">
        <f>V193*IF(NOT(ISBLANK('Eingabe Preise'!$K23)),'Eingabe Preise'!$K23,'Eingabe Preise'!$I23)</f>
        <v>254498.06804491932</v>
      </c>
      <c r="AJ145" s="20" t="s">
        <v>96</v>
      </c>
    </row>
    <row r="146" spans="16:36" ht="15.75" hidden="1" outlineLevel="1" x14ac:dyDescent="0.3">
      <c r="P146" s="274"/>
      <c r="Q146" s="17"/>
      <c r="R146" s="17" t="s">
        <v>48</v>
      </c>
      <c r="S146" s="17"/>
      <c r="T146" s="37"/>
      <c r="U146" s="37"/>
      <c r="V146" s="450">
        <f>'M1 Härtekammern'!T136*S112</f>
        <v>904.28519999999992</v>
      </c>
      <c r="W146" s="17"/>
      <c r="X146" s="17"/>
      <c r="Y146" s="37">
        <f t="shared" si="25"/>
        <v>0</v>
      </c>
      <c r="Z146" s="37">
        <f t="shared" si="26"/>
        <v>904.28519999999992</v>
      </c>
      <c r="AA146" s="17" t="s">
        <v>184</v>
      </c>
      <c r="AB146" s="42"/>
      <c r="AC146" s="17"/>
      <c r="AD146" s="17"/>
      <c r="AE146" s="17"/>
      <c r="AF146" s="30"/>
      <c r="AG146" s="30"/>
      <c r="AH146" s="17"/>
      <c r="AI146" s="66"/>
      <c r="AJ146" s="17"/>
    </row>
    <row r="147" spans="16:36" ht="15.75" hidden="1" outlineLevel="1" x14ac:dyDescent="0.3">
      <c r="P147" s="274"/>
      <c r="Q147" s="17"/>
      <c r="R147" s="17" t="s">
        <v>147</v>
      </c>
      <c r="S147" s="17"/>
      <c r="T147" s="37"/>
      <c r="U147" s="37"/>
      <c r="V147" s="450">
        <f>'M1 Härtekammern'!T137*S113</f>
        <v>0</v>
      </c>
      <c r="W147" s="17"/>
      <c r="X147" s="17"/>
      <c r="Y147" s="37">
        <f t="shared" si="25"/>
        <v>0</v>
      </c>
      <c r="Z147" s="37">
        <f t="shared" ref="Z147" si="27">SUM(T147:V147)</f>
        <v>0</v>
      </c>
      <c r="AA147" s="17" t="s">
        <v>184</v>
      </c>
      <c r="AB147" s="42"/>
      <c r="AC147" s="17"/>
      <c r="AD147" s="17"/>
      <c r="AE147" s="17"/>
      <c r="AF147" s="30"/>
      <c r="AG147" s="30"/>
      <c r="AH147" s="17"/>
      <c r="AI147" s="17"/>
      <c r="AJ147" s="17"/>
    </row>
    <row r="148" spans="16:36" hidden="1" outlineLevel="1" x14ac:dyDescent="0.2">
      <c r="P148" s="17"/>
      <c r="Q148" s="17"/>
      <c r="R148" s="17"/>
      <c r="S148" s="17"/>
      <c r="T148" s="20"/>
      <c r="U148" s="20"/>
      <c r="V148" s="17"/>
      <c r="W148" s="17"/>
      <c r="X148" s="17"/>
      <c r="Y148" s="17"/>
      <c r="Z148" s="20"/>
      <c r="AA148" s="20"/>
      <c r="AB148" s="42"/>
      <c r="AC148" s="17"/>
      <c r="AD148" s="17"/>
      <c r="AE148" s="17"/>
      <c r="AF148" s="30"/>
      <c r="AG148" s="30"/>
      <c r="AH148" s="17"/>
      <c r="AI148" s="66"/>
      <c r="AJ148" s="17"/>
    </row>
    <row r="149" spans="16:36" ht="14.25" hidden="1" outlineLevel="1" x14ac:dyDescent="0.25">
      <c r="P149" s="69"/>
      <c r="Q149" s="69" t="s">
        <v>163</v>
      </c>
      <c r="R149" s="70"/>
      <c r="S149" s="70"/>
      <c r="T149" s="71"/>
      <c r="U149" s="71"/>
      <c r="V149" s="71">
        <f>SUM(V150:V154)</f>
        <v>129.59200000000001</v>
      </c>
      <c r="W149" s="70"/>
      <c r="X149" s="70"/>
      <c r="Y149" s="71">
        <f t="shared" ref="Y149" si="28">T149+U149</f>
        <v>0</v>
      </c>
      <c r="Z149" s="71">
        <f t="shared" ref="Z149" si="29">SUM(T149:V149)</f>
        <v>129.59200000000001</v>
      </c>
      <c r="AA149" s="76" t="s">
        <v>183</v>
      </c>
      <c r="AB149" s="42"/>
      <c r="AC149" s="42"/>
      <c r="AD149" s="42"/>
      <c r="AE149" s="42"/>
      <c r="AF149" s="42"/>
      <c r="AG149" s="42"/>
      <c r="AH149" s="42"/>
      <c r="AI149" s="42"/>
    </row>
    <row r="150" spans="16:36" ht="15.75" hidden="1" outlineLevel="1" x14ac:dyDescent="0.3">
      <c r="P150" s="17"/>
      <c r="Q150" s="17"/>
      <c r="R150" s="17" t="s">
        <v>164</v>
      </c>
      <c r="S150" s="17"/>
      <c r="T150" s="37"/>
      <c r="U150" s="37"/>
      <c r="V150" s="37">
        <f>'M1 Härtekammern'!T140</f>
        <v>129.59200000000001</v>
      </c>
      <c r="W150" s="17"/>
      <c r="X150" s="17"/>
      <c r="Y150" s="37">
        <f>T150+U150</f>
        <v>0</v>
      </c>
      <c r="Z150" s="37">
        <f>SUM(T150:V150)</f>
        <v>129.59200000000001</v>
      </c>
      <c r="AA150" s="17" t="s">
        <v>184</v>
      </c>
      <c r="AB150" s="42"/>
      <c r="AC150" s="42"/>
      <c r="AD150" s="42"/>
      <c r="AE150" s="42"/>
      <c r="AF150" s="42"/>
      <c r="AG150" s="42"/>
      <c r="AH150" s="42"/>
      <c r="AI150" s="42"/>
    </row>
    <row r="151" spans="16:36" ht="15.75" hidden="1" outlineLevel="1" x14ac:dyDescent="0.3">
      <c r="P151" s="17"/>
      <c r="Q151" s="17"/>
      <c r="R151" s="17" t="s">
        <v>165</v>
      </c>
      <c r="S151" s="17"/>
      <c r="T151" s="37"/>
      <c r="U151" s="37"/>
      <c r="V151" s="37">
        <f>'M1 Härtekammern'!T141</f>
        <v>0</v>
      </c>
      <c r="W151" s="17"/>
      <c r="X151" s="17"/>
      <c r="Y151" s="37">
        <f t="shared" ref="Y151:Y152" si="30">T151+U151</f>
        <v>0</v>
      </c>
      <c r="Z151" s="37">
        <f t="shared" ref="Z151:Z152" si="31">SUM(T151:V151)</f>
        <v>0</v>
      </c>
      <c r="AA151" s="17" t="s">
        <v>184</v>
      </c>
      <c r="AB151" s="42"/>
      <c r="AC151" s="42"/>
      <c r="AD151" s="42"/>
      <c r="AE151" s="42"/>
      <c r="AF151" s="42"/>
      <c r="AG151" s="42"/>
      <c r="AH151" s="42"/>
      <c r="AI151" s="42"/>
    </row>
    <row r="152" spans="16:36" ht="15.75" hidden="1" outlineLevel="1" x14ac:dyDescent="0.3">
      <c r="P152" s="17"/>
      <c r="Q152" s="17"/>
      <c r="R152" s="17" t="s">
        <v>166</v>
      </c>
      <c r="S152" s="17"/>
      <c r="T152" s="37"/>
      <c r="U152" s="37"/>
      <c r="V152" s="37">
        <f>'M1 Härtekammern'!T142</f>
        <v>0</v>
      </c>
      <c r="W152" s="17"/>
      <c r="X152" s="17"/>
      <c r="Y152" s="37">
        <f t="shared" si="30"/>
        <v>0</v>
      </c>
      <c r="Z152" s="37">
        <f t="shared" si="31"/>
        <v>0</v>
      </c>
      <c r="AA152" s="17" t="s">
        <v>184</v>
      </c>
      <c r="AB152" s="42"/>
      <c r="AC152" s="42"/>
      <c r="AD152" s="42"/>
      <c r="AE152" s="42"/>
      <c r="AF152" s="42"/>
      <c r="AG152" s="42"/>
      <c r="AH152" s="42"/>
      <c r="AI152" s="42"/>
    </row>
    <row r="153" spans="16:36" ht="15.75" hidden="1" outlineLevel="1" x14ac:dyDescent="0.3">
      <c r="P153" s="17"/>
      <c r="Q153" s="17"/>
      <c r="R153" s="17" t="str">
        <f>'M1 Härtekammern'!P143</f>
        <v>Weiterer Zuschlagstoff 1</v>
      </c>
      <c r="S153" s="17"/>
      <c r="T153" s="37"/>
      <c r="U153" s="37"/>
      <c r="V153" s="37">
        <f>'M1 Härtekammern'!T143</f>
        <v>0</v>
      </c>
      <c r="W153" s="17"/>
      <c r="X153" s="17"/>
      <c r="Y153" s="37">
        <f t="shared" ref="Y153:Y154" si="32">T153+U153</f>
        <v>0</v>
      </c>
      <c r="Z153" s="37">
        <f t="shared" ref="Z153:Z154" si="33">SUM(T153:V153)</f>
        <v>0</v>
      </c>
      <c r="AA153" s="17" t="s">
        <v>184</v>
      </c>
      <c r="AB153" s="42"/>
      <c r="AC153" s="42"/>
      <c r="AD153" s="42"/>
      <c r="AE153" s="42"/>
      <c r="AF153" s="42"/>
      <c r="AG153" s="42"/>
      <c r="AH153" s="42"/>
      <c r="AI153" s="42"/>
    </row>
    <row r="154" spans="16:36" ht="15.75" hidden="1" outlineLevel="1" x14ac:dyDescent="0.3">
      <c r="P154" s="17"/>
      <c r="Q154" s="17"/>
      <c r="R154" s="17" t="str">
        <f>'M1 Härtekammern'!P144</f>
        <v>Weiterer Zuschlagstoff 2</v>
      </c>
      <c r="S154" s="17"/>
      <c r="T154" s="37"/>
      <c r="U154" s="37"/>
      <c r="V154" s="37">
        <f>'M1 Härtekammern'!T144</f>
        <v>0</v>
      </c>
      <c r="W154" s="17"/>
      <c r="X154" s="17"/>
      <c r="Y154" s="37">
        <f t="shared" si="32"/>
        <v>0</v>
      </c>
      <c r="Z154" s="37">
        <f t="shared" si="33"/>
        <v>0</v>
      </c>
      <c r="AA154" s="17" t="s">
        <v>184</v>
      </c>
      <c r="AB154" s="42"/>
      <c r="AC154" s="42"/>
      <c r="AD154" s="42"/>
      <c r="AE154" s="42"/>
      <c r="AF154" s="42"/>
      <c r="AG154" s="42"/>
      <c r="AH154" s="42"/>
      <c r="AI154" s="42"/>
    </row>
    <row r="155" spans="16:36" hidden="1" outlineLevel="1" x14ac:dyDescent="0.2">
      <c r="P155" s="17"/>
      <c r="Q155" s="17"/>
      <c r="R155" s="17"/>
      <c r="S155" s="17"/>
      <c r="T155" s="20"/>
      <c r="U155" s="20"/>
      <c r="V155" s="17"/>
      <c r="W155" s="17"/>
      <c r="X155" s="17"/>
      <c r="Y155" s="17"/>
      <c r="Z155" s="20"/>
      <c r="AA155" s="20"/>
      <c r="AB155" s="42"/>
      <c r="AC155" s="42"/>
      <c r="AD155" s="42"/>
      <c r="AE155" s="42"/>
      <c r="AF155" s="42"/>
      <c r="AG155" s="42"/>
      <c r="AH155" s="42"/>
      <c r="AI155" s="42"/>
    </row>
    <row r="156" spans="16:36" ht="14.25" hidden="1" outlineLevel="1" x14ac:dyDescent="0.25">
      <c r="P156" s="17"/>
      <c r="Q156" s="17"/>
      <c r="R156" s="21" t="s">
        <v>55</v>
      </c>
      <c r="S156" s="21"/>
      <c r="T156" s="74"/>
      <c r="U156" s="74"/>
      <c r="V156" s="37">
        <f>'M1 Härtekammern'!T146</f>
        <v>208</v>
      </c>
      <c r="W156" s="21"/>
      <c r="X156" s="21"/>
      <c r="Y156" s="74">
        <f>T156+U156</f>
        <v>0</v>
      </c>
      <c r="Z156" s="74">
        <f t="shared" ref="Z156" si="34">SUM(T156:V156)</f>
        <v>208</v>
      </c>
      <c r="AA156" s="21" t="s">
        <v>183</v>
      </c>
      <c r="AB156" s="42"/>
      <c r="AC156" s="42"/>
      <c r="AD156" s="42"/>
      <c r="AE156" s="42"/>
      <c r="AF156" s="42"/>
      <c r="AG156" s="42"/>
      <c r="AH156" s="42"/>
      <c r="AI156" s="42"/>
    </row>
    <row r="157" spans="16:36" hidden="1" outlineLevel="1" x14ac:dyDescent="0.2">
      <c r="P157" s="17"/>
      <c r="Q157" s="17"/>
      <c r="R157" s="17"/>
      <c r="S157" s="17"/>
      <c r="T157" s="20"/>
      <c r="U157" s="20"/>
      <c r="V157" s="17"/>
      <c r="W157" s="17"/>
      <c r="X157" s="17"/>
      <c r="Y157" s="17"/>
      <c r="Z157" s="20"/>
      <c r="AA157" s="20"/>
      <c r="AB157" s="42"/>
      <c r="AC157" s="42"/>
      <c r="AD157" s="42"/>
      <c r="AE157" s="42"/>
      <c r="AF157" s="42"/>
      <c r="AG157" s="42"/>
      <c r="AH157" s="42"/>
      <c r="AI157" s="42"/>
    </row>
    <row r="158" spans="16:36" ht="14.25" hidden="1" outlineLevel="1" x14ac:dyDescent="0.25">
      <c r="P158" s="69"/>
      <c r="Q158" s="69" t="s">
        <v>167</v>
      </c>
      <c r="R158" s="70"/>
      <c r="S158" s="70"/>
      <c r="T158" s="71"/>
      <c r="U158" s="71"/>
      <c r="V158" s="71">
        <f>SUM(V159:V163)</f>
        <v>82.624079999999992</v>
      </c>
      <c r="W158" s="70"/>
      <c r="X158" s="70"/>
      <c r="Y158" s="71">
        <f t="shared" ref="Y158" si="35">T158+U158</f>
        <v>0</v>
      </c>
      <c r="Z158" s="71">
        <f t="shared" ref="Z158" si="36">SUM(T158:V158)</f>
        <v>82.624079999999992</v>
      </c>
      <c r="AA158" s="76" t="s">
        <v>183</v>
      </c>
      <c r="AB158" s="42"/>
      <c r="AC158" s="42"/>
      <c r="AD158" s="42"/>
      <c r="AE158" s="42"/>
      <c r="AF158" s="42"/>
      <c r="AG158" s="42"/>
      <c r="AH158" s="42"/>
      <c r="AI158" s="42"/>
    </row>
    <row r="159" spans="16:36" ht="15.75" hidden="1" outlineLevel="1" x14ac:dyDescent="0.3">
      <c r="P159" s="274"/>
      <c r="Q159" s="17"/>
      <c r="R159" s="17" t="s">
        <v>57</v>
      </c>
      <c r="S159" s="17"/>
      <c r="T159" s="37"/>
      <c r="U159" s="37"/>
      <c r="V159" s="450">
        <f>'M1 Härtekammern'!T149*S115</f>
        <v>0</v>
      </c>
      <c r="W159" s="17"/>
      <c r="X159" s="17"/>
      <c r="Y159" s="37">
        <f>T159+U159</f>
        <v>0</v>
      </c>
      <c r="Z159" s="37">
        <f>SUM(T159:V159)</f>
        <v>0</v>
      </c>
      <c r="AA159" s="17" t="s">
        <v>184</v>
      </c>
      <c r="AB159" s="42"/>
      <c r="AC159" s="42"/>
      <c r="AD159" s="42"/>
      <c r="AE159" s="42"/>
      <c r="AF159" s="42"/>
      <c r="AG159" s="42"/>
      <c r="AH159" s="42"/>
      <c r="AI159" s="42"/>
    </row>
    <row r="160" spans="16:36" ht="15.75" hidden="1" outlineLevel="1" x14ac:dyDescent="0.3">
      <c r="P160" s="274"/>
      <c r="Q160" s="17"/>
      <c r="R160" s="17" t="s">
        <v>58</v>
      </c>
      <c r="S160" s="17"/>
      <c r="T160" s="37"/>
      <c r="U160" s="37"/>
      <c r="V160" s="450">
        <f>'M1 Härtekammern'!T150*S116</f>
        <v>8.857680000000002</v>
      </c>
      <c r="W160" s="17"/>
      <c r="X160" s="17"/>
      <c r="Y160" s="37">
        <f>T160+U160</f>
        <v>0</v>
      </c>
      <c r="Z160" s="37">
        <f>SUM(T160:V160)</f>
        <v>8.857680000000002</v>
      </c>
      <c r="AA160" s="17" t="s">
        <v>184</v>
      </c>
      <c r="AB160" s="42"/>
      <c r="AC160" s="42"/>
      <c r="AD160" s="42"/>
      <c r="AE160" s="42"/>
      <c r="AF160" s="42"/>
      <c r="AG160" s="42"/>
      <c r="AH160" s="42"/>
      <c r="AI160" s="42"/>
    </row>
    <row r="161" spans="16:35" ht="15.75" hidden="1" outlineLevel="1" x14ac:dyDescent="0.3">
      <c r="P161" s="274"/>
      <c r="Q161" s="17"/>
      <c r="R161" s="17" t="s">
        <v>59</v>
      </c>
      <c r="S161" s="17"/>
      <c r="T161" s="37"/>
      <c r="U161" s="37"/>
      <c r="V161" s="450">
        <f>'M1 Härtekammern'!T151*S117</f>
        <v>73.76639999999999</v>
      </c>
      <c r="W161" s="17"/>
      <c r="X161" s="17"/>
      <c r="Y161" s="37">
        <f>T161+U161</f>
        <v>0</v>
      </c>
      <c r="Z161" s="37">
        <f>SUM(T161:V161)</f>
        <v>73.76639999999999</v>
      </c>
      <c r="AA161" s="17" t="s">
        <v>184</v>
      </c>
      <c r="AB161" s="42"/>
      <c r="AC161" s="42"/>
      <c r="AD161" s="42"/>
      <c r="AE161" s="42"/>
      <c r="AF161" s="42"/>
      <c r="AG161" s="42"/>
      <c r="AH161" s="42"/>
      <c r="AI161" s="42"/>
    </row>
    <row r="162" spans="16:35" ht="15.75" hidden="1" outlineLevel="1" x14ac:dyDescent="0.3">
      <c r="P162" s="274"/>
      <c r="Q162" s="17"/>
      <c r="R162" s="17" t="str">
        <f>'M1 Härtekammern'!P152</f>
        <v>Weiterer Zusatzstoff 1</v>
      </c>
      <c r="S162" s="17"/>
      <c r="T162" s="37"/>
      <c r="U162" s="37"/>
      <c r="V162" s="450">
        <f>'M1 Härtekammern'!T152*S118</f>
        <v>0</v>
      </c>
      <c r="W162" s="17"/>
      <c r="X162" s="17"/>
      <c r="Y162" s="37">
        <f t="shared" ref="Y162:Y163" si="37">T162+U162</f>
        <v>0</v>
      </c>
      <c r="Z162" s="37">
        <f t="shared" ref="Z162:Z163" si="38">SUM(T162:V162)</f>
        <v>0</v>
      </c>
      <c r="AA162" s="17" t="s">
        <v>184</v>
      </c>
      <c r="AB162" s="42"/>
      <c r="AC162" s="42"/>
      <c r="AD162" s="42"/>
      <c r="AE162" s="42"/>
      <c r="AF162" s="42"/>
      <c r="AG162" s="42"/>
      <c r="AH162" s="42"/>
      <c r="AI162" s="42"/>
    </row>
    <row r="163" spans="16:35" ht="15.75" hidden="1" outlineLevel="1" x14ac:dyDescent="0.3">
      <c r="P163" s="274"/>
      <c r="Q163" s="17"/>
      <c r="R163" s="17" t="str">
        <f>'M1 Härtekammern'!P153</f>
        <v>Weiterer Zusatzstoff 2</v>
      </c>
      <c r="S163" s="17"/>
      <c r="T163" s="37"/>
      <c r="U163" s="37"/>
      <c r="V163" s="450">
        <f>'M1 Härtekammern'!T153*S119</f>
        <v>0</v>
      </c>
      <c r="W163" s="17"/>
      <c r="X163" s="17"/>
      <c r="Y163" s="37">
        <f t="shared" si="37"/>
        <v>0</v>
      </c>
      <c r="Z163" s="37">
        <f t="shared" si="38"/>
        <v>0</v>
      </c>
      <c r="AA163" s="17" t="s">
        <v>184</v>
      </c>
      <c r="AB163" s="42"/>
      <c r="AC163" s="42"/>
      <c r="AD163" s="42"/>
      <c r="AE163" s="42"/>
      <c r="AF163" s="42"/>
      <c r="AG163" s="42"/>
      <c r="AH163" s="42"/>
      <c r="AI163" s="42"/>
    </row>
    <row r="164" spans="16:35" hidden="1" outlineLevel="1" x14ac:dyDescent="0.2">
      <c r="P164" s="17"/>
      <c r="Q164" s="17"/>
      <c r="R164" s="17"/>
      <c r="S164" s="17"/>
      <c r="T164" s="20"/>
      <c r="U164" s="20"/>
      <c r="V164" s="20"/>
      <c r="W164" s="17"/>
      <c r="X164" s="17"/>
      <c r="Y164" s="17"/>
      <c r="Z164" s="20"/>
      <c r="AA164" s="20"/>
      <c r="AB164" s="42"/>
      <c r="AC164" s="42"/>
      <c r="AD164" s="42"/>
      <c r="AE164" s="42"/>
      <c r="AF164" s="42"/>
      <c r="AG164" s="42"/>
      <c r="AH164" s="42"/>
      <c r="AI164" s="42"/>
    </row>
    <row r="165" spans="16:35" ht="14.25" hidden="1" outlineLevel="1" x14ac:dyDescent="0.25">
      <c r="P165" s="69"/>
      <c r="Q165" s="69" t="s">
        <v>49</v>
      </c>
      <c r="R165" s="70"/>
      <c r="S165" s="70"/>
      <c r="T165" s="71"/>
      <c r="U165" s="71"/>
      <c r="V165" s="71">
        <f>SUM(V166:V169)</f>
        <v>148.44746134951595</v>
      </c>
      <c r="W165" s="70"/>
      <c r="X165" s="70"/>
      <c r="Y165" s="71">
        <f t="shared" ref="Y165:Y169" si="39">T165+U165</f>
        <v>0</v>
      </c>
      <c r="Z165" s="71">
        <f t="shared" ref="Z165" si="40">SUM(T165:V165)</f>
        <v>148.44746134951595</v>
      </c>
      <c r="AA165" s="76" t="s">
        <v>183</v>
      </c>
      <c r="AB165" s="42"/>
      <c r="AC165" s="42"/>
      <c r="AD165" s="42"/>
      <c r="AE165" s="42"/>
      <c r="AF165" s="42"/>
      <c r="AG165" s="42"/>
      <c r="AH165" s="42"/>
      <c r="AI165" s="42"/>
    </row>
    <row r="166" spans="16:35" ht="15.75" hidden="1" outlineLevel="1" x14ac:dyDescent="0.3">
      <c r="P166" s="17"/>
      <c r="Q166" s="17"/>
      <c r="R166" s="17" t="s">
        <v>50</v>
      </c>
      <c r="S166" s="17"/>
      <c r="T166" s="37"/>
      <c r="U166" s="37"/>
      <c r="V166" s="37">
        <f>'M1 Härtekammern'!T156</f>
        <v>47.997919375812742</v>
      </c>
      <c r="W166" s="17"/>
      <c r="X166" s="17"/>
      <c r="Y166" s="37">
        <f t="shared" si="39"/>
        <v>0</v>
      </c>
      <c r="Z166" s="37">
        <f t="shared" ref="Z166:Z169" si="41">SUM(T166:V166)</f>
        <v>47.997919375812742</v>
      </c>
      <c r="AA166" s="17" t="s">
        <v>184</v>
      </c>
      <c r="AB166" s="42"/>
      <c r="AC166" s="42"/>
      <c r="AD166" s="42"/>
      <c r="AE166" s="42"/>
      <c r="AF166" s="42"/>
      <c r="AG166" s="42"/>
      <c r="AH166" s="42"/>
      <c r="AI166" s="42"/>
    </row>
    <row r="167" spans="16:35" ht="15.75" hidden="1" outlineLevel="1" x14ac:dyDescent="0.3">
      <c r="P167" s="17"/>
      <c r="Q167" s="17"/>
      <c r="R167" s="17" t="s">
        <v>52</v>
      </c>
      <c r="S167" s="17"/>
      <c r="T167" s="37"/>
      <c r="U167" s="37"/>
      <c r="V167" s="37">
        <f>'M1 Härtekammern'!T157</f>
        <v>5.7797543707556596</v>
      </c>
      <c r="W167" s="17"/>
      <c r="X167" s="17"/>
      <c r="Y167" s="37">
        <f t="shared" si="39"/>
        <v>0</v>
      </c>
      <c r="Z167" s="37">
        <f t="shared" si="41"/>
        <v>5.7797543707556596</v>
      </c>
      <c r="AA167" s="17" t="s">
        <v>184</v>
      </c>
      <c r="AB167" s="42"/>
      <c r="AC167" s="42"/>
      <c r="AD167" s="42"/>
      <c r="AE167" s="42"/>
      <c r="AF167" s="42"/>
      <c r="AG167" s="42"/>
      <c r="AH167" s="42"/>
      <c r="AI167" s="42"/>
    </row>
    <row r="168" spans="16:35" ht="15.75" hidden="1" outlineLevel="1" x14ac:dyDescent="0.3">
      <c r="P168" s="17"/>
      <c r="Q168" s="17"/>
      <c r="R168" s="17" t="s">
        <v>53</v>
      </c>
      <c r="S168" s="17"/>
      <c r="T168" s="37"/>
      <c r="U168" s="37"/>
      <c r="V168" s="37">
        <f>'M1 Härtekammern'!T158</f>
        <v>1.4217598612917211E-2</v>
      </c>
      <c r="W168" s="17"/>
      <c r="X168" s="17"/>
      <c r="Y168" s="37">
        <f t="shared" si="39"/>
        <v>0</v>
      </c>
      <c r="Z168" s="37">
        <f t="shared" si="41"/>
        <v>1.4217598612917211E-2</v>
      </c>
      <c r="AA168" s="17" t="s">
        <v>184</v>
      </c>
      <c r="AB168" s="42"/>
      <c r="AC168" s="42"/>
      <c r="AD168" s="42"/>
      <c r="AE168" s="42"/>
      <c r="AF168" s="42"/>
      <c r="AG168" s="42"/>
      <c r="AH168" s="42"/>
      <c r="AI168" s="42"/>
    </row>
    <row r="169" spans="16:35" ht="15.75" hidden="1" outlineLevel="1" x14ac:dyDescent="0.3">
      <c r="P169" s="17"/>
      <c r="Q169" s="17"/>
      <c r="R169" s="17" t="s">
        <v>54</v>
      </c>
      <c r="S169" s="17"/>
      <c r="T169" s="37"/>
      <c r="U169" s="37"/>
      <c r="V169" s="37">
        <f>'M1 Härtekammern'!T159</f>
        <v>94.655570004334635</v>
      </c>
      <c r="W169" s="17"/>
      <c r="X169" s="17"/>
      <c r="Y169" s="37">
        <f t="shared" si="39"/>
        <v>0</v>
      </c>
      <c r="Z169" s="37">
        <f t="shared" si="41"/>
        <v>94.655570004334635</v>
      </c>
      <c r="AA169" s="17" t="s">
        <v>184</v>
      </c>
      <c r="AB169" s="42"/>
      <c r="AC169" s="42"/>
      <c r="AD169" s="42"/>
      <c r="AE169" s="42"/>
      <c r="AF169" s="42"/>
      <c r="AG169" s="42"/>
      <c r="AH169" s="42"/>
      <c r="AI169" s="42"/>
    </row>
    <row r="170" spans="16:35" hidden="1" outlineLevel="1" x14ac:dyDescent="0.2">
      <c r="P170" s="17"/>
      <c r="Q170" s="17"/>
      <c r="R170" s="17"/>
      <c r="S170" s="17"/>
      <c r="T170" s="20"/>
      <c r="U170" s="20"/>
      <c r="V170" s="20"/>
      <c r="W170" s="17"/>
      <c r="X170" s="17"/>
      <c r="Y170" s="20"/>
      <c r="Z170" s="20"/>
      <c r="AA170" s="17"/>
      <c r="AB170" s="42"/>
      <c r="AC170" s="42"/>
      <c r="AD170" s="42"/>
      <c r="AE170" s="42"/>
      <c r="AF170" s="42"/>
      <c r="AG170" s="42"/>
      <c r="AH170" s="42"/>
      <c r="AI170" s="42"/>
    </row>
    <row r="171" spans="16:35" ht="15.75" hidden="1" outlineLevel="1" x14ac:dyDescent="0.3">
      <c r="P171" s="17"/>
      <c r="Q171" s="17"/>
      <c r="R171" s="17" t="str">
        <f>'M1 Härtekammern'!P161</f>
        <v>Wasser</v>
      </c>
      <c r="S171" s="17"/>
      <c r="T171" s="37"/>
      <c r="U171" s="37"/>
      <c r="V171" s="37">
        <f>'M1 Härtekammern'!T161</f>
        <v>0</v>
      </c>
      <c r="W171" s="17"/>
      <c r="X171" s="17"/>
      <c r="Y171" s="37">
        <f t="shared" ref="Y171:Y172" si="42">T171+U171</f>
        <v>0</v>
      </c>
      <c r="Z171" s="37">
        <f t="shared" ref="Z171:Z172" si="43">SUM(T171:V171)</f>
        <v>0</v>
      </c>
      <c r="AA171" s="17" t="s">
        <v>184</v>
      </c>
      <c r="AB171" s="42"/>
      <c r="AC171" s="42"/>
      <c r="AD171" s="42"/>
      <c r="AE171" s="42"/>
      <c r="AF171" s="42"/>
      <c r="AG171" s="42"/>
      <c r="AH171" s="42"/>
      <c r="AI171" s="42"/>
    </row>
    <row r="172" spans="16:35" ht="15.75" hidden="1" outlineLevel="1" x14ac:dyDescent="0.3">
      <c r="P172" s="17"/>
      <c r="Q172" s="17"/>
      <c r="R172" s="17" t="str">
        <f>'M1 Härtekammern'!P162</f>
        <v>Abwasser</v>
      </c>
      <c r="S172" s="17"/>
      <c r="T172" s="37"/>
      <c r="U172" s="37"/>
      <c r="V172" s="37">
        <f>'M1 Härtekammern'!T162</f>
        <v>0.54400000000000004</v>
      </c>
      <c r="W172" s="17"/>
      <c r="X172" s="17"/>
      <c r="Y172" s="37">
        <f t="shared" si="42"/>
        <v>0</v>
      </c>
      <c r="Z172" s="37">
        <f t="shared" si="43"/>
        <v>0.54400000000000004</v>
      </c>
      <c r="AA172" s="17" t="s">
        <v>184</v>
      </c>
      <c r="AB172" s="42"/>
      <c r="AC172" s="42"/>
      <c r="AD172" s="42"/>
      <c r="AE172" s="42"/>
      <c r="AF172" s="42"/>
      <c r="AG172" s="42"/>
      <c r="AH172" s="42"/>
      <c r="AI172" s="42"/>
    </row>
    <row r="173" spans="16:35" hidden="1" outlineLevel="1" x14ac:dyDescent="0.2">
      <c r="P173" s="17"/>
      <c r="Q173" s="17"/>
      <c r="R173" s="17"/>
      <c r="S173" s="17"/>
      <c r="T173" s="20"/>
      <c r="U173" s="20"/>
      <c r="V173" s="20"/>
      <c r="W173" s="17"/>
      <c r="X173" s="17"/>
      <c r="Y173" s="20"/>
      <c r="Z173" s="20"/>
      <c r="AA173" s="17"/>
      <c r="AB173" s="42"/>
      <c r="AC173" s="42"/>
      <c r="AD173" s="42"/>
      <c r="AE173" s="42"/>
      <c r="AF173" s="42"/>
      <c r="AG173" s="42"/>
      <c r="AH173" s="42"/>
      <c r="AI173" s="42"/>
    </row>
    <row r="174" spans="16:35" ht="14.25" hidden="1" outlineLevel="1" x14ac:dyDescent="0.25">
      <c r="P174" s="69"/>
      <c r="Q174" s="69" t="s">
        <v>246</v>
      </c>
      <c r="R174" s="70"/>
      <c r="S174" s="70"/>
      <c r="T174" s="71"/>
      <c r="U174" s="71"/>
      <c r="V174" s="71">
        <f>SUM(V175:V176)</f>
        <v>0</v>
      </c>
      <c r="W174" s="70"/>
      <c r="X174" s="70"/>
      <c r="Y174" s="71">
        <f>T174+U174</f>
        <v>0</v>
      </c>
      <c r="Z174" s="71">
        <f t="shared" ref="Z174" si="44">SUM(T174:V174)</f>
        <v>0</v>
      </c>
      <c r="AA174" s="76" t="s">
        <v>183</v>
      </c>
      <c r="AB174" s="42"/>
      <c r="AC174" s="42"/>
      <c r="AD174" s="42"/>
      <c r="AE174" s="42"/>
      <c r="AF174" s="42"/>
      <c r="AG174" s="42"/>
      <c r="AH174" s="42"/>
      <c r="AI174" s="42"/>
    </row>
    <row r="175" spans="16:35" ht="15.75" hidden="1" outlineLevel="1" x14ac:dyDescent="0.3">
      <c r="P175" s="274"/>
      <c r="Q175" s="17"/>
      <c r="R175" s="17" t="s">
        <v>242</v>
      </c>
      <c r="S175" s="17"/>
      <c r="T175" s="37"/>
      <c r="U175" s="37"/>
      <c r="V175" s="453">
        <f>IF(NOT(ISBLANK(G28)),G28,E28)*IF(NOT(ISBLANK(G31)),G31,0)</f>
        <v>0</v>
      </c>
      <c r="W175" s="17"/>
      <c r="X175" s="17"/>
      <c r="Y175" s="37">
        <f t="shared" ref="Y175:Y176" si="45">T175+U175</f>
        <v>0</v>
      </c>
      <c r="Z175" s="37">
        <f t="shared" ref="Z175:Z176" si="46">SUM(T175:V175)</f>
        <v>0</v>
      </c>
      <c r="AA175" s="17" t="s">
        <v>184</v>
      </c>
      <c r="AB175" s="42"/>
      <c r="AC175" s="42"/>
      <c r="AD175" s="42"/>
      <c r="AE175" s="42"/>
      <c r="AF175" s="42"/>
      <c r="AG175" s="42"/>
      <c r="AH175" s="42"/>
      <c r="AI175" s="42"/>
    </row>
    <row r="176" spans="16:35" ht="15.75" hidden="1" outlineLevel="1" x14ac:dyDescent="0.3">
      <c r="P176" s="274"/>
      <c r="Q176" s="17"/>
      <c r="R176" s="17" t="s">
        <v>243</v>
      </c>
      <c r="S176" s="17"/>
      <c r="T176" s="37"/>
      <c r="U176" s="37"/>
      <c r="V176" s="453">
        <f>IF(NOT(ISBLANK(G29)),G29,E29)*IF(NOT(ISBLANK(G32)),G32,0)</f>
        <v>0</v>
      </c>
      <c r="W176" s="17"/>
      <c r="X176" s="17"/>
      <c r="Y176" s="37">
        <f t="shared" si="45"/>
        <v>0</v>
      </c>
      <c r="Z176" s="37">
        <f t="shared" si="46"/>
        <v>0</v>
      </c>
      <c r="AA176" s="17" t="s">
        <v>184</v>
      </c>
      <c r="AB176" s="42"/>
      <c r="AC176" s="42"/>
      <c r="AD176" s="42"/>
      <c r="AE176" s="42"/>
      <c r="AF176" s="42"/>
      <c r="AG176" s="42"/>
      <c r="AH176" s="42"/>
      <c r="AI176" s="42"/>
    </row>
    <row r="177" spans="1:43" hidden="1" outlineLevel="1" x14ac:dyDescent="0.2">
      <c r="P177" s="17"/>
      <c r="Q177" s="17"/>
      <c r="R177" s="17"/>
      <c r="S177" s="17"/>
      <c r="T177" s="20"/>
      <c r="U177" s="20"/>
      <c r="V177" s="20"/>
      <c r="W177" s="17"/>
      <c r="X177" s="17"/>
      <c r="Y177" s="20"/>
      <c r="Z177" s="20"/>
      <c r="AA177" s="17"/>
      <c r="AB177" s="42"/>
      <c r="AC177" s="42"/>
      <c r="AD177" s="42"/>
      <c r="AE177" s="42"/>
      <c r="AF177" s="42"/>
      <c r="AG177" s="42"/>
      <c r="AH177" s="42"/>
      <c r="AI177" s="42"/>
    </row>
    <row r="178" spans="1:43" ht="14.25" hidden="1" outlineLevel="1" x14ac:dyDescent="0.25">
      <c r="P178" s="17"/>
      <c r="Q178" s="17"/>
      <c r="R178" s="21" t="s">
        <v>99</v>
      </c>
      <c r="S178" s="21"/>
      <c r="T178" s="74"/>
      <c r="U178" s="74"/>
      <c r="V178" s="74">
        <f>'M1 Härtekammern'!T161</f>
        <v>0</v>
      </c>
      <c r="W178" s="21"/>
      <c r="X178" s="21"/>
      <c r="Y178" s="74">
        <f>T178+U178</f>
        <v>0</v>
      </c>
      <c r="Z178" s="74">
        <f>SUM(T178:V178)</f>
        <v>0</v>
      </c>
      <c r="AA178" s="21" t="s">
        <v>183</v>
      </c>
      <c r="AB178" s="42"/>
      <c r="AC178" s="42"/>
      <c r="AD178" s="42"/>
      <c r="AE178" s="42"/>
      <c r="AF178" s="42"/>
      <c r="AG178" s="42"/>
      <c r="AH178" s="42"/>
      <c r="AI178" s="42"/>
    </row>
    <row r="179" spans="1:43" ht="14.25" hidden="1" outlineLevel="1" x14ac:dyDescent="0.25">
      <c r="P179" s="17"/>
      <c r="Q179" s="17"/>
      <c r="R179" s="21" t="s">
        <v>62</v>
      </c>
      <c r="S179" s="21"/>
      <c r="T179" s="74"/>
      <c r="U179" s="74"/>
      <c r="V179" s="74">
        <f>'M1 Härtekammern'!T162</f>
        <v>0.54400000000000004</v>
      </c>
      <c r="W179" s="21"/>
      <c r="X179" s="21"/>
      <c r="Y179" s="74">
        <f>T179+U179</f>
        <v>0</v>
      </c>
      <c r="Z179" s="74">
        <f>SUM(T179:V179)</f>
        <v>0.54400000000000004</v>
      </c>
      <c r="AA179" s="21" t="s">
        <v>183</v>
      </c>
      <c r="AB179" s="42"/>
      <c r="AC179" s="42"/>
      <c r="AD179" s="42"/>
      <c r="AE179" s="42"/>
      <c r="AF179" s="42"/>
      <c r="AG179" s="42"/>
      <c r="AH179" s="42"/>
      <c r="AI179" s="42"/>
    </row>
    <row r="180" spans="1:43" hidden="1" outlineLevel="1" x14ac:dyDescent="0.2">
      <c r="P180" s="17"/>
      <c r="Q180" s="17"/>
      <c r="R180" s="17"/>
      <c r="S180" s="17"/>
      <c r="T180" s="20"/>
      <c r="U180" s="20"/>
      <c r="V180" s="20"/>
      <c r="W180" s="17"/>
      <c r="X180" s="17"/>
      <c r="Y180" s="20"/>
      <c r="Z180" s="20"/>
      <c r="AA180" s="17"/>
      <c r="AB180" s="42"/>
      <c r="AC180" s="42"/>
      <c r="AD180" s="42"/>
      <c r="AE180" s="42"/>
      <c r="AF180" s="42"/>
      <c r="AG180" s="42"/>
      <c r="AH180" s="42"/>
      <c r="AI180" s="42"/>
    </row>
    <row r="181" spans="1:43" ht="14.25" hidden="1" outlineLevel="1" x14ac:dyDescent="0.25">
      <c r="P181" s="69"/>
      <c r="Q181" s="69" t="s">
        <v>168</v>
      </c>
      <c r="R181" s="70"/>
      <c r="S181" s="70"/>
      <c r="T181" s="71"/>
      <c r="U181" s="71"/>
      <c r="V181" s="71">
        <f>SUM(V182:V184)</f>
        <v>0.16095999999999999</v>
      </c>
      <c r="W181" s="70"/>
      <c r="X181" s="70"/>
      <c r="Y181" s="71">
        <f t="shared" ref="Y181:Y184" si="47">T181+U181</f>
        <v>0</v>
      </c>
      <c r="Z181" s="71">
        <f t="shared" ref="Z181" si="48">SUM(T181:V181)</f>
        <v>0.16095999999999999</v>
      </c>
      <c r="AA181" s="76" t="s">
        <v>183</v>
      </c>
      <c r="AB181" s="42"/>
      <c r="AC181" s="42"/>
      <c r="AD181" s="42"/>
      <c r="AE181" s="42"/>
      <c r="AF181" s="42"/>
      <c r="AG181" s="42"/>
      <c r="AH181" s="42"/>
      <c r="AI181" s="42"/>
    </row>
    <row r="182" spans="1:43" ht="15.75" hidden="1" outlineLevel="1" x14ac:dyDescent="0.3">
      <c r="P182" s="17"/>
      <c r="Q182" s="17"/>
      <c r="R182" s="17" t="s">
        <v>169</v>
      </c>
      <c r="S182" s="17"/>
      <c r="T182" s="37"/>
      <c r="U182" s="37"/>
      <c r="V182" s="74">
        <f>'M1 Härtekammern'!T165</f>
        <v>0</v>
      </c>
      <c r="W182" s="17"/>
      <c r="X182" s="17"/>
      <c r="Y182" s="37">
        <f t="shared" si="47"/>
        <v>0</v>
      </c>
      <c r="Z182" s="37">
        <f t="shared" ref="Z182:Z184" si="49">SUM(T182:V182)</f>
        <v>0</v>
      </c>
      <c r="AA182" s="17" t="s">
        <v>184</v>
      </c>
      <c r="AB182" s="42"/>
      <c r="AC182" s="42"/>
      <c r="AD182" s="42"/>
      <c r="AE182" s="42"/>
      <c r="AF182" s="42"/>
      <c r="AG182" s="42"/>
      <c r="AH182" s="42"/>
      <c r="AI182" s="42"/>
    </row>
    <row r="183" spans="1:43" ht="15.75" hidden="1" outlineLevel="1" x14ac:dyDescent="0.3">
      <c r="P183" s="17"/>
      <c r="Q183" s="17"/>
      <c r="R183" s="17" t="s">
        <v>60</v>
      </c>
      <c r="S183" s="17"/>
      <c r="T183" s="37"/>
      <c r="U183" s="37"/>
      <c r="V183" s="74">
        <f>'M1 Härtekammern'!T166</f>
        <v>0.16095999999999999</v>
      </c>
      <c r="W183" s="17"/>
      <c r="X183" s="17"/>
      <c r="Y183" s="37">
        <f t="shared" si="47"/>
        <v>0</v>
      </c>
      <c r="Z183" s="37">
        <f t="shared" si="49"/>
        <v>0.16095999999999999</v>
      </c>
      <c r="AA183" s="17" t="s">
        <v>184</v>
      </c>
      <c r="AB183" s="42"/>
      <c r="AC183" s="42"/>
      <c r="AD183" s="42"/>
      <c r="AE183" s="42"/>
      <c r="AF183" s="42"/>
      <c r="AG183" s="42"/>
      <c r="AH183" s="42"/>
      <c r="AI183" s="42"/>
    </row>
    <row r="184" spans="1:43" ht="15.75" hidden="1" outlineLevel="1" x14ac:dyDescent="0.3">
      <c r="P184" s="17"/>
      <c r="Q184" s="17"/>
      <c r="R184" s="17" t="s">
        <v>170</v>
      </c>
      <c r="S184" s="17"/>
      <c r="T184" s="37"/>
      <c r="U184" s="37"/>
      <c r="V184" s="74">
        <f>'M1 Härtekammern'!T167</f>
        <v>0</v>
      </c>
      <c r="W184" s="17"/>
      <c r="X184" s="17"/>
      <c r="Y184" s="37">
        <f t="shared" si="47"/>
        <v>0</v>
      </c>
      <c r="Z184" s="37">
        <f t="shared" si="49"/>
        <v>0</v>
      </c>
      <c r="AA184" s="17" t="s">
        <v>184</v>
      </c>
      <c r="AB184" s="42"/>
      <c r="AC184" s="42"/>
      <c r="AD184" s="42"/>
      <c r="AE184" s="42"/>
      <c r="AF184" s="42"/>
      <c r="AG184" s="42"/>
      <c r="AH184" s="42"/>
      <c r="AI184" s="42"/>
    </row>
    <row r="185" spans="1:43" hidden="1" outlineLevel="1" x14ac:dyDescent="0.2">
      <c r="P185" s="17"/>
      <c r="Q185" s="17"/>
      <c r="R185" s="17"/>
      <c r="S185" s="17"/>
      <c r="T185" s="20"/>
      <c r="U185" s="20"/>
      <c r="V185" s="20"/>
      <c r="W185" s="17"/>
      <c r="X185" s="17"/>
      <c r="Y185" s="17"/>
      <c r="Z185" s="17"/>
      <c r="AA185" s="20"/>
      <c r="AB185" s="42"/>
      <c r="AC185" s="42"/>
      <c r="AD185" s="42"/>
      <c r="AE185" s="42"/>
      <c r="AF185" s="42"/>
      <c r="AG185" s="42"/>
      <c r="AH185" s="42"/>
      <c r="AI185" s="42"/>
    </row>
    <row r="186" spans="1:43" s="72" customFormat="1" ht="14.25" hidden="1" outlineLevel="1" x14ac:dyDescent="0.25">
      <c r="A186" s="6"/>
      <c r="B186" s="6"/>
      <c r="C186" s="6"/>
      <c r="D186" s="6"/>
      <c r="E186" s="6"/>
      <c r="F186" s="6"/>
      <c r="G186" s="6"/>
      <c r="H186" s="6"/>
      <c r="I186" s="6"/>
      <c r="J186" s="6"/>
      <c r="K186" s="6"/>
      <c r="L186" s="6"/>
      <c r="M186" s="6"/>
      <c r="N186" s="6"/>
      <c r="O186" s="6"/>
      <c r="P186" s="69"/>
      <c r="Q186" s="69" t="s">
        <v>171</v>
      </c>
      <c r="R186" s="70"/>
      <c r="S186" s="70"/>
      <c r="T186" s="71"/>
      <c r="U186" s="71"/>
      <c r="V186" s="71">
        <f>SUM(V187:V189)</f>
        <v>60</v>
      </c>
      <c r="W186" s="70"/>
      <c r="X186" s="70"/>
      <c r="Y186" s="71">
        <f>T186+U186</f>
        <v>0</v>
      </c>
      <c r="Z186" s="71">
        <f t="shared" ref="Z186" si="50">SUM(T186:V186)</f>
        <v>60</v>
      </c>
      <c r="AA186" s="76" t="s">
        <v>183</v>
      </c>
      <c r="AB186" s="42"/>
      <c r="AC186" s="42"/>
      <c r="AD186" s="42"/>
      <c r="AE186" s="42"/>
      <c r="AF186" s="42"/>
      <c r="AG186" s="42"/>
      <c r="AH186" s="42"/>
      <c r="AI186" s="42"/>
      <c r="AJ186" s="6"/>
      <c r="AK186" s="6"/>
      <c r="AL186" s="6"/>
      <c r="AM186" s="6"/>
      <c r="AN186" s="6"/>
      <c r="AO186" s="6"/>
      <c r="AP186" s="6"/>
      <c r="AQ186" s="6"/>
    </row>
    <row r="187" spans="1:43" ht="15.75" hidden="1" outlineLevel="1" x14ac:dyDescent="0.3">
      <c r="A187" s="72"/>
      <c r="B187" s="72"/>
      <c r="O187" s="72"/>
      <c r="P187" s="17"/>
      <c r="Q187" s="17"/>
      <c r="R187" s="17" t="s">
        <v>64</v>
      </c>
      <c r="S187" s="17"/>
      <c r="T187" s="37"/>
      <c r="U187" s="37"/>
      <c r="V187" s="74">
        <f>'M1 Härtekammern'!T170</f>
        <v>60</v>
      </c>
      <c r="W187" s="17"/>
      <c r="X187" s="17"/>
      <c r="Y187" s="37">
        <f>T187+U187</f>
        <v>0</v>
      </c>
      <c r="Z187" s="37">
        <f>SUM(T187:V187)</f>
        <v>60</v>
      </c>
      <c r="AA187" s="17" t="s">
        <v>184</v>
      </c>
      <c r="AB187" s="42"/>
      <c r="AC187" s="42"/>
      <c r="AD187" s="42"/>
      <c r="AE187" s="42"/>
      <c r="AF187" s="42"/>
      <c r="AG187" s="42"/>
      <c r="AH187" s="42"/>
      <c r="AI187" s="42"/>
    </row>
    <row r="188" spans="1:43" ht="15.75" hidden="1" outlineLevel="1" x14ac:dyDescent="0.3">
      <c r="P188" s="17"/>
      <c r="Q188" s="17"/>
      <c r="R188" s="17" t="s">
        <v>173</v>
      </c>
      <c r="S188" s="17"/>
      <c r="T188" s="37"/>
      <c r="U188" s="37"/>
      <c r="V188" s="74">
        <f>'M1 Härtekammern'!T171</f>
        <v>0</v>
      </c>
      <c r="W188" s="17"/>
      <c r="X188" s="17"/>
      <c r="Y188" s="37">
        <f t="shared" ref="Y188:Y189" si="51">T188+U188</f>
        <v>0</v>
      </c>
      <c r="Z188" s="37">
        <f t="shared" ref="Z188:Z189" si="52">SUM(T188:V188)</f>
        <v>0</v>
      </c>
      <c r="AA188" s="17" t="s">
        <v>184</v>
      </c>
      <c r="AB188" s="42"/>
    </row>
    <row r="189" spans="1:43" ht="15.75" hidden="1" outlineLevel="1" x14ac:dyDescent="0.3">
      <c r="C189" s="72"/>
      <c r="D189" s="72"/>
      <c r="E189" s="72"/>
      <c r="F189" s="72"/>
      <c r="G189" s="72"/>
      <c r="H189" s="72"/>
      <c r="I189" s="72"/>
      <c r="J189" s="72"/>
      <c r="K189" s="72"/>
      <c r="L189" s="72"/>
      <c r="M189" s="72"/>
      <c r="N189" s="72"/>
      <c r="P189" s="17"/>
      <c r="Q189" s="17"/>
      <c r="R189" s="17" t="s">
        <v>172</v>
      </c>
      <c r="S189" s="17"/>
      <c r="T189" s="37"/>
      <c r="U189" s="37"/>
      <c r="V189" s="74">
        <f>'M1 Härtekammern'!T172</f>
        <v>0</v>
      </c>
      <c r="W189" s="17"/>
      <c r="X189" s="17"/>
      <c r="Y189" s="37">
        <f t="shared" si="51"/>
        <v>0</v>
      </c>
      <c r="Z189" s="37">
        <f t="shared" si="52"/>
        <v>0</v>
      </c>
      <c r="AA189" s="17" t="s">
        <v>184</v>
      </c>
    </row>
    <row r="190" spans="1:43" ht="15.75" hidden="1" outlineLevel="1" x14ac:dyDescent="0.25">
      <c r="P190" s="17"/>
      <c r="Q190" s="17"/>
      <c r="R190" s="17"/>
      <c r="S190" s="17"/>
      <c r="T190" s="20"/>
      <c r="U190" s="20"/>
      <c r="V190" s="20"/>
      <c r="W190" s="17"/>
      <c r="X190" s="17"/>
      <c r="Y190" s="17"/>
      <c r="Z190" s="17"/>
      <c r="AA190" s="20"/>
      <c r="AC190" s="22" t="s">
        <v>106</v>
      </c>
      <c r="AD190" s="17"/>
      <c r="AE190" s="17"/>
      <c r="AF190" s="17"/>
      <c r="AG190" s="17"/>
      <c r="AH190" s="17"/>
      <c r="AI190" s="17"/>
      <c r="AJ190" s="17"/>
    </row>
    <row r="191" spans="1:43" ht="15" hidden="1" outlineLevel="1" x14ac:dyDescent="0.25">
      <c r="P191" s="17"/>
      <c r="Q191" s="17"/>
      <c r="R191" s="21" t="s">
        <v>61</v>
      </c>
      <c r="S191" s="21"/>
      <c r="T191" s="74"/>
      <c r="U191" s="74"/>
      <c r="V191" s="74">
        <f>'M1 Härtekammern'!T174</f>
        <v>64.48</v>
      </c>
      <c r="W191" s="21"/>
      <c r="X191" s="21"/>
      <c r="Y191" s="74">
        <f t="shared" ref="Y191" si="53">T191+U191</f>
        <v>0</v>
      </c>
      <c r="Z191" s="74">
        <f t="shared" ref="Z191" si="54">SUM(T191:V191)</f>
        <v>64.48</v>
      </c>
      <c r="AA191" s="21" t="s">
        <v>183</v>
      </c>
      <c r="AC191" s="64">
        <f>Q198</f>
        <v>10</v>
      </c>
      <c r="AD191" s="17"/>
      <c r="AE191" s="17"/>
      <c r="AF191" s="17"/>
      <c r="AG191" s="17"/>
      <c r="AH191" s="17"/>
      <c r="AI191" s="17"/>
      <c r="AJ191" s="17"/>
    </row>
    <row r="192" spans="1:43" hidden="1" outlineLevel="1" x14ac:dyDescent="0.2">
      <c r="P192" s="17"/>
      <c r="Q192" s="17"/>
      <c r="R192" s="17"/>
      <c r="S192" s="17"/>
      <c r="T192" s="20"/>
      <c r="U192" s="20"/>
      <c r="V192" s="20"/>
      <c r="W192" s="17"/>
      <c r="X192" s="17"/>
      <c r="Y192" s="17"/>
      <c r="Z192" s="17"/>
      <c r="AA192" s="20"/>
      <c r="AC192" s="17"/>
      <c r="AD192" s="17"/>
      <c r="AE192" s="17"/>
      <c r="AF192" s="17"/>
      <c r="AG192" s="17"/>
      <c r="AH192" s="17"/>
      <c r="AI192" s="17"/>
      <c r="AJ192" s="17"/>
    </row>
    <row r="193" spans="16:36" ht="15" hidden="1" outlineLevel="1" thickBot="1" x14ac:dyDescent="0.3">
      <c r="P193" s="17"/>
      <c r="Q193" s="17"/>
      <c r="R193" s="67" t="s">
        <v>67</v>
      </c>
      <c r="S193" s="67"/>
      <c r="T193" s="68">
        <f>SUM(T125:T191)-T139-T143-T149-T158-T165-T181-T186-T174</f>
        <v>94.932355060000006</v>
      </c>
      <c r="U193" s="68">
        <f>SUM(U125:U191)-U139-U143-U149-U158-U165-U181-U186-U174</f>
        <v>124.8924470887134</v>
      </c>
      <c r="V193" s="68">
        <f>SUM(V125:V191)-V139-V143-V149-V158-V165-V181-V186-V174</f>
        <v>5655.5126232204293</v>
      </c>
      <c r="W193" s="21"/>
      <c r="X193" s="21"/>
      <c r="Y193" s="68">
        <f>SUM(Y125:Y191)-Y139-Y143-Y149-Y158-Y165-Y181-Y186-Y174</f>
        <v>219.82480214871336</v>
      </c>
      <c r="Z193" s="68">
        <f>SUM(Z125:Z191)-Z139-Z143-Z149-Z158-Z165-Z181-Z186-Z174</f>
        <v>5875.3374253691418</v>
      </c>
      <c r="AA193" s="68" t="s">
        <v>183</v>
      </c>
      <c r="AC193" s="17"/>
      <c r="AD193" s="17"/>
      <c r="AE193" s="17"/>
      <c r="AF193" s="17"/>
      <c r="AG193" s="17"/>
      <c r="AH193" s="17"/>
      <c r="AI193" s="17"/>
      <c r="AJ193" s="17"/>
    </row>
    <row r="194" spans="16:36" ht="13.5" hidden="1" outlineLevel="1" thickTop="1" x14ac:dyDescent="0.2">
      <c r="P194" s="17"/>
      <c r="Q194" s="17"/>
      <c r="R194" s="17"/>
      <c r="S194" s="17"/>
      <c r="T194" s="20"/>
      <c r="U194" s="20"/>
      <c r="V194" s="20"/>
      <c r="W194" s="17"/>
      <c r="X194" s="17"/>
      <c r="Y194" s="17"/>
      <c r="Z194" s="17"/>
      <c r="AA194" s="20"/>
      <c r="AC194" s="17"/>
      <c r="AD194" s="17"/>
      <c r="AE194" s="17"/>
      <c r="AF194" s="17"/>
      <c r="AG194" s="17"/>
      <c r="AH194" s="17"/>
      <c r="AI194" s="17"/>
      <c r="AJ194" s="17"/>
    </row>
    <row r="195" spans="16:36" hidden="1" outlineLevel="1" x14ac:dyDescent="0.2">
      <c r="AC195" s="17"/>
      <c r="AD195" s="17"/>
      <c r="AE195" s="17"/>
      <c r="AF195" s="17"/>
      <c r="AG195" s="17"/>
      <c r="AH195" s="17"/>
      <c r="AI195" s="17"/>
      <c r="AJ195" s="17"/>
    </row>
    <row r="196" spans="16:36" hidden="1" outlineLevel="1" x14ac:dyDescent="0.2">
      <c r="AC196" s="17"/>
      <c r="AD196" s="17"/>
      <c r="AE196" s="17"/>
      <c r="AF196" s="17"/>
      <c r="AG196" s="17"/>
      <c r="AH196" s="17"/>
      <c r="AI196" s="17"/>
      <c r="AJ196" s="17"/>
    </row>
    <row r="197" spans="16:36" ht="15.75" hidden="1" outlineLevel="1" x14ac:dyDescent="0.25">
      <c r="P197" s="22"/>
      <c r="Q197" s="22" t="s">
        <v>103</v>
      </c>
      <c r="R197" s="17"/>
      <c r="S197" s="17"/>
      <c r="T197" s="17"/>
      <c r="U197" s="17"/>
      <c r="V197" s="17"/>
      <c r="W197" s="17"/>
      <c r="X197" s="17"/>
      <c r="Y197" s="17"/>
      <c r="Z197" s="17"/>
      <c r="AA197" s="17"/>
      <c r="AC197" s="17"/>
      <c r="AD197" s="17"/>
      <c r="AE197" s="17"/>
      <c r="AF197" s="17"/>
      <c r="AG197" s="17"/>
      <c r="AH197" s="17"/>
      <c r="AI197" s="17"/>
      <c r="AJ197" s="17"/>
    </row>
    <row r="198" spans="16:36" ht="15" hidden="1" outlineLevel="1" x14ac:dyDescent="0.25">
      <c r="P198" s="64"/>
      <c r="Q198" s="64">
        <f>U41</f>
        <v>10</v>
      </c>
      <c r="R198" s="17" t="s">
        <v>192</v>
      </c>
      <c r="S198" s="25"/>
      <c r="T198" s="25"/>
      <c r="U198" s="25"/>
      <c r="V198" s="25"/>
      <c r="W198" s="25"/>
      <c r="X198" s="25"/>
      <c r="Y198" s="25"/>
      <c r="Z198" s="25"/>
      <c r="AA198" s="25"/>
      <c r="AC198" s="17"/>
      <c r="AD198" s="17"/>
      <c r="AE198" s="17"/>
      <c r="AF198" s="17"/>
      <c r="AG198" s="17"/>
      <c r="AH198" s="17"/>
      <c r="AI198" s="17"/>
      <c r="AJ198" s="17"/>
    </row>
    <row r="199" spans="16:36" hidden="1" outlineLevel="1" x14ac:dyDescent="0.2">
      <c r="P199" s="274"/>
      <c r="Q199" s="17"/>
      <c r="R199" s="17" t="s">
        <v>235</v>
      </c>
      <c r="S199" s="287">
        <f>(1+(IF(NOT(ISBLANK($K17)),$K17/100,$I17/100)))</f>
        <v>0.95</v>
      </c>
      <c r="T199" s="17"/>
      <c r="U199" s="17"/>
      <c r="V199" s="17"/>
      <c r="W199" s="17"/>
      <c r="X199" s="17"/>
      <c r="Y199" s="17"/>
      <c r="Z199" s="17"/>
      <c r="AA199" s="17"/>
      <c r="AC199" s="17"/>
      <c r="AD199" s="17"/>
      <c r="AE199" s="17"/>
      <c r="AF199" s="17"/>
      <c r="AG199" s="17"/>
      <c r="AH199" s="17"/>
      <c r="AI199" s="17"/>
      <c r="AJ199" s="17"/>
    </row>
    <row r="200" spans="16:36" hidden="1" outlineLevel="1" x14ac:dyDescent="0.2">
      <c r="P200" s="274"/>
      <c r="Q200" s="17"/>
      <c r="R200" s="17" t="s">
        <v>236</v>
      </c>
      <c r="S200" s="287">
        <f>(1+(IF(NOT(ISBLANK($K18)),$K18/100,$I18/100)))</f>
        <v>0.95</v>
      </c>
      <c r="T200" s="17"/>
      <c r="U200" s="17"/>
      <c r="V200" s="17"/>
      <c r="W200" s="17"/>
      <c r="X200" s="17"/>
      <c r="Y200" s="17"/>
      <c r="Z200" s="17"/>
      <c r="AA200" s="17"/>
      <c r="AC200" s="17"/>
      <c r="AD200" s="17"/>
      <c r="AE200" s="17"/>
      <c r="AF200" s="18"/>
      <c r="AG200" s="18"/>
      <c r="AH200" s="17"/>
      <c r="AI200" s="18"/>
      <c r="AJ200" s="18"/>
    </row>
    <row r="201" spans="16:36" hidden="1" outlineLevel="1" x14ac:dyDescent="0.2">
      <c r="P201" s="274"/>
      <c r="Q201" s="17"/>
      <c r="R201" s="17" t="s">
        <v>48</v>
      </c>
      <c r="S201" s="287">
        <f>(1+(IF(NOT(ISBLANK($K19)),$K19/100,$I19/100)))</f>
        <v>0.95</v>
      </c>
      <c r="T201" s="17"/>
      <c r="U201" s="17"/>
      <c r="V201" s="17"/>
      <c r="W201" s="17"/>
      <c r="X201" s="17"/>
      <c r="Y201" s="17"/>
      <c r="Z201" s="17"/>
      <c r="AA201" s="17"/>
      <c r="AC201" s="17"/>
      <c r="AD201" s="17"/>
      <c r="AE201" s="17"/>
      <c r="AF201" s="18"/>
      <c r="AG201" s="18"/>
      <c r="AH201" s="17"/>
      <c r="AI201" s="18"/>
      <c r="AJ201" s="18"/>
    </row>
    <row r="202" spans="16:36" hidden="1" outlineLevel="1" x14ac:dyDescent="0.2">
      <c r="P202" s="274"/>
      <c r="Q202" s="17"/>
      <c r="R202" s="17" t="s">
        <v>147</v>
      </c>
      <c r="S202" s="287">
        <f>(1+(IF(NOT(ISBLANK($K20)),$K20/100,$I20/100)))</f>
        <v>0.95</v>
      </c>
      <c r="T202" s="17"/>
      <c r="U202" s="17"/>
      <c r="V202" s="17"/>
      <c r="W202" s="17"/>
      <c r="X202" s="17"/>
      <c r="Y202" s="17"/>
      <c r="Z202" s="17"/>
      <c r="AA202" s="17"/>
      <c r="AC202" s="17" t="s">
        <v>132</v>
      </c>
      <c r="AD202" s="17"/>
      <c r="AE202" s="17"/>
      <c r="AF202" s="18"/>
      <c r="AG202" s="18"/>
      <c r="AH202" s="17"/>
      <c r="AI202" s="18"/>
      <c r="AJ202" s="18"/>
    </row>
    <row r="203" spans="16:36" hidden="1" outlineLevel="1" x14ac:dyDescent="0.2">
      <c r="P203" s="274"/>
      <c r="Q203" s="17"/>
      <c r="R203" s="17"/>
      <c r="S203" s="288"/>
      <c r="T203" s="17"/>
      <c r="U203" s="17"/>
      <c r="V203" s="17"/>
      <c r="W203" s="17"/>
      <c r="X203" s="17"/>
      <c r="Y203" s="17"/>
      <c r="Z203" s="17"/>
      <c r="AA203" s="17"/>
      <c r="AC203" s="17"/>
      <c r="AD203" s="17" t="s">
        <v>114</v>
      </c>
      <c r="AE203" s="17"/>
      <c r="AF203" s="19"/>
      <c r="AG203" s="19"/>
      <c r="AH203" s="17"/>
      <c r="AI203" s="41">
        <f>IF(NOT(ISBLANK('Referenz Plattenfertiger'!$I16)),'Referenz Plattenfertiger'!$I16,'Referenz Plattenfertiger'!$F16)/1000*IF(NOT(ISBLANK('Eingabe Preise'!$O10)),'Eingabe Preise'!$O10,'Eingabe Preise'!$M10)</f>
        <v>11468</v>
      </c>
      <c r="AJ203" s="20" t="s">
        <v>96</v>
      </c>
    </row>
    <row r="204" spans="16:36" hidden="1" outlineLevel="1" x14ac:dyDescent="0.2">
      <c r="P204" s="274"/>
      <c r="Q204" s="17"/>
      <c r="R204" s="17" t="s">
        <v>57</v>
      </c>
      <c r="S204" s="287">
        <f>(1+(IF(NOT(ISBLANK($K23)),$K23/100,$I23/100)))</f>
        <v>1</v>
      </c>
      <c r="T204" s="17"/>
      <c r="U204" s="17"/>
      <c r="V204" s="17"/>
      <c r="W204" s="17"/>
      <c r="X204" s="17"/>
      <c r="Y204" s="17"/>
      <c r="Z204" s="17"/>
      <c r="AA204" s="17"/>
      <c r="AC204" s="17"/>
      <c r="AD204" s="17" t="s">
        <v>151</v>
      </c>
      <c r="AE204" s="17"/>
      <c r="AF204" s="20"/>
      <c r="AG204" s="20"/>
      <c r="AH204" s="17"/>
      <c r="AI204" s="41">
        <f>IF(NOT(ISBLANK('Referenz Plattenfertiger'!$I17)),'Referenz Plattenfertiger'!$I17,'Referenz Plattenfertiger'!$F17)/1000*IF(NOT(ISBLANK('Eingabe Preise'!$O11)),'Eingabe Preise'!$O11,'Eingabe Preise'!$M11)</f>
        <v>1104</v>
      </c>
      <c r="AJ204" s="20" t="s">
        <v>96</v>
      </c>
    </row>
    <row r="205" spans="16:36" hidden="1" outlineLevel="1" x14ac:dyDescent="0.2">
      <c r="P205" s="274"/>
      <c r="Q205" s="17"/>
      <c r="R205" s="17" t="s">
        <v>58</v>
      </c>
      <c r="S205" s="287">
        <f>(1+(IF(NOT(ISBLANK($K24)),$K24/100,$I24/100)))</f>
        <v>1.05</v>
      </c>
      <c r="T205" s="17"/>
      <c r="U205" s="17"/>
      <c r="V205" s="17"/>
      <c r="W205" s="17"/>
      <c r="X205" s="17"/>
      <c r="Y205" s="17"/>
      <c r="Z205" s="17"/>
      <c r="AA205" s="17"/>
      <c r="AC205" s="17"/>
      <c r="AD205" s="17" t="s">
        <v>138</v>
      </c>
      <c r="AE205" s="17"/>
      <c r="AF205" s="20"/>
      <c r="AG205" s="20"/>
      <c r="AH205" s="17"/>
      <c r="AI205" s="41">
        <f>IF(NOT(ISBLANK('Referenz Plattenfertiger'!$I18)),'Referenz Plattenfertiger'!$I18,'Referenz Plattenfertiger'!$F18)/1000*IF(NOT(ISBLANK('Eingabe Preise'!$O12)),'Eingabe Preise'!$O12,'Eingabe Preise'!$M12)</f>
        <v>7740</v>
      </c>
      <c r="AJ205" s="20" t="s">
        <v>96</v>
      </c>
    </row>
    <row r="206" spans="16:36" hidden="1" outlineLevel="1" x14ac:dyDescent="0.2">
      <c r="P206" s="274"/>
      <c r="Q206" s="17"/>
      <c r="R206" s="17" t="s">
        <v>59</v>
      </c>
      <c r="S206" s="287">
        <f>(1+(IF(NOT(ISBLANK($K25)),$K25/100,$I25/100)))</f>
        <v>1.05</v>
      </c>
      <c r="T206" s="17"/>
      <c r="U206" s="17"/>
      <c r="V206" s="17"/>
      <c r="W206" s="17"/>
      <c r="X206" s="17"/>
      <c r="Y206" s="17"/>
      <c r="Z206" s="17"/>
      <c r="AA206" s="17"/>
      <c r="AC206" s="17"/>
      <c r="AD206" s="17" t="s">
        <v>115</v>
      </c>
      <c r="AE206" s="17"/>
      <c r="AF206" s="20"/>
      <c r="AG206" s="20"/>
      <c r="AH206" s="17"/>
      <c r="AI206" s="41">
        <f>IF(NOT(ISBLANK('Referenz Plattenfertiger'!$I19)),'Referenz Plattenfertiger'!$I19,'Referenz Plattenfertiger'!$F19)/1000*IF(NOT(ISBLANK('Eingabe Preise'!$O16)),'Eingabe Preise'!$O16,0)</f>
        <v>0</v>
      </c>
      <c r="AJ206" s="20" t="s">
        <v>96</v>
      </c>
    </row>
    <row r="207" spans="16:36" hidden="1" outlineLevel="1" x14ac:dyDescent="0.2">
      <c r="P207" s="274"/>
      <c r="Q207" s="17"/>
      <c r="R207" s="17" t="str">
        <f>D26</f>
        <v>Weiterer Zusatzstoff 1</v>
      </c>
      <c r="S207" s="287">
        <f t="shared" ref="S207:S208" si="55">(1+(IF(NOT(ISBLANK($K26)),$K26/100,$I26/100)))</f>
        <v>1</v>
      </c>
      <c r="T207" s="17"/>
      <c r="U207" s="17"/>
      <c r="V207" s="17"/>
      <c r="W207" s="17"/>
      <c r="X207" s="17"/>
      <c r="Y207" s="17"/>
      <c r="Z207" s="17"/>
      <c r="AA207" s="17"/>
      <c r="AC207" s="17" t="s">
        <v>133</v>
      </c>
      <c r="AD207" s="17"/>
      <c r="AE207" s="17"/>
      <c r="AF207" s="20"/>
      <c r="AG207" s="20"/>
      <c r="AH207" s="17"/>
      <c r="AI207" s="20"/>
      <c r="AJ207" s="20"/>
    </row>
    <row r="208" spans="16:36" hidden="1" outlineLevel="1" x14ac:dyDescent="0.2">
      <c r="P208" s="274"/>
      <c r="Q208" s="17"/>
      <c r="R208" s="17" t="str">
        <f>D27</f>
        <v>Weiterer Zusatzstoff 2</v>
      </c>
      <c r="S208" s="287">
        <f t="shared" si="55"/>
        <v>1</v>
      </c>
      <c r="T208" s="17"/>
      <c r="U208" s="17"/>
      <c r="V208" s="17"/>
      <c r="W208" s="17"/>
      <c r="X208" s="17"/>
      <c r="Y208" s="17"/>
      <c r="Z208" s="17"/>
      <c r="AA208" s="17"/>
      <c r="AC208" s="17"/>
      <c r="AD208" s="17" t="s">
        <v>29</v>
      </c>
      <c r="AE208" s="17"/>
      <c r="AF208" s="20"/>
      <c r="AG208" s="20"/>
      <c r="AH208" s="17"/>
      <c r="AI208" s="41">
        <f>IF(NOT(ISBLANK('Referenz Plattenfertiger'!$I21)),'Referenz Plattenfertiger'!$I21,'Referenz Plattenfertiger'!$F21)/1000*IF(NOT(ISBLANK('Eingabe Preise'!$O10)),'Eingabe Preise'!$O10,'Eingabe Preise'!$M10)</f>
        <v>2867</v>
      </c>
      <c r="AJ208" s="20" t="s">
        <v>96</v>
      </c>
    </row>
    <row r="209" spans="16:36" hidden="1" outlineLevel="1" x14ac:dyDescent="0.2">
      <c r="P209" s="17"/>
      <c r="Q209" s="17"/>
      <c r="R209" s="17"/>
      <c r="S209" s="17"/>
      <c r="T209" s="17"/>
      <c r="U209" s="17"/>
      <c r="V209" s="17"/>
      <c r="W209" s="17"/>
      <c r="X209" s="17"/>
      <c r="Y209" s="17"/>
      <c r="Z209" s="17"/>
      <c r="AA209" s="17"/>
      <c r="AC209" s="17"/>
      <c r="AD209" s="17" t="s">
        <v>30</v>
      </c>
      <c r="AE209" s="17"/>
      <c r="AF209" s="20"/>
      <c r="AG209" s="20"/>
      <c r="AH209" s="17"/>
      <c r="AI209" s="41">
        <f>IF(NOT(ISBLANK('Referenz Plattenfertiger'!$I22)),'Referenz Plattenfertiger'!$I22,'Referenz Plattenfertiger'!$F22)/1000*IF(NOT(ISBLANK('Eingabe Preise'!$O11)),'Eingabe Preise'!$O11,'Eingabe Preise'!$M11)</f>
        <v>1656</v>
      </c>
      <c r="AJ209" s="20" t="s">
        <v>96</v>
      </c>
    </row>
    <row r="210" spans="16:36" ht="63.75" hidden="1" outlineLevel="1" x14ac:dyDescent="0.2">
      <c r="P210" s="17"/>
      <c r="Q210" s="17"/>
      <c r="R210" s="17"/>
      <c r="S210" s="17"/>
      <c r="T210" s="36" t="s">
        <v>25</v>
      </c>
      <c r="U210" s="36" t="s">
        <v>77</v>
      </c>
      <c r="V210" s="36" t="s">
        <v>27</v>
      </c>
      <c r="W210" s="17"/>
      <c r="X210" s="17"/>
      <c r="Y210" s="39" t="s">
        <v>100</v>
      </c>
      <c r="Z210" s="40" t="s">
        <v>37</v>
      </c>
      <c r="AA210" s="17"/>
      <c r="AC210" s="17" t="s">
        <v>134</v>
      </c>
      <c r="AD210" s="17"/>
      <c r="AE210" s="17"/>
      <c r="AF210" s="20"/>
      <c r="AG210" s="20"/>
      <c r="AH210" s="17"/>
      <c r="AI210" s="20"/>
      <c r="AJ210" s="20"/>
    </row>
    <row r="211" spans="16:36" ht="14.25" hidden="1" outlineLevel="1" x14ac:dyDescent="0.25">
      <c r="P211" s="76"/>
      <c r="Q211" s="76" t="s">
        <v>176</v>
      </c>
      <c r="R211" s="76"/>
      <c r="S211" s="76"/>
      <c r="T211" s="77">
        <f>SUM(T213:T226)</f>
        <v>94.932355060000006</v>
      </c>
      <c r="U211" s="77">
        <f>SUM(U213:U226)</f>
        <v>61.552554846110553</v>
      </c>
      <c r="V211" s="77">
        <f>SUM(V213:V226)</f>
        <v>25.105144641628776</v>
      </c>
      <c r="W211" s="76"/>
      <c r="X211" s="76"/>
      <c r="Y211" s="77">
        <f>T211+U211</f>
        <v>156.48490990611054</v>
      </c>
      <c r="Z211" s="77">
        <f>SUM(T211:V211)</f>
        <v>181.59005454773933</v>
      </c>
      <c r="AA211" s="76" t="s">
        <v>183</v>
      </c>
      <c r="AC211" s="17"/>
      <c r="AD211" s="17" t="s">
        <v>136</v>
      </c>
      <c r="AE211" s="17"/>
      <c r="AF211" s="20"/>
      <c r="AG211" s="20"/>
      <c r="AH211" s="17"/>
      <c r="AI211" s="41">
        <f>IF(NOT(ISBLANK('Referenz Plattenfertiger'!$I24)),'Referenz Plattenfertiger'!$I24,'Referenz Plattenfertiger'!$F24)/1000*IF(NOT(ISBLANK('Eingabe Preise'!$O12)),'Eingabe Preise'!$O12,'Eingabe Preise'!$M12)</f>
        <v>69660</v>
      </c>
      <c r="AJ211" s="20" t="s">
        <v>96</v>
      </c>
    </row>
    <row r="212" spans="16:36" hidden="1" outlineLevel="1" x14ac:dyDescent="0.2">
      <c r="P212" s="17"/>
      <c r="Q212" s="17" t="s">
        <v>132</v>
      </c>
      <c r="R212" s="17"/>
      <c r="S212" s="17"/>
      <c r="T212" s="17"/>
      <c r="U212" s="17"/>
      <c r="V212" s="17"/>
      <c r="W212" s="17"/>
      <c r="X212" s="17"/>
      <c r="Y212" s="17"/>
      <c r="Z212" s="17"/>
      <c r="AA212" s="17"/>
      <c r="AC212" s="17"/>
      <c r="AD212" s="17" t="s">
        <v>111</v>
      </c>
      <c r="AE212" s="17"/>
      <c r="AF212" s="20"/>
      <c r="AG212" s="20"/>
      <c r="AH212" s="17"/>
      <c r="AI212" s="41">
        <f>IF(NOT(ISBLANK('Referenz Plattenfertiger'!$I25)),'Referenz Plattenfertiger'!$I25,'Referenz Plattenfertiger'!$F25)/1000*IF(NOT(ISBLANK('Eingabe Preise'!$O13)),'Eingabe Preise'!$O13,'Eingabe Preise'!$M13)</f>
        <v>0</v>
      </c>
      <c r="AJ212" s="20" t="s">
        <v>96</v>
      </c>
    </row>
    <row r="213" spans="16:36" ht="15.75" hidden="1" outlineLevel="1" x14ac:dyDescent="0.3">
      <c r="P213" s="274"/>
      <c r="Q213" s="17"/>
      <c r="R213" s="17" t="s">
        <v>114</v>
      </c>
      <c r="S213" s="17"/>
      <c r="T213" s="37">
        <f>IF(NOT(ISBLANK('Referenz Plattenfertiger'!$I16)),'Referenz Plattenfertiger'!$I16,'Referenz Plattenfertiger'!$F16)*IF(NOT(ISBLANK('Eingabe EF'!$AS9)),'Eingabe EF'!$AS9,'Eingabe EF'!$AQ9)</f>
        <v>34.434080000000002</v>
      </c>
      <c r="U213" s="37">
        <f>IF(NOT(ISBLANK('Referenz Plattenfertiger'!$I16)),'Referenz Plattenfertiger'!$I16,'Referenz Plattenfertiger'!$F16)*IF(NOT(ISBLANK('Eingabe EF'!$AW9)),'Eingabe EF'!$AW9,'Eingabe EF'!$AU9)</f>
        <v>0</v>
      </c>
      <c r="V213" s="37">
        <f>IF(NOT(ISBLANK('Referenz Plattenfertiger'!$I16)),'Referenz Plattenfertiger'!$I16,'Referenz Plattenfertiger'!$F16)*IF(NOT(ISBLANK('Eingabe EF'!$BA9)),'Eingabe EF'!$BA9,'Eingabe EF'!$AY9)</f>
        <v>5.8938000000000006</v>
      </c>
      <c r="W213" s="17"/>
      <c r="X213" s="17"/>
      <c r="Y213" s="37">
        <f>T213+U213</f>
        <v>34.434080000000002</v>
      </c>
      <c r="Z213" s="37">
        <f>SUM(T213:V213)</f>
        <v>40.32788</v>
      </c>
      <c r="AA213" s="17" t="s">
        <v>184</v>
      </c>
      <c r="AC213" s="17"/>
      <c r="AD213" s="17" t="s">
        <v>135</v>
      </c>
      <c r="AE213" s="17"/>
      <c r="AF213" s="30"/>
      <c r="AG213" s="30"/>
      <c r="AH213" s="17"/>
      <c r="AI213" s="41">
        <f>IF(NOT(ISBLANK('Referenz Plattenfertiger'!$I26)),'Referenz Plattenfertiger'!$I26,'Referenz Plattenfertiger'!$F26)/1000*IF(NOT(ISBLANK('Eingabe Preise'!$O17)),'Eingabe Preise'!$O17,0)</f>
        <v>0</v>
      </c>
      <c r="AJ213" s="20" t="s">
        <v>96</v>
      </c>
    </row>
    <row r="214" spans="16:36" ht="15.75" hidden="1" outlineLevel="1" x14ac:dyDescent="0.3">
      <c r="P214" s="274"/>
      <c r="Q214" s="17"/>
      <c r="R214" s="17" t="s">
        <v>151</v>
      </c>
      <c r="S214" s="17"/>
      <c r="T214" s="37">
        <f>IF(NOT(ISBLANK('Referenz Plattenfertiger'!$I17)),'Referenz Plattenfertiger'!$I17,'Referenz Plattenfertiger'!$F17)*IF(NOT(ISBLANK('Eingabe EF'!$AS10)),'Eingabe EF'!$AS10,'Eingabe EF'!$AQ10)</f>
        <v>6.4022399999999999</v>
      </c>
      <c r="U214" s="37">
        <f>IF(NOT(ISBLANK('Referenz Plattenfertiger'!$I17)),'Referenz Plattenfertiger'!$I17,'Referenz Plattenfertiger'!$F17)*IF(NOT(ISBLANK('Eingabe EF'!$AW10)),'Eingabe EF'!$AW10,'Eingabe EF'!$AU10)</f>
        <v>0</v>
      </c>
      <c r="V214" s="37">
        <f>IF(NOT(ISBLANK('Referenz Plattenfertiger'!$I17)),'Referenz Plattenfertiger'!$I17,'Referenz Plattenfertiger'!$F17)*IF(NOT(ISBLANK('Eingabe EF'!$BA10)),'Eingabe EF'!$BA10,'Eingabe EF'!$AY10)</f>
        <v>0.949824</v>
      </c>
      <c r="W214" s="17"/>
      <c r="X214" s="17"/>
      <c r="Y214" s="37">
        <f>T214+U214</f>
        <v>6.4022399999999999</v>
      </c>
      <c r="Z214" s="37">
        <f>SUM(T214:V214)</f>
        <v>7.3520640000000004</v>
      </c>
      <c r="AA214" s="17" t="s">
        <v>184</v>
      </c>
      <c r="AC214" s="17"/>
      <c r="AD214" s="17"/>
      <c r="AE214" s="17"/>
      <c r="AF214" s="30"/>
      <c r="AG214" s="30"/>
      <c r="AH214" s="17"/>
      <c r="AI214" s="17"/>
      <c r="AJ214" s="17"/>
    </row>
    <row r="215" spans="16:36" ht="15.75" hidden="1" outlineLevel="1" x14ac:dyDescent="0.3">
      <c r="P215" s="274"/>
      <c r="Q215" s="17"/>
      <c r="R215" s="17" t="s">
        <v>138</v>
      </c>
      <c r="S215" s="17"/>
      <c r="T215" s="37">
        <f>IF(NOT(ISBLANK('Referenz Plattenfertiger'!$I18)),'Referenz Plattenfertiger'!$I18,'Referenz Plattenfertiger'!$F18)*IF(NOT(ISBLANK('Eingabe EF'!$AS11)),'Eingabe EF'!$AS11,'Eingabe EF'!$AQ11)</f>
        <v>0</v>
      </c>
      <c r="U215" s="37">
        <f>IF(NOT(ISBLANK('Referenz Plattenfertiger'!$I18)),'Referenz Plattenfertiger'!$I18,'Referenz Plattenfertiger'!$F18)*IF(NOT(ISBLANK('Eingabe EF'!$AW11)),'Eingabe EF'!$AW11,'Eingabe EF'!$AU11)</f>
        <v>6.1552554846110556</v>
      </c>
      <c r="V215" s="37">
        <f>IF(NOT(ISBLANK('Referenz Plattenfertiger'!$I18)),'Referenz Plattenfertiger'!$I18,'Referenz Plattenfertiger'!$F18)*IF(NOT(ISBLANK('Eingabe EF'!$BA11)),'Eingabe EF'!$BA11,'Eingabe EF'!$AY11)</f>
        <v>0.90234111816287721</v>
      </c>
      <c r="W215" s="17"/>
      <c r="X215" s="17"/>
      <c r="Y215" s="37">
        <f>T215+U215</f>
        <v>6.1552554846110556</v>
      </c>
      <c r="Z215" s="37">
        <f>SUM(T215:V215)</f>
        <v>7.0575966027739332</v>
      </c>
      <c r="AA215" s="17" t="s">
        <v>184</v>
      </c>
      <c r="AC215" s="17"/>
      <c r="AD215" s="17" t="s">
        <v>32</v>
      </c>
      <c r="AE215" s="17" t="s">
        <v>408</v>
      </c>
      <c r="AF215" s="30"/>
      <c r="AG215" s="30"/>
      <c r="AH215" s="17"/>
      <c r="AI215" s="41">
        <f>IF(NOT(ISBLANK('Referenz Plattenfertiger'!$I28)),'Referenz Plattenfertiger'!$I28,'Referenz Plattenfertiger'!$F28)*IF(NOT(ISBLANK('Eingabe Preise'!$O14)),'Eingabe Preise'!$O14,'Eingabe Preise'!$M14)</f>
        <v>12364.000000000002</v>
      </c>
      <c r="AJ215" s="20" t="s">
        <v>96</v>
      </c>
    </row>
    <row r="216" spans="16:36" ht="15.75" hidden="1" outlineLevel="1" x14ac:dyDescent="0.3">
      <c r="P216" s="274"/>
      <c r="Q216" s="17"/>
      <c r="R216" s="17" t="s">
        <v>115</v>
      </c>
      <c r="S216" s="17"/>
      <c r="T216" s="43">
        <f>IF(NOT(ISBLANK('Referenz Plattenfertiger'!$I19)),'Referenz Plattenfertiger'!$I19,'Referenz Plattenfertiger'!$F19)*IF(NOT(ISBLANK('Eingabe EF'!$AS12)),'Eingabe EF'!$AS12,0)</f>
        <v>0</v>
      </c>
      <c r="U216" s="43">
        <f>IF(NOT(ISBLANK('Referenz Plattenfertiger'!$I19)),'Referenz Plattenfertiger'!$I19,'Referenz Plattenfertiger'!$F19)*IF(NOT(ISBLANK('Eingabe EF'!$AW12)),'Eingabe EF'!$AW12,0)</f>
        <v>0</v>
      </c>
      <c r="V216" s="43">
        <f>IF(NOT(ISBLANK('Referenz Plattenfertiger'!$I19)),'Referenz Plattenfertiger'!$I19,'Referenz Plattenfertiger'!$F19)*IF(NOT(ISBLANK('Eingabe EF'!$BA12)),'Eingabe EF'!$BA12,0)</f>
        <v>0</v>
      </c>
      <c r="W216" s="17"/>
      <c r="X216" s="17"/>
      <c r="Y216" s="37">
        <f>T216+U216</f>
        <v>0</v>
      </c>
      <c r="Z216" s="37">
        <f>SUM(T216:V216)</f>
        <v>0</v>
      </c>
      <c r="AA216" s="17" t="s">
        <v>184</v>
      </c>
      <c r="AC216" s="17"/>
      <c r="AD216" s="17" t="s">
        <v>32</v>
      </c>
      <c r="AE216" s="17" t="s">
        <v>70</v>
      </c>
      <c r="AF216" s="30"/>
      <c r="AG216" s="30"/>
      <c r="AH216" s="17"/>
      <c r="AI216" s="41">
        <f>IF(NOT(ISBLANK('Referenz Plattenfertiger'!$I29)),'Referenz Plattenfertiger'!$I29,'Referenz Plattenfertiger'!$F29)*IF(NOT(ISBLANK('Eingabe Preise'!$O14)),'Eingabe Preise'!$O14,'Eingabe Preise'!$M14)</f>
        <v>2810.0000000000005</v>
      </c>
      <c r="AJ216" s="20" t="s">
        <v>96</v>
      </c>
    </row>
    <row r="217" spans="16:36" hidden="1" outlineLevel="1" x14ac:dyDescent="0.2">
      <c r="P217" s="17"/>
      <c r="Q217" s="17" t="s">
        <v>133</v>
      </c>
      <c r="R217" s="17"/>
      <c r="S217" s="17"/>
      <c r="T217" s="17"/>
      <c r="U217" s="17"/>
      <c r="V217" s="17"/>
      <c r="W217" s="17"/>
      <c r="X217" s="17"/>
      <c r="Y217" s="17"/>
      <c r="Z217" s="17"/>
      <c r="AA217" s="17"/>
      <c r="AC217" s="17"/>
      <c r="AD217" s="17"/>
      <c r="AE217" s="17"/>
      <c r="AF217" s="30"/>
      <c r="AG217" s="30"/>
      <c r="AH217" s="17"/>
      <c r="AI217" s="17"/>
      <c r="AJ217" s="17"/>
    </row>
    <row r="218" spans="16:36" ht="15.75" hidden="1" outlineLevel="1" x14ac:dyDescent="0.3">
      <c r="P218" s="17"/>
      <c r="Q218" s="17"/>
      <c r="R218" s="17" t="s">
        <v>29</v>
      </c>
      <c r="S218" s="17"/>
      <c r="T218" s="43">
        <f>IF(NOT(ISBLANK('Referenz Plattenfertiger'!$I21)),'Referenz Plattenfertiger'!$I21,'Referenz Plattenfertiger'!$F21)*IF(NOT(ISBLANK('Eingabe EF'!$AS9)),'Eingabe EF'!$AS9,'Eingabe EF'!$AQ9)</f>
        <v>8.6085200000000004</v>
      </c>
      <c r="U218" s="43">
        <f>IF(NOT(ISBLANK('Referenz Plattenfertiger'!$I21)),'Referenz Plattenfertiger'!$I21,'Referenz Plattenfertiger'!$F21)*IF(NOT(ISBLANK('Eingabe EF'!$AW9)),'Eingabe EF'!$AW9,'Eingabe EF'!$AU9)</f>
        <v>0</v>
      </c>
      <c r="V218" s="43">
        <f>IF(NOT(ISBLANK('Referenz Plattenfertiger'!$I21)),'Referenz Plattenfertiger'!$I21,'Referenz Plattenfertiger'!$F21)*IF(NOT(ISBLANK('Eingabe EF'!$BA9)),'Eingabe EF'!$BA9,'Eingabe EF'!$AY9)</f>
        <v>1.4734500000000001</v>
      </c>
      <c r="W218" s="17"/>
      <c r="X218" s="17"/>
      <c r="Y218" s="37">
        <f t="shared" ref="Y218:Y219" si="56">T218+U218</f>
        <v>8.6085200000000004</v>
      </c>
      <c r="Z218" s="37">
        <f t="shared" ref="Z218:Z219" si="57">SUM(T218:V218)</f>
        <v>10.08197</v>
      </c>
      <c r="AA218" s="17" t="s">
        <v>184</v>
      </c>
      <c r="AC218" s="17"/>
      <c r="AD218" s="17"/>
      <c r="AE218" s="17"/>
      <c r="AF218" s="30"/>
      <c r="AG218" s="30"/>
      <c r="AH218" s="17"/>
      <c r="AI218" s="17"/>
      <c r="AJ218" s="17"/>
    </row>
    <row r="219" spans="16:36" ht="15.75" hidden="1" outlineLevel="1" x14ac:dyDescent="0.3">
      <c r="P219" s="17"/>
      <c r="Q219" s="17"/>
      <c r="R219" s="17" t="s">
        <v>30</v>
      </c>
      <c r="S219" s="17"/>
      <c r="T219" s="43">
        <f>IF(NOT(ISBLANK('Referenz Plattenfertiger'!$I22)),'Referenz Plattenfertiger'!$I22,'Referenz Plattenfertiger'!$F22)*IF(NOT(ISBLANK('Eingabe EF'!$AS10)),'Eingabe EF'!$AS10,'Eingabe EF'!$AQ10)</f>
        <v>9.6033600000000003</v>
      </c>
      <c r="U219" s="43">
        <f>IF(NOT(ISBLANK('Referenz Plattenfertiger'!$I22)),'Referenz Plattenfertiger'!$I22,'Referenz Plattenfertiger'!$F22)*IF(NOT(ISBLANK('Eingabe EF'!$AW10)),'Eingabe EF'!$AW10,'Eingabe EF'!$AU10)</f>
        <v>0</v>
      </c>
      <c r="V219" s="43">
        <f>IF(NOT(ISBLANK('Referenz Plattenfertiger'!$I22)),'Referenz Plattenfertiger'!$I22,'Referenz Plattenfertiger'!$F22)*IF(NOT(ISBLANK('Eingabe EF'!$BA10)),'Eingabe EF'!$BA10,'Eingabe EF'!$AY10)</f>
        <v>1.424736</v>
      </c>
      <c r="W219" s="17"/>
      <c r="X219" s="17"/>
      <c r="Y219" s="37">
        <f t="shared" si="56"/>
        <v>9.6033600000000003</v>
      </c>
      <c r="Z219" s="37">
        <f t="shared" si="57"/>
        <v>11.028096</v>
      </c>
      <c r="AA219" s="17" t="s">
        <v>184</v>
      </c>
      <c r="AC219" s="17"/>
      <c r="AD219" s="17" t="s">
        <v>28</v>
      </c>
      <c r="AE219" s="17"/>
      <c r="AF219" s="30"/>
      <c r="AG219" s="30"/>
      <c r="AH219" s="17"/>
      <c r="AI219" s="41">
        <f>AI231+AI232</f>
        <v>0</v>
      </c>
      <c r="AJ219" s="20" t="s">
        <v>96</v>
      </c>
    </row>
    <row r="220" spans="16:36" hidden="1" outlineLevel="1" x14ac:dyDescent="0.2">
      <c r="P220" s="17"/>
      <c r="Q220" s="17" t="s">
        <v>134</v>
      </c>
      <c r="R220" s="17"/>
      <c r="S220" s="17"/>
      <c r="T220" s="17"/>
      <c r="U220" s="17"/>
      <c r="V220" s="17"/>
      <c r="W220" s="17"/>
      <c r="X220" s="17"/>
      <c r="Y220" s="17"/>
      <c r="Z220" s="17"/>
      <c r="AA220" s="17"/>
      <c r="AC220" s="17"/>
      <c r="AD220" s="44" t="s">
        <v>139</v>
      </c>
      <c r="AE220" s="17"/>
      <c r="AF220" s="30"/>
      <c r="AG220" s="30"/>
      <c r="AH220" s="17"/>
      <c r="AI220" s="41">
        <f>IF(NOT(ISBLANK($K$36)),$K$36,$I$36)</f>
        <v>0</v>
      </c>
      <c r="AJ220" s="20" t="s">
        <v>96</v>
      </c>
    </row>
    <row r="221" spans="16:36" ht="15.75" hidden="1" outlineLevel="1" x14ac:dyDescent="0.3">
      <c r="P221" s="17"/>
      <c r="Q221" s="17"/>
      <c r="R221" s="17" t="s">
        <v>136</v>
      </c>
      <c r="S221" s="17"/>
      <c r="T221" s="43">
        <f>IF(NOT(ISBLANK('Referenz Plattenfertiger'!$I24)),'Referenz Plattenfertiger'!$I24,'Referenz Plattenfertiger'!$F24)*IF(NOT(ISBLANK('Eingabe EF'!$AS11)),'Eingabe EF'!$AS11,'Eingabe EF'!$AQ11)</f>
        <v>0</v>
      </c>
      <c r="U221" s="43">
        <f>IF(NOT(ISBLANK('Referenz Plattenfertiger'!$I24)),'Referenz Plattenfertiger'!$I24,'Referenz Plattenfertiger'!$F24)*IF(NOT(ISBLANK('Eingabe EF'!$AW11)),'Eingabe EF'!$AW11,'Eingabe EF'!$AU11)</f>
        <v>55.397299361499499</v>
      </c>
      <c r="V221" s="43">
        <f>IF(NOT(ISBLANK('Referenz Plattenfertiger'!$I24)),'Referenz Plattenfertiger'!$I24,'Referenz Plattenfertiger'!$F24)*IF(NOT(ISBLANK('Eingabe EF'!$BA11)),'Eingabe EF'!$BA11,'Eingabe EF'!$AY11)</f>
        <v>8.1210700634658952</v>
      </c>
      <c r="W221" s="17"/>
      <c r="X221" s="17"/>
      <c r="Y221" s="37">
        <f t="shared" ref="Y221:Y229" si="58">T221+U221</f>
        <v>55.397299361499499</v>
      </c>
      <c r="Z221" s="37">
        <f t="shared" ref="Z221:Z229" si="59">SUM(T221:V221)</f>
        <v>63.518369424965393</v>
      </c>
      <c r="AA221" s="17" t="s">
        <v>184</v>
      </c>
      <c r="AC221" s="17"/>
      <c r="AD221" s="44" t="s">
        <v>146</v>
      </c>
      <c r="AE221" s="17"/>
      <c r="AF221" s="30"/>
      <c r="AG221" s="30"/>
      <c r="AH221" s="17"/>
      <c r="AI221" s="41">
        <f>AI234+AI235</f>
        <v>0</v>
      </c>
      <c r="AJ221" s="20" t="s">
        <v>96</v>
      </c>
    </row>
    <row r="222" spans="16:36" ht="15.75" hidden="1" outlineLevel="1" x14ac:dyDescent="0.3">
      <c r="P222" s="17"/>
      <c r="Q222" s="17"/>
      <c r="R222" s="17" t="s">
        <v>111</v>
      </c>
      <c r="S222" s="17"/>
      <c r="T222" s="43">
        <f>IF(NOT(ISBLANK('Referenz Plattenfertiger'!$I25)),'Referenz Plattenfertiger'!$I25,'Referenz Plattenfertiger'!$F25)*IF(NOT(ISBLANK('Eingabe EF'!$AS13)),'Eingabe EF'!$AS13,'Eingabe EF'!$AQ13)</f>
        <v>0</v>
      </c>
      <c r="U222" s="43">
        <f>IF(NOT(ISBLANK('Referenz Plattenfertiger'!$I25)),'Referenz Plattenfertiger'!$I25,'Referenz Plattenfertiger'!$F25)*IF(NOT(ISBLANK('Eingabe EF'!$AW13)),'Eingabe EF'!$AW13,'Eingabe EF'!$AU13)</f>
        <v>0</v>
      </c>
      <c r="V222" s="43">
        <f>IF(NOT(ISBLANK('Referenz Plattenfertiger'!$I25)),'Referenz Plattenfertiger'!$I25,'Referenz Plattenfertiger'!$F25)*IF(NOT(ISBLANK('Eingabe EF'!$BA13)),'Eingabe EF'!$BA13,'Eingabe EF'!$AY13)</f>
        <v>0</v>
      </c>
      <c r="W222" s="17"/>
      <c r="X222" s="17"/>
      <c r="Y222" s="37">
        <f t="shared" si="58"/>
        <v>0</v>
      </c>
      <c r="Z222" s="37">
        <f t="shared" si="59"/>
        <v>0</v>
      </c>
      <c r="AA222" s="17" t="s">
        <v>184</v>
      </c>
      <c r="AC222" s="17"/>
      <c r="AD222" s="17"/>
      <c r="AE222" s="17"/>
      <c r="AF222" s="17"/>
      <c r="AG222" s="17"/>
      <c r="AH222" s="17"/>
      <c r="AI222" s="17"/>
      <c r="AJ222" s="17"/>
    </row>
    <row r="223" spans="16:36" ht="15.75" hidden="1" outlineLevel="1" x14ac:dyDescent="0.3">
      <c r="P223" s="17"/>
      <c r="Q223" s="17"/>
      <c r="R223" s="17" t="s">
        <v>135</v>
      </c>
      <c r="S223" s="17"/>
      <c r="T223" s="43">
        <f>IF(NOT(ISBLANK('Referenz Plattenfertiger'!$I26)),'Referenz Plattenfertiger'!$I26,'Referenz Plattenfertiger'!$F26)*IF(NOT(ISBLANK('Eingabe EF'!$AS14)),'Eingabe EF'!$AS14,0)</f>
        <v>0</v>
      </c>
      <c r="U223" s="43">
        <f>IF(NOT(ISBLANK('Referenz Plattenfertiger'!$I26)),'Referenz Plattenfertiger'!$I26,'Referenz Plattenfertiger'!$F26)*IF(NOT(ISBLANK('Eingabe EF'!$AW14)),'Eingabe EF'!$AW14,0)</f>
        <v>0</v>
      </c>
      <c r="V223" s="43">
        <f>IF(NOT(ISBLANK('Referenz Plattenfertiger'!$I26)),'Referenz Plattenfertiger'!$I26,'Referenz Plattenfertiger'!$F26)*IF(NOT(ISBLANK('Eingabe EF'!$BA14)),'Eingabe EF'!$BA14,0)</f>
        <v>0</v>
      </c>
      <c r="W223" s="17"/>
      <c r="X223" s="17"/>
      <c r="Y223" s="37">
        <f t="shared" si="58"/>
        <v>0</v>
      </c>
      <c r="Z223" s="37">
        <f t="shared" si="59"/>
        <v>0</v>
      </c>
      <c r="AA223" s="17" t="s">
        <v>184</v>
      </c>
      <c r="AC223" s="17"/>
      <c r="AD223" s="17"/>
      <c r="AE223" s="17"/>
      <c r="AF223" s="17"/>
      <c r="AG223" s="17"/>
      <c r="AH223" s="17"/>
      <c r="AI223" s="17"/>
      <c r="AJ223" s="17"/>
    </row>
    <row r="224" spans="16:36" hidden="1" outlineLevel="1" x14ac:dyDescent="0.2">
      <c r="P224" s="17"/>
      <c r="Q224" s="17"/>
      <c r="R224" s="17"/>
      <c r="S224" s="17"/>
      <c r="T224" s="17"/>
      <c r="U224" s="17"/>
      <c r="V224" s="17"/>
      <c r="W224" s="17"/>
      <c r="X224" s="17"/>
      <c r="Y224" s="17"/>
      <c r="Z224" s="17"/>
      <c r="AA224" s="17"/>
      <c r="AC224" s="17"/>
      <c r="AD224" s="17" t="s">
        <v>490</v>
      </c>
      <c r="AE224" s="17"/>
      <c r="AF224" s="30"/>
      <c r="AG224" s="30"/>
      <c r="AH224" s="17"/>
      <c r="AI224" s="41">
        <f>T278*IF(NOT(ISBLANK('Eingabe Preise'!$O21)),'Eingabe Preise'!$O21,'Eingabe Preise'!$M21)</f>
        <v>7594.5884048000007</v>
      </c>
      <c r="AJ224" s="20" t="s">
        <v>96</v>
      </c>
    </row>
    <row r="225" spans="16:36" ht="15.75" hidden="1" outlineLevel="1" x14ac:dyDescent="0.3">
      <c r="P225" s="17"/>
      <c r="Q225" s="17" t="s">
        <v>408</v>
      </c>
      <c r="R225" s="17" t="s">
        <v>32</v>
      </c>
      <c r="S225" s="17"/>
      <c r="T225" s="43">
        <f>IF(NOT(ISBLANK('Referenz Plattenfertiger'!$I28)),'Referenz Plattenfertiger'!$I28,'Referenz Plattenfertiger'!$F28)*IF(NOT(ISBLANK('Eingabe EF'!$AS15)),'Eingabe EF'!$AS15,'Eingabe EF'!$AQ15)</f>
        <v>29.238941159999996</v>
      </c>
      <c r="U225" s="43">
        <f>IF(NOT(ISBLANK('Referenz Plattenfertiger'!$I28)),'Referenz Plattenfertiger'!$I28,'Referenz Plattenfertiger'!$F28)*IF(NOT(ISBLANK('Eingabe EF'!$AW15)),'Eingabe EF'!$AW15,'Eingabe EF'!$AU15)</f>
        <v>0</v>
      </c>
      <c r="V225" s="43">
        <f>IF(NOT(ISBLANK('Referenz Plattenfertiger'!$I28)),'Referenz Plattenfertiger'!$I28,'Referenz Plattenfertiger'!$F28)*IF(NOT(ISBLANK('Eingabe EF'!$BA15)),'Eingabe EF'!$BA15,'Eingabe EF'!$AY15)</f>
        <v>5.1658635600000009</v>
      </c>
      <c r="W225" s="17"/>
      <c r="X225" s="17"/>
      <c r="Y225" s="37">
        <f t="shared" ref="Y225:Y227" si="60">T225+U225</f>
        <v>29.238941159999996</v>
      </c>
      <c r="Z225" s="37">
        <f t="shared" ref="Z225:Z227" si="61">SUM(T225:V225)</f>
        <v>34.404804719999994</v>
      </c>
      <c r="AA225" s="17" t="s">
        <v>184</v>
      </c>
      <c r="AC225" s="17"/>
      <c r="AD225" s="17" t="s">
        <v>491</v>
      </c>
      <c r="AE225" s="17"/>
      <c r="AF225" s="30"/>
      <c r="AG225" s="30"/>
      <c r="AH225" s="17"/>
      <c r="AI225" s="41">
        <f>U278*IF(NOT(ISBLANK('Eingabe Preise'!$O22)),'Eingabe Preise'!$O22,'Eingabe Preise'!$M22)</f>
        <v>4924.2043876888438</v>
      </c>
      <c r="AJ225" s="20" t="s">
        <v>96</v>
      </c>
    </row>
    <row r="226" spans="16:36" ht="15.75" hidden="1" outlineLevel="1" x14ac:dyDescent="0.3">
      <c r="P226" s="17"/>
      <c r="Q226" s="17" t="s">
        <v>70</v>
      </c>
      <c r="R226" s="17" t="s">
        <v>32</v>
      </c>
      <c r="S226" s="17"/>
      <c r="T226" s="43">
        <f>IF(NOT(ISBLANK('Referenz Plattenfertiger'!$I29)),'Referenz Plattenfertiger'!$I29,'Referenz Plattenfertiger'!$F29)*IF(NOT(ISBLANK('Eingabe EF'!$AS15)),'Eingabe EF'!$AS15,'Eingabe EF'!$AQ15)</f>
        <v>6.645213899999999</v>
      </c>
      <c r="U226" s="43">
        <f>IF(NOT(ISBLANK('Referenz Plattenfertiger'!$I29)),'Referenz Plattenfertiger'!$I29,'Referenz Plattenfertiger'!$F29)*IF(NOT(ISBLANK('Eingabe EF'!$AW15)),'Eingabe EF'!$AW15,'Eingabe EF'!$AU15)</f>
        <v>0</v>
      </c>
      <c r="V226" s="43">
        <f>IF(NOT(ISBLANK('Referenz Plattenfertiger'!$I29)),'Referenz Plattenfertiger'!$I29,'Referenz Plattenfertiger'!$F29)*IF(NOT(ISBLANK('Eingabe EF'!$BA15)),'Eingabe EF'!$BA15,'Eingabe EF'!$AY15)</f>
        <v>1.1740599000000003</v>
      </c>
      <c r="W226" s="17"/>
      <c r="X226" s="17"/>
      <c r="Y226" s="37">
        <f t="shared" si="60"/>
        <v>6.645213899999999</v>
      </c>
      <c r="Z226" s="37">
        <f t="shared" si="61"/>
        <v>7.8192737999999995</v>
      </c>
      <c r="AA226" s="17" t="s">
        <v>184</v>
      </c>
      <c r="AC226" s="17"/>
      <c r="AD226" s="17" t="s">
        <v>492</v>
      </c>
      <c r="AE226" s="17"/>
      <c r="AF226" s="30"/>
      <c r="AG226" s="30"/>
      <c r="AH226" s="17"/>
      <c r="AI226" s="41">
        <f>V278*IF(NOT(ISBLANK('Eingabe Preise'!$O23)),'Eingabe Preise'!$O23,'Eingabe Preise'!$M23)</f>
        <v>440932.55951929186</v>
      </c>
      <c r="AJ226" s="20" t="s">
        <v>96</v>
      </c>
    </row>
    <row r="227" spans="16:36" ht="14.25" hidden="1" outlineLevel="1" x14ac:dyDescent="0.25">
      <c r="P227" s="69"/>
      <c r="Q227" s="69" t="s">
        <v>175</v>
      </c>
      <c r="R227" s="69"/>
      <c r="S227" s="69"/>
      <c r="T227" s="71"/>
      <c r="U227" s="71"/>
      <c r="V227" s="71">
        <f t="shared" ref="V227" si="62">V228+V229</f>
        <v>469.15642799999995</v>
      </c>
      <c r="W227" s="69"/>
      <c r="X227" s="69"/>
      <c r="Y227" s="71">
        <f t="shared" si="60"/>
        <v>0</v>
      </c>
      <c r="Z227" s="71">
        <f t="shared" si="61"/>
        <v>469.15642799999995</v>
      </c>
      <c r="AA227" s="76" t="s">
        <v>183</v>
      </c>
      <c r="AC227" s="17"/>
      <c r="AD227" s="17"/>
      <c r="AE227" s="17"/>
      <c r="AF227" s="17"/>
      <c r="AG227" s="17"/>
      <c r="AH227" s="17"/>
      <c r="AI227" s="17"/>
      <c r="AJ227" s="17"/>
    </row>
    <row r="228" spans="16:36" ht="15.75" hidden="1" outlineLevel="1" x14ac:dyDescent="0.3">
      <c r="P228" s="17"/>
      <c r="Q228" s="17"/>
      <c r="R228" s="17" t="s">
        <v>43</v>
      </c>
      <c r="S228" s="17"/>
      <c r="T228" s="43"/>
      <c r="U228" s="43"/>
      <c r="V228" s="43">
        <f>IF(NOT(ISBLANK('Referenz Plattenfertiger'!$I32)),'Referenz Plattenfertiger'!$I32,'Referenz Plattenfertiger'!$F32)*IF(NOT(ISBLANK('Eingabe EF'!$BA17)),'Eingabe EF'!$BA17,'Eingabe EF'!$AY17)</f>
        <v>109.4698332</v>
      </c>
      <c r="W228" s="17"/>
      <c r="X228" s="17"/>
      <c r="Y228" s="37">
        <f t="shared" si="58"/>
        <v>0</v>
      </c>
      <c r="Z228" s="37">
        <f t="shared" si="59"/>
        <v>109.4698332</v>
      </c>
      <c r="AA228" s="17" t="s">
        <v>184</v>
      </c>
      <c r="AC228" s="17"/>
      <c r="AD228" s="17"/>
      <c r="AE228" s="17"/>
      <c r="AF228" s="17"/>
      <c r="AG228" s="17"/>
      <c r="AH228" s="17"/>
      <c r="AI228" s="17"/>
      <c r="AJ228" s="17"/>
    </row>
    <row r="229" spans="16:36" ht="15.75" hidden="1" outlineLevel="1" x14ac:dyDescent="0.3">
      <c r="P229" s="17"/>
      <c r="Q229" s="17"/>
      <c r="R229" s="17" t="s">
        <v>44</v>
      </c>
      <c r="S229" s="17"/>
      <c r="T229" s="43"/>
      <c r="U229" s="43"/>
      <c r="V229" s="43">
        <f>IF(NOT(ISBLANK('Referenz Plattenfertiger'!$I33)),'Referenz Plattenfertiger'!$I33,'Referenz Plattenfertiger'!$F33)*IF(NOT(ISBLANK('Eingabe EF'!$BA18)),'Eingabe EF'!$BA18,'Eingabe EF'!$AY18)</f>
        <v>359.68659479999997</v>
      </c>
      <c r="W229" s="17"/>
      <c r="X229" s="17"/>
      <c r="Y229" s="37">
        <f t="shared" si="58"/>
        <v>0</v>
      </c>
      <c r="Z229" s="37">
        <f t="shared" si="59"/>
        <v>359.68659479999997</v>
      </c>
      <c r="AA229" s="17" t="s">
        <v>184</v>
      </c>
      <c r="AC229" s="17"/>
      <c r="AD229" s="17"/>
      <c r="AE229" s="17"/>
      <c r="AF229" s="18"/>
      <c r="AG229" s="18"/>
      <c r="AH229" s="17"/>
      <c r="AI229" s="18"/>
      <c r="AJ229" s="18"/>
    </row>
    <row r="230" spans="16:36" hidden="1" outlineLevel="1" x14ac:dyDescent="0.2">
      <c r="P230" s="17"/>
      <c r="Q230" s="17"/>
      <c r="R230" s="17"/>
      <c r="S230" s="17"/>
      <c r="T230" s="20"/>
      <c r="U230" s="20"/>
      <c r="V230" s="20"/>
      <c r="W230" s="17"/>
      <c r="X230" s="17"/>
      <c r="Y230" s="20"/>
      <c r="Z230" s="20"/>
      <c r="AA230" s="17"/>
      <c r="AC230" s="21" t="s">
        <v>209</v>
      </c>
      <c r="AD230" s="17"/>
      <c r="AE230" s="17"/>
      <c r="AF230" s="17"/>
      <c r="AG230" s="17"/>
      <c r="AH230" s="17"/>
      <c r="AI230" s="17"/>
      <c r="AJ230" s="17"/>
    </row>
    <row r="231" spans="16:36" ht="14.25" hidden="1" outlineLevel="1" x14ac:dyDescent="0.25">
      <c r="P231" s="69"/>
      <c r="Q231" s="69" t="s">
        <v>66</v>
      </c>
      <c r="R231" s="70"/>
      <c r="S231" s="70"/>
      <c r="T231" s="71"/>
      <c r="U231" s="71"/>
      <c r="V231" s="71">
        <f>SUM(V232:V235)</f>
        <v>4321.1167999999998</v>
      </c>
      <c r="W231" s="70"/>
      <c r="X231" s="70"/>
      <c r="Y231" s="71">
        <f t="shared" ref="Y231:Y235" si="63">T231+U231</f>
        <v>0</v>
      </c>
      <c r="Z231" s="71">
        <f t="shared" ref="Z231" si="64">SUM(T231:V231)</f>
        <v>4321.1167999999998</v>
      </c>
      <c r="AA231" s="76" t="s">
        <v>183</v>
      </c>
      <c r="AC231" s="17"/>
      <c r="AD231" s="17" t="s">
        <v>439</v>
      </c>
      <c r="AE231" s="17"/>
      <c r="AF231" s="18">
        <f>T41</f>
        <v>5</v>
      </c>
      <c r="AG231" s="18"/>
      <c r="AH231" s="17"/>
      <c r="AI231" s="41">
        <f>IF(IF(NOT(ISBLANK($G$40)),$G$40,$E$40)&gt;5,AI138,0)</f>
        <v>0</v>
      </c>
      <c r="AJ231" s="20" t="s">
        <v>96</v>
      </c>
    </row>
    <row r="232" spans="16:36" ht="15.75" hidden="1" outlineLevel="1" x14ac:dyDescent="0.3">
      <c r="P232" s="274"/>
      <c r="Q232" s="17"/>
      <c r="R232" s="17" t="s">
        <v>45</v>
      </c>
      <c r="S232" s="17"/>
      <c r="T232" s="37"/>
      <c r="U232" s="37"/>
      <c r="V232" s="450">
        <f>'M1 Härtekammern'!T206*S199</f>
        <v>1149.7849999999999</v>
      </c>
      <c r="W232" s="17"/>
      <c r="X232" s="17"/>
      <c r="Y232" s="37">
        <f t="shared" si="63"/>
        <v>0</v>
      </c>
      <c r="Z232" s="37">
        <f t="shared" ref="Z232:Z235" si="65">SUM(T232:V232)</f>
        <v>1149.7849999999999</v>
      </c>
      <c r="AA232" s="17" t="s">
        <v>184</v>
      </c>
      <c r="AC232" s="17"/>
      <c r="AD232" s="17" t="s">
        <v>444</v>
      </c>
      <c r="AE232" s="17"/>
      <c r="AF232" s="17">
        <f>U41</f>
        <v>10</v>
      </c>
      <c r="AG232" s="17"/>
      <c r="AH232" s="17"/>
      <c r="AI232" s="41">
        <f>IF(NOT(ISBLANK($K$35)),$K$35,$I$35)/IF(NOT(ISBLANK($K$40)),$K$40,$I$40)+IF(NOT(ISBLANK($K$35)),$K$35,$I$35)*(IF(NOT(ISBLANK($K$41)),$K$41,$I$41)/100)</f>
        <v>0</v>
      </c>
      <c r="AJ232" s="20" t="s">
        <v>96</v>
      </c>
    </row>
    <row r="233" spans="16:36" ht="15.75" hidden="1" outlineLevel="1" x14ac:dyDescent="0.3">
      <c r="P233" s="274"/>
      <c r="Q233" s="17"/>
      <c r="R233" s="17" t="s">
        <v>47</v>
      </c>
      <c r="S233" s="17"/>
      <c r="T233" s="37"/>
      <c r="U233" s="37"/>
      <c r="V233" s="450">
        <f>'M1 Härtekammern'!T207*S200</f>
        <v>2294.7287999999999</v>
      </c>
      <c r="W233" s="17"/>
      <c r="X233" s="17"/>
      <c r="Y233" s="37">
        <f t="shared" si="63"/>
        <v>0</v>
      </c>
      <c r="Z233" s="37">
        <f t="shared" si="65"/>
        <v>2294.7287999999999</v>
      </c>
      <c r="AA233" s="17" t="s">
        <v>184</v>
      </c>
      <c r="AC233" s="17"/>
      <c r="AD233" s="17"/>
      <c r="AE233" s="17"/>
      <c r="AF233" s="18"/>
      <c r="AG233" s="18"/>
      <c r="AH233" s="17"/>
      <c r="AI233" s="18"/>
      <c r="AJ233" s="18"/>
    </row>
    <row r="234" spans="16:36" ht="15.75" hidden="1" outlineLevel="1" x14ac:dyDescent="0.3">
      <c r="P234" s="274"/>
      <c r="Q234" s="17"/>
      <c r="R234" s="17" t="s">
        <v>48</v>
      </c>
      <c r="S234" s="17"/>
      <c r="T234" s="37"/>
      <c r="U234" s="37"/>
      <c r="V234" s="450">
        <f>'M1 Härtekammern'!T208*S201</f>
        <v>876.60299999999984</v>
      </c>
      <c r="W234" s="17"/>
      <c r="X234" s="17"/>
      <c r="Y234" s="37">
        <f t="shared" si="63"/>
        <v>0</v>
      </c>
      <c r="Z234" s="37">
        <f t="shared" si="65"/>
        <v>876.60299999999984</v>
      </c>
      <c r="AA234" s="17" t="s">
        <v>184</v>
      </c>
      <c r="AC234" s="17"/>
      <c r="AD234" s="17" t="s">
        <v>442</v>
      </c>
      <c r="AE234" s="17"/>
      <c r="AF234" s="17">
        <f>AF231</f>
        <v>5</v>
      </c>
      <c r="AG234" s="17"/>
      <c r="AH234" s="17"/>
      <c r="AI234" s="41">
        <f>IF(IF(NOT(ISBLANK($G$40)),$G$40,$E$40)&gt;5,AI140,0)</f>
        <v>0</v>
      </c>
      <c r="AJ234" s="20" t="s">
        <v>96</v>
      </c>
    </row>
    <row r="235" spans="16:36" ht="15.75" hidden="1" outlineLevel="1" x14ac:dyDescent="0.3">
      <c r="P235" s="274"/>
      <c r="Q235" s="17"/>
      <c r="R235" s="17" t="s">
        <v>147</v>
      </c>
      <c r="S235" s="17"/>
      <c r="T235" s="37"/>
      <c r="U235" s="37"/>
      <c r="V235" s="450">
        <f>'M1 Härtekammern'!T209*S202</f>
        <v>0</v>
      </c>
      <c r="W235" s="17"/>
      <c r="X235" s="17"/>
      <c r="Y235" s="37">
        <f t="shared" si="63"/>
        <v>0</v>
      </c>
      <c r="Z235" s="37">
        <f t="shared" si="65"/>
        <v>0</v>
      </c>
      <c r="AA235" s="17" t="s">
        <v>184</v>
      </c>
      <c r="AC235" s="17"/>
      <c r="AD235" s="17" t="s">
        <v>442</v>
      </c>
      <c r="AE235" s="17"/>
      <c r="AF235" s="17">
        <f>AF232</f>
        <v>10</v>
      </c>
      <c r="AG235" s="17"/>
      <c r="AH235" s="17"/>
      <c r="AI235" s="41">
        <f>IF(NOT(ISBLANK($K$37)),$K$37,$I$37)/IF(NOT(ISBLANK($K$40)),$K$40,$I$40)+IF(NOT(ISBLANK($K$37)),$K$37,$I$37)*(IF(NOT(ISBLANK($K$41)),$K$41,$I$41)/100)</f>
        <v>0</v>
      </c>
      <c r="AJ235" s="20" t="s">
        <v>96</v>
      </c>
    </row>
    <row r="236" spans="16:36" hidden="1" outlineLevel="1" x14ac:dyDescent="0.2">
      <c r="P236" s="17"/>
      <c r="Q236" s="17"/>
      <c r="R236" s="17"/>
      <c r="S236" s="17"/>
      <c r="T236" s="17"/>
      <c r="U236" s="17"/>
      <c r="V236" s="17"/>
      <c r="W236" s="17"/>
      <c r="X236" s="17"/>
      <c r="Y236" s="20"/>
      <c r="Z236" s="20"/>
      <c r="AA236" s="17"/>
      <c r="AC236" s="17"/>
      <c r="AD236" s="17"/>
      <c r="AE236" s="17"/>
      <c r="AF236" s="18"/>
      <c r="AG236" s="18"/>
      <c r="AH236" s="17"/>
      <c r="AI236" s="18"/>
      <c r="AJ236" s="18"/>
    </row>
    <row r="237" spans="16:36" ht="14.25" hidden="1" outlineLevel="1" x14ac:dyDescent="0.25">
      <c r="P237" s="69"/>
      <c r="Q237" s="69" t="s">
        <v>163</v>
      </c>
      <c r="R237" s="70"/>
      <c r="S237" s="70"/>
      <c r="T237" s="71"/>
      <c r="U237" s="71"/>
      <c r="V237" s="71">
        <f>SUM(V238:V242)</f>
        <v>129.59200000000001</v>
      </c>
      <c r="W237" s="70"/>
      <c r="X237" s="70"/>
      <c r="Y237" s="71">
        <f t="shared" ref="Y237" si="66">T237+U237</f>
        <v>0</v>
      </c>
      <c r="Z237" s="71">
        <f t="shared" ref="Z237" si="67">SUM(T237:V237)</f>
        <v>129.59200000000001</v>
      </c>
      <c r="AA237" s="76" t="s">
        <v>183</v>
      </c>
      <c r="AC237" s="17"/>
      <c r="AD237" s="17"/>
      <c r="AE237" s="17"/>
      <c r="AF237" s="17"/>
      <c r="AG237" s="17"/>
      <c r="AH237" s="17"/>
      <c r="AI237" s="17"/>
      <c r="AJ237" s="17"/>
    </row>
    <row r="238" spans="16:36" ht="15.75" hidden="1" outlineLevel="1" x14ac:dyDescent="0.3">
      <c r="P238" s="17"/>
      <c r="Q238" s="17"/>
      <c r="R238" s="17" t="s">
        <v>164</v>
      </c>
      <c r="S238" s="17"/>
      <c r="T238" s="37"/>
      <c r="U238" s="37"/>
      <c r="V238" s="37">
        <f>'M1 Härtekammern'!T212</f>
        <v>129.59200000000001</v>
      </c>
      <c r="W238" s="17"/>
      <c r="X238" s="17"/>
      <c r="Y238" s="37">
        <f>T238+U238</f>
        <v>0</v>
      </c>
      <c r="Z238" s="37">
        <f>SUM(T238:V238)</f>
        <v>129.59200000000001</v>
      </c>
      <c r="AA238" s="17" t="s">
        <v>184</v>
      </c>
      <c r="AC238" s="17"/>
      <c r="AD238" s="17"/>
      <c r="AE238" s="17"/>
      <c r="AF238" s="18"/>
      <c r="AG238" s="18"/>
      <c r="AH238" s="17"/>
      <c r="AI238" s="18"/>
      <c r="AJ238" s="18"/>
    </row>
    <row r="239" spans="16:36" ht="15.75" hidden="1" outlineLevel="1" x14ac:dyDescent="0.3">
      <c r="P239" s="17"/>
      <c r="Q239" s="17"/>
      <c r="R239" s="17" t="s">
        <v>165</v>
      </c>
      <c r="S239" s="17"/>
      <c r="T239" s="37"/>
      <c r="U239" s="37"/>
      <c r="V239" s="37">
        <f>'M1 Härtekammern'!T213</f>
        <v>0</v>
      </c>
      <c r="W239" s="17"/>
      <c r="X239" s="17"/>
      <c r="Y239" s="37">
        <f>T239+U239</f>
        <v>0</v>
      </c>
      <c r="Z239" s="37">
        <f t="shared" ref="Z239:Z240" si="68">SUM(T239:V239)</f>
        <v>0</v>
      </c>
      <c r="AA239" s="17" t="s">
        <v>184</v>
      </c>
    </row>
    <row r="240" spans="16:36" ht="15.75" hidden="1" outlineLevel="1" x14ac:dyDescent="0.3">
      <c r="P240" s="17"/>
      <c r="Q240" s="17"/>
      <c r="R240" s="17" t="s">
        <v>166</v>
      </c>
      <c r="S240" s="17"/>
      <c r="T240" s="37"/>
      <c r="U240" s="37"/>
      <c r="V240" s="37">
        <f>'M1 Härtekammern'!T214</f>
        <v>0</v>
      </c>
      <c r="W240" s="17"/>
      <c r="X240" s="17"/>
      <c r="Y240" s="37">
        <f t="shared" ref="Y240" si="69">T240+U240</f>
        <v>0</v>
      </c>
      <c r="Z240" s="37">
        <f t="shared" si="68"/>
        <v>0</v>
      </c>
      <c r="AA240" s="17" t="s">
        <v>184</v>
      </c>
    </row>
    <row r="241" spans="16:27" ht="15.75" hidden="1" outlineLevel="1" x14ac:dyDescent="0.3">
      <c r="P241" s="17"/>
      <c r="Q241" s="17"/>
      <c r="R241" s="17" t="str">
        <f>'M1 Härtekammern'!P215</f>
        <v>Weiterer Zuschlagstoff 1</v>
      </c>
      <c r="S241" s="17"/>
      <c r="T241" s="37"/>
      <c r="U241" s="37"/>
      <c r="V241" s="37">
        <f>'M1 Härtekammern'!T215</f>
        <v>0</v>
      </c>
      <c r="W241" s="17"/>
      <c r="X241" s="17"/>
      <c r="Y241" s="37">
        <f t="shared" ref="Y241:Y242" si="70">T241+U241</f>
        <v>0</v>
      </c>
      <c r="Z241" s="37">
        <f t="shared" ref="Z241:Z242" si="71">SUM(T241:V241)</f>
        <v>0</v>
      </c>
      <c r="AA241" s="17" t="s">
        <v>184</v>
      </c>
    </row>
    <row r="242" spans="16:27" ht="15.75" hidden="1" outlineLevel="1" x14ac:dyDescent="0.3">
      <c r="P242" s="17"/>
      <c r="Q242" s="17"/>
      <c r="R242" s="17" t="str">
        <f>'M1 Härtekammern'!P216</f>
        <v>Weiterer Zuschlagstoff 2</v>
      </c>
      <c r="S242" s="17"/>
      <c r="T242" s="37"/>
      <c r="U242" s="37"/>
      <c r="V242" s="37">
        <f>'M1 Härtekammern'!T216</f>
        <v>0</v>
      </c>
      <c r="W242" s="17"/>
      <c r="X242" s="17"/>
      <c r="Y242" s="37">
        <f t="shared" si="70"/>
        <v>0</v>
      </c>
      <c r="Z242" s="37">
        <f t="shared" si="71"/>
        <v>0</v>
      </c>
      <c r="AA242" s="17" t="s">
        <v>184</v>
      </c>
    </row>
    <row r="243" spans="16:27" hidden="1" outlineLevel="1" x14ac:dyDescent="0.2">
      <c r="P243" s="17"/>
      <c r="Q243" s="17"/>
      <c r="R243" s="17"/>
      <c r="S243" s="17"/>
      <c r="T243" s="17"/>
      <c r="U243" s="17"/>
      <c r="V243" s="17"/>
      <c r="W243" s="17"/>
      <c r="X243" s="17"/>
      <c r="Y243" s="20"/>
      <c r="Z243" s="20"/>
      <c r="AA243" s="17"/>
    </row>
    <row r="244" spans="16:27" ht="14.25" hidden="1" outlineLevel="1" x14ac:dyDescent="0.25">
      <c r="P244" s="17"/>
      <c r="Q244" s="17"/>
      <c r="R244" s="21" t="s">
        <v>55</v>
      </c>
      <c r="S244" s="21"/>
      <c r="T244" s="74"/>
      <c r="U244" s="74"/>
      <c r="V244" s="37">
        <f>'M1 Härtekammern'!T218</f>
        <v>208</v>
      </c>
      <c r="W244" s="21"/>
      <c r="X244" s="21"/>
      <c r="Y244" s="74">
        <f>T244+U244</f>
        <v>0</v>
      </c>
      <c r="Z244" s="74">
        <f t="shared" ref="Z244" si="72">SUM(T244:V244)</f>
        <v>208</v>
      </c>
      <c r="AA244" s="21" t="s">
        <v>183</v>
      </c>
    </row>
    <row r="245" spans="16:27" hidden="1" outlineLevel="1" x14ac:dyDescent="0.2">
      <c r="P245" s="17"/>
      <c r="Q245" s="17"/>
      <c r="R245" s="17"/>
      <c r="S245" s="17"/>
      <c r="T245" s="17"/>
      <c r="U245" s="17"/>
      <c r="V245" s="17"/>
      <c r="W245" s="17"/>
      <c r="X245" s="17"/>
      <c r="Y245" s="20"/>
      <c r="Z245" s="20"/>
      <c r="AA245" s="17"/>
    </row>
    <row r="246" spans="16:27" ht="14.25" hidden="1" outlineLevel="1" x14ac:dyDescent="0.25">
      <c r="P246" s="69"/>
      <c r="Q246" s="69" t="s">
        <v>167</v>
      </c>
      <c r="R246" s="70"/>
      <c r="S246" s="70"/>
      <c r="T246" s="71"/>
      <c r="U246" s="71"/>
      <c r="V246" s="71">
        <f>SUM(V247:V251)</f>
        <v>85.054199999999994</v>
      </c>
      <c r="W246" s="70"/>
      <c r="X246" s="70"/>
      <c r="Y246" s="71">
        <f t="shared" ref="Y246" si="73">T246+U246</f>
        <v>0</v>
      </c>
      <c r="Z246" s="71">
        <f t="shared" ref="Z246" si="74">SUM(T246:V246)</f>
        <v>85.054199999999994</v>
      </c>
      <c r="AA246" s="76" t="s">
        <v>183</v>
      </c>
    </row>
    <row r="247" spans="16:27" ht="15.75" hidden="1" outlineLevel="1" x14ac:dyDescent="0.3">
      <c r="P247" s="274"/>
      <c r="Q247" s="17"/>
      <c r="R247" s="17" t="s">
        <v>57</v>
      </c>
      <c r="S247" s="17"/>
      <c r="T247" s="37"/>
      <c r="U247" s="37"/>
      <c r="V247" s="450">
        <f>'M1 Härtekammern'!T221*S204</f>
        <v>0</v>
      </c>
      <c r="W247" s="17"/>
      <c r="X247" s="17"/>
      <c r="Y247" s="37">
        <f>T247+U247</f>
        <v>0</v>
      </c>
      <c r="Z247" s="37">
        <f>SUM(T247:V247)</f>
        <v>0</v>
      </c>
      <c r="AA247" s="17" t="s">
        <v>184</v>
      </c>
    </row>
    <row r="248" spans="16:27" ht="15.75" hidden="1" outlineLevel="1" x14ac:dyDescent="0.3">
      <c r="P248" s="274"/>
      <c r="Q248" s="17"/>
      <c r="R248" s="17" t="s">
        <v>58</v>
      </c>
      <c r="S248" s="17"/>
      <c r="T248" s="37"/>
      <c r="U248" s="37"/>
      <c r="V248" s="450">
        <f>'M1 Härtekammern'!T222*S205</f>
        <v>9.1182000000000016</v>
      </c>
      <c r="W248" s="17"/>
      <c r="X248" s="17"/>
      <c r="Y248" s="37">
        <f>T248+U248</f>
        <v>0</v>
      </c>
      <c r="Z248" s="37">
        <f>SUM(T248:V248)</f>
        <v>9.1182000000000016</v>
      </c>
      <c r="AA248" s="17" t="s">
        <v>184</v>
      </c>
    </row>
    <row r="249" spans="16:27" ht="15.75" hidden="1" outlineLevel="1" x14ac:dyDescent="0.3">
      <c r="P249" s="274"/>
      <c r="Q249" s="17"/>
      <c r="R249" s="17" t="s">
        <v>59</v>
      </c>
      <c r="S249" s="17"/>
      <c r="T249" s="37"/>
      <c r="U249" s="37"/>
      <c r="V249" s="450">
        <f>'M1 Härtekammern'!T223*S206</f>
        <v>75.935999999999993</v>
      </c>
      <c r="W249" s="17"/>
      <c r="X249" s="17"/>
      <c r="Y249" s="37">
        <f>T249+U249</f>
        <v>0</v>
      </c>
      <c r="Z249" s="37">
        <f>SUM(T249:V249)</f>
        <v>75.935999999999993</v>
      </c>
      <c r="AA249" s="17" t="s">
        <v>184</v>
      </c>
    </row>
    <row r="250" spans="16:27" ht="15.75" hidden="1" outlineLevel="1" x14ac:dyDescent="0.3">
      <c r="P250" s="274"/>
      <c r="Q250" s="17"/>
      <c r="R250" s="17" t="str">
        <f>'M1 Härtekammern'!P224</f>
        <v>Weiterer Zusatzstoff 1</v>
      </c>
      <c r="S250" s="17"/>
      <c r="T250" s="37"/>
      <c r="U250" s="37"/>
      <c r="V250" s="450">
        <f>'M1 Härtekammern'!T224*S207</f>
        <v>0</v>
      </c>
      <c r="W250" s="17"/>
      <c r="X250" s="17"/>
      <c r="Y250" s="37">
        <f t="shared" ref="Y250:Y251" si="75">T250+U250</f>
        <v>0</v>
      </c>
      <c r="Z250" s="37">
        <f t="shared" ref="Z250:Z251" si="76">SUM(T250:V250)</f>
        <v>0</v>
      </c>
      <c r="AA250" s="17" t="s">
        <v>184</v>
      </c>
    </row>
    <row r="251" spans="16:27" ht="15.75" hidden="1" outlineLevel="1" x14ac:dyDescent="0.3">
      <c r="P251" s="274"/>
      <c r="Q251" s="17"/>
      <c r="R251" s="17" t="str">
        <f>'M1 Härtekammern'!P225</f>
        <v>Weiterer Zusatzstoff 2</v>
      </c>
      <c r="S251" s="17"/>
      <c r="T251" s="37"/>
      <c r="U251" s="37"/>
      <c r="V251" s="450">
        <f>'M1 Härtekammern'!T225*S208</f>
        <v>0</v>
      </c>
      <c r="W251" s="17"/>
      <c r="X251" s="17"/>
      <c r="Y251" s="37">
        <f t="shared" si="75"/>
        <v>0</v>
      </c>
      <c r="Z251" s="37">
        <f t="shared" si="76"/>
        <v>0</v>
      </c>
      <c r="AA251" s="17" t="s">
        <v>184</v>
      </c>
    </row>
    <row r="252" spans="16:27" hidden="1" outlineLevel="1" x14ac:dyDescent="0.2">
      <c r="P252" s="17"/>
      <c r="Q252" s="17"/>
      <c r="R252" s="17"/>
      <c r="S252" s="17"/>
      <c r="T252" s="17"/>
      <c r="U252" s="17"/>
      <c r="V252" s="17"/>
      <c r="W252" s="17"/>
      <c r="X252" s="17"/>
      <c r="Y252" s="17"/>
      <c r="Z252" s="20"/>
      <c r="AA252" s="20"/>
    </row>
    <row r="253" spans="16:27" ht="14.25" hidden="1" outlineLevel="1" x14ac:dyDescent="0.25">
      <c r="P253" s="69"/>
      <c r="Q253" s="69" t="s">
        <v>49</v>
      </c>
      <c r="R253" s="70"/>
      <c r="S253" s="70"/>
      <c r="T253" s="71"/>
      <c r="U253" s="71"/>
      <c r="V253" s="71">
        <f t="shared" ref="V253" si="77">SUM(V254:V257)</f>
        <v>148.44746134951595</v>
      </c>
      <c r="W253" s="70"/>
      <c r="X253" s="70"/>
      <c r="Y253" s="71">
        <f t="shared" ref="Y253:Y257" si="78">T253+U253</f>
        <v>0</v>
      </c>
      <c r="Z253" s="71">
        <f t="shared" ref="Z253" si="79">SUM(T253:V253)</f>
        <v>148.44746134951595</v>
      </c>
      <c r="AA253" s="76" t="s">
        <v>183</v>
      </c>
    </row>
    <row r="254" spans="16:27" ht="15.75" hidden="1" outlineLevel="1" x14ac:dyDescent="0.3">
      <c r="P254" s="17"/>
      <c r="Q254" s="17"/>
      <c r="R254" s="17" t="s">
        <v>50</v>
      </c>
      <c r="S254" s="17"/>
      <c r="T254" s="37"/>
      <c r="U254" s="37"/>
      <c r="V254" s="37">
        <f>'M1 Härtekammern'!T228</f>
        <v>47.997919375812742</v>
      </c>
      <c r="W254" s="17"/>
      <c r="X254" s="17"/>
      <c r="Y254" s="37">
        <f t="shared" si="78"/>
        <v>0</v>
      </c>
      <c r="Z254" s="37">
        <f t="shared" ref="Z254:Z257" si="80">SUM(T254:V254)</f>
        <v>47.997919375812742</v>
      </c>
      <c r="AA254" s="17" t="s">
        <v>184</v>
      </c>
    </row>
    <row r="255" spans="16:27" ht="15.75" hidden="1" outlineLevel="1" x14ac:dyDescent="0.3">
      <c r="P255" s="17"/>
      <c r="Q255" s="17"/>
      <c r="R255" s="17" t="s">
        <v>52</v>
      </c>
      <c r="S255" s="17"/>
      <c r="T255" s="37"/>
      <c r="U255" s="37"/>
      <c r="V255" s="37">
        <f>'M1 Härtekammern'!T229</f>
        <v>5.7797543707556596</v>
      </c>
      <c r="W255" s="17"/>
      <c r="X255" s="17"/>
      <c r="Y255" s="37">
        <f t="shared" si="78"/>
        <v>0</v>
      </c>
      <c r="Z255" s="37">
        <f t="shared" si="80"/>
        <v>5.7797543707556596</v>
      </c>
      <c r="AA255" s="17" t="s">
        <v>184</v>
      </c>
    </row>
    <row r="256" spans="16:27" ht="15.75" hidden="1" outlineLevel="1" x14ac:dyDescent="0.3">
      <c r="P256" s="17"/>
      <c r="Q256" s="17"/>
      <c r="R256" s="17" t="s">
        <v>53</v>
      </c>
      <c r="S256" s="17"/>
      <c r="T256" s="37"/>
      <c r="U256" s="37"/>
      <c r="V256" s="37">
        <f>'M1 Härtekammern'!T230</f>
        <v>1.4217598612917211E-2</v>
      </c>
      <c r="W256" s="17"/>
      <c r="X256" s="17"/>
      <c r="Y256" s="37">
        <f t="shared" si="78"/>
        <v>0</v>
      </c>
      <c r="Z256" s="37">
        <f t="shared" si="80"/>
        <v>1.4217598612917211E-2</v>
      </c>
      <c r="AA256" s="17" t="s">
        <v>184</v>
      </c>
    </row>
    <row r="257" spans="16:27" ht="15.75" hidden="1" outlineLevel="1" x14ac:dyDescent="0.3">
      <c r="P257" s="17"/>
      <c r="Q257" s="17"/>
      <c r="R257" s="17" t="s">
        <v>54</v>
      </c>
      <c r="S257" s="17"/>
      <c r="T257" s="37"/>
      <c r="U257" s="37"/>
      <c r="V257" s="37">
        <f>'M1 Härtekammern'!T231</f>
        <v>94.655570004334635</v>
      </c>
      <c r="W257" s="17"/>
      <c r="X257" s="17"/>
      <c r="Y257" s="37">
        <f t="shared" si="78"/>
        <v>0</v>
      </c>
      <c r="Z257" s="37">
        <f t="shared" si="80"/>
        <v>94.655570004334635</v>
      </c>
      <c r="AA257" s="17" t="s">
        <v>184</v>
      </c>
    </row>
    <row r="258" spans="16:27" hidden="1" outlineLevel="1" x14ac:dyDescent="0.2">
      <c r="P258" s="17"/>
      <c r="Q258" s="17"/>
      <c r="R258" s="17"/>
      <c r="S258" s="17"/>
      <c r="T258" s="17"/>
      <c r="U258" s="17"/>
      <c r="V258" s="17"/>
      <c r="W258" s="17"/>
      <c r="X258" s="17"/>
      <c r="Y258" s="17"/>
      <c r="Z258" s="17"/>
      <c r="AA258" s="20"/>
    </row>
    <row r="259" spans="16:27" ht="14.25" hidden="1" outlineLevel="1" x14ac:dyDescent="0.25">
      <c r="P259" s="69"/>
      <c r="Q259" s="69" t="s">
        <v>246</v>
      </c>
      <c r="R259" s="70"/>
      <c r="S259" s="70"/>
      <c r="T259" s="71"/>
      <c r="U259" s="71"/>
      <c r="V259" s="71">
        <f>SUM(V260:V261)</f>
        <v>0</v>
      </c>
      <c r="W259" s="70"/>
      <c r="X259" s="70"/>
      <c r="Y259" s="71">
        <f>T259+U259</f>
        <v>0</v>
      </c>
      <c r="Z259" s="71">
        <f t="shared" ref="Z259" si="81">SUM(T259:V259)</f>
        <v>0</v>
      </c>
      <c r="AA259" s="76" t="s">
        <v>183</v>
      </c>
    </row>
    <row r="260" spans="16:27" ht="15.75" hidden="1" outlineLevel="1" x14ac:dyDescent="0.3">
      <c r="P260" s="274"/>
      <c r="Q260" s="17"/>
      <c r="R260" s="17" t="s">
        <v>242</v>
      </c>
      <c r="S260" s="17"/>
      <c r="T260" s="37"/>
      <c r="U260" s="37"/>
      <c r="V260" s="37">
        <f>IF(NOT(ISBLANK(K28)),K28,I28)*IF(NOT(ISBLANK(K31)),K31,0)</f>
        <v>0</v>
      </c>
      <c r="W260" s="17"/>
      <c r="X260" s="17"/>
      <c r="Y260" s="37">
        <f t="shared" ref="Y260:Y261" si="82">T260+U260</f>
        <v>0</v>
      </c>
      <c r="Z260" s="37">
        <f t="shared" ref="Z260:Z261" si="83">SUM(T260:V260)</f>
        <v>0</v>
      </c>
      <c r="AA260" s="17" t="s">
        <v>184</v>
      </c>
    </row>
    <row r="261" spans="16:27" ht="15.75" hidden="1" outlineLevel="1" x14ac:dyDescent="0.3">
      <c r="P261" s="274"/>
      <c r="Q261" s="17"/>
      <c r="R261" s="17" t="s">
        <v>243</v>
      </c>
      <c r="S261" s="17"/>
      <c r="T261" s="37"/>
      <c r="U261" s="37"/>
      <c r="V261" s="37">
        <f>IF(NOT(ISBLANK(K29)),K29,I29)*IF(NOT(ISBLANK(K32)),K32,0)</f>
        <v>0</v>
      </c>
      <c r="W261" s="17"/>
      <c r="X261" s="17"/>
      <c r="Y261" s="37">
        <f t="shared" si="82"/>
        <v>0</v>
      </c>
      <c r="Z261" s="37">
        <f t="shared" si="83"/>
        <v>0</v>
      </c>
      <c r="AA261" s="17" t="s">
        <v>184</v>
      </c>
    </row>
    <row r="262" spans="16:27" hidden="1" outlineLevel="1" x14ac:dyDescent="0.2">
      <c r="P262" s="17"/>
      <c r="Q262" s="17"/>
      <c r="R262" s="17"/>
      <c r="S262" s="17"/>
      <c r="T262" s="17"/>
      <c r="U262" s="17"/>
      <c r="V262" s="17"/>
      <c r="W262" s="17"/>
      <c r="X262" s="17"/>
      <c r="Y262" s="17"/>
      <c r="Z262" s="17"/>
      <c r="AA262" s="20"/>
    </row>
    <row r="263" spans="16:27" ht="14.25" hidden="1" outlineLevel="1" x14ac:dyDescent="0.25">
      <c r="P263" s="17"/>
      <c r="Q263" s="17"/>
      <c r="R263" s="21" t="s">
        <v>99</v>
      </c>
      <c r="S263" s="21"/>
      <c r="T263" s="74"/>
      <c r="U263" s="74"/>
      <c r="V263" s="74">
        <f>'M1 Härtekammern'!T233</f>
        <v>0</v>
      </c>
      <c r="W263" s="21"/>
      <c r="X263" s="21"/>
      <c r="Y263" s="74">
        <f>T263+U263</f>
        <v>0</v>
      </c>
      <c r="Z263" s="74">
        <f>SUM(T263:V263)</f>
        <v>0</v>
      </c>
      <c r="AA263" s="21" t="s">
        <v>183</v>
      </c>
    </row>
    <row r="264" spans="16:27" ht="14.25" hidden="1" outlineLevel="1" x14ac:dyDescent="0.25">
      <c r="P264" s="17"/>
      <c r="Q264" s="17"/>
      <c r="R264" s="21" t="s">
        <v>62</v>
      </c>
      <c r="S264" s="21"/>
      <c r="T264" s="75"/>
      <c r="U264" s="75"/>
      <c r="V264" s="75">
        <f>'M1 Härtekammern'!T234</f>
        <v>0.54400000000000004</v>
      </c>
      <c r="W264" s="21"/>
      <c r="X264" s="21"/>
      <c r="Y264" s="74">
        <f>T264+U264</f>
        <v>0</v>
      </c>
      <c r="Z264" s="74">
        <f>SUM(T264:V264)</f>
        <v>0.54400000000000004</v>
      </c>
      <c r="AA264" s="21" t="s">
        <v>183</v>
      </c>
    </row>
    <row r="265" spans="16:27" hidden="1" outlineLevel="1" x14ac:dyDescent="0.2">
      <c r="P265" s="17"/>
      <c r="Q265" s="17"/>
      <c r="R265" s="17"/>
      <c r="S265" s="17"/>
      <c r="T265" s="17"/>
      <c r="U265" s="17"/>
      <c r="V265" s="17"/>
      <c r="W265" s="17"/>
      <c r="X265" s="17"/>
      <c r="Y265" s="17"/>
      <c r="Z265" s="17"/>
      <c r="AA265" s="20"/>
    </row>
    <row r="266" spans="16:27" ht="14.25" hidden="1" outlineLevel="1" x14ac:dyDescent="0.25">
      <c r="P266" s="69"/>
      <c r="Q266" s="69" t="s">
        <v>168</v>
      </c>
      <c r="R266" s="70"/>
      <c r="S266" s="70"/>
      <c r="T266" s="71"/>
      <c r="U266" s="71"/>
      <c r="V266" s="71">
        <f t="shared" ref="V266" si="84">SUM(V267:V269)</f>
        <v>0.16095999999999999</v>
      </c>
      <c r="W266" s="70"/>
      <c r="X266" s="70"/>
      <c r="Y266" s="71">
        <f t="shared" ref="Y266" si="85">T266+U266</f>
        <v>0</v>
      </c>
      <c r="Z266" s="71">
        <f t="shared" ref="Z266" si="86">SUM(T266:V266)</f>
        <v>0.16095999999999999</v>
      </c>
      <c r="AA266" s="76" t="s">
        <v>183</v>
      </c>
    </row>
    <row r="267" spans="16:27" ht="15.75" hidden="1" outlineLevel="1" x14ac:dyDescent="0.3">
      <c r="P267" s="17"/>
      <c r="Q267" s="17"/>
      <c r="R267" s="17" t="s">
        <v>169</v>
      </c>
      <c r="S267" s="17"/>
      <c r="T267" s="37"/>
      <c r="U267" s="37"/>
      <c r="V267" s="37">
        <f>'M1 Härtekammern'!T237</f>
        <v>0</v>
      </c>
      <c r="W267" s="17"/>
      <c r="X267" s="17"/>
      <c r="Y267" s="37">
        <f>T267+U267</f>
        <v>0</v>
      </c>
      <c r="Z267" s="37">
        <f>SUM(T267:V267)</f>
        <v>0</v>
      </c>
      <c r="AA267" s="17" t="s">
        <v>184</v>
      </c>
    </row>
    <row r="268" spans="16:27" ht="15.75" hidden="1" outlineLevel="1" x14ac:dyDescent="0.3">
      <c r="P268" s="17"/>
      <c r="Q268" s="17"/>
      <c r="R268" s="17" t="s">
        <v>60</v>
      </c>
      <c r="S268" s="17"/>
      <c r="T268" s="37"/>
      <c r="U268" s="37"/>
      <c r="V268" s="37">
        <f>'M1 Härtekammern'!T238</f>
        <v>0.16095999999999999</v>
      </c>
      <c r="W268" s="17"/>
      <c r="X268" s="17"/>
      <c r="Y268" s="37">
        <f t="shared" ref="Y268" si="87">T268+U268</f>
        <v>0</v>
      </c>
      <c r="Z268" s="37">
        <f t="shared" ref="Z268" si="88">SUM(T268:V268)</f>
        <v>0.16095999999999999</v>
      </c>
      <c r="AA268" s="17" t="s">
        <v>184</v>
      </c>
    </row>
    <row r="269" spans="16:27" ht="15.75" hidden="1" outlineLevel="1" x14ac:dyDescent="0.3">
      <c r="P269" s="17"/>
      <c r="Q269" s="17"/>
      <c r="R269" s="17" t="s">
        <v>170</v>
      </c>
      <c r="S269" s="17"/>
      <c r="T269" s="37"/>
      <c r="U269" s="37"/>
      <c r="V269" s="37">
        <f>'M1 Härtekammern'!T239</f>
        <v>0</v>
      </c>
      <c r="W269" s="17"/>
      <c r="X269" s="17"/>
      <c r="Y269" s="37">
        <f>T269+U269</f>
        <v>0</v>
      </c>
      <c r="Z269" s="37">
        <f>SUM(T269:V269)</f>
        <v>0</v>
      </c>
      <c r="AA269" s="17" t="s">
        <v>184</v>
      </c>
    </row>
    <row r="270" spans="16:27" hidden="1" outlineLevel="1" x14ac:dyDescent="0.2">
      <c r="P270" s="17"/>
      <c r="Q270" s="17"/>
      <c r="R270" s="17"/>
      <c r="S270" s="17"/>
      <c r="T270" s="17"/>
      <c r="U270" s="17"/>
      <c r="V270" s="17"/>
      <c r="W270" s="17"/>
      <c r="X270" s="17"/>
      <c r="Y270" s="17"/>
      <c r="Z270" s="17"/>
      <c r="AA270" s="20"/>
    </row>
    <row r="271" spans="16:27" ht="14.25" hidden="1" outlineLevel="1" x14ac:dyDescent="0.25">
      <c r="P271" s="69"/>
      <c r="Q271" s="69" t="s">
        <v>171</v>
      </c>
      <c r="R271" s="70"/>
      <c r="S271" s="70"/>
      <c r="T271" s="71"/>
      <c r="U271" s="71"/>
      <c r="V271" s="71">
        <f t="shared" ref="V271" si="89">SUM(V272:V274)</f>
        <v>60</v>
      </c>
      <c r="W271" s="70"/>
      <c r="X271" s="70"/>
      <c r="Y271" s="71">
        <f t="shared" ref="Y271" si="90">T271+U271</f>
        <v>0</v>
      </c>
      <c r="Z271" s="71">
        <f t="shared" ref="Z271" si="91">SUM(T271:V271)</f>
        <v>60</v>
      </c>
      <c r="AA271" s="76" t="s">
        <v>183</v>
      </c>
    </row>
    <row r="272" spans="16:27" ht="15.75" hidden="1" outlineLevel="1" x14ac:dyDescent="0.3">
      <c r="P272" s="17"/>
      <c r="Q272" s="17"/>
      <c r="R272" s="17" t="s">
        <v>64</v>
      </c>
      <c r="S272" s="17"/>
      <c r="T272" s="43"/>
      <c r="U272" s="43"/>
      <c r="V272" s="43">
        <f>'M1 Härtekammern'!T242</f>
        <v>60</v>
      </c>
      <c r="W272" s="17"/>
      <c r="X272" s="17"/>
      <c r="Y272" s="37">
        <f>T272+U272</f>
        <v>0</v>
      </c>
      <c r="Z272" s="37">
        <f>SUM(T272:V272)</f>
        <v>60</v>
      </c>
      <c r="AA272" s="17" t="s">
        <v>184</v>
      </c>
    </row>
    <row r="273" spans="16:27" ht="15.75" hidden="1" outlineLevel="1" x14ac:dyDescent="0.3">
      <c r="P273" s="17"/>
      <c r="Q273" s="17"/>
      <c r="R273" s="17" t="s">
        <v>173</v>
      </c>
      <c r="S273" s="17"/>
      <c r="T273" s="43"/>
      <c r="U273" s="43"/>
      <c r="V273" s="43">
        <f>'M1 Härtekammern'!T243</f>
        <v>0</v>
      </c>
      <c r="W273" s="17"/>
      <c r="X273" s="17"/>
      <c r="Y273" s="37">
        <f t="shared" ref="Y273:Y274" si="92">T273+U273</f>
        <v>0</v>
      </c>
      <c r="Z273" s="37">
        <f t="shared" ref="Z273:Z274" si="93">SUM(T273:V273)</f>
        <v>0</v>
      </c>
      <c r="AA273" s="17" t="s">
        <v>184</v>
      </c>
    </row>
    <row r="274" spans="16:27" ht="15.75" hidden="1" outlineLevel="1" x14ac:dyDescent="0.3">
      <c r="P274" s="17"/>
      <c r="Q274" s="17"/>
      <c r="R274" s="17" t="s">
        <v>172</v>
      </c>
      <c r="S274" s="17"/>
      <c r="T274" s="43"/>
      <c r="U274" s="43"/>
      <c r="V274" s="43">
        <f>'M1 Härtekammern'!T244</f>
        <v>0</v>
      </c>
      <c r="W274" s="17"/>
      <c r="X274" s="17"/>
      <c r="Y274" s="37">
        <f t="shared" si="92"/>
        <v>0</v>
      </c>
      <c r="Z274" s="37">
        <f t="shared" si="93"/>
        <v>0</v>
      </c>
      <c r="AA274" s="17" t="s">
        <v>184</v>
      </c>
    </row>
    <row r="275" spans="16:27" hidden="1" outlineLevel="1" x14ac:dyDescent="0.2">
      <c r="P275" s="17"/>
      <c r="Q275" s="17"/>
      <c r="R275" s="17"/>
      <c r="S275" s="17"/>
      <c r="T275" s="17"/>
      <c r="U275" s="17"/>
      <c r="V275" s="17"/>
      <c r="W275" s="17"/>
      <c r="X275" s="17"/>
      <c r="Y275" s="17"/>
      <c r="Z275" s="17"/>
      <c r="AA275" s="20"/>
    </row>
    <row r="276" spans="16:27" ht="14.25" hidden="1" outlineLevel="1" x14ac:dyDescent="0.25">
      <c r="P276" s="17"/>
      <c r="Q276" s="17"/>
      <c r="R276" s="21" t="s">
        <v>61</v>
      </c>
      <c r="S276" s="21"/>
      <c r="T276" s="75"/>
      <c r="U276" s="75"/>
      <c r="V276" s="75">
        <f>'M1 Härtekammern'!T246</f>
        <v>64.48</v>
      </c>
      <c r="W276" s="21"/>
      <c r="X276" s="21"/>
      <c r="Y276" s="74">
        <f t="shared" ref="Y276" si="94">T276+U276</f>
        <v>0</v>
      </c>
      <c r="Z276" s="74">
        <f t="shared" ref="Z276" si="95">SUM(T276:V276)</f>
        <v>64.48</v>
      </c>
      <c r="AA276" s="21" t="s">
        <v>183</v>
      </c>
    </row>
    <row r="277" spans="16:27" hidden="1" outlineLevel="1" x14ac:dyDescent="0.2">
      <c r="P277" s="17"/>
      <c r="Q277" s="17"/>
      <c r="R277" s="17"/>
      <c r="S277" s="17"/>
      <c r="T277" s="20"/>
      <c r="U277" s="20"/>
      <c r="V277" s="20"/>
      <c r="W277" s="17"/>
      <c r="X277" s="17"/>
      <c r="Y277" s="17"/>
      <c r="Z277" s="20"/>
      <c r="AA277" s="20"/>
    </row>
    <row r="278" spans="16:27" ht="15" hidden="1" outlineLevel="1" thickBot="1" x14ac:dyDescent="0.3">
      <c r="P278" s="17"/>
      <c r="Q278" s="17"/>
      <c r="R278" s="67" t="s">
        <v>67</v>
      </c>
      <c r="S278" s="67"/>
      <c r="T278" s="68">
        <f>SUM(T213:T276)-T227-T231-T237-T246-T253-T259-T266-T271</f>
        <v>94.932355060000006</v>
      </c>
      <c r="U278" s="68">
        <f>SUM(U213:U276)-U227-U231-U237-U246-U253-U259-U266-U271</f>
        <v>61.552554846110553</v>
      </c>
      <c r="V278" s="68">
        <f>SUM(V213:V276)-V227-V231-V237-V246-V253-V259-V266-V271</f>
        <v>5511.6569939911478</v>
      </c>
      <c r="W278" s="21"/>
      <c r="X278" s="21"/>
      <c r="Y278" s="68">
        <f>SUM(Y213:Y276)-Y227-Y231-Y237-Y246-Y253-Y259-Y266-Y271</f>
        <v>156.48490990611054</v>
      </c>
      <c r="Z278" s="68">
        <f>SUM(Z213:Z276)-Z227-Z231-Z237-Z246-Z253-Z259-Z266-Z271</f>
        <v>5668.1419038972581</v>
      </c>
      <c r="AA278" s="68" t="s">
        <v>183</v>
      </c>
    </row>
    <row r="279" spans="16:27" ht="13.5" hidden="1" outlineLevel="1" thickTop="1" x14ac:dyDescent="0.2">
      <c r="P279" s="17"/>
      <c r="Q279" s="17"/>
      <c r="R279" s="17"/>
      <c r="S279" s="17"/>
      <c r="T279" s="20"/>
      <c r="U279" s="20"/>
      <c r="V279" s="20"/>
      <c r="W279" s="17"/>
      <c r="X279" s="17"/>
      <c r="Y279" s="17"/>
      <c r="Z279" s="20"/>
      <c r="AA279" s="20"/>
    </row>
    <row r="280" spans="16:27" hidden="1" outlineLevel="1" x14ac:dyDescent="0.2"/>
    <row r="281" spans="16:27" hidden="1" outlineLevel="1" x14ac:dyDescent="0.2"/>
    <row r="282" spans="16:27" hidden="1" outlineLevel="1" x14ac:dyDescent="0.2"/>
    <row r="283" spans="16:27" hidden="1" outlineLevel="1" x14ac:dyDescent="0.2"/>
    <row r="284" spans="16:27" hidden="1" outlineLevel="1" x14ac:dyDescent="0.2"/>
    <row r="285" spans="16:27" hidden="1" outlineLevel="1" x14ac:dyDescent="0.2"/>
    <row r="286" spans="16:27" hidden="1" outlineLevel="1" x14ac:dyDescent="0.2"/>
    <row r="287" spans="16:27" hidden="1" outlineLevel="1" x14ac:dyDescent="0.2"/>
    <row r="288" spans="16:27" hidden="1" outlineLevel="1" x14ac:dyDescent="0.2"/>
    <row r="289" hidden="1" outlineLevel="1" x14ac:dyDescent="0.2"/>
    <row r="290" hidden="1" outlineLevel="1" x14ac:dyDescent="0.2"/>
    <row r="291" hidden="1" outlineLevel="1" x14ac:dyDescent="0.2"/>
    <row r="292" hidden="1" outlineLevel="1" x14ac:dyDescent="0.2"/>
    <row r="293" hidden="1" outlineLevel="1" x14ac:dyDescent="0.2"/>
    <row r="294" hidden="1" outlineLevel="1" x14ac:dyDescent="0.2"/>
    <row r="295" hidden="1" outlineLevel="1" x14ac:dyDescent="0.2"/>
    <row r="296" hidden="1" outlineLevel="1" x14ac:dyDescent="0.2"/>
    <row r="297" hidden="1" outlineLevel="1" x14ac:dyDescent="0.2"/>
    <row r="298" hidden="1" outlineLevel="1" x14ac:dyDescent="0.2"/>
    <row r="299" hidden="1" outlineLevel="1" x14ac:dyDescent="0.2"/>
    <row r="300" hidden="1" outlineLevel="1" x14ac:dyDescent="0.2"/>
    <row r="301" hidden="1" outlineLevel="1" x14ac:dyDescent="0.2"/>
    <row r="302" hidden="1" outlineLevel="1" x14ac:dyDescent="0.2"/>
    <row r="303" hidden="1" outlineLevel="1" x14ac:dyDescent="0.2"/>
    <row r="304" hidden="1" outlineLevel="1" x14ac:dyDescent="0.2"/>
    <row r="305" hidden="1" outlineLevel="1" x14ac:dyDescent="0.2"/>
    <row r="306" hidden="1" outlineLevel="1" x14ac:dyDescent="0.2"/>
    <row r="307" hidden="1" outlineLevel="1" x14ac:dyDescent="0.2"/>
    <row r="308" hidden="1" outlineLevel="1" x14ac:dyDescent="0.2"/>
    <row r="309" hidden="1" outlineLevel="1" x14ac:dyDescent="0.2"/>
    <row r="310" hidden="1" outlineLevel="1" x14ac:dyDescent="0.2"/>
    <row r="311" hidden="1" outlineLevel="1" x14ac:dyDescent="0.2"/>
    <row r="312" hidden="1" outlineLevel="1" x14ac:dyDescent="0.2"/>
    <row r="313" hidden="1" outlineLevel="1" x14ac:dyDescent="0.2"/>
    <row r="314" hidden="1" outlineLevel="1" x14ac:dyDescent="0.2"/>
    <row r="315" hidden="1" outlineLevel="1" x14ac:dyDescent="0.2"/>
    <row r="316" collapsed="1" x14ac:dyDescent="0.2"/>
  </sheetData>
  <sheetProtection algorithmName="SHA-512" hashValue="uIiTx9pJD24x+yp2C7V/d3RSZiptJhLu1wQHCDZvrytCuwFnkr3qC28xsrSA6qG1PSw8we3zpZkaoulDmzBWQA==" saltValue="JUUNvLJgv8XRa/iweQp/pw==" spinCount="100000" sheet="1" selectLockedCells="1"/>
  <mergeCells count="12">
    <mergeCell ref="AI41:AI42"/>
    <mergeCell ref="Z50:Z51"/>
    <mergeCell ref="D6:L6"/>
    <mergeCell ref="E13:G13"/>
    <mergeCell ref="I13:K13"/>
    <mergeCell ref="M14:M15"/>
    <mergeCell ref="D44:L44"/>
    <mergeCell ref="D45:L45"/>
    <mergeCell ref="D46:L46"/>
    <mergeCell ref="D47:L47"/>
    <mergeCell ref="D48:L48"/>
    <mergeCell ref="Q41:Q42"/>
  </mergeCells>
  <dataValidations count="3">
    <dataValidation allowBlank="1" showInputMessage="1" showErrorMessage="1" prompt="Hinweis: Bitte den Handeingabewert 'Reduktion' für 'Bilanzjahr +10 Jahre' auch anpassen. Dieser muss dem Werte Ihrer Handeingabe 'Bilanzjahr +5 Jahre' entsprechen, sollte nur eine Maßnahme in 'Bilanzjahr +5 Jahre' umgesetzt werden." sqref="K17:K20 G17:G20 G23:G27" xr:uid="{7C7224D7-7363-4B38-AF51-E88D4C068574}"/>
    <dataValidation allowBlank="1" showInputMessage="1" showErrorMessage="1" prompt="Bitte den Handeingabewert 'Umstellung Dieselstapler' für 'Bilanzjahr +10 Jahre' und ggf. 'Bilanzjahr +5 Jahre' auch anpassen. Diese Werte dürfen nicht größer Ihrer Handeingabe 'Anzahl Dieselstapler im Werk' sein. Ansonsten ist die Berechnung fehlerhaft." sqref="K23" xr:uid="{79654F71-0E13-41F3-8187-5F554BA02F4E}"/>
    <dataValidation allowBlank="1" showInputMessage="1" showErrorMessage="1" prompt="Hinweis: Bitte den Handeingabewert 'Emissionsfaktor' für Ersatzstoff 1 und / oder Ersatzstoff 2 eintragen." sqref="G28:G29 K28:K29" xr:uid="{368B62FD-5BDB-4371-BC58-29A0B12245F3}"/>
  </dataValidations>
  <hyperlinks>
    <hyperlink ref="A1" location="Cockpit!A1" display="zurück zu Cockpit" xr:uid="{FA73E7B7-FB2A-406D-A782-0F255CE241AE}"/>
  </hyperlinks>
  <printOptions horizontalCentered="1"/>
  <pageMargins left="0.39370078740157483" right="0.39370078740157483" top="0.39370078740157483" bottom="0.59055118110236227" header="0.19685039370078741" footer="0.19685039370078741"/>
  <pageSetup paperSize="9" scale="50" fitToWidth="4" orientation="portrait" verticalDpi="601" r:id="rId1"/>
  <colBreaks count="3" manualBreakCount="3">
    <brk id="14" max="1048575" man="1"/>
    <brk id="23" max="1048575" man="1"/>
    <brk id="3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1073" r:id="rId4" name="Check Box 1">
              <controlPr defaultSize="0" autoFill="0" autoLine="0" autoPict="0">
                <anchor moveWithCells="1">
                  <from>
                    <xdr:col>25</xdr:col>
                    <xdr:colOff>523875</xdr:colOff>
                    <xdr:row>51</xdr:row>
                    <xdr:rowOff>28575</xdr:rowOff>
                  </from>
                  <to>
                    <xdr:col>25</xdr:col>
                    <xdr:colOff>704850</xdr:colOff>
                    <xdr:row>51</xdr:row>
                    <xdr:rowOff>190500</xdr:rowOff>
                  </to>
                </anchor>
              </controlPr>
            </control>
          </mc:Choice>
        </mc:AlternateContent>
        <mc:AlternateContent xmlns:mc="http://schemas.openxmlformats.org/markup-compatibility/2006">
          <mc:Choice Requires="x14">
            <control shapeId="131074" r:id="rId5" name="Check Box 2">
              <controlPr defaultSize="0" autoFill="0" autoLine="0" autoPict="0">
                <anchor moveWithCells="1">
                  <from>
                    <xdr:col>25</xdr:col>
                    <xdr:colOff>523875</xdr:colOff>
                    <xdr:row>52</xdr:row>
                    <xdr:rowOff>28575</xdr:rowOff>
                  </from>
                  <to>
                    <xdr:col>25</xdr:col>
                    <xdr:colOff>704850</xdr:colOff>
                    <xdr:row>52</xdr:row>
                    <xdr:rowOff>190500</xdr:rowOff>
                  </to>
                </anchor>
              </controlPr>
            </control>
          </mc:Choice>
        </mc:AlternateContent>
        <mc:AlternateContent xmlns:mc="http://schemas.openxmlformats.org/markup-compatibility/2006">
          <mc:Choice Requires="x14">
            <control shapeId="131075" r:id="rId6" name="Check Box 3">
              <controlPr defaultSize="0" autoFill="0" autoLine="0" autoPict="0">
                <anchor moveWithCells="1">
                  <from>
                    <xdr:col>25</xdr:col>
                    <xdr:colOff>523875</xdr:colOff>
                    <xdr:row>53</xdr:row>
                    <xdr:rowOff>28575</xdr:rowOff>
                  </from>
                  <to>
                    <xdr:col>25</xdr:col>
                    <xdr:colOff>704850</xdr:colOff>
                    <xdr:row>53</xdr:row>
                    <xdr:rowOff>180975</xdr:rowOff>
                  </to>
                </anchor>
              </controlPr>
            </control>
          </mc:Choice>
        </mc:AlternateContent>
        <mc:AlternateContent xmlns:mc="http://schemas.openxmlformats.org/markup-compatibility/2006">
          <mc:Choice Requires="x14">
            <control shapeId="131076" r:id="rId7" name="Check Box 4">
              <controlPr defaultSize="0" autoFill="0" autoLine="0" autoPict="0">
                <anchor moveWithCells="1">
                  <from>
                    <xdr:col>25</xdr:col>
                    <xdr:colOff>523875</xdr:colOff>
                    <xdr:row>54</xdr:row>
                    <xdr:rowOff>19050</xdr:rowOff>
                  </from>
                  <to>
                    <xdr:col>25</xdr:col>
                    <xdr:colOff>704850</xdr:colOff>
                    <xdr:row>54</xdr:row>
                    <xdr:rowOff>190500</xdr:rowOff>
                  </to>
                </anchor>
              </controlPr>
            </control>
          </mc:Choice>
        </mc:AlternateContent>
        <mc:AlternateContent xmlns:mc="http://schemas.openxmlformats.org/markup-compatibility/2006">
          <mc:Choice Requires="x14">
            <control shapeId="131077" r:id="rId8" name="Check Box 5">
              <controlPr defaultSize="0" autoFill="0" autoLine="0" autoPict="0">
                <anchor moveWithCells="1">
                  <from>
                    <xdr:col>25</xdr:col>
                    <xdr:colOff>523875</xdr:colOff>
                    <xdr:row>55</xdr:row>
                    <xdr:rowOff>19050</xdr:rowOff>
                  </from>
                  <to>
                    <xdr:col>25</xdr:col>
                    <xdr:colOff>704850</xdr:colOff>
                    <xdr:row>55</xdr:row>
                    <xdr:rowOff>180975</xdr:rowOff>
                  </to>
                </anchor>
              </controlPr>
            </control>
          </mc:Choice>
        </mc:AlternateContent>
        <mc:AlternateContent xmlns:mc="http://schemas.openxmlformats.org/markup-compatibility/2006">
          <mc:Choice Requires="x14">
            <control shapeId="131078" r:id="rId9" name="Check Box 6">
              <controlPr defaultSize="0" autoFill="0" autoLine="0" autoPict="0">
                <anchor moveWithCells="1">
                  <from>
                    <xdr:col>25</xdr:col>
                    <xdr:colOff>523875</xdr:colOff>
                    <xdr:row>56</xdr:row>
                    <xdr:rowOff>0</xdr:rowOff>
                  </from>
                  <to>
                    <xdr:col>25</xdr:col>
                    <xdr:colOff>704850</xdr:colOff>
                    <xdr:row>56</xdr:row>
                    <xdr:rowOff>180975</xdr:rowOff>
                  </to>
                </anchor>
              </controlPr>
            </control>
          </mc:Choice>
        </mc:AlternateContent>
        <mc:AlternateContent xmlns:mc="http://schemas.openxmlformats.org/markup-compatibility/2006">
          <mc:Choice Requires="x14">
            <control shapeId="131079" r:id="rId10" name="Check Box 7">
              <controlPr defaultSize="0" autoFill="0" autoLine="0" autoPict="0">
                <anchor moveWithCells="1">
                  <from>
                    <xdr:col>25</xdr:col>
                    <xdr:colOff>523875</xdr:colOff>
                    <xdr:row>57</xdr:row>
                    <xdr:rowOff>9525</xdr:rowOff>
                  </from>
                  <to>
                    <xdr:col>25</xdr:col>
                    <xdr:colOff>704850</xdr:colOff>
                    <xdr:row>57</xdr:row>
                    <xdr:rowOff>190500</xdr:rowOff>
                  </to>
                </anchor>
              </controlPr>
            </control>
          </mc:Choice>
        </mc:AlternateContent>
        <mc:AlternateContent xmlns:mc="http://schemas.openxmlformats.org/markup-compatibility/2006">
          <mc:Choice Requires="x14">
            <control shapeId="131080" r:id="rId11" name="Check Box 8">
              <controlPr defaultSize="0" autoFill="0" autoLine="0" autoPict="0">
                <anchor moveWithCells="1">
                  <from>
                    <xdr:col>34</xdr:col>
                    <xdr:colOff>457200</xdr:colOff>
                    <xdr:row>53</xdr:row>
                    <xdr:rowOff>0</xdr:rowOff>
                  </from>
                  <to>
                    <xdr:col>34</xdr:col>
                    <xdr:colOff>676275</xdr:colOff>
                    <xdr:row>53</xdr:row>
                    <xdr:rowOff>180975</xdr:rowOff>
                  </to>
                </anchor>
              </controlPr>
            </control>
          </mc:Choice>
        </mc:AlternateContent>
        <mc:AlternateContent xmlns:mc="http://schemas.openxmlformats.org/markup-compatibility/2006">
          <mc:Choice Requires="x14">
            <control shapeId="131081" r:id="rId12" name="Check Box 9">
              <controlPr defaultSize="0" autoFill="0" autoLine="0" autoPict="0">
                <anchor moveWithCells="1">
                  <from>
                    <xdr:col>34</xdr:col>
                    <xdr:colOff>571500</xdr:colOff>
                    <xdr:row>54</xdr:row>
                    <xdr:rowOff>19050</xdr:rowOff>
                  </from>
                  <to>
                    <xdr:col>35</xdr:col>
                    <xdr:colOff>0</xdr:colOff>
                    <xdr:row>55</xdr:row>
                    <xdr:rowOff>0</xdr:rowOff>
                  </to>
                </anchor>
              </controlPr>
            </control>
          </mc:Choice>
        </mc:AlternateContent>
        <mc:AlternateContent xmlns:mc="http://schemas.openxmlformats.org/markup-compatibility/2006">
          <mc:Choice Requires="x14">
            <control shapeId="131082" r:id="rId13" name="Check Box 10">
              <controlPr defaultSize="0" autoFill="0" autoLine="0" autoPict="0">
                <anchor moveWithCells="1">
                  <from>
                    <xdr:col>34</xdr:col>
                    <xdr:colOff>571500</xdr:colOff>
                    <xdr:row>55</xdr:row>
                    <xdr:rowOff>19050</xdr:rowOff>
                  </from>
                  <to>
                    <xdr:col>35</xdr:col>
                    <xdr:colOff>0</xdr:colOff>
                    <xdr:row>55</xdr:row>
                    <xdr:rowOff>200025</xdr:rowOff>
                  </to>
                </anchor>
              </controlPr>
            </control>
          </mc:Choice>
        </mc:AlternateContent>
        <mc:AlternateContent xmlns:mc="http://schemas.openxmlformats.org/markup-compatibility/2006">
          <mc:Choice Requires="x14">
            <control shapeId="131083" r:id="rId14" name="Check Box 11">
              <controlPr defaultSize="0" autoFill="0" autoLine="0" autoPict="0">
                <anchor moveWithCells="1">
                  <from>
                    <xdr:col>34</xdr:col>
                    <xdr:colOff>571500</xdr:colOff>
                    <xdr:row>56</xdr:row>
                    <xdr:rowOff>9525</xdr:rowOff>
                  </from>
                  <to>
                    <xdr:col>35</xdr:col>
                    <xdr:colOff>0</xdr:colOff>
                    <xdr:row>56</xdr:row>
                    <xdr:rowOff>190500</xdr:rowOff>
                  </to>
                </anchor>
              </controlPr>
            </control>
          </mc:Choice>
        </mc:AlternateContent>
        <mc:AlternateContent xmlns:mc="http://schemas.openxmlformats.org/markup-compatibility/2006">
          <mc:Choice Requires="x14">
            <control shapeId="131084" r:id="rId15" name="Check Box 12">
              <controlPr defaultSize="0" autoFill="0" autoLine="0" autoPict="0">
                <anchor moveWithCells="1">
                  <from>
                    <xdr:col>34</xdr:col>
                    <xdr:colOff>457200</xdr:colOff>
                    <xdr:row>51</xdr:row>
                    <xdr:rowOff>9525</xdr:rowOff>
                  </from>
                  <to>
                    <xdr:col>34</xdr:col>
                    <xdr:colOff>676275</xdr:colOff>
                    <xdr:row>52</xdr:row>
                    <xdr:rowOff>9525</xdr:rowOff>
                  </to>
                </anchor>
              </controlPr>
            </control>
          </mc:Choice>
        </mc:AlternateContent>
        <mc:AlternateContent xmlns:mc="http://schemas.openxmlformats.org/markup-compatibility/2006">
          <mc:Choice Requires="x14">
            <control shapeId="131085" r:id="rId16" name="Check Box 13">
              <controlPr defaultSize="0" autoFill="0" autoLine="0" autoPict="0">
                <anchor moveWithCells="1">
                  <from>
                    <xdr:col>34</xdr:col>
                    <xdr:colOff>457200</xdr:colOff>
                    <xdr:row>50</xdr:row>
                    <xdr:rowOff>0</xdr:rowOff>
                  </from>
                  <to>
                    <xdr:col>34</xdr:col>
                    <xdr:colOff>676275</xdr:colOff>
                    <xdr:row>50</xdr:row>
                    <xdr:rowOff>180975</xdr:rowOff>
                  </to>
                </anchor>
              </controlPr>
            </control>
          </mc:Choice>
        </mc:AlternateContent>
        <mc:AlternateContent xmlns:mc="http://schemas.openxmlformats.org/markup-compatibility/2006">
          <mc:Choice Requires="x14">
            <control shapeId="131086" r:id="rId17" name="Check Box 14">
              <controlPr defaultSize="0" autoFill="0" autoLine="0" autoPict="0">
                <anchor moveWithCells="1">
                  <from>
                    <xdr:col>34</xdr:col>
                    <xdr:colOff>457200</xdr:colOff>
                    <xdr:row>52</xdr:row>
                    <xdr:rowOff>9525</xdr:rowOff>
                  </from>
                  <to>
                    <xdr:col>34</xdr:col>
                    <xdr:colOff>676275</xdr:colOff>
                    <xdr:row>53</xdr:row>
                    <xdr:rowOff>0</xdr:rowOff>
                  </to>
                </anchor>
              </controlPr>
            </control>
          </mc:Choice>
        </mc:AlternateContent>
        <mc:AlternateContent xmlns:mc="http://schemas.openxmlformats.org/markup-compatibility/2006">
          <mc:Choice Requires="x14">
            <control shapeId="131087" r:id="rId18" name="Check Box 15">
              <controlPr defaultSize="0" autoFill="0" autoLine="0" autoPict="0">
                <anchor moveWithCells="1">
                  <from>
                    <xdr:col>16</xdr:col>
                    <xdr:colOff>504825</xdr:colOff>
                    <xdr:row>42</xdr:row>
                    <xdr:rowOff>104775</xdr:rowOff>
                  </from>
                  <to>
                    <xdr:col>16</xdr:col>
                    <xdr:colOff>714375</xdr:colOff>
                    <xdr:row>42</xdr:row>
                    <xdr:rowOff>323850</xdr:rowOff>
                  </to>
                </anchor>
              </controlPr>
            </control>
          </mc:Choice>
        </mc:AlternateContent>
        <mc:AlternateContent xmlns:mc="http://schemas.openxmlformats.org/markup-compatibility/2006">
          <mc:Choice Requires="x14">
            <control shapeId="131088" r:id="rId19" name="Check Box 16">
              <controlPr defaultSize="0" autoFill="0" autoLine="0" autoPict="0">
                <anchor moveWithCells="1">
                  <from>
                    <xdr:col>16</xdr:col>
                    <xdr:colOff>514350</xdr:colOff>
                    <xdr:row>43</xdr:row>
                    <xdr:rowOff>66675</xdr:rowOff>
                  </from>
                  <to>
                    <xdr:col>16</xdr:col>
                    <xdr:colOff>723900</xdr:colOff>
                    <xdr:row>43</xdr:row>
                    <xdr:rowOff>285750</xdr:rowOff>
                  </to>
                </anchor>
              </controlPr>
            </control>
          </mc:Choice>
        </mc:AlternateContent>
        <mc:AlternateContent xmlns:mc="http://schemas.openxmlformats.org/markup-compatibility/2006">
          <mc:Choice Requires="x14">
            <control shapeId="131089" r:id="rId20" name="Check Box 17">
              <controlPr defaultSize="0" autoFill="0" autoLine="0" autoPict="0">
                <anchor moveWithCells="1">
                  <from>
                    <xdr:col>16</xdr:col>
                    <xdr:colOff>514350</xdr:colOff>
                    <xdr:row>44</xdr:row>
                    <xdr:rowOff>47625</xdr:rowOff>
                  </from>
                  <to>
                    <xdr:col>16</xdr:col>
                    <xdr:colOff>723900</xdr:colOff>
                    <xdr:row>44</xdr:row>
                    <xdr:rowOff>266700</xdr:rowOff>
                  </to>
                </anchor>
              </controlPr>
            </control>
          </mc:Choice>
        </mc:AlternateContent>
        <mc:AlternateContent xmlns:mc="http://schemas.openxmlformats.org/markup-compatibility/2006">
          <mc:Choice Requires="x14">
            <control shapeId="131090" r:id="rId21" name="Check Box 18">
              <controlPr defaultSize="0" autoFill="0" autoLine="0" autoPict="0">
                <anchor moveWithCells="1">
                  <from>
                    <xdr:col>16</xdr:col>
                    <xdr:colOff>514350</xdr:colOff>
                    <xdr:row>45</xdr:row>
                    <xdr:rowOff>152400</xdr:rowOff>
                  </from>
                  <to>
                    <xdr:col>16</xdr:col>
                    <xdr:colOff>723900</xdr:colOff>
                    <xdr:row>45</xdr:row>
                    <xdr:rowOff>381000</xdr:rowOff>
                  </to>
                </anchor>
              </controlPr>
            </control>
          </mc:Choice>
        </mc:AlternateContent>
        <mc:AlternateContent xmlns:mc="http://schemas.openxmlformats.org/markup-compatibility/2006">
          <mc:Choice Requires="x14">
            <control shapeId="131091" r:id="rId22" name="Check Box 19">
              <controlPr defaultSize="0" autoFill="0" autoLine="0" autoPict="0">
                <anchor moveWithCells="1">
                  <from>
                    <xdr:col>16</xdr:col>
                    <xdr:colOff>514350</xdr:colOff>
                    <xdr:row>45</xdr:row>
                    <xdr:rowOff>381000</xdr:rowOff>
                  </from>
                  <to>
                    <xdr:col>16</xdr:col>
                    <xdr:colOff>723900</xdr:colOff>
                    <xdr:row>46</xdr:row>
                    <xdr:rowOff>190500</xdr:rowOff>
                  </to>
                </anchor>
              </controlPr>
            </control>
          </mc:Choice>
        </mc:AlternateContent>
        <mc:AlternateContent xmlns:mc="http://schemas.openxmlformats.org/markup-compatibility/2006">
          <mc:Choice Requires="x14">
            <control shapeId="131092" r:id="rId23" name="Check Box 20">
              <controlPr defaultSize="0" autoFill="0" autoLine="0" autoPict="0">
                <anchor moveWithCells="1">
                  <from>
                    <xdr:col>16</xdr:col>
                    <xdr:colOff>514350</xdr:colOff>
                    <xdr:row>46</xdr:row>
                    <xdr:rowOff>180975</xdr:rowOff>
                  </from>
                  <to>
                    <xdr:col>16</xdr:col>
                    <xdr:colOff>723900</xdr:colOff>
                    <xdr:row>47</xdr:row>
                    <xdr:rowOff>190500</xdr:rowOff>
                  </to>
                </anchor>
              </controlPr>
            </control>
          </mc:Choice>
        </mc:AlternateContent>
        <mc:AlternateContent xmlns:mc="http://schemas.openxmlformats.org/markup-compatibility/2006">
          <mc:Choice Requires="x14">
            <control shapeId="131093" r:id="rId24" name="Check Box 21">
              <controlPr defaultSize="0" autoFill="0" autoLine="0" autoPict="0">
                <anchor moveWithCells="1">
                  <from>
                    <xdr:col>16</xdr:col>
                    <xdr:colOff>514350</xdr:colOff>
                    <xdr:row>47</xdr:row>
                    <xdr:rowOff>171450</xdr:rowOff>
                  </from>
                  <to>
                    <xdr:col>16</xdr:col>
                    <xdr:colOff>723900</xdr:colOff>
                    <xdr:row>49</xdr:row>
                    <xdr:rowOff>0</xdr:rowOff>
                  </to>
                </anchor>
              </controlPr>
            </control>
          </mc:Choice>
        </mc:AlternateContent>
        <mc:AlternateContent xmlns:mc="http://schemas.openxmlformats.org/markup-compatibility/2006">
          <mc:Choice Requires="x14">
            <control shapeId="131094" r:id="rId25" name="Check Box 22">
              <controlPr defaultSize="0" autoFill="0" autoLine="0" autoPict="0">
                <anchor moveWithCells="1">
                  <from>
                    <xdr:col>16</xdr:col>
                    <xdr:colOff>514350</xdr:colOff>
                    <xdr:row>49</xdr:row>
                    <xdr:rowOff>190500</xdr:rowOff>
                  </from>
                  <to>
                    <xdr:col>16</xdr:col>
                    <xdr:colOff>723900</xdr:colOff>
                    <xdr:row>51</xdr:row>
                    <xdr:rowOff>0</xdr:rowOff>
                  </to>
                </anchor>
              </controlPr>
            </control>
          </mc:Choice>
        </mc:AlternateContent>
        <mc:AlternateContent xmlns:mc="http://schemas.openxmlformats.org/markup-compatibility/2006">
          <mc:Choice Requires="x14">
            <control shapeId="131095" r:id="rId26" name="Check Box 23">
              <controlPr defaultSize="0" autoFill="0" autoLine="0" autoPict="0">
                <anchor moveWithCells="1">
                  <from>
                    <xdr:col>16</xdr:col>
                    <xdr:colOff>514350</xdr:colOff>
                    <xdr:row>50</xdr:row>
                    <xdr:rowOff>180975</xdr:rowOff>
                  </from>
                  <to>
                    <xdr:col>16</xdr:col>
                    <xdr:colOff>723900</xdr:colOff>
                    <xdr:row>52</xdr:row>
                    <xdr:rowOff>0</xdr:rowOff>
                  </to>
                </anchor>
              </controlPr>
            </control>
          </mc:Choice>
        </mc:AlternateContent>
        <mc:AlternateContent xmlns:mc="http://schemas.openxmlformats.org/markup-compatibility/2006">
          <mc:Choice Requires="x14">
            <control shapeId="131096" r:id="rId27" name="Check Box 24">
              <controlPr defaultSize="0" autoFill="0" autoLine="0" autoPict="0">
                <anchor moveWithCells="1">
                  <from>
                    <xdr:col>16</xdr:col>
                    <xdr:colOff>514350</xdr:colOff>
                    <xdr:row>51</xdr:row>
                    <xdr:rowOff>180975</xdr:rowOff>
                  </from>
                  <to>
                    <xdr:col>16</xdr:col>
                    <xdr:colOff>723900</xdr:colOff>
                    <xdr:row>53</xdr:row>
                    <xdr:rowOff>0</xdr:rowOff>
                  </to>
                </anchor>
              </controlPr>
            </control>
          </mc:Choice>
        </mc:AlternateContent>
        <mc:AlternateContent xmlns:mc="http://schemas.openxmlformats.org/markup-compatibility/2006">
          <mc:Choice Requires="x14">
            <control shapeId="131097" r:id="rId28" name="Check Box 25">
              <controlPr defaultSize="0" autoFill="0" autoLine="0" autoPict="0">
                <anchor moveWithCells="1">
                  <from>
                    <xdr:col>16</xdr:col>
                    <xdr:colOff>514350</xdr:colOff>
                    <xdr:row>52</xdr:row>
                    <xdr:rowOff>180975</xdr:rowOff>
                  </from>
                  <to>
                    <xdr:col>16</xdr:col>
                    <xdr:colOff>723900</xdr:colOff>
                    <xdr:row>54</xdr:row>
                    <xdr:rowOff>9525</xdr:rowOff>
                  </to>
                </anchor>
              </controlPr>
            </control>
          </mc:Choice>
        </mc:AlternateContent>
        <mc:AlternateContent xmlns:mc="http://schemas.openxmlformats.org/markup-compatibility/2006">
          <mc:Choice Requires="x14">
            <control shapeId="131098" r:id="rId29" name="Check Box 26">
              <controlPr defaultSize="0" autoFill="0" autoLine="0" autoPict="0">
                <anchor moveWithCells="1">
                  <from>
                    <xdr:col>16</xdr:col>
                    <xdr:colOff>514350</xdr:colOff>
                    <xdr:row>48</xdr:row>
                    <xdr:rowOff>180975</xdr:rowOff>
                  </from>
                  <to>
                    <xdr:col>16</xdr:col>
                    <xdr:colOff>723900</xdr:colOff>
                    <xdr:row>50</xdr:row>
                    <xdr:rowOff>9525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07259-AC75-4C47-B1D7-88E7994C3165}">
  <dimension ref="A1:AQ307"/>
  <sheetViews>
    <sheetView workbookViewId="0"/>
  </sheetViews>
  <sheetFormatPr baseColWidth="10" defaultColWidth="9" defaultRowHeight="12.75" outlineLevelRow="1" x14ac:dyDescent="0.2"/>
  <cols>
    <col min="1" max="1" width="2.375" style="6" customWidth="1"/>
    <col min="2" max="2" width="2.125" style="6" customWidth="1"/>
    <col min="3" max="3" width="39.5" style="6" customWidth="1"/>
    <col min="4" max="4" width="8.875" style="6" customWidth="1"/>
    <col min="5" max="6" width="10.25" style="6" customWidth="1"/>
    <col min="7" max="10" width="9" style="6" customWidth="1"/>
    <col min="11" max="11" width="13.25" style="6" customWidth="1"/>
    <col min="12" max="12" width="41.375" style="6" customWidth="1"/>
    <col min="13" max="13" width="4.75" style="6" customWidth="1"/>
    <col min="14" max="14" width="30" style="6" customWidth="1"/>
    <col min="15" max="15" width="3.25" style="6" customWidth="1"/>
    <col min="16" max="16" width="2.25" style="6" customWidth="1"/>
    <col min="17" max="17" width="9.875" style="6" customWidth="1"/>
    <col min="18" max="18" width="39.5" style="6" customWidth="1"/>
    <col min="19" max="19" width="9" style="6"/>
    <col min="20" max="20" width="10.375" style="6" customWidth="1"/>
    <col min="21" max="21" width="10.125" style="6" customWidth="1"/>
    <col min="22" max="22" width="11.625" style="6" customWidth="1"/>
    <col min="23" max="23" width="9" style="6"/>
    <col min="24" max="24" width="2.625" style="6" customWidth="1"/>
    <col min="25" max="25" width="4.75" style="6" customWidth="1"/>
    <col min="26" max="26" width="10.5" style="6" customWidth="1"/>
    <col min="27" max="27" width="11.25" style="6" customWidth="1"/>
    <col min="28" max="28" width="41.375" style="6" customWidth="1"/>
    <col min="29" max="30" width="9" style="6"/>
    <col min="31" max="31" width="12" style="6" customWidth="1"/>
    <col min="32" max="32" width="4.625" style="6" customWidth="1"/>
    <col min="33" max="33" width="3.125" style="6" customWidth="1"/>
    <col min="34" max="34" width="9.875" style="6" bestFit="1" customWidth="1"/>
    <col min="35" max="35" width="10.375" style="6" customWidth="1"/>
    <col min="36" max="36" width="31.5" style="6" bestFit="1" customWidth="1"/>
    <col min="37" max="37" width="9" style="6"/>
    <col min="38" max="38" width="11.75" style="6" bestFit="1" customWidth="1"/>
    <col min="39" max="39" width="10" style="6" bestFit="1" customWidth="1"/>
    <col min="40" max="40" width="9" style="6"/>
    <col min="41" max="41" width="9" style="6" customWidth="1"/>
    <col min="42" max="16384" width="9" style="6"/>
  </cols>
  <sheetData>
    <row r="1" spans="1:42" s="2" customFormat="1" x14ac:dyDescent="0.2">
      <c r="A1" s="428" t="s">
        <v>467</v>
      </c>
      <c r="B1" s="418"/>
      <c r="C1" s="6"/>
    </row>
    <row r="2" spans="1:42" x14ac:dyDescent="0.2">
      <c r="B2" s="89"/>
      <c r="C2" s="89"/>
      <c r="D2" s="89"/>
      <c r="E2" s="89"/>
      <c r="F2" s="89"/>
      <c r="G2" s="89"/>
      <c r="H2" s="89"/>
      <c r="I2" s="89"/>
      <c r="J2" s="89"/>
      <c r="K2" s="89"/>
      <c r="L2" s="3"/>
      <c r="M2" s="3"/>
      <c r="N2" s="3"/>
      <c r="P2" s="3"/>
      <c r="Q2" s="3"/>
      <c r="R2" s="14"/>
      <c r="S2" s="3"/>
      <c r="T2" s="3"/>
      <c r="U2" s="3"/>
      <c r="V2" s="3"/>
      <c r="W2" s="3"/>
      <c r="Y2" s="3"/>
      <c r="Z2" s="3"/>
      <c r="AA2" s="3"/>
      <c r="AB2" s="3"/>
      <c r="AC2" s="3"/>
      <c r="AD2" s="3"/>
      <c r="AE2" s="3"/>
      <c r="AF2" s="3"/>
      <c r="AH2" s="3"/>
      <c r="AI2" s="3"/>
      <c r="AJ2" s="3"/>
      <c r="AK2" s="3"/>
      <c r="AL2" s="3"/>
      <c r="AM2" s="3"/>
      <c r="AN2" s="3"/>
      <c r="AO2" s="3"/>
      <c r="AP2" s="3"/>
    </row>
    <row r="3" spans="1:42" ht="18" x14ac:dyDescent="0.25">
      <c r="B3" s="89"/>
      <c r="C3" s="90" t="s">
        <v>256</v>
      </c>
      <c r="D3" s="89"/>
      <c r="E3" s="89"/>
      <c r="F3" s="89"/>
      <c r="G3" s="89"/>
      <c r="H3" s="89"/>
      <c r="I3" s="89"/>
      <c r="J3" s="89"/>
      <c r="K3" s="89"/>
      <c r="L3" s="3"/>
      <c r="M3" s="3"/>
      <c r="N3" s="3"/>
      <c r="P3" s="3"/>
      <c r="Q3" s="96" t="s">
        <v>261</v>
      </c>
      <c r="R3" s="14"/>
      <c r="S3" s="3"/>
      <c r="T3" s="3"/>
      <c r="U3" s="3"/>
      <c r="V3" s="3"/>
      <c r="W3" s="3"/>
      <c r="Y3" s="3"/>
      <c r="Z3" s="96" t="s">
        <v>261</v>
      </c>
      <c r="AA3" s="3"/>
      <c r="AB3" s="3"/>
      <c r="AC3" s="3"/>
      <c r="AD3" s="3"/>
      <c r="AE3" s="3"/>
      <c r="AF3" s="3"/>
      <c r="AH3" s="3"/>
      <c r="AI3" s="96" t="s">
        <v>261</v>
      </c>
      <c r="AJ3" s="3"/>
      <c r="AK3" s="3"/>
      <c r="AL3" s="3"/>
      <c r="AM3" s="3"/>
      <c r="AN3" s="3"/>
      <c r="AO3" s="3"/>
      <c r="AP3" s="3"/>
    </row>
    <row r="4" spans="1:42" x14ac:dyDescent="0.2">
      <c r="B4" s="89"/>
      <c r="C4" s="3"/>
      <c r="D4" s="3"/>
      <c r="E4" s="3"/>
      <c r="F4" s="3"/>
      <c r="G4" s="3"/>
      <c r="H4" s="3"/>
      <c r="I4" s="3"/>
      <c r="J4" s="3"/>
      <c r="K4" s="3"/>
      <c r="L4" s="3"/>
      <c r="M4" s="3"/>
      <c r="N4" s="3"/>
      <c r="P4" s="3"/>
      <c r="Q4" s="3"/>
      <c r="R4" s="14"/>
      <c r="S4" s="3"/>
      <c r="T4" s="3"/>
      <c r="U4" s="111"/>
      <c r="V4" s="3"/>
      <c r="W4" s="3"/>
      <c r="Y4" s="3"/>
      <c r="Z4" s="3"/>
      <c r="AA4" s="3"/>
      <c r="AB4" s="3"/>
      <c r="AC4" s="3"/>
      <c r="AD4" s="3"/>
      <c r="AE4" s="3"/>
      <c r="AF4" s="3"/>
      <c r="AH4" s="3"/>
      <c r="AI4" s="3"/>
      <c r="AJ4" s="3"/>
      <c r="AK4" s="3"/>
      <c r="AL4" s="3"/>
      <c r="AM4" s="3"/>
      <c r="AN4" s="3"/>
      <c r="AO4" s="3"/>
      <c r="AP4" s="3"/>
    </row>
    <row r="5" spans="1:42" ht="15" x14ac:dyDescent="0.25">
      <c r="B5" s="89"/>
      <c r="C5" s="108" t="s">
        <v>293</v>
      </c>
      <c r="D5" s="103"/>
      <c r="E5" s="103"/>
      <c r="F5" s="103"/>
      <c r="G5" s="103"/>
      <c r="H5" s="103"/>
      <c r="I5" s="103"/>
      <c r="J5" s="103"/>
      <c r="K5" s="103"/>
      <c r="L5" s="3"/>
      <c r="M5" s="3"/>
      <c r="N5" s="3"/>
      <c r="P5" s="3"/>
      <c r="Q5" s="91" t="s">
        <v>237</v>
      </c>
      <c r="R5" s="3"/>
      <c r="S5" s="3"/>
      <c r="T5" s="3"/>
      <c r="U5" s="3"/>
      <c r="V5" s="3"/>
      <c r="W5" s="3"/>
      <c r="Y5" s="3"/>
      <c r="Z5" s="91" t="s">
        <v>105</v>
      </c>
      <c r="AA5" s="3"/>
      <c r="AB5" s="3"/>
      <c r="AC5" s="3"/>
      <c r="AD5" s="3"/>
      <c r="AE5" s="3"/>
      <c r="AF5" s="3"/>
      <c r="AH5" s="3"/>
      <c r="AI5" s="386" t="s">
        <v>79</v>
      </c>
      <c r="AJ5" s="3"/>
      <c r="AK5" s="3"/>
      <c r="AL5" s="3"/>
      <c r="AM5" s="3"/>
      <c r="AN5" s="3"/>
      <c r="AO5" s="3"/>
      <c r="AP5" s="3"/>
    </row>
    <row r="6" spans="1:42" ht="160.5" customHeight="1" x14ac:dyDescent="0.2">
      <c r="B6" s="93"/>
      <c r="C6" s="481" t="s">
        <v>445</v>
      </c>
      <c r="D6" s="481"/>
      <c r="E6" s="481"/>
      <c r="F6" s="481"/>
      <c r="G6" s="481"/>
      <c r="H6" s="481"/>
      <c r="I6" s="481"/>
      <c r="J6" s="481"/>
      <c r="K6" s="481"/>
      <c r="L6" s="481"/>
      <c r="M6" s="3"/>
      <c r="N6" s="3"/>
      <c r="P6" s="3"/>
      <c r="Q6" s="3"/>
      <c r="R6" s="14"/>
      <c r="S6" s="3"/>
      <c r="T6" s="3"/>
      <c r="U6" s="3"/>
      <c r="V6" s="3"/>
      <c r="W6" s="3"/>
      <c r="Y6" s="3"/>
      <c r="Z6" s="3"/>
      <c r="AA6" s="3"/>
      <c r="AB6" s="3"/>
      <c r="AC6" s="3"/>
      <c r="AD6" s="3"/>
      <c r="AE6" s="3"/>
      <c r="AF6" s="3"/>
      <c r="AH6" s="3"/>
      <c r="AI6" s="3"/>
      <c r="AJ6" s="3"/>
      <c r="AK6" s="3"/>
      <c r="AL6" s="3"/>
      <c r="AM6" s="3"/>
      <c r="AN6" s="3"/>
      <c r="AO6" s="3"/>
      <c r="AP6" s="3"/>
    </row>
    <row r="7" spans="1:42" x14ac:dyDescent="0.2">
      <c r="B7" s="89"/>
      <c r="C7" s="89"/>
      <c r="D7" s="89"/>
      <c r="E7" s="89"/>
      <c r="F7" s="89"/>
      <c r="G7" s="89"/>
      <c r="H7" s="89"/>
      <c r="I7" s="89"/>
      <c r="J7" s="89"/>
      <c r="K7" s="89"/>
      <c r="L7" s="3"/>
      <c r="M7" s="3"/>
      <c r="N7" s="3"/>
      <c r="P7" s="3"/>
      <c r="Q7" s="3"/>
      <c r="R7" s="3"/>
      <c r="S7" s="3"/>
      <c r="T7" s="3"/>
      <c r="U7" s="3"/>
      <c r="V7" s="3"/>
      <c r="W7" s="3"/>
      <c r="Y7" s="3"/>
      <c r="Z7" s="3"/>
      <c r="AA7" s="3"/>
      <c r="AB7" s="3"/>
      <c r="AC7" s="3"/>
      <c r="AD7" s="3"/>
      <c r="AE7" s="3"/>
      <c r="AF7" s="3"/>
      <c r="AH7" s="3"/>
      <c r="AI7" s="3"/>
      <c r="AJ7" s="3"/>
      <c r="AK7" s="3"/>
      <c r="AL7" s="3"/>
      <c r="AM7" s="3"/>
      <c r="AN7" s="3"/>
      <c r="AO7" s="3"/>
      <c r="AP7" s="3"/>
    </row>
    <row r="8" spans="1:42" x14ac:dyDescent="0.2">
      <c r="P8" s="3"/>
      <c r="Q8" s="3"/>
      <c r="R8" s="3"/>
      <c r="S8" s="3"/>
      <c r="T8" s="3"/>
      <c r="U8" s="3"/>
      <c r="V8" s="3"/>
      <c r="W8" s="3"/>
      <c r="Y8" s="3"/>
      <c r="Z8" s="3"/>
      <c r="AA8" s="3"/>
      <c r="AB8" s="3"/>
      <c r="AC8" s="3"/>
      <c r="AD8" s="3"/>
      <c r="AE8" s="3"/>
      <c r="AF8" s="3"/>
      <c r="AH8" s="3"/>
      <c r="AI8" s="3"/>
      <c r="AJ8" s="3"/>
      <c r="AK8" s="3"/>
      <c r="AL8" s="3"/>
      <c r="AM8" s="3"/>
      <c r="AN8" s="3"/>
      <c r="AO8" s="3"/>
      <c r="AP8" s="3"/>
    </row>
    <row r="9" spans="1:42" x14ac:dyDescent="0.2">
      <c r="B9" s="3"/>
      <c r="C9" s="3"/>
      <c r="D9" s="3"/>
      <c r="E9" s="3"/>
      <c r="F9" s="3"/>
      <c r="G9" s="3"/>
      <c r="H9" s="3"/>
      <c r="I9" s="3"/>
      <c r="J9" s="3"/>
      <c r="K9" s="3"/>
      <c r="L9" s="3"/>
      <c r="M9" s="3"/>
      <c r="N9" s="3"/>
      <c r="P9" s="3"/>
      <c r="Q9" s="3"/>
      <c r="R9" s="3"/>
      <c r="S9" s="3"/>
      <c r="T9" s="3"/>
      <c r="U9" s="3"/>
      <c r="V9" s="3"/>
      <c r="W9" s="3"/>
      <c r="Y9" s="3"/>
      <c r="Z9" s="3"/>
      <c r="AA9" s="3"/>
      <c r="AB9" s="3"/>
      <c r="AC9" s="3"/>
      <c r="AD9" s="3"/>
      <c r="AE9" s="3"/>
      <c r="AF9" s="3"/>
      <c r="AH9" s="3"/>
      <c r="AI9" s="3"/>
      <c r="AJ9" s="3"/>
      <c r="AK9" s="3"/>
      <c r="AL9" s="3"/>
      <c r="AM9" s="3"/>
      <c r="AN9" s="3"/>
      <c r="AO9" s="3"/>
      <c r="AP9" s="3"/>
    </row>
    <row r="10" spans="1:42" x14ac:dyDescent="0.2">
      <c r="B10" s="3"/>
      <c r="C10" s="3"/>
      <c r="D10" s="3"/>
      <c r="E10" s="3"/>
      <c r="F10" s="3"/>
      <c r="G10" s="3"/>
      <c r="H10" s="3"/>
      <c r="I10" s="3"/>
      <c r="J10" s="3"/>
      <c r="K10" s="3"/>
      <c r="L10" s="3"/>
      <c r="M10" s="3"/>
      <c r="N10" s="3"/>
      <c r="P10" s="3"/>
      <c r="Q10" s="3"/>
      <c r="R10" s="3"/>
      <c r="S10" s="3"/>
      <c r="T10" s="3"/>
      <c r="U10" s="3"/>
      <c r="V10" s="3"/>
      <c r="W10" s="3"/>
      <c r="Y10" s="3"/>
      <c r="Z10" s="3"/>
      <c r="AA10" s="3"/>
      <c r="AB10" s="3"/>
      <c r="AC10" s="3"/>
      <c r="AD10" s="3"/>
      <c r="AE10" s="3"/>
      <c r="AF10" s="3"/>
      <c r="AH10" s="3"/>
      <c r="AI10" s="3"/>
      <c r="AJ10" s="3"/>
      <c r="AK10" s="3"/>
      <c r="AL10" s="3"/>
      <c r="AM10" s="3"/>
      <c r="AN10" s="3"/>
      <c r="AO10" s="3"/>
      <c r="AP10" s="3"/>
    </row>
    <row r="11" spans="1:42" ht="18" x14ac:dyDescent="0.25">
      <c r="B11" s="3"/>
      <c r="C11" s="85" t="s">
        <v>257</v>
      </c>
      <c r="D11" s="94"/>
      <c r="E11" s="95"/>
      <c r="F11" s="7"/>
      <c r="G11" s="7"/>
      <c r="H11" s="7"/>
      <c r="I11" s="7"/>
      <c r="J11" s="7"/>
      <c r="K11" s="3"/>
      <c r="L11" s="3"/>
      <c r="M11" s="3"/>
      <c r="N11" s="3"/>
      <c r="P11" s="3"/>
      <c r="Q11" s="3"/>
      <c r="R11" s="3"/>
      <c r="S11" s="3"/>
      <c r="T11" s="3"/>
      <c r="U11" s="3"/>
      <c r="V11" s="3"/>
      <c r="W11" s="3"/>
      <c r="Y11" s="3"/>
      <c r="Z11" s="3"/>
      <c r="AA11" s="3"/>
      <c r="AB11" s="3"/>
      <c r="AC11" s="3"/>
      <c r="AD11" s="3"/>
      <c r="AE11" s="3"/>
      <c r="AF11" s="3"/>
      <c r="AH11" s="3"/>
      <c r="AI11" s="3"/>
      <c r="AJ11" s="3"/>
      <c r="AK11" s="3"/>
      <c r="AL11" s="3"/>
      <c r="AM11" s="3"/>
      <c r="AN11" s="3"/>
      <c r="AO11" s="3"/>
      <c r="AP11" s="3"/>
    </row>
    <row r="12" spans="1:42" ht="14.25" x14ac:dyDescent="0.2">
      <c r="B12" s="3"/>
      <c r="C12" s="3"/>
      <c r="D12" s="3"/>
      <c r="E12" s="3"/>
      <c r="F12" s="3"/>
      <c r="G12" s="7"/>
      <c r="H12" s="7"/>
      <c r="I12" s="7"/>
      <c r="J12" s="7"/>
      <c r="K12" s="3"/>
      <c r="L12" s="3"/>
      <c r="M12" s="3"/>
      <c r="N12" s="3"/>
      <c r="P12" s="3"/>
      <c r="Q12" s="3"/>
      <c r="R12" s="3"/>
      <c r="S12" s="3"/>
      <c r="T12" s="3"/>
      <c r="U12" s="3"/>
      <c r="V12" s="3"/>
      <c r="W12" s="3"/>
      <c r="Y12" s="3"/>
      <c r="Z12" s="3"/>
      <c r="AA12" s="3"/>
      <c r="AB12" s="3"/>
      <c r="AC12" s="3"/>
      <c r="AD12" s="3"/>
      <c r="AE12" s="3"/>
      <c r="AF12" s="3"/>
      <c r="AH12" s="3"/>
      <c r="AI12" s="3"/>
      <c r="AJ12" s="3"/>
      <c r="AK12" s="3"/>
      <c r="AL12" s="3"/>
      <c r="AM12" s="3"/>
      <c r="AN12" s="3"/>
      <c r="AO12" s="3"/>
      <c r="AP12" s="3"/>
    </row>
    <row r="13" spans="1:42" x14ac:dyDescent="0.2">
      <c r="B13" s="3"/>
      <c r="C13" s="8"/>
      <c r="D13" s="482">
        <f>'Referenz Plattenfertiger'!D9+5</f>
        <v>5</v>
      </c>
      <c r="E13" s="482"/>
      <c r="F13" s="482"/>
      <c r="G13" s="13"/>
      <c r="H13" s="482">
        <f>D13+5</f>
        <v>10</v>
      </c>
      <c r="I13" s="482"/>
      <c r="J13" s="482"/>
      <c r="K13" s="8"/>
      <c r="L13" s="379" t="s">
        <v>255</v>
      </c>
      <c r="M13" s="3"/>
      <c r="N13" s="3"/>
      <c r="P13" s="3"/>
      <c r="Q13" s="3"/>
      <c r="R13" s="3"/>
      <c r="S13" s="3"/>
      <c r="T13" s="3"/>
      <c r="U13" s="3"/>
      <c r="V13" s="3"/>
      <c r="W13" s="3"/>
      <c r="Y13" s="3"/>
      <c r="Z13" s="3"/>
      <c r="AA13" s="3"/>
      <c r="AB13" s="3"/>
      <c r="AC13" s="3"/>
      <c r="AD13" s="3"/>
      <c r="AE13" s="3"/>
      <c r="AF13" s="3"/>
      <c r="AH13" s="3"/>
      <c r="AI13" s="3"/>
      <c r="AJ13" s="3"/>
      <c r="AK13" s="3"/>
      <c r="AL13" s="3"/>
      <c r="AM13" s="3"/>
      <c r="AN13" s="3"/>
      <c r="AO13" s="3"/>
      <c r="AP13" s="3"/>
    </row>
    <row r="14" spans="1:42" x14ac:dyDescent="0.2">
      <c r="B14" s="3"/>
      <c r="C14" s="8"/>
      <c r="D14" s="101" t="s">
        <v>75</v>
      </c>
      <c r="E14" s="101"/>
      <c r="F14" s="101" t="s">
        <v>72</v>
      </c>
      <c r="G14" s="13"/>
      <c r="H14" s="101" t="s">
        <v>75</v>
      </c>
      <c r="I14" s="101"/>
      <c r="J14" s="101" t="s">
        <v>72</v>
      </c>
      <c r="K14" s="8"/>
      <c r="L14" s="486" t="s">
        <v>424</v>
      </c>
      <c r="M14" s="3"/>
      <c r="N14" s="3"/>
      <c r="P14" s="3"/>
      <c r="Q14" s="3"/>
      <c r="R14" s="3"/>
      <c r="S14" s="3"/>
      <c r="T14" s="3"/>
      <c r="U14" s="3"/>
      <c r="V14" s="3"/>
      <c r="W14" s="3"/>
      <c r="Y14" s="3"/>
      <c r="Z14" s="3"/>
      <c r="AA14" s="3"/>
      <c r="AB14" s="3"/>
      <c r="AC14" s="3"/>
      <c r="AD14" s="3"/>
      <c r="AE14" s="3"/>
      <c r="AF14" s="3"/>
      <c r="AH14" s="3"/>
      <c r="AI14" s="3"/>
      <c r="AJ14" s="3"/>
      <c r="AK14" s="3"/>
      <c r="AL14" s="3"/>
      <c r="AM14" s="3"/>
      <c r="AN14" s="3"/>
      <c r="AO14" s="3"/>
      <c r="AP14" s="3"/>
    </row>
    <row r="15" spans="1:42" x14ac:dyDescent="0.2">
      <c r="B15" s="3"/>
      <c r="C15" s="3"/>
      <c r="D15" s="3"/>
      <c r="E15" s="3"/>
      <c r="F15" s="3"/>
      <c r="G15" s="3"/>
      <c r="H15" s="3"/>
      <c r="I15" s="3"/>
      <c r="J15" s="3"/>
      <c r="K15" s="3"/>
      <c r="L15" s="486"/>
      <c r="M15" s="3"/>
      <c r="N15" s="3"/>
      <c r="P15" s="3"/>
      <c r="Q15" s="3"/>
      <c r="R15" s="3"/>
      <c r="S15" s="3"/>
      <c r="T15" s="3"/>
      <c r="U15" s="3"/>
      <c r="V15" s="3"/>
      <c r="W15" s="3"/>
      <c r="Y15" s="3"/>
      <c r="Z15" s="3"/>
      <c r="AA15" s="3"/>
      <c r="AB15" s="3"/>
      <c r="AC15" s="3"/>
      <c r="AD15" s="3"/>
      <c r="AE15" s="3"/>
      <c r="AF15" s="3"/>
      <c r="AH15" s="3"/>
      <c r="AI15" s="3"/>
      <c r="AJ15" s="3"/>
      <c r="AK15" s="3"/>
      <c r="AL15" s="3"/>
      <c r="AM15" s="3"/>
      <c r="AN15" s="3"/>
      <c r="AO15" s="3"/>
      <c r="AP15" s="3"/>
    </row>
    <row r="16" spans="1:42" x14ac:dyDescent="0.2">
      <c r="B16" s="3"/>
      <c r="C16" s="8" t="s">
        <v>258</v>
      </c>
      <c r="D16" s="11"/>
      <c r="E16" s="3"/>
      <c r="F16" s="3"/>
      <c r="G16" s="3"/>
      <c r="H16" s="3"/>
      <c r="I16" s="3"/>
      <c r="J16" s="3"/>
      <c r="K16" s="3"/>
      <c r="L16" s="3"/>
      <c r="M16" s="3"/>
      <c r="N16" s="3"/>
      <c r="P16" s="3"/>
      <c r="Q16" s="3"/>
      <c r="R16" s="3"/>
      <c r="S16" s="3"/>
      <c r="T16" s="3"/>
      <c r="U16" s="3"/>
      <c r="V16" s="3"/>
      <c r="W16" s="3"/>
      <c r="Y16" s="3"/>
      <c r="Z16" s="3"/>
      <c r="AA16" s="3"/>
      <c r="AB16" s="3"/>
      <c r="AC16" s="3"/>
      <c r="AD16" s="3"/>
      <c r="AE16" s="3"/>
      <c r="AF16" s="3"/>
      <c r="AH16" s="3"/>
      <c r="AI16" s="3"/>
      <c r="AJ16" s="3"/>
      <c r="AK16" s="3"/>
      <c r="AL16" s="3"/>
      <c r="AM16" s="3"/>
      <c r="AN16" s="3"/>
      <c r="AO16" s="3"/>
      <c r="AP16" s="3"/>
    </row>
    <row r="17" spans="2:42" x14ac:dyDescent="0.2">
      <c r="B17" s="3"/>
      <c r="C17" s="116" t="s">
        <v>235</v>
      </c>
      <c r="D17" s="79">
        <v>5</v>
      </c>
      <c r="E17" s="15" t="s">
        <v>89</v>
      </c>
      <c r="F17" s="113"/>
      <c r="G17" s="15" t="s">
        <v>89</v>
      </c>
      <c r="H17" s="79">
        <v>10</v>
      </c>
      <c r="I17" s="15" t="s">
        <v>89</v>
      </c>
      <c r="J17" s="113"/>
      <c r="K17" s="15" t="s">
        <v>89</v>
      </c>
      <c r="L17" s="113"/>
      <c r="M17" s="3"/>
      <c r="N17" s="3"/>
      <c r="P17" s="3"/>
      <c r="Q17" s="3"/>
      <c r="R17" s="3"/>
      <c r="S17" s="3"/>
      <c r="T17" s="3"/>
      <c r="U17" s="3"/>
      <c r="V17" s="3"/>
      <c r="W17" s="3"/>
      <c r="Y17" s="3"/>
      <c r="Z17" s="3"/>
      <c r="AA17" s="3"/>
      <c r="AB17" s="3"/>
      <c r="AC17" s="3"/>
      <c r="AD17" s="3"/>
      <c r="AE17" s="3"/>
      <c r="AF17" s="3"/>
      <c r="AH17" s="3"/>
      <c r="AI17" s="3"/>
      <c r="AJ17" s="3"/>
      <c r="AK17" s="3"/>
      <c r="AL17" s="3"/>
      <c r="AM17" s="3"/>
      <c r="AN17" s="3"/>
      <c r="AO17" s="3"/>
      <c r="AP17" s="3"/>
    </row>
    <row r="18" spans="2:42" x14ac:dyDescent="0.2">
      <c r="B18" s="3"/>
      <c r="C18" s="116" t="s">
        <v>236</v>
      </c>
      <c r="D18" s="79">
        <v>5</v>
      </c>
      <c r="E18" s="15" t="s">
        <v>89</v>
      </c>
      <c r="F18" s="113"/>
      <c r="G18" s="15" t="s">
        <v>89</v>
      </c>
      <c r="H18" s="79">
        <v>10</v>
      </c>
      <c r="I18" s="15" t="s">
        <v>89</v>
      </c>
      <c r="J18" s="113"/>
      <c r="K18" s="15" t="s">
        <v>89</v>
      </c>
      <c r="L18" s="113"/>
      <c r="M18" s="3"/>
      <c r="N18" s="3"/>
      <c r="P18" s="3"/>
      <c r="Q18" s="3"/>
      <c r="R18" s="3"/>
      <c r="S18" s="3"/>
      <c r="T18" s="3"/>
      <c r="U18" s="3"/>
      <c r="V18" s="3"/>
      <c r="W18" s="3"/>
      <c r="Y18" s="3"/>
      <c r="Z18" s="3"/>
      <c r="AA18" s="3"/>
      <c r="AB18" s="3"/>
      <c r="AC18" s="3"/>
      <c r="AD18" s="3"/>
      <c r="AE18" s="3"/>
      <c r="AF18" s="3"/>
      <c r="AH18" s="3"/>
      <c r="AI18" s="3"/>
      <c r="AJ18" s="3"/>
      <c r="AK18" s="3"/>
      <c r="AL18" s="3"/>
      <c r="AM18" s="3"/>
      <c r="AN18" s="3"/>
      <c r="AO18" s="3"/>
      <c r="AP18" s="3"/>
    </row>
    <row r="19" spans="2:42" x14ac:dyDescent="0.2">
      <c r="B19" s="3"/>
      <c r="C19" s="116" t="s">
        <v>48</v>
      </c>
      <c r="D19" s="79">
        <v>5</v>
      </c>
      <c r="E19" s="15" t="s">
        <v>89</v>
      </c>
      <c r="F19" s="113"/>
      <c r="G19" s="15" t="s">
        <v>89</v>
      </c>
      <c r="H19" s="79">
        <v>10</v>
      </c>
      <c r="I19" s="15" t="s">
        <v>89</v>
      </c>
      <c r="J19" s="113"/>
      <c r="K19" s="15" t="s">
        <v>89</v>
      </c>
      <c r="L19" s="113"/>
      <c r="M19" s="3"/>
      <c r="N19" s="3"/>
      <c r="P19" s="3"/>
      <c r="Q19" s="3"/>
      <c r="R19" s="3"/>
      <c r="S19" s="3"/>
      <c r="T19" s="3"/>
      <c r="U19" s="3"/>
      <c r="V19" s="3"/>
      <c r="W19" s="3"/>
      <c r="Y19" s="3"/>
      <c r="Z19" s="3"/>
      <c r="AA19" s="3"/>
      <c r="AB19" s="3"/>
      <c r="AC19" s="3"/>
      <c r="AD19" s="3"/>
      <c r="AE19" s="3"/>
      <c r="AF19" s="3"/>
      <c r="AH19" s="3"/>
      <c r="AI19" s="3"/>
      <c r="AJ19" s="3"/>
      <c r="AK19" s="3"/>
      <c r="AL19" s="3"/>
      <c r="AM19" s="3"/>
      <c r="AN19" s="3"/>
      <c r="AO19" s="3"/>
      <c r="AP19" s="3"/>
    </row>
    <row r="20" spans="2:42" ht="14.25" x14ac:dyDescent="0.2">
      <c r="B20" s="458" t="s">
        <v>280</v>
      </c>
      <c r="C20" s="116" t="str">
        <f>'Referenz Plattenfertiger'!D39</f>
        <v>Weitere Zementsorte</v>
      </c>
      <c r="D20" s="79">
        <v>5</v>
      </c>
      <c r="E20" s="15" t="s">
        <v>89</v>
      </c>
      <c r="F20" s="113"/>
      <c r="G20" s="15" t="s">
        <v>89</v>
      </c>
      <c r="H20" s="79">
        <v>10</v>
      </c>
      <c r="I20" s="15" t="s">
        <v>89</v>
      </c>
      <c r="J20" s="113"/>
      <c r="K20" s="15" t="s">
        <v>89</v>
      </c>
      <c r="L20" s="113"/>
      <c r="M20" s="3"/>
      <c r="N20" s="3"/>
      <c r="P20" s="3"/>
      <c r="Q20" s="3"/>
      <c r="R20" s="3"/>
      <c r="S20" s="3"/>
      <c r="T20" s="3"/>
      <c r="U20" s="3"/>
      <c r="V20" s="3"/>
      <c r="W20" s="3"/>
      <c r="Y20" s="3"/>
      <c r="Z20" s="3"/>
      <c r="AA20" s="3"/>
      <c r="AB20" s="3"/>
      <c r="AC20" s="3"/>
      <c r="AD20" s="3"/>
      <c r="AE20" s="3"/>
      <c r="AF20" s="3"/>
      <c r="AH20" s="3"/>
      <c r="AI20" s="3"/>
      <c r="AJ20" s="3"/>
      <c r="AK20" s="3"/>
      <c r="AL20" s="3"/>
      <c r="AM20" s="3"/>
      <c r="AN20" s="3"/>
      <c r="AO20" s="3"/>
      <c r="AP20" s="3"/>
    </row>
    <row r="21" spans="2:42" x14ac:dyDescent="0.2">
      <c r="B21" s="3"/>
      <c r="C21" s="11"/>
      <c r="D21" s="79"/>
      <c r="E21" s="79"/>
      <c r="F21" s="79"/>
      <c r="G21" s="79"/>
      <c r="H21" s="79"/>
      <c r="I21" s="79"/>
      <c r="J21" s="79"/>
      <c r="K21" s="15"/>
      <c r="L21" s="3"/>
      <c r="M21" s="3"/>
      <c r="N21" s="3"/>
      <c r="P21" s="3"/>
      <c r="Q21" s="3"/>
      <c r="R21" s="3"/>
      <c r="S21" s="3"/>
      <c r="T21" s="3"/>
      <c r="U21" s="3"/>
      <c r="V21" s="3"/>
      <c r="W21" s="3"/>
      <c r="Y21" s="3"/>
      <c r="Z21" s="3"/>
      <c r="AA21" s="3"/>
      <c r="AB21" s="3"/>
      <c r="AC21" s="3"/>
      <c r="AD21" s="3"/>
      <c r="AE21" s="3"/>
      <c r="AF21" s="3"/>
      <c r="AH21" s="3"/>
      <c r="AI21" s="3"/>
      <c r="AJ21" s="3"/>
      <c r="AK21" s="3"/>
      <c r="AL21" s="3"/>
      <c r="AM21" s="3"/>
      <c r="AN21" s="3"/>
      <c r="AO21" s="3"/>
      <c r="AP21" s="3"/>
    </row>
    <row r="22" spans="2:42" x14ac:dyDescent="0.2">
      <c r="B22" s="3"/>
      <c r="C22" s="8" t="s">
        <v>496</v>
      </c>
      <c r="D22" s="79"/>
      <c r="E22" s="15"/>
      <c r="F22" s="15"/>
      <c r="G22" s="15"/>
      <c r="H22" s="15"/>
      <c r="I22" s="15"/>
      <c r="J22" s="15"/>
      <c r="K22" s="15"/>
      <c r="L22" s="3"/>
      <c r="M22" s="3"/>
      <c r="N22" s="3"/>
      <c r="P22" s="3"/>
      <c r="Q22" s="3"/>
      <c r="R22" s="3"/>
      <c r="S22" s="3"/>
      <c r="T22" s="3"/>
      <c r="U22" s="3"/>
      <c r="V22" s="3"/>
      <c r="W22" s="3"/>
      <c r="Y22" s="3"/>
      <c r="Z22" s="3"/>
      <c r="AA22" s="3"/>
      <c r="AB22" s="3"/>
      <c r="AC22" s="3"/>
      <c r="AD22" s="3"/>
      <c r="AE22" s="3"/>
      <c r="AF22" s="3"/>
      <c r="AH22" s="3"/>
      <c r="AI22" s="3"/>
      <c r="AJ22" s="3"/>
      <c r="AK22" s="3"/>
      <c r="AL22" s="3"/>
      <c r="AM22" s="3"/>
      <c r="AN22" s="3"/>
      <c r="AO22" s="3"/>
      <c r="AP22" s="3"/>
    </row>
    <row r="23" spans="2:42" ht="14.25" x14ac:dyDescent="0.2">
      <c r="B23" s="3"/>
      <c r="C23" s="116" t="s">
        <v>509</v>
      </c>
      <c r="D23" s="79">
        <v>0</v>
      </c>
      <c r="E23" s="15" t="s">
        <v>46</v>
      </c>
      <c r="F23" s="272"/>
      <c r="G23" s="15" t="s">
        <v>46</v>
      </c>
      <c r="H23" s="79">
        <v>0</v>
      </c>
      <c r="I23" s="15" t="s">
        <v>46</v>
      </c>
      <c r="J23" s="272"/>
      <c r="K23" s="15" t="s">
        <v>46</v>
      </c>
      <c r="L23" s="113"/>
      <c r="M23" s="3"/>
      <c r="N23" s="3"/>
      <c r="P23" s="3"/>
      <c r="Q23" s="3"/>
      <c r="R23" s="3"/>
      <c r="S23" s="3"/>
      <c r="T23" s="3"/>
      <c r="U23" s="3"/>
      <c r="V23" s="3"/>
      <c r="W23" s="3"/>
      <c r="Y23" s="3"/>
      <c r="Z23" s="3"/>
      <c r="AA23" s="3"/>
      <c r="AB23" s="3"/>
      <c r="AC23" s="3"/>
      <c r="AD23" s="3"/>
      <c r="AE23" s="3"/>
      <c r="AF23" s="3"/>
      <c r="AH23" s="3"/>
      <c r="AI23" s="3"/>
      <c r="AJ23" s="3"/>
      <c r="AK23" s="3"/>
      <c r="AL23" s="3"/>
      <c r="AM23" s="3"/>
      <c r="AN23" s="3"/>
      <c r="AO23" s="3"/>
      <c r="AP23" s="3"/>
    </row>
    <row r="24" spans="2:42" ht="14.25" x14ac:dyDescent="0.2">
      <c r="B24" s="3"/>
      <c r="C24" s="116" t="s">
        <v>510</v>
      </c>
      <c r="D24" s="79">
        <v>0</v>
      </c>
      <c r="E24" s="15" t="s">
        <v>46</v>
      </c>
      <c r="F24" s="272"/>
      <c r="G24" s="15" t="s">
        <v>46</v>
      </c>
      <c r="H24" s="79">
        <v>0</v>
      </c>
      <c r="I24" s="15" t="s">
        <v>46</v>
      </c>
      <c r="J24" s="272"/>
      <c r="K24" s="15" t="s">
        <v>46</v>
      </c>
      <c r="L24" s="113"/>
      <c r="M24" s="3"/>
      <c r="N24" s="3"/>
      <c r="P24" s="3"/>
      <c r="Q24" s="3"/>
      <c r="R24" s="3"/>
      <c r="S24" s="3"/>
      <c r="T24" s="3"/>
      <c r="U24" s="3"/>
      <c r="V24" s="3"/>
      <c r="W24" s="3"/>
      <c r="Y24" s="3"/>
      <c r="Z24" s="3"/>
      <c r="AA24" s="3"/>
      <c r="AB24" s="3"/>
      <c r="AC24" s="3"/>
      <c r="AD24" s="3"/>
      <c r="AE24" s="3"/>
      <c r="AF24" s="3"/>
      <c r="AH24" s="3"/>
      <c r="AI24" s="3"/>
      <c r="AJ24" s="3"/>
      <c r="AK24" s="3"/>
      <c r="AL24" s="3"/>
      <c r="AM24" s="3"/>
      <c r="AN24" s="3"/>
      <c r="AO24" s="3"/>
      <c r="AP24" s="3"/>
    </row>
    <row r="25" spans="2:42" x14ac:dyDescent="0.2">
      <c r="B25" s="3"/>
      <c r="C25" s="3"/>
      <c r="D25" s="3"/>
      <c r="E25" s="3"/>
      <c r="F25" s="3"/>
      <c r="G25" s="3"/>
      <c r="H25" s="3"/>
      <c r="I25" s="3"/>
      <c r="J25" s="3"/>
      <c r="K25" s="3"/>
      <c r="L25" s="3"/>
      <c r="M25" s="3"/>
      <c r="N25" s="3"/>
      <c r="P25" s="3"/>
      <c r="Q25" s="3"/>
      <c r="R25" s="3"/>
      <c r="S25" s="3"/>
      <c r="T25" s="3"/>
      <c r="U25" s="3"/>
      <c r="V25" s="3"/>
      <c r="W25" s="3"/>
      <c r="Y25" s="3"/>
      <c r="Z25" s="3"/>
      <c r="AA25" s="3"/>
      <c r="AB25" s="3"/>
      <c r="AC25" s="3"/>
      <c r="AD25" s="3"/>
      <c r="AE25" s="3"/>
      <c r="AF25" s="3"/>
      <c r="AH25" s="3"/>
      <c r="AI25" s="3"/>
      <c r="AJ25" s="3"/>
      <c r="AK25" s="3"/>
      <c r="AL25" s="3"/>
      <c r="AM25" s="3"/>
      <c r="AN25" s="3"/>
      <c r="AO25" s="3"/>
      <c r="AP25" s="3"/>
    </row>
    <row r="26" spans="2:42" ht="15.75" x14ac:dyDescent="0.2">
      <c r="B26" s="3"/>
      <c r="C26" s="116" t="s">
        <v>244</v>
      </c>
      <c r="D26" s="289"/>
      <c r="E26" s="15"/>
      <c r="F26" s="292"/>
      <c r="G26" s="15" t="s">
        <v>289</v>
      </c>
      <c r="H26" s="289"/>
      <c r="I26" s="15"/>
      <c r="J26" s="292"/>
      <c r="K26" s="15" t="s">
        <v>289</v>
      </c>
      <c r="L26" s="113"/>
      <c r="M26" s="3"/>
      <c r="N26" s="3"/>
      <c r="P26" s="3"/>
      <c r="Q26" s="3"/>
      <c r="R26" s="3"/>
      <c r="S26" s="3"/>
      <c r="T26" s="3"/>
      <c r="U26" s="3"/>
      <c r="V26" s="3"/>
      <c r="W26" s="3"/>
      <c r="Y26" s="3"/>
      <c r="Z26" s="3"/>
      <c r="AA26" s="3"/>
      <c r="AB26" s="3"/>
      <c r="AC26" s="3"/>
      <c r="AD26" s="3"/>
      <c r="AE26" s="3"/>
      <c r="AF26" s="3"/>
      <c r="AH26" s="3"/>
      <c r="AI26" s="3"/>
      <c r="AJ26" s="3"/>
      <c r="AK26" s="3"/>
      <c r="AL26" s="3"/>
      <c r="AM26" s="3"/>
      <c r="AN26" s="3"/>
      <c r="AO26" s="3"/>
      <c r="AP26" s="3"/>
    </row>
    <row r="27" spans="2:42" ht="15.75" x14ac:dyDescent="0.2">
      <c r="B27" s="3"/>
      <c r="C27" s="116" t="s">
        <v>245</v>
      </c>
      <c r="D27" s="289"/>
      <c r="E27" s="15"/>
      <c r="F27" s="292"/>
      <c r="G27" s="15" t="s">
        <v>289</v>
      </c>
      <c r="H27" s="289"/>
      <c r="I27" s="15"/>
      <c r="J27" s="292"/>
      <c r="K27" s="15" t="s">
        <v>289</v>
      </c>
      <c r="L27" s="113"/>
      <c r="M27" s="3"/>
      <c r="N27" s="3"/>
      <c r="P27" s="3"/>
      <c r="Q27" s="3"/>
      <c r="R27" s="3"/>
      <c r="S27" s="3"/>
      <c r="T27" s="3"/>
      <c r="U27" s="3"/>
      <c r="V27" s="3"/>
      <c r="W27" s="3"/>
      <c r="Y27" s="3"/>
      <c r="Z27" s="3"/>
      <c r="AA27" s="3"/>
      <c r="AB27" s="3"/>
      <c r="AC27" s="3"/>
      <c r="AD27" s="3"/>
      <c r="AE27" s="3"/>
      <c r="AF27" s="3"/>
      <c r="AH27" s="3"/>
      <c r="AI27" s="3"/>
      <c r="AJ27" s="3"/>
      <c r="AK27" s="3"/>
      <c r="AL27" s="3"/>
      <c r="AM27" s="3"/>
      <c r="AN27" s="3"/>
      <c r="AO27" s="3"/>
      <c r="AP27" s="3"/>
    </row>
    <row r="28" spans="2:42" x14ac:dyDescent="0.2">
      <c r="B28" s="3"/>
      <c r="C28" s="11"/>
      <c r="D28" s="79"/>
      <c r="E28" s="79"/>
      <c r="F28" s="79"/>
      <c r="G28" s="79"/>
      <c r="H28" s="79"/>
      <c r="I28" s="79"/>
      <c r="J28" s="79"/>
      <c r="K28" s="15"/>
      <c r="L28" s="3"/>
      <c r="M28" s="3"/>
      <c r="N28" s="3"/>
      <c r="P28" s="3"/>
      <c r="Q28" s="3"/>
      <c r="R28" s="3"/>
      <c r="S28" s="3"/>
      <c r="T28" s="3"/>
      <c r="U28" s="3"/>
      <c r="V28" s="3"/>
      <c r="W28" s="3"/>
      <c r="Y28" s="3"/>
      <c r="Z28" s="3"/>
      <c r="AA28" s="3"/>
      <c r="AB28" s="3"/>
      <c r="AC28" s="3"/>
      <c r="AD28" s="3"/>
      <c r="AE28" s="3"/>
      <c r="AF28" s="3"/>
      <c r="AH28" s="3"/>
      <c r="AI28" s="3"/>
      <c r="AJ28" s="3"/>
      <c r="AK28" s="3"/>
      <c r="AL28" s="3"/>
      <c r="AM28" s="3"/>
      <c r="AN28" s="3"/>
      <c r="AO28" s="3"/>
      <c r="AP28" s="3"/>
    </row>
    <row r="29" spans="2:42" x14ac:dyDescent="0.2">
      <c r="B29" s="3"/>
      <c r="C29" s="8"/>
      <c r="D29" s="80"/>
      <c r="E29" s="15"/>
      <c r="F29" s="15"/>
      <c r="G29" s="15"/>
      <c r="H29" s="80"/>
      <c r="I29" s="15"/>
      <c r="J29" s="15"/>
      <c r="K29" s="3"/>
      <c r="L29" s="3"/>
      <c r="M29" s="3"/>
      <c r="N29" s="3"/>
      <c r="P29" s="3"/>
      <c r="Q29" s="3"/>
      <c r="R29" s="3"/>
      <c r="S29" s="3"/>
      <c r="T29" s="3"/>
      <c r="U29" s="3"/>
      <c r="V29" s="3"/>
      <c r="W29" s="3"/>
      <c r="Y29" s="3"/>
      <c r="Z29" s="3"/>
      <c r="AA29" s="3"/>
      <c r="AB29" s="3"/>
      <c r="AC29" s="3"/>
      <c r="AD29" s="3"/>
      <c r="AE29" s="3"/>
      <c r="AF29" s="3"/>
      <c r="AH29" s="3"/>
      <c r="AI29" s="3"/>
      <c r="AJ29" s="3"/>
      <c r="AK29" s="3"/>
      <c r="AL29" s="3"/>
      <c r="AM29" s="3"/>
      <c r="AN29" s="3"/>
      <c r="AO29" s="3"/>
      <c r="AP29" s="3"/>
    </row>
    <row r="30" spans="2:42" ht="14.25" x14ac:dyDescent="0.2">
      <c r="B30" s="3"/>
      <c r="C30" s="12" t="s">
        <v>508</v>
      </c>
      <c r="D30" s="293">
        <v>0</v>
      </c>
      <c r="E30" s="15" t="s">
        <v>95</v>
      </c>
      <c r="F30" s="272"/>
      <c r="G30" s="15" t="s">
        <v>95</v>
      </c>
      <c r="H30" s="293">
        <v>0</v>
      </c>
      <c r="I30" s="15" t="s">
        <v>95</v>
      </c>
      <c r="J30" s="272"/>
      <c r="K30" s="3" t="s">
        <v>95</v>
      </c>
      <c r="L30" s="3"/>
      <c r="M30" s="3"/>
      <c r="N30" s="3"/>
      <c r="P30" s="3"/>
      <c r="Q30" s="3"/>
      <c r="R30" s="3"/>
      <c r="S30" s="3"/>
      <c r="T30" s="3"/>
      <c r="U30" s="3"/>
      <c r="V30" s="3"/>
      <c r="W30" s="3"/>
      <c r="Y30" s="3"/>
      <c r="Z30" s="3"/>
      <c r="AA30" s="3"/>
      <c r="AB30" s="3"/>
      <c r="AC30" s="3"/>
      <c r="AD30" s="3"/>
      <c r="AE30" s="3"/>
      <c r="AF30" s="3"/>
      <c r="AH30" s="3"/>
      <c r="AI30" s="3"/>
      <c r="AJ30" s="3"/>
      <c r="AK30" s="3"/>
      <c r="AL30" s="3"/>
      <c r="AM30" s="3"/>
      <c r="AN30" s="3"/>
      <c r="AO30" s="3"/>
      <c r="AP30" s="3"/>
    </row>
    <row r="31" spans="2:42" ht="14.25" x14ac:dyDescent="0.2">
      <c r="B31" s="3"/>
      <c r="C31" s="78" t="s">
        <v>511</v>
      </c>
      <c r="D31" s="79">
        <v>0</v>
      </c>
      <c r="E31" s="15" t="s">
        <v>96</v>
      </c>
      <c r="F31" s="272"/>
      <c r="G31" s="15" t="s">
        <v>96</v>
      </c>
      <c r="H31" s="79">
        <v>0</v>
      </c>
      <c r="I31" s="15" t="s">
        <v>96</v>
      </c>
      <c r="J31" s="272"/>
      <c r="K31" s="3" t="s">
        <v>96</v>
      </c>
      <c r="L31" s="3"/>
      <c r="M31" s="3"/>
      <c r="N31" s="3"/>
      <c r="P31" s="3"/>
      <c r="Q31" s="3"/>
      <c r="R31" s="3"/>
      <c r="S31" s="3"/>
      <c r="T31" s="3"/>
      <c r="U31" s="3"/>
      <c r="V31" s="3"/>
      <c r="W31" s="3"/>
      <c r="Y31" s="3"/>
      <c r="Z31" s="3"/>
      <c r="AA31" s="3"/>
      <c r="AB31" s="3"/>
      <c r="AC31" s="3"/>
      <c r="AD31" s="3"/>
      <c r="AE31" s="3"/>
      <c r="AF31" s="3"/>
      <c r="AH31" s="3"/>
      <c r="AI31" s="3"/>
      <c r="AJ31" s="3"/>
      <c r="AK31" s="3"/>
      <c r="AL31" s="3"/>
      <c r="AM31" s="3"/>
      <c r="AN31" s="3"/>
      <c r="AO31" s="3"/>
      <c r="AP31" s="3"/>
    </row>
    <row r="32" spans="2:42" ht="14.25" x14ac:dyDescent="0.2">
      <c r="B32" s="3"/>
      <c r="C32" s="78" t="s">
        <v>512</v>
      </c>
      <c r="D32" s="79">
        <v>0</v>
      </c>
      <c r="E32" s="15" t="s">
        <v>95</v>
      </c>
      <c r="F32" s="272"/>
      <c r="G32" s="15" t="s">
        <v>95</v>
      </c>
      <c r="H32" s="79">
        <v>0</v>
      </c>
      <c r="I32" s="15" t="s">
        <v>95</v>
      </c>
      <c r="J32" s="272"/>
      <c r="K32" s="3" t="s">
        <v>95</v>
      </c>
      <c r="L32" s="3"/>
      <c r="M32" s="3"/>
      <c r="N32" s="3"/>
      <c r="P32" s="3"/>
      <c r="Q32" s="3"/>
      <c r="R32" s="3"/>
      <c r="S32" s="3"/>
      <c r="T32" s="3"/>
      <c r="U32" s="3"/>
      <c r="V32" s="3"/>
      <c r="W32" s="3"/>
      <c r="Y32" s="3"/>
      <c r="Z32" s="3"/>
      <c r="AA32" s="3"/>
      <c r="AB32" s="3"/>
      <c r="AC32" s="3"/>
      <c r="AD32" s="3"/>
      <c r="AE32" s="3"/>
      <c r="AF32" s="3"/>
      <c r="AH32" s="3"/>
      <c r="AI32" s="3"/>
      <c r="AJ32" s="3"/>
      <c r="AK32" s="3"/>
      <c r="AL32" s="3"/>
      <c r="AM32" s="3"/>
      <c r="AN32" s="3"/>
      <c r="AO32" s="3"/>
      <c r="AP32" s="3"/>
    </row>
    <row r="33" spans="1:43" x14ac:dyDescent="0.2">
      <c r="B33" s="3"/>
      <c r="C33" s="78"/>
      <c r="D33" s="78"/>
      <c r="E33" s="78"/>
      <c r="F33" s="78"/>
      <c r="G33" s="78"/>
      <c r="H33" s="78"/>
      <c r="I33" s="78"/>
      <c r="J33" s="78"/>
      <c r="K33" s="78"/>
      <c r="L33" s="3"/>
      <c r="M33" s="3"/>
      <c r="N33" s="3"/>
      <c r="P33" s="3"/>
      <c r="Q33" s="3"/>
      <c r="R33" s="3"/>
      <c r="S33" s="3"/>
      <c r="T33" s="3"/>
      <c r="U33" s="3"/>
      <c r="V33" s="3"/>
      <c r="W33" s="3"/>
      <c r="Y33" s="3"/>
      <c r="Z33" s="3"/>
      <c r="AA33" s="3"/>
      <c r="AB33" s="3"/>
      <c r="AC33" s="3"/>
      <c r="AD33" s="3"/>
      <c r="AE33" s="3"/>
      <c r="AF33" s="3"/>
      <c r="AH33" s="3"/>
      <c r="AI33" s="3"/>
      <c r="AJ33" s="3"/>
      <c r="AK33" s="3"/>
      <c r="AL33" s="3"/>
      <c r="AM33" s="3"/>
      <c r="AN33" s="3"/>
      <c r="AO33" s="3"/>
      <c r="AP33" s="3"/>
    </row>
    <row r="34" spans="1:43" x14ac:dyDescent="0.2">
      <c r="B34" s="3"/>
      <c r="C34" s="78"/>
      <c r="D34" s="15"/>
      <c r="E34" s="15"/>
      <c r="F34" s="15"/>
      <c r="G34" s="15"/>
      <c r="H34" s="15"/>
      <c r="I34" s="15"/>
      <c r="J34" s="15"/>
      <c r="K34" s="15"/>
      <c r="L34" s="3"/>
      <c r="M34" s="3"/>
      <c r="N34" s="3"/>
      <c r="P34" s="3"/>
      <c r="Q34" s="3"/>
      <c r="R34" s="3"/>
      <c r="S34" s="3"/>
      <c r="T34" s="3"/>
      <c r="U34" s="3"/>
      <c r="V34" s="3"/>
      <c r="W34" s="3"/>
      <c r="Y34" s="3"/>
      <c r="Z34" s="3"/>
      <c r="AA34" s="3"/>
      <c r="AB34" s="3"/>
      <c r="AC34" s="3"/>
      <c r="AD34" s="3"/>
      <c r="AE34" s="3"/>
      <c r="AF34" s="3"/>
      <c r="AH34" s="3"/>
      <c r="AI34" s="3"/>
      <c r="AJ34" s="3"/>
      <c r="AK34" s="3"/>
      <c r="AL34" s="3"/>
      <c r="AM34" s="3"/>
      <c r="AN34" s="3"/>
      <c r="AO34" s="3"/>
      <c r="AP34" s="3"/>
    </row>
    <row r="35" spans="1:43" x14ac:dyDescent="0.2">
      <c r="B35" s="3"/>
      <c r="C35" s="78" t="s">
        <v>23</v>
      </c>
      <c r="D35" s="79">
        <v>10</v>
      </c>
      <c r="E35" s="15" t="s">
        <v>88</v>
      </c>
      <c r="F35" s="113"/>
      <c r="G35" s="15" t="s">
        <v>88</v>
      </c>
      <c r="H35" s="79">
        <v>10</v>
      </c>
      <c r="I35" s="15" t="s">
        <v>88</v>
      </c>
      <c r="J35" s="113"/>
      <c r="K35" s="15" t="s">
        <v>88</v>
      </c>
      <c r="L35" s="3"/>
      <c r="M35" s="3"/>
      <c r="N35" s="3"/>
      <c r="P35" s="3"/>
      <c r="Q35" s="3"/>
      <c r="R35" s="3"/>
      <c r="S35" s="3"/>
      <c r="T35" s="3"/>
      <c r="U35" s="3"/>
      <c r="V35" s="3"/>
      <c r="W35" s="3"/>
      <c r="Y35" s="3"/>
      <c r="Z35" s="3"/>
      <c r="AA35" s="3"/>
      <c r="AB35" s="3"/>
      <c r="AC35" s="3"/>
      <c r="AD35" s="3"/>
      <c r="AE35" s="3"/>
      <c r="AF35" s="3"/>
      <c r="AH35" s="3"/>
      <c r="AI35" s="3"/>
      <c r="AJ35" s="3"/>
      <c r="AK35" s="3"/>
      <c r="AL35" s="3"/>
      <c r="AM35" s="3"/>
      <c r="AN35" s="3"/>
      <c r="AO35" s="3"/>
      <c r="AP35" s="3"/>
    </row>
    <row r="36" spans="1:43" x14ac:dyDescent="0.2">
      <c r="B36" s="3"/>
      <c r="C36" s="78" t="s">
        <v>24</v>
      </c>
      <c r="D36" s="81">
        <v>8</v>
      </c>
      <c r="E36" s="15" t="s">
        <v>89</v>
      </c>
      <c r="F36" s="273"/>
      <c r="G36" s="15" t="s">
        <v>89</v>
      </c>
      <c r="H36" s="81">
        <v>8</v>
      </c>
      <c r="I36" s="15" t="s">
        <v>89</v>
      </c>
      <c r="J36" s="273"/>
      <c r="K36" s="15" t="s">
        <v>89</v>
      </c>
      <c r="L36" s="3"/>
      <c r="M36" s="3"/>
      <c r="N36" s="3"/>
      <c r="P36" s="3"/>
      <c r="Q36" s="3"/>
      <c r="R36" s="3"/>
      <c r="S36" s="3"/>
      <c r="T36" s="3"/>
      <c r="U36" s="3"/>
      <c r="V36" s="3"/>
      <c r="W36" s="3"/>
      <c r="Y36" s="3"/>
      <c r="Z36" s="3"/>
      <c r="AA36" s="3"/>
      <c r="AB36" s="3"/>
      <c r="AC36" s="3"/>
      <c r="AD36" s="3"/>
      <c r="AE36" s="3"/>
      <c r="AF36" s="3"/>
      <c r="AH36" s="3"/>
      <c r="AI36" s="3"/>
      <c r="AJ36" s="3"/>
      <c r="AK36" s="3"/>
      <c r="AL36" s="3"/>
      <c r="AM36" s="3"/>
      <c r="AN36" s="3"/>
      <c r="AO36" s="3"/>
      <c r="AP36" s="3"/>
    </row>
    <row r="37" spans="1:43" ht="18" x14ac:dyDescent="0.25">
      <c r="B37" s="3"/>
      <c r="C37" s="15"/>
      <c r="D37" s="81"/>
      <c r="E37" s="15"/>
      <c r="F37" s="15"/>
      <c r="G37" s="15"/>
      <c r="H37" s="80"/>
      <c r="I37" s="15"/>
      <c r="J37" s="15"/>
      <c r="K37" s="3"/>
      <c r="L37" s="3"/>
      <c r="M37" s="3"/>
      <c r="N37" s="3"/>
      <c r="P37" s="3"/>
      <c r="Q37" s="96"/>
      <c r="R37" s="61"/>
      <c r="S37" s="3"/>
      <c r="T37" s="3"/>
      <c r="U37" s="3"/>
      <c r="V37" s="3"/>
      <c r="W37" s="3"/>
      <c r="Y37" s="3"/>
      <c r="Z37" s="3"/>
      <c r="AA37" s="3"/>
      <c r="AB37" s="3"/>
      <c r="AC37" s="3"/>
      <c r="AD37" s="3"/>
      <c r="AE37" s="3"/>
      <c r="AF37" s="3"/>
      <c r="AH37" s="3"/>
      <c r="AI37" s="3"/>
      <c r="AJ37" s="3"/>
      <c r="AK37" s="3"/>
      <c r="AL37" s="3"/>
      <c r="AM37" s="3"/>
      <c r="AN37" s="3"/>
      <c r="AO37" s="84"/>
      <c r="AP37" s="84"/>
    </row>
    <row r="38" spans="1:43" x14ac:dyDescent="0.2">
      <c r="B38" s="3"/>
      <c r="C38" s="15"/>
      <c r="D38" s="81"/>
      <c r="E38" s="15"/>
      <c r="F38" s="15"/>
      <c r="G38" s="15"/>
      <c r="H38" s="80"/>
      <c r="I38" s="15"/>
      <c r="J38" s="15"/>
      <c r="K38" s="3"/>
      <c r="L38" s="3"/>
      <c r="M38" s="3"/>
      <c r="N38" s="3"/>
      <c r="P38" s="3"/>
      <c r="Q38" s="3"/>
      <c r="R38" s="3"/>
      <c r="S38" s="3"/>
      <c r="T38" s="3"/>
      <c r="U38" s="3"/>
      <c r="V38" s="3"/>
      <c r="W38" s="3"/>
      <c r="Y38" s="3"/>
      <c r="Z38" s="3"/>
      <c r="AA38" s="3"/>
      <c r="AB38" s="3"/>
      <c r="AC38" s="3"/>
      <c r="AD38" s="3"/>
      <c r="AE38" s="3"/>
      <c r="AF38" s="3"/>
      <c r="AH38" s="3"/>
      <c r="AI38" s="3"/>
      <c r="AJ38" s="3"/>
      <c r="AK38" s="3"/>
      <c r="AL38" s="3"/>
      <c r="AM38" s="3"/>
      <c r="AN38" s="3"/>
      <c r="AO38" s="83"/>
      <c r="AP38" s="83"/>
    </row>
    <row r="39" spans="1:43" ht="24" customHeight="1" x14ac:dyDescent="0.2">
      <c r="B39" s="290" t="s">
        <v>280</v>
      </c>
      <c r="C39" s="487" t="s">
        <v>279</v>
      </c>
      <c r="D39" s="487"/>
      <c r="E39" s="487"/>
      <c r="F39" s="487"/>
      <c r="G39" s="487"/>
      <c r="H39" s="487"/>
      <c r="I39" s="487"/>
      <c r="J39" s="487"/>
      <c r="K39" s="487"/>
      <c r="L39" s="3"/>
      <c r="M39" s="3"/>
      <c r="N39" s="3"/>
      <c r="P39" s="3"/>
      <c r="Q39" s="3"/>
      <c r="R39" s="3"/>
      <c r="S39" s="3"/>
      <c r="T39" s="3"/>
      <c r="U39" s="3"/>
      <c r="V39" s="3"/>
      <c r="W39" s="3"/>
      <c r="Y39" s="3"/>
      <c r="Z39" s="3"/>
      <c r="AA39" s="3"/>
      <c r="AB39" s="3"/>
      <c r="AC39" s="3"/>
      <c r="AD39" s="3"/>
      <c r="AE39" s="3"/>
      <c r="AF39" s="3"/>
      <c r="AH39" s="3"/>
      <c r="AI39" s="3"/>
      <c r="AJ39" s="3"/>
      <c r="AK39" s="3"/>
      <c r="AL39" s="3"/>
      <c r="AM39" s="3"/>
      <c r="AN39" s="3"/>
      <c r="AO39" s="83"/>
      <c r="AP39" s="83"/>
    </row>
    <row r="40" spans="1:43" ht="28.5" customHeight="1" x14ac:dyDescent="0.25">
      <c r="B40" s="290" t="s">
        <v>281</v>
      </c>
      <c r="C40" s="488" t="s">
        <v>285</v>
      </c>
      <c r="D40" s="488"/>
      <c r="E40" s="488"/>
      <c r="F40" s="488"/>
      <c r="G40" s="488"/>
      <c r="H40" s="488"/>
      <c r="I40" s="488"/>
      <c r="J40" s="488"/>
      <c r="K40" s="488"/>
      <c r="L40" s="3"/>
      <c r="M40" s="3"/>
      <c r="N40" s="3"/>
      <c r="P40" s="3"/>
      <c r="Q40" s="3"/>
      <c r="R40" s="23" t="s">
        <v>178</v>
      </c>
      <c r="S40" s="24"/>
      <c r="T40" s="24"/>
      <c r="U40" s="24"/>
      <c r="V40" s="24"/>
      <c r="W40" s="3"/>
      <c r="Y40" s="3"/>
      <c r="Z40" s="3"/>
      <c r="AA40" s="23" t="s">
        <v>180</v>
      </c>
      <c r="AB40" s="24"/>
      <c r="AC40" s="24"/>
      <c r="AD40" s="24"/>
      <c r="AE40" s="24"/>
      <c r="AF40" s="3"/>
      <c r="AH40" s="3"/>
      <c r="AI40" s="3"/>
      <c r="AJ40" s="23" t="s">
        <v>185</v>
      </c>
      <c r="AK40" s="24"/>
      <c r="AL40" s="24"/>
      <c r="AM40" s="24"/>
      <c r="AN40" s="3"/>
      <c r="AO40" s="83"/>
      <c r="AP40" s="83"/>
    </row>
    <row r="41" spans="1:43" ht="23.25" customHeight="1" x14ac:dyDescent="0.25">
      <c r="B41" s="290" t="s">
        <v>282</v>
      </c>
      <c r="C41" s="489" t="s">
        <v>288</v>
      </c>
      <c r="D41" s="489"/>
      <c r="E41" s="489"/>
      <c r="F41" s="489"/>
      <c r="G41" s="489"/>
      <c r="H41" s="489"/>
      <c r="I41" s="489"/>
      <c r="J41" s="489"/>
      <c r="K41" s="489"/>
      <c r="L41" s="3"/>
      <c r="M41" s="3"/>
      <c r="N41" s="3"/>
      <c r="P41" s="3"/>
      <c r="Q41" s="483" t="s">
        <v>131</v>
      </c>
      <c r="R41" s="34"/>
      <c r="S41" s="45">
        <f>'Referenz Plattenfertiger'!D9</f>
        <v>0</v>
      </c>
      <c r="T41" s="46">
        <f>S41+5</f>
        <v>5</v>
      </c>
      <c r="U41" s="46">
        <f>S41+10</f>
        <v>10</v>
      </c>
      <c r="V41" s="34"/>
      <c r="W41" s="3"/>
      <c r="Y41" s="3"/>
      <c r="Z41" s="3"/>
      <c r="AA41" s="34"/>
      <c r="AB41" s="45">
        <f>S$41</f>
        <v>0</v>
      </c>
      <c r="AC41" s="45">
        <f>T$41</f>
        <v>5</v>
      </c>
      <c r="AD41" s="45">
        <f>U$41</f>
        <v>10</v>
      </c>
      <c r="AE41" s="34"/>
      <c r="AF41" s="3"/>
      <c r="AH41" s="3"/>
      <c r="AI41" s="483" t="s">
        <v>131</v>
      </c>
      <c r="AJ41" s="34"/>
      <c r="AK41" s="45">
        <f>AB$41</f>
        <v>0</v>
      </c>
      <c r="AL41" s="45">
        <f>AC$41</f>
        <v>5</v>
      </c>
      <c r="AM41" s="45">
        <f>AD$41</f>
        <v>10</v>
      </c>
      <c r="AN41" s="46"/>
      <c r="AO41" s="83"/>
      <c r="AP41" s="83"/>
    </row>
    <row r="42" spans="1:43" x14ac:dyDescent="0.2">
      <c r="B42" s="290" t="s">
        <v>283</v>
      </c>
      <c r="C42" s="490" t="s">
        <v>286</v>
      </c>
      <c r="D42" s="490"/>
      <c r="E42" s="490"/>
      <c r="F42" s="490"/>
      <c r="G42" s="490"/>
      <c r="H42" s="490"/>
      <c r="I42" s="490"/>
      <c r="J42" s="490"/>
      <c r="K42" s="490"/>
      <c r="L42" s="3"/>
      <c r="M42" s="3"/>
      <c r="N42" s="3"/>
      <c r="P42" s="3"/>
      <c r="Q42" s="483"/>
      <c r="R42" s="24"/>
      <c r="S42" s="47" t="s">
        <v>81</v>
      </c>
      <c r="T42" s="48"/>
      <c r="U42" s="48"/>
      <c r="V42" s="24"/>
      <c r="W42" s="3"/>
      <c r="Y42" s="3"/>
      <c r="Z42" s="3"/>
      <c r="AA42" s="24"/>
      <c r="AB42" s="47" t="s">
        <v>81</v>
      </c>
      <c r="AC42" s="48"/>
      <c r="AD42" s="48"/>
      <c r="AE42" s="24"/>
      <c r="AF42" s="3"/>
      <c r="AH42" s="3"/>
      <c r="AI42" s="483"/>
      <c r="AJ42" s="24"/>
      <c r="AK42" s="47" t="s">
        <v>81</v>
      </c>
      <c r="AL42" s="48"/>
      <c r="AM42" s="48"/>
      <c r="AN42" s="3"/>
      <c r="AO42" s="83"/>
      <c r="AP42" s="83"/>
    </row>
    <row r="43" spans="1:43" ht="15.75" x14ac:dyDescent="0.3">
      <c r="B43" s="290" t="s">
        <v>284</v>
      </c>
      <c r="C43" s="490" t="s">
        <v>287</v>
      </c>
      <c r="D43" s="490"/>
      <c r="E43" s="490"/>
      <c r="F43" s="490"/>
      <c r="G43" s="490"/>
      <c r="H43" s="490"/>
      <c r="I43" s="490"/>
      <c r="J43" s="490"/>
      <c r="K43" s="490"/>
      <c r="L43" s="3"/>
      <c r="M43" s="3"/>
      <c r="N43" s="3"/>
      <c r="P43" s="3"/>
      <c r="Q43" s="3"/>
      <c r="R43" s="29" t="str">
        <f>Q120</f>
        <v>Energieträger gesamt</v>
      </c>
      <c r="S43" s="26">
        <f>SUM('Referenz Plattenfertiger'!U16:U29)</f>
        <v>41.281733459999998</v>
      </c>
      <c r="T43" s="26">
        <f>V120</f>
        <v>34.39057387091087</v>
      </c>
      <c r="U43" s="26">
        <f>V202</f>
        <v>25.105144641628776</v>
      </c>
      <c r="V43" s="25" t="s">
        <v>148</v>
      </c>
      <c r="W43" s="3"/>
      <c r="Y43" s="3"/>
      <c r="Z43" s="3"/>
      <c r="AA43" s="29" t="s">
        <v>104</v>
      </c>
      <c r="AB43" s="26">
        <f>'Referenz Plattenfertiger'!S78</f>
        <v>94.932355060000006</v>
      </c>
      <c r="AC43" s="26">
        <f>T187</f>
        <v>94.932355060000006</v>
      </c>
      <c r="AD43" s="26">
        <f>T269</f>
        <v>94.932355060000006</v>
      </c>
      <c r="AE43" s="25" t="s">
        <v>148</v>
      </c>
      <c r="AF43" s="3"/>
      <c r="AH43" s="3"/>
      <c r="AI43" s="3"/>
      <c r="AJ43" s="56" t="s">
        <v>144</v>
      </c>
      <c r="AK43" s="57">
        <f>SUM(AK44:AK50)</f>
        <v>109669</v>
      </c>
      <c r="AL43" s="57">
        <f t="shared" ref="AL43:AM43" si="0">SUM(AL44:AL50)</f>
        <v>109669</v>
      </c>
      <c r="AM43" s="57">
        <f t="shared" si="0"/>
        <v>109669</v>
      </c>
      <c r="AN43" s="3"/>
      <c r="AO43" s="112"/>
      <c r="AP43" s="112"/>
    </row>
    <row r="44" spans="1:43" ht="15.75" x14ac:dyDescent="0.3">
      <c r="A44" s="2"/>
      <c r="B44" s="2"/>
      <c r="C44" s="431"/>
      <c r="D44" s="432"/>
      <c r="E44" s="2"/>
      <c r="F44" s="2"/>
      <c r="G44" s="2"/>
      <c r="H44" s="433"/>
      <c r="I44" s="2"/>
      <c r="J44" s="2"/>
      <c r="K44" s="2"/>
      <c r="L44" s="2"/>
      <c r="M44" s="2"/>
      <c r="N44" s="2"/>
      <c r="P44" s="3"/>
      <c r="Q44" s="3"/>
      <c r="R44" s="8" t="str">
        <f>Q136</f>
        <v>Transport gesamt</v>
      </c>
      <c r="S44" s="9">
        <f>'Referenz Plattenfertiger'!U32+'Referenz Plattenfertiger'!U33</f>
        <v>469.15642799999995</v>
      </c>
      <c r="T44" s="9">
        <f>V136</f>
        <v>469.15642799999995</v>
      </c>
      <c r="U44" s="9">
        <f>V218</f>
        <v>469.15642799999995</v>
      </c>
      <c r="V44" s="3" t="s">
        <v>148</v>
      </c>
      <c r="W44" s="3"/>
      <c r="Y44" s="3"/>
      <c r="Z44" s="3"/>
      <c r="AA44" s="8" t="s">
        <v>26</v>
      </c>
      <c r="AB44" s="9">
        <f>'Referenz Plattenfertiger'!T78</f>
        <v>171.9</v>
      </c>
      <c r="AC44" s="9">
        <f>U187</f>
        <v>124.8924470887134</v>
      </c>
      <c r="AD44" s="9">
        <f>U269</f>
        <v>61.552554846110553</v>
      </c>
      <c r="AE44" s="3" t="s">
        <v>148</v>
      </c>
      <c r="AF44" s="3"/>
      <c r="AH44" s="3"/>
      <c r="AI44" s="3"/>
      <c r="AJ44" s="31" t="s">
        <v>29</v>
      </c>
      <c r="AK44" s="51">
        <f>'Referenz Plattenfertiger'!AD16</f>
        <v>14335</v>
      </c>
      <c r="AL44" s="51">
        <f>AI122+AI127</f>
        <v>14335</v>
      </c>
      <c r="AM44" s="51">
        <f>AI200+AI205</f>
        <v>14335</v>
      </c>
      <c r="AN44" s="3"/>
      <c r="AO44" s="112"/>
      <c r="AP44" s="112"/>
    </row>
    <row r="45" spans="1:43" ht="15.75" x14ac:dyDescent="0.3">
      <c r="A45" s="2"/>
      <c r="B45" s="2"/>
      <c r="C45" s="2"/>
      <c r="D45" s="2"/>
      <c r="E45" s="2"/>
      <c r="F45" s="2"/>
      <c r="G45" s="2"/>
      <c r="H45" s="2"/>
      <c r="I45" s="2"/>
      <c r="J45" s="2"/>
      <c r="K45" s="2"/>
      <c r="L45" s="2"/>
      <c r="M45" s="2"/>
      <c r="N45" s="2"/>
      <c r="P45" s="3"/>
      <c r="Q45" s="3"/>
      <c r="R45" s="29" t="str">
        <f>Q140</f>
        <v>Zement</v>
      </c>
      <c r="S45" s="26">
        <f>'Referenz Plattenfertiger'!U35</f>
        <v>4548.5439999999999</v>
      </c>
      <c r="T45" s="26">
        <f>V140</f>
        <v>4321.1167999999998</v>
      </c>
      <c r="U45" s="26">
        <f>V222</f>
        <v>4093.6895999999997</v>
      </c>
      <c r="V45" s="25" t="s">
        <v>148</v>
      </c>
      <c r="W45" s="3"/>
      <c r="Y45" s="3"/>
      <c r="Z45" s="3"/>
      <c r="AA45" s="29" t="s">
        <v>27</v>
      </c>
      <c r="AB45" s="26">
        <f>'Referenz Plattenfertiger'!U78</f>
        <v>5831.5296228095176</v>
      </c>
      <c r="AC45" s="26">
        <f>V187</f>
        <v>5516.8922232204277</v>
      </c>
      <c r="AD45" s="26">
        <f>V269</f>
        <v>5280.1795939911462</v>
      </c>
      <c r="AE45" s="25" t="s">
        <v>148</v>
      </c>
      <c r="AF45" s="3"/>
      <c r="AH45" s="3"/>
      <c r="AI45" s="3"/>
      <c r="AJ45" s="31" t="s">
        <v>30</v>
      </c>
      <c r="AK45" s="51">
        <f>'Referenz Plattenfertiger'!AD17</f>
        <v>2760</v>
      </c>
      <c r="AL45" s="51">
        <f>AI123+AI128</f>
        <v>2760</v>
      </c>
      <c r="AM45" s="51">
        <f>AI201+AI206</f>
        <v>2760</v>
      </c>
      <c r="AN45" s="3"/>
      <c r="AO45" s="112"/>
      <c r="AP45" s="112"/>
    </row>
    <row r="46" spans="1:43" ht="16.5" thickBot="1" x14ac:dyDescent="0.35">
      <c r="A46" s="2"/>
      <c r="B46" s="2"/>
      <c r="C46" s="2"/>
      <c r="D46" s="2"/>
      <c r="E46" s="2"/>
      <c r="F46" s="2"/>
      <c r="G46" s="2"/>
      <c r="H46" s="2"/>
      <c r="I46" s="2"/>
      <c r="J46" s="2"/>
      <c r="K46" s="2"/>
      <c r="L46" s="2"/>
      <c r="M46" s="2"/>
      <c r="N46" s="2"/>
      <c r="P46" s="3"/>
      <c r="Q46" s="3"/>
      <c r="R46" s="8" t="str">
        <f>Q146</f>
        <v>Gesteinskörnungen (Zuschlagsstoffe)</v>
      </c>
      <c r="S46" s="9">
        <f>'Referenz Plattenfertiger'!U41</f>
        <v>129.59200000000001</v>
      </c>
      <c r="T46" s="9">
        <f>V146</f>
        <v>129.59200000000001</v>
      </c>
      <c r="U46" s="9">
        <f>V228</f>
        <v>129.59200000000001</v>
      </c>
      <c r="V46" s="3" t="s">
        <v>148</v>
      </c>
      <c r="W46" s="3"/>
      <c r="Y46" s="3"/>
      <c r="Z46" s="3"/>
      <c r="AA46" s="27" t="s">
        <v>67</v>
      </c>
      <c r="AB46" s="28">
        <f>SUM(AB43:AB45)</f>
        <v>6098.3619778695174</v>
      </c>
      <c r="AC46" s="28">
        <f t="shared" ref="AC46:AD46" si="1">SUM(AC43:AC45)</f>
        <v>5736.7170253691411</v>
      </c>
      <c r="AD46" s="28">
        <f t="shared" si="1"/>
        <v>5436.6645038972565</v>
      </c>
      <c r="AE46" s="27" t="s">
        <v>149</v>
      </c>
      <c r="AF46" s="3"/>
      <c r="AH46" s="3"/>
      <c r="AI46" s="3"/>
      <c r="AJ46" s="31" t="s">
        <v>31</v>
      </c>
      <c r="AK46" s="51">
        <f>'Referenz Plattenfertiger'!AD18</f>
        <v>77400</v>
      </c>
      <c r="AL46" s="51">
        <f>AI124+AI130</f>
        <v>77400</v>
      </c>
      <c r="AM46" s="51">
        <f>AI202+AI208</f>
        <v>77400</v>
      </c>
      <c r="AN46" s="3"/>
      <c r="AO46" s="112"/>
      <c r="AP46" s="112"/>
      <c r="AQ46" s="2"/>
    </row>
    <row r="47" spans="1:43" ht="16.5" thickTop="1" x14ac:dyDescent="0.3">
      <c r="A47" s="2"/>
      <c r="B47" s="2"/>
      <c r="C47" s="2"/>
      <c r="D47" s="2"/>
      <c r="E47" s="2"/>
      <c r="F47" s="2"/>
      <c r="G47" s="2"/>
      <c r="H47" s="2"/>
      <c r="I47" s="2"/>
      <c r="J47" s="2"/>
      <c r="K47" s="2"/>
      <c r="L47" s="2"/>
      <c r="M47" s="2"/>
      <c r="N47" s="2"/>
      <c r="P47" s="3"/>
      <c r="Q47" s="3"/>
      <c r="R47" s="29" t="str">
        <f>R153</f>
        <v>Farben</v>
      </c>
      <c r="S47" s="26">
        <f>'Referenz Plattenfertiger'!U48</f>
        <v>208</v>
      </c>
      <c r="T47" s="26">
        <f>V153</f>
        <v>208</v>
      </c>
      <c r="U47" s="26">
        <f>V235</f>
        <v>208</v>
      </c>
      <c r="V47" s="25" t="s">
        <v>148</v>
      </c>
      <c r="W47" s="3"/>
      <c r="Y47" s="3"/>
      <c r="Z47" s="3"/>
      <c r="AA47" s="3"/>
      <c r="AB47" s="3"/>
      <c r="AC47" s="3"/>
      <c r="AD47" s="3"/>
      <c r="AE47" s="3"/>
      <c r="AF47" s="3"/>
      <c r="AH47" s="3"/>
      <c r="AI47" s="3"/>
      <c r="AJ47" s="31" t="s">
        <v>111</v>
      </c>
      <c r="AK47" s="51">
        <f>'Referenz Plattenfertiger'!AD19</f>
        <v>0</v>
      </c>
      <c r="AL47" s="51">
        <f>AI131</f>
        <v>0</v>
      </c>
      <c r="AM47" s="51">
        <f>AI209</f>
        <v>0</v>
      </c>
      <c r="AN47" s="3"/>
      <c r="AO47" s="112"/>
      <c r="AP47" s="112"/>
      <c r="AQ47" s="2"/>
    </row>
    <row r="48" spans="1:43" ht="15.75" x14ac:dyDescent="0.3">
      <c r="A48" s="2"/>
      <c r="B48" s="2"/>
      <c r="C48" s="2"/>
      <c r="D48" s="2"/>
      <c r="E48" s="2"/>
      <c r="F48" s="2"/>
      <c r="G48" s="2"/>
      <c r="H48" s="2"/>
      <c r="I48" s="2"/>
      <c r="J48" s="2"/>
      <c r="K48" s="2"/>
      <c r="L48" s="2"/>
      <c r="M48" s="2"/>
      <c r="N48" s="2"/>
      <c r="P48" s="3"/>
      <c r="Q48" s="3"/>
      <c r="R48" s="8" t="str">
        <f>Q155</f>
        <v>Zusatzstoffe (Füllstoffe)</v>
      </c>
      <c r="S48" s="9">
        <f>'Referenz Plattenfertiger'!U50</f>
        <v>81.003999999999991</v>
      </c>
      <c r="T48" s="9">
        <f>V155</f>
        <v>81.003999999999991</v>
      </c>
      <c r="U48" s="9">
        <f>V237</f>
        <v>81.003999999999991</v>
      </c>
      <c r="V48" s="3" t="s">
        <v>148</v>
      </c>
      <c r="W48" s="3"/>
      <c r="Y48" s="3"/>
      <c r="Z48" s="3"/>
      <c r="AA48" s="3"/>
      <c r="AB48" s="3"/>
      <c r="AC48" s="3"/>
      <c r="AD48" s="3"/>
      <c r="AE48" s="3"/>
      <c r="AF48" s="3"/>
      <c r="AH48" s="3"/>
      <c r="AI48" s="3"/>
      <c r="AJ48" s="31" t="s">
        <v>112</v>
      </c>
      <c r="AK48" s="51">
        <f>'Referenz Plattenfertiger'!AD20</f>
        <v>0</v>
      </c>
      <c r="AL48" s="51">
        <f>AI125</f>
        <v>0</v>
      </c>
      <c r="AM48" s="51">
        <f>AI203</f>
        <v>0</v>
      </c>
      <c r="AN48" s="3"/>
      <c r="AO48" s="112"/>
      <c r="AP48" s="112"/>
      <c r="AQ48" s="2"/>
    </row>
    <row r="49" spans="1:43" ht="15.75" x14ac:dyDescent="0.3">
      <c r="A49" s="2"/>
      <c r="B49" s="2"/>
      <c r="C49" s="2"/>
      <c r="D49" s="2"/>
      <c r="E49" s="2"/>
      <c r="F49" s="2"/>
      <c r="G49" s="2"/>
      <c r="H49" s="2"/>
      <c r="I49" s="2"/>
      <c r="J49" s="2"/>
      <c r="K49" s="2"/>
      <c r="L49" s="2"/>
      <c r="M49" s="2"/>
      <c r="N49" s="2"/>
      <c r="P49" s="3"/>
      <c r="Q49" s="3"/>
      <c r="R49" s="29" t="str">
        <f>Q162</f>
        <v>Zusatzmittel</v>
      </c>
      <c r="S49" s="26">
        <f>'Referenz Plattenfertiger'!U57</f>
        <v>148.44746134951595</v>
      </c>
      <c r="T49" s="26">
        <f>V162</f>
        <v>148.44746134951595</v>
      </c>
      <c r="U49" s="26">
        <f>V244</f>
        <v>148.44746134951595</v>
      </c>
      <c r="V49" s="25" t="s">
        <v>148</v>
      </c>
      <c r="W49" s="3"/>
      <c r="Y49" s="3"/>
      <c r="Z49" s="3"/>
      <c r="AA49" s="23" t="s">
        <v>238</v>
      </c>
      <c r="AB49" s="24"/>
      <c r="AC49" s="24"/>
      <c r="AD49" s="24"/>
      <c r="AE49" s="24"/>
      <c r="AF49" s="3"/>
      <c r="AH49" s="3"/>
      <c r="AI49" s="3"/>
      <c r="AJ49" s="31" t="s">
        <v>410</v>
      </c>
      <c r="AK49" s="51">
        <f>'Referenz Plattenfertiger'!AD21</f>
        <v>0</v>
      </c>
      <c r="AL49" s="51">
        <f>AI132</f>
        <v>0</v>
      </c>
      <c r="AM49" s="51">
        <f>AI210</f>
        <v>0</v>
      </c>
      <c r="AN49" s="3"/>
      <c r="AO49" s="112"/>
      <c r="AP49" s="112"/>
      <c r="AQ49" s="2"/>
    </row>
    <row r="50" spans="1:43" ht="15.75" x14ac:dyDescent="0.3">
      <c r="A50" s="2"/>
      <c r="B50" s="2"/>
      <c r="C50" s="2"/>
      <c r="D50" s="2"/>
      <c r="E50" s="2"/>
      <c r="F50" s="2"/>
      <c r="G50" s="2"/>
      <c r="H50" s="2"/>
      <c r="I50" s="2"/>
      <c r="J50" s="2"/>
      <c r="K50" s="2"/>
      <c r="L50" s="2"/>
      <c r="M50" s="2"/>
      <c r="N50" s="2"/>
      <c r="P50" s="3"/>
      <c r="Q50" s="3"/>
      <c r="R50" s="8" t="str">
        <f>Q168</f>
        <v>Zusätzliche Ersatzstoffe</v>
      </c>
      <c r="S50" s="9">
        <v>0</v>
      </c>
      <c r="T50" s="9">
        <f>V168</f>
        <v>0</v>
      </c>
      <c r="U50" s="9">
        <f>V250</f>
        <v>0</v>
      </c>
      <c r="V50" s="3" t="s">
        <v>148</v>
      </c>
      <c r="W50" s="3"/>
      <c r="Y50" s="3"/>
      <c r="Z50" s="483" t="s">
        <v>131</v>
      </c>
      <c r="AA50" s="45"/>
      <c r="AB50" s="45">
        <f>S$41</f>
        <v>0</v>
      </c>
      <c r="AC50" s="45">
        <f>T$41</f>
        <v>5</v>
      </c>
      <c r="AD50" s="45">
        <f>U$41</f>
        <v>10</v>
      </c>
      <c r="AE50" s="34"/>
      <c r="AF50" s="3"/>
      <c r="AH50" s="3"/>
      <c r="AI50" s="3"/>
      <c r="AJ50" s="50" t="s">
        <v>32</v>
      </c>
      <c r="AK50" s="52">
        <f>'Referenz Plattenfertiger'!AD22</f>
        <v>15174.000000000002</v>
      </c>
      <c r="AL50" s="53">
        <f>AI134+AI135</f>
        <v>15174.000000000002</v>
      </c>
      <c r="AM50" s="53">
        <f>AI212+AI213</f>
        <v>15174.000000000002</v>
      </c>
      <c r="AN50" s="3"/>
      <c r="AO50" s="112"/>
      <c r="AP50" s="112"/>
      <c r="AQ50" s="2"/>
    </row>
    <row r="51" spans="1:43" ht="15.75" x14ac:dyDescent="0.3">
      <c r="A51" s="2"/>
      <c r="B51" s="2"/>
      <c r="C51" s="2"/>
      <c r="D51" s="2"/>
      <c r="E51" s="2"/>
      <c r="F51" s="2"/>
      <c r="G51" s="2"/>
      <c r="H51" s="2"/>
      <c r="I51" s="2"/>
      <c r="J51" s="2"/>
      <c r="K51" s="2"/>
      <c r="L51" s="2"/>
      <c r="M51" s="2"/>
      <c r="N51" s="2"/>
      <c r="P51" s="3"/>
      <c r="Q51" s="3"/>
      <c r="R51" s="29" t="s">
        <v>179</v>
      </c>
      <c r="S51" s="26">
        <f>'Referenz Plattenfertiger'!U63+'Referenz Plattenfertiger'!U64</f>
        <v>0.54400000000000004</v>
      </c>
      <c r="T51" s="26">
        <f>V172+V173</f>
        <v>0.54400000000000004</v>
      </c>
      <c r="U51" s="26">
        <f>V254+V255</f>
        <v>0.54400000000000004</v>
      </c>
      <c r="V51" s="25" t="s">
        <v>148</v>
      </c>
      <c r="W51" s="3"/>
      <c r="Y51" s="3"/>
      <c r="Z51" s="483"/>
      <c r="AA51" s="24"/>
      <c r="AB51" s="47" t="s">
        <v>81</v>
      </c>
      <c r="AC51" s="48"/>
      <c r="AD51" s="48"/>
      <c r="AE51" s="24"/>
      <c r="AF51" s="3"/>
      <c r="AH51" s="3"/>
      <c r="AI51" s="3"/>
      <c r="AJ51" s="8" t="s">
        <v>28</v>
      </c>
      <c r="AK51" s="54">
        <v>0</v>
      </c>
      <c r="AL51" s="54">
        <f>AI138</f>
        <v>0</v>
      </c>
      <c r="AM51" s="54">
        <f>AI216</f>
        <v>0</v>
      </c>
      <c r="AN51" s="3"/>
      <c r="AO51" s="112"/>
      <c r="AP51" s="112"/>
      <c r="AQ51" s="2"/>
    </row>
    <row r="52" spans="1:43" ht="15.75" x14ac:dyDescent="0.3">
      <c r="A52" s="2"/>
      <c r="B52" s="2"/>
      <c r="C52" s="2"/>
      <c r="D52" s="2"/>
      <c r="E52" s="2"/>
      <c r="F52" s="2"/>
      <c r="G52" s="2"/>
      <c r="H52" s="2"/>
      <c r="I52" s="2"/>
      <c r="J52" s="2"/>
      <c r="K52" s="2"/>
      <c r="L52" s="2"/>
      <c r="M52" s="2"/>
      <c r="N52" s="2"/>
      <c r="P52" s="3"/>
      <c r="Q52" s="3"/>
      <c r="R52" s="8" t="str">
        <f>Q175</f>
        <v>Oberflächenschutzsysteme</v>
      </c>
      <c r="S52" s="9">
        <f>'Referenz Plattenfertiger'!U66</f>
        <v>80.47999999999999</v>
      </c>
      <c r="T52" s="9">
        <f>V175</f>
        <v>0.16095999999999999</v>
      </c>
      <c r="U52" s="9">
        <f>V257</f>
        <v>0.16095999999999999</v>
      </c>
      <c r="V52" s="3" t="s">
        <v>148</v>
      </c>
      <c r="W52" s="3"/>
      <c r="Y52" s="3"/>
      <c r="Z52" s="3"/>
      <c r="AA52" s="29" t="s">
        <v>29</v>
      </c>
      <c r="AB52" s="32">
        <f>'Referenz Plattenfertiger'!$W$16+'Referenz Plattenfertiger'!W21</f>
        <v>43.0426</v>
      </c>
      <c r="AC52" s="32">
        <f>Y122+Y127</f>
        <v>43.0426</v>
      </c>
      <c r="AD52" s="32">
        <f>Y204+Y209</f>
        <v>43.0426</v>
      </c>
      <c r="AE52" s="25" t="s">
        <v>148</v>
      </c>
      <c r="AF52" s="3"/>
      <c r="AH52" s="3"/>
      <c r="AI52" s="3"/>
      <c r="AJ52" s="8" t="s">
        <v>139</v>
      </c>
      <c r="AK52" s="54">
        <v>0</v>
      </c>
      <c r="AL52" s="54">
        <f>AI139</f>
        <v>0</v>
      </c>
      <c r="AM52" s="54">
        <f>AI217</f>
        <v>0</v>
      </c>
      <c r="AN52" s="3"/>
      <c r="AO52" s="112"/>
      <c r="AP52" s="112"/>
      <c r="AQ52" s="2"/>
    </row>
    <row r="53" spans="1:43" ht="15.75" x14ac:dyDescent="0.3">
      <c r="A53" s="2"/>
      <c r="B53" s="2"/>
      <c r="C53" s="2"/>
      <c r="D53" s="2"/>
      <c r="E53" s="2"/>
      <c r="F53" s="2"/>
      <c r="G53" s="2"/>
      <c r="H53" s="2"/>
      <c r="I53" s="2"/>
      <c r="J53" s="2"/>
      <c r="K53" s="2"/>
      <c r="L53" s="2"/>
      <c r="M53" s="2"/>
      <c r="N53" s="2"/>
      <c r="P53" s="3"/>
      <c r="Q53" s="3"/>
      <c r="R53" s="29" t="str">
        <f>Q180</f>
        <v>Oberflächenbearbeitung (vor/nach Erhärtung)</v>
      </c>
      <c r="S53" s="26">
        <f>'Referenz Plattenfertiger'!U71</f>
        <v>60</v>
      </c>
      <c r="T53" s="26">
        <f>V180</f>
        <v>60</v>
      </c>
      <c r="U53" s="26">
        <f>V262</f>
        <v>60</v>
      </c>
      <c r="V53" s="25" t="s">
        <v>148</v>
      </c>
      <c r="W53" s="3"/>
      <c r="Y53" s="3"/>
      <c r="Z53" s="3"/>
      <c r="AA53" s="8" t="s">
        <v>30</v>
      </c>
      <c r="AB53" s="10">
        <f>'Referenz Plattenfertiger'!$W$17+'Referenz Plattenfertiger'!W22</f>
        <v>16.005600000000001</v>
      </c>
      <c r="AC53" s="10">
        <f>Y123+Y128</f>
        <v>16.005600000000001</v>
      </c>
      <c r="AD53" s="10">
        <f>Y205+Y210</f>
        <v>16.005600000000001</v>
      </c>
      <c r="AE53" s="3" t="s">
        <v>148</v>
      </c>
      <c r="AF53" s="3"/>
      <c r="AH53" s="3"/>
      <c r="AI53" s="3"/>
      <c r="AJ53" s="58" t="s">
        <v>146</v>
      </c>
      <c r="AK53" s="60">
        <v>0</v>
      </c>
      <c r="AL53" s="60">
        <f>AI140</f>
        <v>0</v>
      </c>
      <c r="AM53" s="60">
        <f>AI218</f>
        <v>0</v>
      </c>
      <c r="AN53" s="3"/>
      <c r="AO53" s="112"/>
      <c r="AP53" s="112"/>
      <c r="AQ53" s="2"/>
    </row>
    <row r="54" spans="1:43" ht="15.75" x14ac:dyDescent="0.3">
      <c r="A54" s="2"/>
      <c r="B54" s="2"/>
      <c r="C54" s="2"/>
      <c r="D54" s="2"/>
      <c r="E54" s="2"/>
      <c r="F54" s="2"/>
      <c r="G54" s="2"/>
      <c r="H54" s="2"/>
      <c r="I54" s="2"/>
      <c r="J54" s="2"/>
      <c r="K54" s="2"/>
      <c r="L54" s="2"/>
      <c r="M54" s="2"/>
      <c r="N54" s="2"/>
      <c r="P54" s="3"/>
      <c r="Q54" s="3"/>
      <c r="R54" s="8" t="str">
        <f>R185</f>
        <v>Verpackungsmaterial</v>
      </c>
      <c r="S54" s="9">
        <f>'Referenz Plattenfertiger'!U76</f>
        <v>64.48</v>
      </c>
      <c r="T54" s="9">
        <f>V185</f>
        <v>64.48</v>
      </c>
      <c r="U54" s="9">
        <f>V267</f>
        <v>64.48</v>
      </c>
      <c r="V54" s="3" t="s">
        <v>148</v>
      </c>
      <c r="W54" s="3"/>
      <c r="Y54" s="3"/>
      <c r="Z54" s="3"/>
      <c r="AA54" s="29" t="s">
        <v>31</v>
      </c>
      <c r="AB54" s="32">
        <f>'Referenz Plattenfertiger'!$W$18+'Referenz Plattenfertiger'!T24</f>
        <v>171.9</v>
      </c>
      <c r="AC54" s="32">
        <f>Y124+Y130</f>
        <v>124.8924470887134</v>
      </c>
      <c r="AD54" s="32">
        <f>Y206+Y212</f>
        <v>61.552554846110553</v>
      </c>
      <c r="AE54" s="25" t="s">
        <v>148</v>
      </c>
      <c r="AF54" s="3"/>
      <c r="AH54" s="3"/>
      <c r="AI54" s="3"/>
      <c r="AJ54" s="56" t="s">
        <v>140</v>
      </c>
      <c r="AK54" s="57">
        <f>SUM(AK55:AK57)</f>
        <v>152459.04944673795</v>
      </c>
      <c r="AL54" s="57">
        <f t="shared" ref="AL54:AM54" si="2">SUM(AL55:AL57)</f>
        <v>258152.26614161136</v>
      </c>
      <c r="AM54" s="57">
        <f t="shared" si="2"/>
        <v>434933.16031178052</v>
      </c>
      <c r="AN54" s="3"/>
      <c r="AO54" s="112"/>
      <c r="AP54" s="112"/>
      <c r="AQ54" s="2"/>
    </row>
    <row r="55" spans="1:43" ht="16.5" thickBot="1" x14ac:dyDescent="0.35">
      <c r="A55" s="2"/>
      <c r="B55" s="2"/>
      <c r="C55" s="2"/>
      <c r="D55" s="2"/>
      <c r="E55" s="2"/>
      <c r="F55" s="2"/>
      <c r="G55" s="2"/>
      <c r="H55" s="2"/>
      <c r="I55" s="2"/>
      <c r="J55" s="2"/>
      <c r="K55" s="2"/>
      <c r="L55" s="2"/>
      <c r="M55" s="2"/>
      <c r="N55" s="2"/>
      <c r="P55" s="3"/>
      <c r="Q55" s="3"/>
      <c r="R55" s="27" t="s">
        <v>67</v>
      </c>
      <c r="S55" s="28">
        <f>SUM(S43:S54)</f>
        <v>5831.529622809514</v>
      </c>
      <c r="T55" s="28">
        <f>SUM(T43:T54)</f>
        <v>5516.8922232204259</v>
      </c>
      <c r="U55" s="28">
        <f>SUM(U43:U54)</f>
        <v>5280.1795939911435</v>
      </c>
      <c r="V55" s="27" t="s">
        <v>149</v>
      </c>
      <c r="W55" s="3"/>
      <c r="Y55" s="3"/>
      <c r="Z55" s="3"/>
      <c r="AA55" s="8" t="s">
        <v>115</v>
      </c>
      <c r="AB55" s="10">
        <f>'Referenz Plattenfertiger'!$W$19</f>
        <v>0</v>
      </c>
      <c r="AC55" s="10">
        <f>Y125</f>
        <v>0</v>
      </c>
      <c r="AD55" s="10">
        <f>Y207</f>
        <v>0</v>
      </c>
      <c r="AE55" s="3" t="s">
        <v>148</v>
      </c>
      <c r="AF55" s="3"/>
      <c r="AH55" s="3"/>
      <c r="AI55" s="3"/>
      <c r="AJ55" s="31" t="s">
        <v>141</v>
      </c>
      <c r="AK55" s="51">
        <f>'Referenz Plattenfertiger'!AD26</f>
        <v>2373.3088765000002</v>
      </c>
      <c r="AL55" s="51">
        <f>AI143</f>
        <v>4271.9559777000004</v>
      </c>
      <c r="AM55" s="51">
        <f>AI221</f>
        <v>7594.5884048000007</v>
      </c>
      <c r="AN55" s="3"/>
      <c r="AO55" s="112"/>
      <c r="AP55" s="112"/>
      <c r="AQ55" s="2"/>
    </row>
    <row r="56" spans="1:43" ht="16.5" thickTop="1" x14ac:dyDescent="0.3">
      <c r="A56" s="2"/>
      <c r="B56" s="2"/>
      <c r="C56" s="2"/>
      <c r="D56" s="2"/>
      <c r="E56" s="2"/>
      <c r="F56" s="2"/>
      <c r="G56" s="2"/>
      <c r="H56" s="2"/>
      <c r="I56" s="2"/>
      <c r="J56" s="2"/>
      <c r="K56" s="2"/>
      <c r="L56" s="2"/>
      <c r="M56" s="2"/>
      <c r="N56" s="2"/>
      <c r="P56" s="3"/>
      <c r="Q56" s="3"/>
      <c r="R56" s="3"/>
      <c r="S56" s="3"/>
      <c r="T56" s="3"/>
      <c r="U56" s="3"/>
      <c r="V56" s="3"/>
      <c r="W56" s="3"/>
      <c r="Y56" s="3"/>
      <c r="Z56" s="3"/>
      <c r="AA56" s="29" t="s">
        <v>111</v>
      </c>
      <c r="AB56" s="32">
        <f>'Referenz Plattenfertiger'!$W$25</f>
        <v>0</v>
      </c>
      <c r="AC56" s="32">
        <f>Y131</f>
        <v>0</v>
      </c>
      <c r="AD56" s="32">
        <f>Y213</f>
        <v>0</v>
      </c>
      <c r="AE56" s="25" t="s">
        <v>148</v>
      </c>
      <c r="AF56" s="3"/>
      <c r="AH56" s="3"/>
      <c r="AI56" s="3"/>
      <c r="AJ56" s="31" t="s">
        <v>142</v>
      </c>
      <c r="AK56" s="51">
        <f>'Referenz Plattenfertiger'!AD27</f>
        <v>4297.5</v>
      </c>
      <c r="AL56" s="51">
        <f>AI144</f>
        <v>5620.160118992103</v>
      </c>
      <c r="AM56" s="51">
        <f>AI222</f>
        <v>4924.2043876888438</v>
      </c>
      <c r="AN56" s="3"/>
      <c r="AO56" s="112"/>
      <c r="AP56" s="112"/>
      <c r="AQ56" s="2"/>
    </row>
    <row r="57" spans="1:43" ht="15.75" x14ac:dyDescent="0.3">
      <c r="A57" s="2"/>
      <c r="B57" s="2"/>
      <c r="C57" s="2"/>
      <c r="D57" s="2"/>
      <c r="E57" s="2"/>
      <c r="F57" s="2"/>
      <c r="G57" s="2"/>
      <c r="H57" s="2"/>
      <c r="I57" s="2"/>
      <c r="J57" s="2"/>
      <c r="K57" s="2"/>
      <c r="L57" s="2"/>
      <c r="M57" s="2"/>
      <c r="N57" s="2"/>
      <c r="P57" s="3"/>
      <c r="Q57" s="3"/>
      <c r="R57" s="3"/>
      <c r="S57" s="3"/>
      <c r="T57" s="3"/>
      <c r="U57" s="3"/>
      <c r="V57" s="3"/>
      <c r="W57" s="3"/>
      <c r="Y57" s="3"/>
      <c r="Z57" s="3"/>
      <c r="AA57" s="8" t="s">
        <v>135</v>
      </c>
      <c r="AB57" s="10">
        <f>'Referenz Plattenfertiger'!$W$26</f>
        <v>0</v>
      </c>
      <c r="AC57" s="10">
        <f>Y132</f>
        <v>0</v>
      </c>
      <c r="AD57" s="10">
        <f>Y214</f>
        <v>0</v>
      </c>
      <c r="AE57" s="3" t="s">
        <v>148</v>
      </c>
      <c r="AF57" s="3"/>
      <c r="AH57" s="3"/>
      <c r="AI57" s="3"/>
      <c r="AJ57" s="31" t="s">
        <v>143</v>
      </c>
      <c r="AK57" s="51">
        <f>'Referenz Plattenfertiger'!AD28</f>
        <v>145788.24057023795</v>
      </c>
      <c r="AL57" s="51">
        <f>AI145</f>
        <v>248260.15004491925</v>
      </c>
      <c r="AM57" s="51">
        <f>AI223</f>
        <v>422414.3675192917</v>
      </c>
      <c r="AN57" s="3"/>
      <c r="AO57" s="112"/>
      <c r="AP57" s="112"/>
      <c r="AQ57" s="2"/>
    </row>
    <row r="58" spans="1:43" ht="16.5" thickBot="1" x14ac:dyDescent="0.35">
      <c r="A58" s="2"/>
      <c r="B58" s="2"/>
      <c r="C58" s="2"/>
      <c r="D58" s="2"/>
      <c r="E58" s="2"/>
      <c r="F58" s="2"/>
      <c r="G58" s="2"/>
      <c r="H58" s="2"/>
      <c r="I58" s="2"/>
      <c r="J58" s="2"/>
      <c r="K58" s="2"/>
      <c r="L58" s="2"/>
      <c r="M58" s="2"/>
      <c r="N58" s="2"/>
      <c r="P58" s="3"/>
      <c r="Q58" s="3"/>
      <c r="R58" s="3"/>
      <c r="S58" s="3"/>
      <c r="T58" s="3"/>
      <c r="U58" s="3"/>
      <c r="V58" s="3"/>
      <c r="W58" s="3"/>
      <c r="Y58" s="3"/>
      <c r="Z58" s="3"/>
      <c r="AA58" s="29" t="s">
        <v>32</v>
      </c>
      <c r="AB58" s="32">
        <f>'Referenz Plattenfertiger'!$W$28+'Referenz Plattenfertiger'!$W$29</f>
        <v>35.884155059999998</v>
      </c>
      <c r="AC58" s="32">
        <f>Y134+Y135</f>
        <v>35.884155059999998</v>
      </c>
      <c r="AD58" s="32">
        <f>Y216+Y217</f>
        <v>35.884155059999998</v>
      </c>
      <c r="AE58" s="25" t="s">
        <v>148</v>
      </c>
      <c r="AF58" s="3"/>
      <c r="AH58" s="3"/>
      <c r="AI58" s="3"/>
      <c r="AJ58" s="27" t="s">
        <v>67</v>
      </c>
      <c r="AK58" s="55">
        <f>AK54+AK53+AK52+AK51+AK43</f>
        <v>262128.04944673795</v>
      </c>
      <c r="AL58" s="55">
        <f t="shared" ref="AL58:AM58" si="3">AL54+AL53+AL52+AL51+AL43</f>
        <v>367821.26614161138</v>
      </c>
      <c r="AM58" s="55">
        <f t="shared" si="3"/>
        <v>544602.16031178052</v>
      </c>
      <c r="AN58" s="3"/>
      <c r="AO58" s="112"/>
      <c r="AP58" s="112"/>
      <c r="AQ58" s="2"/>
    </row>
    <row r="59" spans="1:43" ht="15.75" thickTop="1" thickBot="1" x14ac:dyDescent="0.3">
      <c r="A59" s="2"/>
      <c r="B59" s="2"/>
      <c r="C59" s="2"/>
      <c r="D59" s="2"/>
      <c r="E59" s="2"/>
      <c r="F59" s="2"/>
      <c r="G59" s="2"/>
      <c r="H59" s="2"/>
      <c r="I59" s="2"/>
      <c r="J59" s="2"/>
      <c r="K59" s="2"/>
      <c r="L59" s="2"/>
      <c r="M59" s="2"/>
      <c r="N59" s="2"/>
      <c r="P59" s="3"/>
      <c r="Q59" s="3"/>
      <c r="R59" s="3"/>
      <c r="S59" s="3"/>
      <c r="T59" s="3"/>
      <c r="U59" s="3"/>
      <c r="V59" s="3"/>
      <c r="W59" s="3"/>
      <c r="Y59" s="3"/>
      <c r="Z59" s="3"/>
      <c r="AA59" s="27" t="s">
        <v>67</v>
      </c>
      <c r="AB59" s="33">
        <f>SUM(AB52:AB58)</f>
        <v>266.83235506</v>
      </c>
      <c r="AC59" s="33">
        <f>SUM(AC52:AC58)</f>
        <v>219.82480214871339</v>
      </c>
      <c r="AD59" s="33">
        <f>SUM(AD52:AD58)</f>
        <v>156.48490990611054</v>
      </c>
      <c r="AE59" s="27" t="s">
        <v>149</v>
      </c>
      <c r="AF59" s="3"/>
      <c r="AH59" s="3"/>
      <c r="AI59" s="3"/>
      <c r="AJ59" s="3"/>
      <c r="AK59" s="3"/>
      <c r="AL59" s="3"/>
      <c r="AM59" s="3"/>
      <c r="AN59" s="3"/>
      <c r="AO59" s="62"/>
      <c r="AP59" s="62"/>
      <c r="AQ59" s="2"/>
    </row>
    <row r="60" spans="1:43" ht="17.25" thickTop="1" thickBot="1" x14ac:dyDescent="0.35">
      <c r="A60" s="2"/>
      <c r="B60" s="2"/>
      <c r="C60" s="2"/>
      <c r="D60" s="2"/>
      <c r="E60" s="2"/>
      <c r="F60" s="2"/>
      <c r="G60" s="2"/>
      <c r="H60" s="2"/>
      <c r="I60" s="2"/>
      <c r="J60" s="2"/>
      <c r="K60" s="2"/>
      <c r="L60" s="2"/>
      <c r="M60" s="2"/>
      <c r="N60" s="2"/>
      <c r="P60" s="3"/>
      <c r="Q60" s="3"/>
      <c r="R60" s="3"/>
      <c r="S60" s="3"/>
      <c r="T60" s="3"/>
      <c r="U60" s="3"/>
      <c r="V60" s="3"/>
      <c r="W60" s="3"/>
      <c r="Y60" s="3"/>
      <c r="Z60" s="3"/>
      <c r="AA60" s="3"/>
      <c r="AB60" s="3"/>
      <c r="AC60" s="3"/>
      <c r="AD60" s="3"/>
      <c r="AE60" s="3"/>
      <c r="AF60" s="3"/>
      <c r="AH60" s="3"/>
      <c r="AI60" s="3"/>
      <c r="AJ60" s="104" t="s">
        <v>196</v>
      </c>
      <c r="AK60" s="105">
        <f>AK58-AK57</f>
        <v>116339.8088765</v>
      </c>
      <c r="AL60" s="105">
        <f>AL58-AL57</f>
        <v>119561.11609669213</v>
      </c>
      <c r="AM60" s="105">
        <f>AM58-AM57</f>
        <v>122187.79279248882</v>
      </c>
      <c r="AN60" s="3"/>
      <c r="AO60" s="3"/>
      <c r="AP60" s="3"/>
      <c r="AQ60" s="2"/>
    </row>
    <row r="61" spans="1:43" ht="16.5" thickBot="1" x14ac:dyDescent="0.35">
      <c r="A61" s="2"/>
      <c r="B61" s="2"/>
      <c r="C61" s="2"/>
      <c r="D61" s="2"/>
      <c r="E61" s="2"/>
      <c r="F61" s="2"/>
      <c r="G61" s="2"/>
      <c r="H61" s="2"/>
      <c r="I61" s="2"/>
      <c r="J61" s="2"/>
      <c r="K61" s="2"/>
      <c r="L61" s="2"/>
      <c r="M61" s="2"/>
      <c r="N61" s="2"/>
      <c r="P61" s="3"/>
      <c r="Q61" s="3"/>
      <c r="R61" s="3"/>
      <c r="S61" s="3"/>
      <c r="T61" s="3"/>
      <c r="U61" s="3"/>
      <c r="V61" s="3"/>
      <c r="W61" s="3"/>
      <c r="Y61" s="3"/>
      <c r="Z61" s="3"/>
      <c r="AA61" s="3"/>
      <c r="AB61" s="3"/>
      <c r="AC61" s="3"/>
      <c r="AD61" s="3"/>
      <c r="AE61" s="3"/>
      <c r="AF61" s="3"/>
      <c r="AH61" s="3"/>
      <c r="AI61" s="3"/>
      <c r="AJ61" s="106" t="s">
        <v>145</v>
      </c>
      <c r="AK61" s="107">
        <f>AK58-AK54</f>
        <v>109669</v>
      </c>
      <c r="AL61" s="107">
        <f>AL58-AL54</f>
        <v>109669.00000000003</v>
      </c>
      <c r="AM61" s="107">
        <f>AM58-AM54</f>
        <v>109669</v>
      </c>
      <c r="AN61" s="3"/>
      <c r="AO61" s="3"/>
      <c r="AP61" s="3"/>
      <c r="AQ61" s="2"/>
    </row>
    <row r="62" spans="1:43" x14ac:dyDescent="0.2">
      <c r="A62" s="2"/>
      <c r="B62" s="2"/>
      <c r="C62" s="2"/>
      <c r="D62" s="2"/>
      <c r="E62" s="2"/>
      <c r="F62" s="2"/>
      <c r="G62" s="2"/>
      <c r="H62" s="2"/>
      <c r="I62" s="2"/>
      <c r="J62" s="2"/>
      <c r="K62" s="2"/>
      <c r="L62" s="2"/>
      <c r="M62" s="2"/>
      <c r="N62" s="2"/>
      <c r="P62" s="3"/>
      <c r="Q62" s="3"/>
      <c r="R62" s="3"/>
      <c r="S62" s="3"/>
      <c r="T62" s="3"/>
      <c r="U62" s="3"/>
      <c r="V62" s="3"/>
      <c r="W62" s="3"/>
      <c r="Y62" s="3"/>
      <c r="Z62" s="3"/>
      <c r="AA62" s="3"/>
      <c r="AB62" s="3"/>
      <c r="AC62" s="3"/>
      <c r="AD62" s="3"/>
      <c r="AE62" s="3"/>
      <c r="AF62" s="3"/>
      <c r="AH62" s="3"/>
      <c r="AI62" s="3"/>
      <c r="AJ62" s="3"/>
      <c r="AK62" s="3"/>
      <c r="AL62" s="3"/>
      <c r="AM62" s="3"/>
      <c r="AN62" s="3"/>
      <c r="AO62" s="3"/>
      <c r="AP62" s="3"/>
      <c r="AQ62" s="2"/>
    </row>
    <row r="63" spans="1:43" x14ac:dyDescent="0.2">
      <c r="A63" s="2"/>
      <c r="B63" s="2"/>
      <c r="C63" s="2"/>
      <c r="D63" s="2"/>
      <c r="E63" s="2"/>
      <c r="F63" s="2"/>
      <c r="G63" s="2"/>
      <c r="H63" s="2"/>
      <c r="I63" s="2"/>
      <c r="J63" s="2"/>
      <c r="K63" s="2"/>
      <c r="L63" s="2"/>
      <c r="M63" s="2"/>
      <c r="N63" s="2"/>
      <c r="P63" s="3"/>
      <c r="Q63" s="3"/>
      <c r="R63" s="3"/>
      <c r="S63" s="3"/>
      <c r="T63" s="3"/>
      <c r="U63" s="3"/>
      <c r="V63" s="3"/>
      <c r="W63" s="3"/>
      <c r="Y63" s="3"/>
      <c r="Z63" s="3"/>
      <c r="AA63" s="3"/>
      <c r="AB63" s="3"/>
      <c r="AC63" s="3"/>
      <c r="AD63" s="3"/>
      <c r="AE63" s="3"/>
      <c r="AF63" s="3"/>
      <c r="AH63" s="3"/>
      <c r="AI63" s="3"/>
      <c r="AJ63" s="3"/>
      <c r="AK63" s="3"/>
      <c r="AL63" s="3"/>
      <c r="AM63" s="3"/>
      <c r="AN63" s="3"/>
      <c r="AO63" s="3"/>
      <c r="AP63" s="3"/>
      <c r="AQ63" s="2"/>
    </row>
    <row r="64" spans="1:43" x14ac:dyDescent="0.2">
      <c r="A64" s="2"/>
      <c r="B64" s="2"/>
      <c r="C64" s="2"/>
      <c r="D64" s="2"/>
      <c r="E64" s="2"/>
      <c r="F64" s="2"/>
      <c r="G64" s="2"/>
      <c r="H64" s="2"/>
      <c r="I64" s="2"/>
      <c r="J64" s="2"/>
      <c r="K64" s="2"/>
      <c r="L64" s="2"/>
      <c r="M64" s="2"/>
      <c r="N64" s="2"/>
      <c r="P64" s="3"/>
      <c r="Q64" s="3"/>
      <c r="R64" s="3"/>
      <c r="S64" s="3"/>
      <c r="T64" s="3"/>
      <c r="U64" s="3"/>
      <c r="V64" s="3"/>
      <c r="W64" s="3"/>
      <c r="Y64" s="3"/>
      <c r="Z64" s="3"/>
      <c r="AA64" s="8"/>
      <c r="AB64" s="82"/>
      <c r="AC64" s="82"/>
      <c r="AD64" s="82"/>
      <c r="AE64" s="8"/>
      <c r="AF64" s="3"/>
      <c r="AH64" s="3"/>
      <c r="AI64" s="3"/>
      <c r="AJ64" s="3"/>
      <c r="AK64" s="3"/>
      <c r="AL64" s="3"/>
      <c r="AM64" s="3"/>
      <c r="AN64" s="3"/>
      <c r="AO64" s="3"/>
      <c r="AP64" s="3"/>
      <c r="AQ64" s="2"/>
    </row>
    <row r="65" spans="1:43" x14ac:dyDescent="0.2">
      <c r="A65" s="2"/>
      <c r="B65" s="2"/>
      <c r="C65" s="2"/>
      <c r="D65" s="2"/>
      <c r="E65" s="2"/>
      <c r="F65" s="2"/>
      <c r="G65" s="2"/>
      <c r="H65" s="2"/>
      <c r="I65" s="2"/>
      <c r="J65" s="2"/>
      <c r="K65" s="2"/>
      <c r="L65" s="2"/>
      <c r="M65" s="2"/>
      <c r="N65" s="2"/>
      <c r="P65" s="3"/>
      <c r="Q65" s="3"/>
      <c r="R65" s="3"/>
      <c r="S65" s="3"/>
      <c r="T65" s="3"/>
      <c r="U65" s="3"/>
      <c r="V65" s="3"/>
      <c r="W65" s="3"/>
      <c r="Y65" s="3"/>
      <c r="Z65" s="3"/>
      <c r="AA65" s="8"/>
      <c r="AB65" s="82"/>
      <c r="AC65" s="82"/>
      <c r="AD65" s="82"/>
      <c r="AE65" s="8"/>
      <c r="AF65" s="3"/>
      <c r="AH65" s="3"/>
      <c r="AI65" s="3"/>
      <c r="AJ65" s="3"/>
      <c r="AK65" s="3"/>
      <c r="AL65" s="3"/>
      <c r="AM65" s="3"/>
      <c r="AN65" s="3"/>
      <c r="AO65" s="3"/>
      <c r="AP65" s="3"/>
      <c r="AQ65" s="2"/>
    </row>
    <row r="66" spans="1:43" ht="15" x14ac:dyDescent="0.25">
      <c r="A66" s="2"/>
      <c r="B66" s="2"/>
      <c r="C66" s="2"/>
      <c r="D66" s="2"/>
      <c r="E66" s="2"/>
      <c r="F66" s="2"/>
      <c r="G66" s="2"/>
      <c r="H66" s="2"/>
      <c r="I66" s="2"/>
      <c r="J66" s="2"/>
      <c r="K66" s="2"/>
      <c r="L66" s="2"/>
      <c r="M66" s="2"/>
      <c r="N66" s="2"/>
      <c r="P66" s="3"/>
      <c r="Q66" s="3"/>
      <c r="R66" s="3"/>
      <c r="S66" s="3"/>
      <c r="T66" s="3"/>
      <c r="U66" s="3"/>
      <c r="V66" s="3"/>
      <c r="W66" s="3"/>
      <c r="Y66" s="3"/>
      <c r="Z66" s="3"/>
      <c r="AA66" s="23" t="s">
        <v>194</v>
      </c>
      <c r="AB66" s="3"/>
      <c r="AC66" s="3"/>
      <c r="AD66" s="3"/>
      <c r="AE66" s="3"/>
      <c r="AF66" s="3"/>
      <c r="AH66" s="3"/>
      <c r="AI66" s="3"/>
      <c r="AJ66" s="3"/>
      <c r="AK66" s="3"/>
      <c r="AL66" s="3"/>
      <c r="AM66" s="3"/>
      <c r="AN66" s="3"/>
      <c r="AO66" s="3"/>
      <c r="AP66" s="3"/>
      <c r="AQ66" s="2"/>
    </row>
    <row r="67" spans="1:43" ht="15" x14ac:dyDescent="0.25">
      <c r="A67" s="2"/>
      <c r="B67" s="2"/>
      <c r="C67" s="2"/>
      <c r="D67" s="2"/>
      <c r="E67" s="2"/>
      <c r="F67" s="2"/>
      <c r="G67" s="2"/>
      <c r="H67" s="2"/>
      <c r="I67" s="2"/>
      <c r="J67" s="2"/>
      <c r="K67" s="2"/>
      <c r="L67" s="2"/>
      <c r="M67" s="2"/>
      <c r="N67" s="2"/>
      <c r="P67" s="3"/>
      <c r="Q67" s="3"/>
      <c r="R67" s="3"/>
      <c r="S67" s="3"/>
      <c r="T67" s="3"/>
      <c r="U67" s="3"/>
      <c r="V67" s="3"/>
      <c r="W67" s="3"/>
      <c r="Y67" s="3"/>
      <c r="Z67" s="3"/>
      <c r="AA67" s="34"/>
      <c r="AB67" s="45">
        <f>S$41</f>
        <v>0</v>
      </c>
      <c r="AC67" s="45">
        <f>T$41</f>
        <v>5</v>
      </c>
      <c r="AD67" s="45">
        <f>U$41</f>
        <v>10</v>
      </c>
      <c r="AE67" s="34"/>
      <c r="AF67" s="3"/>
      <c r="AH67" s="3"/>
      <c r="AI67" s="3"/>
      <c r="AJ67" s="3"/>
      <c r="AK67" s="3"/>
      <c r="AL67" s="3"/>
      <c r="AM67" s="3"/>
      <c r="AN67" s="3"/>
      <c r="AO67" s="3"/>
      <c r="AP67" s="3"/>
      <c r="AQ67" s="2"/>
    </row>
    <row r="68" spans="1:43" x14ac:dyDescent="0.2">
      <c r="A68" s="2"/>
      <c r="B68" s="2"/>
      <c r="C68" s="2"/>
      <c r="D68" s="2"/>
      <c r="E68" s="2"/>
      <c r="F68" s="2"/>
      <c r="G68" s="2"/>
      <c r="H68" s="2"/>
      <c r="I68" s="2"/>
      <c r="J68" s="2"/>
      <c r="K68" s="2"/>
      <c r="L68" s="2"/>
      <c r="M68" s="2"/>
      <c r="N68" s="2"/>
      <c r="P68" s="3"/>
      <c r="Q68" s="3"/>
      <c r="R68" s="3"/>
      <c r="S68" s="3"/>
      <c r="T68" s="3"/>
      <c r="U68" s="3"/>
      <c r="V68" s="3"/>
      <c r="W68" s="3"/>
      <c r="Y68" s="3"/>
      <c r="Z68" s="3"/>
      <c r="AA68" s="24"/>
      <c r="AB68" s="47" t="s">
        <v>81</v>
      </c>
      <c r="AC68" s="48"/>
      <c r="AD68" s="48"/>
      <c r="AE68" s="24"/>
      <c r="AF68" s="3"/>
      <c r="AH68" s="3"/>
      <c r="AI68" s="3"/>
      <c r="AJ68" s="3"/>
      <c r="AK68" s="3"/>
      <c r="AL68" s="3"/>
      <c r="AM68" s="3"/>
      <c r="AN68" s="3"/>
      <c r="AO68" s="3"/>
      <c r="AP68" s="3"/>
      <c r="AQ68" s="2"/>
    </row>
    <row r="69" spans="1:43" ht="15.75" x14ac:dyDescent="0.3">
      <c r="A69" s="2"/>
      <c r="B69" s="2"/>
      <c r="C69" s="2"/>
      <c r="D69" s="2"/>
      <c r="E69" s="2"/>
      <c r="F69" s="2"/>
      <c r="G69" s="2"/>
      <c r="H69" s="2"/>
      <c r="I69" s="2"/>
      <c r="J69" s="2"/>
      <c r="K69" s="2"/>
      <c r="L69" s="2"/>
      <c r="M69" s="2"/>
      <c r="N69" s="2"/>
      <c r="P69" s="3"/>
      <c r="Q69" s="3"/>
      <c r="R69" s="3"/>
      <c r="S69" s="3"/>
      <c r="T69" s="3"/>
      <c r="U69" s="3"/>
      <c r="V69" s="3"/>
      <c r="W69" s="3"/>
      <c r="Y69" s="3"/>
      <c r="Z69" s="3"/>
      <c r="AA69" s="29" t="s">
        <v>104</v>
      </c>
      <c r="AB69" s="97">
        <f>AB43/IF(NOT(ISBLANK('Referenz Plattenfertiger'!$I$12)),'Referenz Plattenfertiger'!$I$12,'Referenz Plattenfertiger'!$F$12)</f>
        <v>2.3733088764999999E-3</v>
      </c>
      <c r="AC69" s="97">
        <f>AC43/IF(NOT(ISBLANK('Referenz Plattenfertiger'!$I$12)),'Referenz Plattenfertiger'!$I$12,'Referenz Plattenfertiger'!$F$12)</f>
        <v>2.3733088764999999E-3</v>
      </c>
      <c r="AD69" s="97">
        <f>AD43/IF(NOT(ISBLANK('Referenz Plattenfertiger'!$I$12)),'Referenz Plattenfertiger'!$I$12,'Referenz Plattenfertiger'!$F$12)</f>
        <v>2.3733088764999999E-3</v>
      </c>
      <c r="AE69" s="25" t="s">
        <v>193</v>
      </c>
      <c r="AF69" s="3"/>
      <c r="AH69" s="3"/>
      <c r="AI69" s="3"/>
      <c r="AJ69" s="3"/>
      <c r="AK69" s="3"/>
      <c r="AL69" s="3"/>
      <c r="AM69" s="3"/>
      <c r="AN69" s="3"/>
      <c r="AO69" s="3"/>
      <c r="AP69" s="3"/>
      <c r="AQ69" s="2"/>
    </row>
    <row r="70" spans="1:43" ht="15.75" x14ac:dyDescent="0.3">
      <c r="A70" s="2"/>
      <c r="B70" s="2"/>
      <c r="C70" s="2"/>
      <c r="D70" s="2"/>
      <c r="E70" s="2"/>
      <c r="F70" s="2"/>
      <c r="G70" s="2"/>
      <c r="H70" s="2"/>
      <c r="I70" s="2"/>
      <c r="J70" s="2"/>
      <c r="K70" s="2"/>
      <c r="L70" s="2"/>
      <c r="M70" s="2"/>
      <c r="N70" s="2"/>
      <c r="P70" s="3"/>
      <c r="Q70" s="3"/>
      <c r="R70" s="3"/>
      <c r="S70" s="3"/>
      <c r="T70" s="3"/>
      <c r="U70" s="3"/>
      <c r="V70" s="3"/>
      <c r="W70" s="3"/>
      <c r="Y70" s="3"/>
      <c r="Z70" s="3"/>
      <c r="AA70" s="8" t="s">
        <v>26</v>
      </c>
      <c r="AB70" s="98">
        <f>AB44/IF(NOT(ISBLANK('Referenz Plattenfertiger'!$I$12)),'Referenz Plattenfertiger'!$I$12,'Referenz Plattenfertiger'!$F$12)</f>
        <v>4.2975000000000001E-3</v>
      </c>
      <c r="AC70" s="98">
        <f>AC44/IF(NOT(ISBLANK('Referenz Plattenfertiger'!$I$12)),'Referenz Plattenfertiger'!$I$12,'Referenz Plattenfertiger'!$F$12)</f>
        <v>3.122311177217835E-3</v>
      </c>
      <c r="AD70" s="98">
        <f>AD44/IF(NOT(ISBLANK('Referenz Plattenfertiger'!$I$12)),'Referenz Plattenfertiger'!$I$12,'Referenz Plattenfertiger'!$F$12)</f>
        <v>1.5388138711527638E-3</v>
      </c>
      <c r="AE70" s="3" t="s">
        <v>193</v>
      </c>
      <c r="AF70" s="3"/>
      <c r="AH70" s="3"/>
      <c r="AI70" s="3"/>
      <c r="AJ70" s="3"/>
      <c r="AK70" s="3"/>
      <c r="AL70" s="3"/>
      <c r="AM70" s="3"/>
      <c r="AN70" s="3"/>
      <c r="AO70" s="3"/>
      <c r="AP70" s="3"/>
      <c r="AQ70" s="2"/>
    </row>
    <row r="71" spans="1:43" ht="15.75" x14ac:dyDescent="0.3">
      <c r="A71" s="2"/>
      <c r="B71" s="2"/>
      <c r="C71" s="2"/>
      <c r="D71" s="2"/>
      <c r="E71" s="2"/>
      <c r="F71" s="2"/>
      <c r="G71" s="2"/>
      <c r="H71" s="2"/>
      <c r="I71" s="2"/>
      <c r="J71" s="2"/>
      <c r="K71" s="2"/>
      <c r="L71" s="2"/>
      <c r="M71" s="2"/>
      <c r="N71" s="2"/>
      <c r="P71" s="3"/>
      <c r="Q71" s="3"/>
      <c r="R71" s="3"/>
      <c r="S71" s="3"/>
      <c r="T71" s="3"/>
      <c r="U71" s="3"/>
      <c r="V71" s="3"/>
      <c r="W71" s="3"/>
      <c r="Y71" s="3"/>
      <c r="Z71" s="3"/>
      <c r="AA71" s="29" t="s">
        <v>27</v>
      </c>
      <c r="AB71" s="97">
        <f>AB45/IF(NOT(ISBLANK('Referenz Plattenfertiger'!$I$12)),'Referenz Plattenfertiger'!$I$12,'Referenz Plattenfertiger'!$F$12)</f>
        <v>0.14578824057023795</v>
      </c>
      <c r="AC71" s="97">
        <f>AC45/IF(NOT(ISBLANK('Referenz Plattenfertiger'!$I$12)),'Referenz Plattenfertiger'!$I$12,'Referenz Plattenfertiger'!$F$12)</f>
        <v>0.13792230558051069</v>
      </c>
      <c r="AD71" s="97">
        <f>AD45/IF(NOT(ISBLANK('Referenz Plattenfertiger'!$I$12)),'Referenz Plattenfertiger'!$I$12,'Referenz Plattenfertiger'!$F$12)</f>
        <v>0.13200448984977867</v>
      </c>
      <c r="AE71" s="25" t="s">
        <v>193</v>
      </c>
      <c r="AF71" s="3"/>
      <c r="AH71" s="3"/>
      <c r="AI71" s="3"/>
      <c r="AJ71" s="3"/>
      <c r="AK71" s="3"/>
      <c r="AL71" s="3"/>
      <c r="AM71" s="3"/>
      <c r="AN71" s="3"/>
      <c r="AO71" s="3"/>
      <c r="AP71" s="3"/>
      <c r="AQ71" s="2"/>
    </row>
    <row r="72" spans="1:43" ht="15" thickBot="1" x14ac:dyDescent="0.3">
      <c r="A72" s="2"/>
      <c r="B72" s="2"/>
      <c r="C72" s="2"/>
      <c r="D72" s="2"/>
      <c r="E72" s="2"/>
      <c r="F72" s="2"/>
      <c r="G72" s="2"/>
      <c r="H72" s="2"/>
      <c r="I72" s="2"/>
      <c r="J72" s="2"/>
      <c r="K72" s="2"/>
      <c r="L72" s="2"/>
      <c r="M72" s="2"/>
      <c r="N72" s="2"/>
      <c r="P72" s="3"/>
      <c r="Q72" s="3"/>
      <c r="R72" s="3"/>
      <c r="S72" s="3"/>
      <c r="T72" s="3"/>
      <c r="U72" s="3"/>
      <c r="V72" s="3"/>
      <c r="W72" s="3"/>
      <c r="Y72" s="3"/>
      <c r="Z72" s="3"/>
      <c r="AA72" s="27" t="s">
        <v>67</v>
      </c>
      <c r="AB72" s="99">
        <f>AB46/IF(NOT(ISBLANK('Referenz Plattenfertiger'!$I$12)),'Referenz Plattenfertiger'!$I$12,'Referenz Plattenfertiger'!$F$12)</f>
        <v>0.15245904944673794</v>
      </c>
      <c r="AC72" s="99">
        <f>AC46/IF(NOT(ISBLANK('Referenz Plattenfertiger'!$I$12)),'Referenz Plattenfertiger'!$I$12,'Referenz Plattenfertiger'!$F$12)</f>
        <v>0.14341792563422853</v>
      </c>
      <c r="AD72" s="99">
        <f>AD46/IF(NOT(ISBLANK('Referenz Plattenfertiger'!$I$12)),'Referenz Plattenfertiger'!$I$12,'Referenz Plattenfertiger'!$F$12)</f>
        <v>0.1359166125974314</v>
      </c>
      <c r="AE72" s="27" t="s">
        <v>195</v>
      </c>
      <c r="AF72" s="3"/>
      <c r="AH72" s="3"/>
      <c r="AI72" s="3"/>
      <c r="AJ72" s="3"/>
      <c r="AK72" s="3"/>
      <c r="AL72" s="3"/>
      <c r="AM72" s="3"/>
      <c r="AN72" s="3"/>
      <c r="AO72" s="3"/>
      <c r="AP72" s="3"/>
      <c r="AQ72" s="2"/>
    </row>
    <row r="73" spans="1:43" ht="13.5" thickTop="1" x14ac:dyDescent="0.2">
      <c r="A73" s="2"/>
      <c r="B73" s="2"/>
      <c r="C73" s="2"/>
      <c r="D73" s="2"/>
      <c r="E73" s="2"/>
      <c r="F73" s="2"/>
      <c r="G73" s="2"/>
      <c r="H73" s="2"/>
      <c r="I73" s="2"/>
      <c r="J73" s="2"/>
      <c r="K73" s="2"/>
      <c r="L73" s="2"/>
      <c r="M73" s="2"/>
      <c r="N73" s="2"/>
      <c r="P73" s="3"/>
      <c r="Q73" s="3"/>
      <c r="R73" s="3"/>
      <c r="S73" s="3"/>
      <c r="T73" s="3"/>
      <c r="U73" s="3"/>
      <c r="V73" s="3"/>
      <c r="W73" s="3"/>
      <c r="Y73" s="3"/>
      <c r="Z73" s="3"/>
      <c r="AA73" s="3"/>
      <c r="AB73" s="3"/>
      <c r="AC73" s="3"/>
      <c r="AD73" s="3"/>
      <c r="AE73" s="3"/>
      <c r="AF73" s="3"/>
      <c r="AH73" s="3"/>
      <c r="AI73" s="3"/>
      <c r="AJ73" s="3"/>
      <c r="AK73" s="3"/>
      <c r="AL73" s="3"/>
      <c r="AM73" s="3"/>
      <c r="AN73" s="3"/>
      <c r="AO73" s="3"/>
      <c r="AP73" s="3"/>
      <c r="AQ73" s="2"/>
    </row>
    <row r="74" spans="1:43" x14ac:dyDescent="0.2">
      <c r="A74" s="2"/>
      <c r="B74" s="2"/>
      <c r="C74" s="2"/>
      <c r="D74" s="2"/>
      <c r="E74" s="2"/>
      <c r="F74" s="2"/>
      <c r="G74" s="2"/>
      <c r="H74" s="2"/>
      <c r="I74" s="2"/>
      <c r="J74" s="2"/>
      <c r="K74" s="2"/>
      <c r="L74" s="2"/>
      <c r="M74" s="2"/>
      <c r="N74" s="2"/>
      <c r="P74" s="3"/>
      <c r="Q74" s="3"/>
      <c r="R74" s="3"/>
      <c r="S74" s="3"/>
      <c r="T74" s="3"/>
      <c r="U74" s="3"/>
      <c r="V74" s="3"/>
      <c r="W74" s="3"/>
      <c r="Y74" s="3"/>
      <c r="Z74" s="3"/>
      <c r="AA74" s="3"/>
      <c r="AB74" s="3"/>
      <c r="AC74" s="3"/>
      <c r="AD74" s="3"/>
      <c r="AE74" s="3"/>
      <c r="AF74" s="3"/>
      <c r="AH74" s="3"/>
      <c r="AI74" s="3"/>
      <c r="AJ74" s="3"/>
      <c r="AK74" s="3"/>
      <c r="AL74" s="3"/>
      <c r="AM74" s="3"/>
      <c r="AN74" s="3"/>
      <c r="AO74" s="3"/>
      <c r="AP74" s="3"/>
      <c r="AQ74" s="2"/>
    </row>
    <row r="75" spans="1:43" x14ac:dyDescent="0.2">
      <c r="A75" s="2"/>
      <c r="B75" s="2"/>
      <c r="C75" s="2"/>
      <c r="D75" s="2"/>
      <c r="E75" s="2"/>
      <c r="F75" s="2"/>
      <c r="G75" s="2"/>
      <c r="H75" s="2"/>
      <c r="I75" s="2"/>
      <c r="J75" s="2"/>
      <c r="K75" s="2"/>
      <c r="L75" s="2"/>
      <c r="M75" s="2"/>
      <c r="N75" s="2"/>
      <c r="P75" s="3"/>
      <c r="Q75" s="3"/>
      <c r="R75" s="3"/>
      <c r="S75" s="3"/>
      <c r="T75" s="3"/>
      <c r="U75" s="3"/>
      <c r="V75" s="3"/>
      <c r="W75" s="3"/>
      <c r="Y75" s="3"/>
      <c r="Z75" s="3"/>
      <c r="AA75" s="3"/>
      <c r="AB75" s="3"/>
      <c r="AC75" s="3"/>
      <c r="AD75" s="3"/>
      <c r="AE75" s="3"/>
      <c r="AF75" s="3"/>
      <c r="AH75" s="3"/>
      <c r="AI75" s="3"/>
      <c r="AJ75" s="3"/>
      <c r="AK75" s="3"/>
      <c r="AL75" s="3"/>
      <c r="AM75" s="3"/>
      <c r="AN75" s="3"/>
      <c r="AO75" s="3"/>
      <c r="AP75" s="3"/>
      <c r="AQ75" s="2"/>
    </row>
    <row r="76" spans="1:43" hidden="1" x14ac:dyDescent="0.2">
      <c r="B76" s="6" t="str">
        <f>IF(AND($F$16&gt;0,J16&lt;F16),"Bitte den Handeingabewert 'Reduktion' für 'Bilanzjahr +10 Jahre' auch anpassen. Dieser muss dem Werte Ihrer Handeingabe  'Bilanzjahr + 5 Jahre' entsprechen, sollte nur eine Maßnahme im  'Bilanzjahr + 5 Jahre' umgesetzt werden.","")</f>
        <v/>
      </c>
      <c r="AQ76" s="2"/>
    </row>
    <row r="77" spans="1:43" hidden="1" x14ac:dyDescent="0.2">
      <c r="AQ77" s="2"/>
    </row>
    <row r="78" spans="1:43" hidden="1" outlineLevel="1" x14ac:dyDescent="0.2">
      <c r="B78" s="6" t="str">
        <f>IF(OR((AND(G17&gt;0,G17&gt;K17)),(AND(G18&gt;0,G18&gt;K18)),(AND(G19&gt;0,G19&gt;K19)),(AND(G20&gt;0,G20&gt;K20))),"Hinweis: Bitte den Handeingabewert 'Reduktion' für 'Bilanzjahr +10 Jahre' auch anpassen. Dieser muss dem Werte Ihrer Handeingabe 'Bilanzjahr +5 Jahre' entsprechen, sollte nur eine Maßnahme in 'Bilanzjahr +5 Jahre' umgesetzt werden.","")</f>
        <v/>
      </c>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Q78" s="3"/>
    </row>
    <row r="79" spans="1:43" ht="15.75" hidden="1" outlineLevel="1" x14ac:dyDescent="0.25">
      <c r="B79"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P79" s="3"/>
      <c r="Q79" s="3"/>
      <c r="R79" s="61" t="s">
        <v>130</v>
      </c>
      <c r="S79" s="3"/>
      <c r="T79" s="3"/>
      <c r="U79" s="3"/>
      <c r="V79" s="3"/>
      <c r="W79" s="3"/>
      <c r="X79" s="3"/>
      <c r="Y79" s="3"/>
      <c r="Z79" s="3"/>
      <c r="AA79" s="61" t="s">
        <v>130</v>
      </c>
      <c r="AB79" s="3"/>
      <c r="AC79" s="3"/>
      <c r="AD79" s="3"/>
      <c r="AE79" s="3"/>
      <c r="AF79" s="3"/>
      <c r="AG79" s="3"/>
      <c r="AH79" s="3"/>
      <c r="AI79" s="61" t="s">
        <v>130</v>
      </c>
      <c r="AJ79" s="24"/>
      <c r="AK79" s="24"/>
      <c r="AL79" s="24"/>
      <c r="AM79" s="24"/>
      <c r="AN79" s="3"/>
      <c r="AO79" s="3"/>
      <c r="AQ79" s="3"/>
    </row>
    <row r="80" spans="1:43" ht="15" hidden="1" outlineLevel="1" x14ac:dyDescent="0.25">
      <c r="P80" s="3"/>
      <c r="Q80" s="3"/>
      <c r="R80" s="35" t="s">
        <v>102</v>
      </c>
      <c r="S80" s="35"/>
      <c r="T80" s="35"/>
      <c r="U80" s="35"/>
      <c r="V80" s="34"/>
      <c r="W80" s="3"/>
      <c r="X80" s="3"/>
      <c r="Y80" s="3"/>
      <c r="Z80" s="3"/>
      <c r="AA80" s="35" t="s">
        <v>239</v>
      </c>
      <c r="AB80" s="45">
        <f>AB67</f>
        <v>0</v>
      </c>
      <c r="AC80" s="45">
        <f t="shared" ref="AC80:AD80" si="4">AC67</f>
        <v>5</v>
      </c>
      <c r="AD80" s="45">
        <f t="shared" si="4"/>
        <v>10</v>
      </c>
      <c r="AE80" s="34"/>
      <c r="AF80" s="3"/>
      <c r="AG80" s="3"/>
      <c r="AH80" s="3"/>
      <c r="AI80" s="3"/>
      <c r="AJ80" s="45" t="s">
        <v>185</v>
      </c>
      <c r="AK80" s="46">
        <f>AB67</f>
        <v>0</v>
      </c>
      <c r="AL80" s="46">
        <f t="shared" ref="AL80:AM80" si="5">AC67</f>
        <v>5</v>
      </c>
      <c r="AM80" s="46">
        <f t="shared" si="5"/>
        <v>10</v>
      </c>
      <c r="AN80" s="3"/>
      <c r="AO80" s="3"/>
      <c r="AQ80" s="3"/>
    </row>
    <row r="81" spans="4:43" hidden="1" outlineLevel="1" x14ac:dyDescent="0.2">
      <c r="P81" s="3"/>
      <c r="Q81" s="3"/>
      <c r="R81" s="24"/>
      <c r="S81" s="59" t="s">
        <v>81</v>
      </c>
      <c r="T81" s="58"/>
      <c r="U81" s="58"/>
      <c r="V81" s="24"/>
      <c r="W81" s="3"/>
      <c r="X81" s="3"/>
      <c r="Y81" s="3"/>
      <c r="Z81" s="3"/>
      <c r="AA81" s="24"/>
      <c r="AB81" s="59" t="s">
        <v>81</v>
      </c>
      <c r="AC81" s="58"/>
      <c r="AD81" s="58"/>
      <c r="AE81" s="24"/>
      <c r="AF81" s="3"/>
      <c r="AG81" s="3"/>
      <c r="AH81" s="3"/>
      <c r="AI81" s="3"/>
      <c r="AJ81" s="24"/>
      <c r="AK81" s="49" t="s">
        <v>81</v>
      </c>
      <c r="AL81" s="49"/>
      <c r="AM81" s="58"/>
      <c r="AN81" s="3"/>
      <c r="AO81" s="3"/>
      <c r="AQ81" s="3"/>
    </row>
    <row r="82" spans="4:43" ht="15.75" hidden="1" outlineLevel="1" x14ac:dyDescent="0.3">
      <c r="P82" s="3"/>
      <c r="Q82" s="3"/>
      <c r="R82" s="3" t="str">
        <f t="shared" ref="R82:R88" si="6">IF($W82,AA52,"")</f>
        <v>Erdgas</v>
      </c>
      <c r="S82" s="10">
        <f t="shared" ref="S82:U88" si="7">IF($W82,AB52,NA())</f>
        <v>43.0426</v>
      </c>
      <c r="T82" s="10">
        <f t="shared" si="7"/>
        <v>43.0426</v>
      </c>
      <c r="U82" s="10">
        <f t="shared" si="7"/>
        <v>43.0426</v>
      </c>
      <c r="V82" s="3" t="s">
        <v>148</v>
      </c>
      <c r="W82" s="3" t="b">
        <v>1</v>
      </c>
      <c r="X82" s="3"/>
      <c r="Y82" s="3"/>
      <c r="Z82" s="3"/>
      <c r="AA82" s="3" t="str">
        <f t="shared" ref="AA82:AA93" si="8">IF($AF82,R43,"")</f>
        <v>Energieträger gesamt</v>
      </c>
      <c r="AB82" s="9">
        <f t="shared" ref="AB82:AB93" si="9">IF($AF82,S43,NA())</f>
        <v>41.281733459999998</v>
      </c>
      <c r="AC82" s="9">
        <f t="shared" ref="AC82:AC93" si="10">IF($AF82,T43,NA())</f>
        <v>34.39057387091087</v>
      </c>
      <c r="AD82" s="9">
        <f t="shared" ref="AD82:AD93" si="11">IF($AF82,U43,NA())</f>
        <v>25.105144641628776</v>
      </c>
      <c r="AE82" s="3" t="s">
        <v>148</v>
      </c>
      <c r="AF82" s="374" t="b">
        <v>1</v>
      </c>
      <c r="AG82" s="374"/>
      <c r="AH82" s="3"/>
      <c r="AI82" s="3"/>
      <c r="AJ82" s="56" t="s">
        <v>144</v>
      </c>
      <c r="AK82" s="57">
        <f>SUM(AK83:AK89)</f>
        <v>109669</v>
      </c>
      <c r="AL82" s="57">
        <f t="shared" ref="AL82:AM82" si="12">SUM(AL83:AL89)</f>
        <v>109669</v>
      </c>
      <c r="AM82" s="57">
        <f t="shared" si="12"/>
        <v>109669</v>
      </c>
      <c r="AN82" s="3"/>
      <c r="AO82" s="3"/>
      <c r="AQ82" s="3"/>
    </row>
    <row r="83" spans="4:43" ht="15.75" hidden="1" outlineLevel="1" x14ac:dyDescent="0.3">
      <c r="P83" s="3"/>
      <c r="Q83" s="3"/>
      <c r="R83" s="3" t="str">
        <f t="shared" si="6"/>
        <v>Heizöl</v>
      </c>
      <c r="S83" s="10">
        <f t="shared" si="7"/>
        <v>16.005600000000001</v>
      </c>
      <c r="T83" s="10">
        <f t="shared" si="7"/>
        <v>16.005600000000001</v>
      </c>
      <c r="U83" s="10">
        <f t="shared" si="7"/>
        <v>16.005600000000001</v>
      </c>
      <c r="V83" s="3" t="s">
        <v>148</v>
      </c>
      <c r="W83" s="3" t="b">
        <v>1</v>
      </c>
      <c r="X83" s="3"/>
      <c r="Y83" s="3"/>
      <c r="Z83" s="3"/>
      <c r="AA83" s="3" t="str">
        <f t="shared" si="8"/>
        <v>Transport gesamt</v>
      </c>
      <c r="AB83" s="9">
        <f t="shared" si="9"/>
        <v>469.15642799999995</v>
      </c>
      <c r="AC83" s="9">
        <f t="shared" si="10"/>
        <v>469.15642799999995</v>
      </c>
      <c r="AD83" s="9">
        <f t="shared" si="11"/>
        <v>469.15642799999995</v>
      </c>
      <c r="AE83" s="3" t="s">
        <v>148</v>
      </c>
      <c r="AF83" s="374" t="b">
        <v>1</v>
      </c>
      <c r="AG83" s="374"/>
      <c r="AH83" s="3"/>
      <c r="AI83" s="3"/>
      <c r="AJ83" s="31" t="s">
        <v>29</v>
      </c>
      <c r="AK83" s="51">
        <f>AK44</f>
        <v>14335</v>
      </c>
      <c r="AL83" s="51">
        <f t="shared" ref="AL83:AM83" si="13">AL44</f>
        <v>14335</v>
      </c>
      <c r="AM83" s="51">
        <f t="shared" si="13"/>
        <v>14335</v>
      </c>
      <c r="AN83" s="3"/>
      <c r="AO83" s="3"/>
      <c r="AQ83" s="3"/>
    </row>
    <row r="84" spans="4:43" ht="15.75" hidden="1" outlineLevel="1" x14ac:dyDescent="0.3">
      <c r="P84" s="3"/>
      <c r="Q84" s="3"/>
      <c r="R84" s="3" t="str">
        <f t="shared" si="6"/>
        <v>Strom</v>
      </c>
      <c r="S84" s="10">
        <f t="shared" si="7"/>
        <v>171.9</v>
      </c>
      <c r="T84" s="10">
        <f t="shared" si="7"/>
        <v>124.8924470887134</v>
      </c>
      <c r="U84" s="10">
        <f t="shared" si="7"/>
        <v>61.552554846110553</v>
      </c>
      <c r="V84" s="3" t="s">
        <v>148</v>
      </c>
      <c r="W84" s="3" t="b">
        <v>1</v>
      </c>
      <c r="X84" s="3"/>
      <c r="Y84" s="3"/>
      <c r="Z84" s="3"/>
      <c r="AA84" s="3" t="str">
        <f t="shared" si="8"/>
        <v>Zement</v>
      </c>
      <c r="AB84" s="9">
        <f t="shared" si="9"/>
        <v>4548.5439999999999</v>
      </c>
      <c r="AC84" s="9">
        <f t="shared" si="10"/>
        <v>4321.1167999999998</v>
      </c>
      <c r="AD84" s="9">
        <f t="shared" si="11"/>
        <v>4093.6895999999997</v>
      </c>
      <c r="AE84" s="3" t="s">
        <v>148</v>
      </c>
      <c r="AF84" s="374" t="b">
        <v>1</v>
      </c>
      <c r="AG84" s="374"/>
      <c r="AH84" s="3"/>
      <c r="AI84" s="3"/>
      <c r="AJ84" s="31" t="s">
        <v>30</v>
      </c>
      <c r="AK84" s="51">
        <f t="shared" ref="AK84:AM89" si="14">AK45</f>
        <v>2760</v>
      </c>
      <c r="AL84" s="51">
        <f t="shared" si="14"/>
        <v>2760</v>
      </c>
      <c r="AM84" s="51">
        <f t="shared" si="14"/>
        <v>2760</v>
      </c>
      <c r="AN84" s="3"/>
      <c r="AO84" s="3"/>
      <c r="AQ84" s="3"/>
    </row>
    <row r="85" spans="4:43" ht="15.75" hidden="1" outlineLevel="1" x14ac:dyDescent="0.3">
      <c r="P85" s="3"/>
      <c r="Q85" s="3"/>
      <c r="R85" s="3" t="str">
        <f t="shared" si="6"/>
        <v/>
      </c>
      <c r="S85" s="10" t="e">
        <f t="shared" si="7"/>
        <v>#N/A</v>
      </c>
      <c r="T85" s="10" t="e">
        <f t="shared" si="7"/>
        <v>#N/A</v>
      </c>
      <c r="U85" s="10" t="e">
        <f t="shared" si="7"/>
        <v>#N/A</v>
      </c>
      <c r="V85" s="3" t="s">
        <v>148</v>
      </c>
      <c r="W85" s="3" t="b">
        <v>0</v>
      </c>
      <c r="X85" s="3"/>
      <c r="Y85" s="3"/>
      <c r="Z85" s="3"/>
      <c r="AA85" s="3" t="str">
        <f t="shared" si="8"/>
        <v>Gesteinskörnungen (Zuschlagsstoffe)</v>
      </c>
      <c r="AB85" s="9">
        <f t="shared" si="9"/>
        <v>129.59200000000001</v>
      </c>
      <c r="AC85" s="9">
        <f t="shared" si="10"/>
        <v>129.59200000000001</v>
      </c>
      <c r="AD85" s="9">
        <f t="shared" si="11"/>
        <v>129.59200000000001</v>
      </c>
      <c r="AE85" s="3" t="s">
        <v>148</v>
      </c>
      <c r="AF85" s="374" t="b">
        <v>1</v>
      </c>
      <c r="AG85" s="374"/>
      <c r="AH85" s="3"/>
      <c r="AI85" s="3"/>
      <c r="AJ85" s="31" t="s">
        <v>31</v>
      </c>
      <c r="AK85" s="51">
        <f t="shared" si="14"/>
        <v>77400</v>
      </c>
      <c r="AL85" s="51">
        <f t="shared" si="14"/>
        <v>77400</v>
      </c>
      <c r="AM85" s="51">
        <f t="shared" si="14"/>
        <v>77400</v>
      </c>
      <c r="AN85" s="3"/>
      <c r="AO85" s="3"/>
      <c r="AQ85" s="62"/>
    </row>
    <row r="86" spans="4:43" ht="15.75" hidden="1" outlineLevel="1" x14ac:dyDescent="0.3">
      <c r="P86" s="3"/>
      <c r="Q86" s="3"/>
      <c r="R86" s="3" t="str">
        <f t="shared" si="6"/>
        <v/>
      </c>
      <c r="S86" s="10" t="e">
        <f t="shared" si="7"/>
        <v>#N/A</v>
      </c>
      <c r="T86" s="10" t="e">
        <f t="shared" si="7"/>
        <v>#N/A</v>
      </c>
      <c r="U86" s="10" t="e">
        <f t="shared" si="7"/>
        <v>#N/A</v>
      </c>
      <c r="V86" s="3" t="s">
        <v>148</v>
      </c>
      <c r="W86" s="3" t="b">
        <v>0</v>
      </c>
      <c r="X86" s="3"/>
      <c r="Y86" s="3"/>
      <c r="Z86" s="3"/>
      <c r="AA86" s="3" t="str">
        <f t="shared" si="8"/>
        <v>Farben</v>
      </c>
      <c r="AB86" s="9">
        <f t="shared" si="9"/>
        <v>208</v>
      </c>
      <c r="AC86" s="9">
        <f t="shared" si="10"/>
        <v>208</v>
      </c>
      <c r="AD86" s="9">
        <f t="shared" si="11"/>
        <v>208</v>
      </c>
      <c r="AE86" s="3" t="s">
        <v>148</v>
      </c>
      <c r="AF86" s="374" t="b">
        <v>1</v>
      </c>
      <c r="AG86" s="374"/>
      <c r="AH86" s="3"/>
      <c r="AI86" s="3"/>
      <c r="AJ86" s="31" t="s">
        <v>111</v>
      </c>
      <c r="AK86" s="51">
        <f t="shared" si="14"/>
        <v>0</v>
      </c>
      <c r="AL86" s="51">
        <f t="shared" si="14"/>
        <v>0</v>
      </c>
      <c r="AM86" s="51">
        <f t="shared" si="14"/>
        <v>0</v>
      </c>
      <c r="AN86" s="3"/>
      <c r="AO86" s="3"/>
      <c r="AQ86" s="62"/>
    </row>
    <row r="87" spans="4:43" ht="15.75" hidden="1" outlineLevel="1" x14ac:dyDescent="0.3">
      <c r="P87" s="3"/>
      <c r="Q87" s="3"/>
      <c r="R87" s="3" t="str">
        <f t="shared" si="6"/>
        <v/>
      </c>
      <c r="S87" s="10" t="e">
        <f t="shared" si="7"/>
        <v>#N/A</v>
      </c>
      <c r="T87" s="10" t="e">
        <f t="shared" si="7"/>
        <v>#N/A</v>
      </c>
      <c r="U87" s="10" t="e">
        <f t="shared" si="7"/>
        <v>#N/A</v>
      </c>
      <c r="V87" s="3" t="s">
        <v>148</v>
      </c>
      <c r="W87" s="3" t="b">
        <v>0</v>
      </c>
      <c r="X87" s="3"/>
      <c r="Y87" s="3"/>
      <c r="Z87" s="3"/>
      <c r="AA87" s="3" t="str">
        <f t="shared" si="8"/>
        <v>Zusatzstoffe (Füllstoffe)</v>
      </c>
      <c r="AB87" s="9">
        <f t="shared" si="9"/>
        <v>81.003999999999991</v>
      </c>
      <c r="AC87" s="9">
        <f t="shared" si="10"/>
        <v>81.003999999999991</v>
      </c>
      <c r="AD87" s="9">
        <f t="shared" si="11"/>
        <v>81.003999999999991</v>
      </c>
      <c r="AE87" s="3" t="s">
        <v>148</v>
      </c>
      <c r="AF87" s="374" t="b">
        <v>1</v>
      </c>
      <c r="AG87" s="374"/>
      <c r="AH87" s="3"/>
      <c r="AI87" s="3"/>
      <c r="AJ87" s="31" t="s">
        <v>112</v>
      </c>
      <c r="AK87" s="51">
        <f t="shared" si="14"/>
        <v>0</v>
      </c>
      <c r="AL87" s="51">
        <f t="shared" si="14"/>
        <v>0</v>
      </c>
      <c r="AM87" s="51">
        <f t="shared" si="14"/>
        <v>0</v>
      </c>
      <c r="AN87" s="3"/>
      <c r="AO87" s="3"/>
      <c r="AQ87" s="62"/>
    </row>
    <row r="88" spans="4:43" ht="15.75" hidden="1" outlineLevel="1" x14ac:dyDescent="0.3">
      <c r="P88" s="3"/>
      <c r="Q88" s="3"/>
      <c r="R88" s="3" t="str">
        <f t="shared" si="6"/>
        <v>Diesel</v>
      </c>
      <c r="S88" s="10">
        <f t="shared" si="7"/>
        <v>35.884155059999998</v>
      </c>
      <c r="T88" s="10">
        <f t="shared" si="7"/>
        <v>35.884155059999998</v>
      </c>
      <c r="U88" s="10">
        <f t="shared" si="7"/>
        <v>35.884155059999998</v>
      </c>
      <c r="V88" s="3" t="s">
        <v>148</v>
      </c>
      <c r="W88" s="3" t="b">
        <v>1</v>
      </c>
      <c r="X88" s="3"/>
      <c r="Y88" s="3"/>
      <c r="Z88" s="3"/>
      <c r="AA88" s="3" t="str">
        <f t="shared" si="8"/>
        <v>Zusatzmittel</v>
      </c>
      <c r="AB88" s="9">
        <f t="shared" si="9"/>
        <v>148.44746134951595</v>
      </c>
      <c r="AC88" s="9">
        <f t="shared" si="10"/>
        <v>148.44746134951595</v>
      </c>
      <c r="AD88" s="9">
        <f t="shared" si="11"/>
        <v>148.44746134951595</v>
      </c>
      <c r="AE88" s="3" t="s">
        <v>148</v>
      </c>
      <c r="AF88" s="374" t="b">
        <v>1</v>
      </c>
      <c r="AG88" s="374"/>
      <c r="AH88" s="3"/>
      <c r="AI88" s="3"/>
      <c r="AJ88" s="31" t="s">
        <v>113</v>
      </c>
      <c r="AK88" s="51">
        <f t="shared" si="14"/>
        <v>0</v>
      </c>
      <c r="AL88" s="51">
        <f t="shared" si="14"/>
        <v>0</v>
      </c>
      <c r="AM88" s="51">
        <f t="shared" si="14"/>
        <v>0</v>
      </c>
      <c r="AN88" s="3"/>
      <c r="AO88" s="3"/>
      <c r="AQ88" s="62"/>
    </row>
    <row r="89" spans="4:43" ht="16.5" hidden="1" outlineLevel="1" thickBot="1" x14ac:dyDescent="0.35">
      <c r="D89" s="6" t="str">
        <f>IF($I$70&gt;0,"Bitte im Reiter 'Eingabe EF' einen Emissionsfaktor für Oberflächenbearbeitungsarten für aktuelles Bilanzjahr, Bilanzjahr +5 Jahre und Bilanzjahr + 10 Jahre eintragen!","")</f>
        <v/>
      </c>
      <c r="P89" s="3"/>
      <c r="Q89" s="3"/>
      <c r="R89" s="27" t="s">
        <v>67</v>
      </c>
      <c r="S89" s="33">
        <f>SUMIF($W$82:$W$88,TRUE,S82:S88)</f>
        <v>266.83235506</v>
      </c>
      <c r="T89" s="33">
        <f>SUMIF($W$82:$W$88,TRUE,T82:T88)</f>
        <v>219.82480214871339</v>
      </c>
      <c r="U89" s="33">
        <f>SUMIF($W$82:$W$88,TRUE,U82:U88)</f>
        <v>156.48490990611054</v>
      </c>
      <c r="V89" s="27" t="s">
        <v>149</v>
      </c>
      <c r="W89" s="3"/>
      <c r="X89" s="3"/>
      <c r="Y89" s="3"/>
      <c r="Z89" s="3"/>
      <c r="AA89" s="3" t="str">
        <f t="shared" si="8"/>
        <v>Zusätzliche Ersatzstoffe</v>
      </c>
      <c r="AB89" s="9">
        <f t="shared" si="9"/>
        <v>0</v>
      </c>
      <c r="AC89" s="9">
        <f t="shared" si="10"/>
        <v>0</v>
      </c>
      <c r="AD89" s="9">
        <f t="shared" si="11"/>
        <v>0</v>
      </c>
      <c r="AE89" s="3" t="s">
        <v>148</v>
      </c>
      <c r="AF89" s="374" t="b">
        <v>1</v>
      </c>
      <c r="AG89" s="374"/>
      <c r="AH89" s="3"/>
      <c r="AI89" s="3"/>
      <c r="AJ89" s="50" t="s">
        <v>32</v>
      </c>
      <c r="AK89" s="52">
        <f t="shared" si="14"/>
        <v>15174.000000000002</v>
      </c>
      <c r="AL89" s="53">
        <f t="shared" si="14"/>
        <v>15174.000000000002</v>
      </c>
      <c r="AM89" s="53">
        <f t="shared" si="14"/>
        <v>15174.000000000002</v>
      </c>
      <c r="AN89" s="3"/>
      <c r="AO89" s="3"/>
      <c r="AQ89" s="62"/>
    </row>
    <row r="90" spans="4:43" ht="16.5" hidden="1" outlineLevel="1" thickTop="1" x14ac:dyDescent="0.3">
      <c r="D90" s="6" t="str">
        <f>IF((OR($I$57&gt;0,K57&gt;0)),"Bitte im Reiter 'Eingabe EF' einen Emissionsfaktor für die Hydrophobierer für aktuelles Bilanzjahr, Bilanzjahr +5 Jahre und Bilanzjahr + 10 Jahre eintragen!","")</f>
        <v/>
      </c>
      <c r="P90" s="3"/>
      <c r="Q90" s="3"/>
      <c r="R90" s="3"/>
      <c r="S90" s="3"/>
      <c r="T90" s="3"/>
      <c r="U90" s="3"/>
      <c r="V90" s="3"/>
      <c r="W90" s="3"/>
      <c r="X90" s="3"/>
      <c r="Y90" s="3"/>
      <c r="Z90" s="3"/>
      <c r="AA90" s="3" t="str">
        <f t="shared" si="8"/>
        <v>Wasser &amp; Abwasser</v>
      </c>
      <c r="AB90" s="9">
        <f t="shared" si="9"/>
        <v>0.54400000000000004</v>
      </c>
      <c r="AC90" s="9">
        <f t="shared" si="10"/>
        <v>0.54400000000000004</v>
      </c>
      <c r="AD90" s="9">
        <f t="shared" si="11"/>
        <v>0.54400000000000004</v>
      </c>
      <c r="AE90" s="3" t="s">
        <v>148</v>
      </c>
      <c r="AF90" s="374" t="b">
        <v>1</v>
      </c>
      <c r="AG90" s="374"/>
      <c r="AH90" s="3"/>
      <c r="AI90" s="3"/>
      <c r="AJ90" s="8" t="str">
        <f>IF(AN90,"CAPEX","")</f>
        <v>CAPEX</v>
      </c>
      <c r="AK90" s="54">
        <f>IF($AN90,AK51,NA())</f>
        <v>0</v>
      </c>
      <c r="AL90" s="54">
        <f t="shared" ref="AL90:AM92" si="15">IF($AN90,AL51,NA())</f>
        <v>0</v>
      </c>
      <c r="AM90" s="54">
        <f t="shared" si="15"/>
        <v>0</v>
      </c>
      <c r="AN90" s="374" t="b">
        <v>1</v>
      </c>
      <c r="AO90" s="3"/>
      <c r="AQ90" s="62"/>
    </row>
    <row r="91" spans="4:43" ht="15.75" hidden="1" outlineLevel="1" x14ac:dyDescent="0.3">
      <c r="P91" s="3"/>
      <c r="Q91" s="3"/>
      <c r="R91" s="3"/>
      <c r="S91" s="3"/>
      <c r="T91" s="3"/>
      <c r="U91" s="3"/>
      <c r="V91" s="3"/>
      <c r="W91" s="3"/>
      <c r="X91" s="3"/>
      <c r="Y91" s="3"/>
      <c r="Z91" s="3"/>
      <c r="AA91" s="3" t="str">
        <f t="shared" si="8"/>
        <v>Oberflächenschutzsysteme</v>
      </c>
      <c r="AB91" s="9">
        <f t="shared" si="9"/>
        <v>80.47999999999999</v>
      </c>
      <c r="AC91" s="9">
        <f t="shared" si="10"/>
        <v>0.16095999999999999</v>
      </c>
      <c r="AD91" s="9">
        <f t="shared" si="11"/>
        <v>0.16095999999999999</v>
      </c>
      <c r="AE91" s="3" t="s">
        <v>148</v>
      </c>
      <c r="AF91" s="374" t="b">
        <v>1</v>
      </c>
      <c r="AG91" s="374"/>
      <c r="AH91" s="3"/>
      <c r="AI91" s="3"/>
      <c r="AJ91" s="8" t="str">
        <f>IF(AN91,"Zusätzliche jährliche Kosten","")</f>
        <v>Zusätzliche jährliche Kosten</v>
      </c>
      <c r="AK91" s="54">
        <f>IF($AN91,AK52,NA())</f>
        <v>0</v>
      </c>
      <c r="AL91" s="54">
        <f t="shared" si="15"/>
        <v>0</v>
      </c>
      <c r="AM91" s="54">
        <f t="shared" si="15"/>
        <v>0</v>
      </c>
      <c r="AN91" s="374" t="b">
        <v>1</v>
      </c>
      <c r="AO91" s="3"/>
      <c r="AQ91" s="62"/>
    </row>
    <row r="92" spans="4:43" ht="15.75" hidden="1" outlineLevel="1" x14ac:dyDescent="0.3">
      <c r="P92" s="3"/>
      <c r="Q92" s="3"/>
      <c r="R92" s="3"/>
      <c r="S92" s="3"/>
      <c r="T92" s="3"/>
      <c r="U92" s="3"/>
      <c r="V92" s="3"/>
      <c r="W92" s="3"/>
      <c r="X92" s="3"/>
      <c r="Y92" s="3"/>
      <c r="Z92" s="3"/>
      <c r="AA92" s="3" t="str">
        <f t="shared" si="8"/>
        <v>Oberflächenbearbeitung (vor/nach Erhärtung)</v>
      </c>
      <c r="AB92" s="9">
        <f t="shared" si="9"/>
        <v>60</v>
      </c>
      <c r="AC92" s="9">
        <f t="shared" si="10"/>
        <v>60</v>
      </c>
      <c r="AD92" s="9">
        <f t="shared" si="11"/>
        <v>60</v>
      </c>
      <c r="AE92" s="3" t="s">
        <v>148</v>
      </c>
      <c r="AF92" s="374" t="b">
        <v>1</v>
      </c>
      <c r="AG92" s="374"/>
      <c r="AH92" s="3"/>
      <c r="AI92" s="3"/>
      <c r="AJ92" s="58" t="str">
        <f>IF(AN92,"Einmalige Kosten","")</f>
        <v>Einmalige Kosten</v>
      </c>
      <c r="AK92" s="54">
        <f>IF($AN92,AK53,NA())</f>
        <v>0</v>
      </c>
      <c r="AL92" s="54">
        <f t="shared" si="15"/>
        <v>0</v>
      </c>
      <c r="AM92" s="54">
        <f t="shared" si="15"/>
        <v>0</v>
      </c>
      <c r="AN92" s="374" t="b">
        <v>1</v>
      </c>
      <c r="AO92" s="3"/>
      <c r="AQ92" s="62"/>
    </row>
    <row r="93" spans="4:43" ht="15.75" hidden="1" outlineLevel="1" x14ac:dyDescent="0.3">
      <c r="P93" s="3"/>
      <c r="Q93" s="3"/>
      <c r="R93" s="3"/>
      <c r="S93" s="3"/>
      <c r="T93" s="3"/>
      <c r="U93" s="3"/>
      <c r="V93" s="3"/>
      <c r="W93" s="3"/>
      <c r="X93" s="3"/>
      <c r="Y93" s="3"/>
      <c r="Z93" s="3"/>
      <c r="AA93" s="3" t="str">
        <f t="shared" si="8"/>
        <v>Verpackungsmaterial</v>
      </c>
      <c r="AB93" s="9">
        <f t="shared" si="9"/>
        <v>64.48</v>
      </c>
      <c r="AC93" s="9">
        <f t="shared" si="10"/>
        <v>64.48</v>
      </c>
      <c r="AD93" s="9">
        <f t="shared" si="11"/>
        <v>64.48</v>
      </c>
      <c r="AE93" s="3" t="s">
        <v>148</v>
      </c>
      <c r="AF93" s="374" t="b">
        <v>1</v>
      </c>
      <c r="AG93" s="374"/>
      <c r="AH93" s="3"/>
      <c r="AI93" s="3"/>
      <c r="AJ93" s="56" t="str">
        <f>IF(AN93,"CO2-Kosten","")</f>
        <v>CO2-Kosten</v>
      </c>
      <c r="AK93" s="57">
        <f>IF($AN$93,SUMIF($AN$94:$AN$96,TRUE,AK94:AK96),NA())</f>
        <v>152459.04944673795</v>
      </c>
      <c r="AL93" s="57">
        <f>IF($AN$93,SUMIF($AN$94:$AN$96,TRUE,AL94:AL96),NA())</f>
        <v>258152.26614161136</v>
      </c>
      <c r="AM93" s="57">
        <f>IF($AN$93,SUMIF($AN$94:$AN$96,TRUE,AM94:AM96),NA())</f>
        <v>434933.16031178052</v>
      </c>
      <c r="AN93" s="374" t="b">
        <v>1</v>
      </c>
      <c r="AO93" s="3"/>
      <c r="AQ93" s="62"/>
    </row>
    <row r="94" spans="4:43" ht="16.5" hidden="1" outlineLevel="1" thickBot="1" x14ac:dyDescent="0.35">
      <c r="P94" s="3"/>
      <c r="Q94" s="3"/>
      <c r="R94" s="3"/>
      <c r="S94" s="3"/>
      <c r="T94" s="3"/>
      <c r="U94" s="3"/>
      <c r="V94" s="3"/>
      <c r="W94" s="3"/>
      <c r="X94" s="3"/>
      <c r="Y94" s="3"/>
      <c r="Z94" s="3"/>
      <c r="AA94" s="27" t="s">
        <v>67</v>
      </c>
      <c r="AB94" s="28">
        <f>SUMIF($AF$82:$AF$93,TRUE,AB82:AB93)</f>
        <v>5831.529622809514</v>
      </c>
      <c r="AC94" s="28">
        <f>SUMIF($AF$82:$AF$93,TRUE,AC82:AC93)</f>
        <v>5516.8922232204259</v>
      </c>
      <c r="AD94" s="28">
        <f>SUMIF($AF$82:$AF$93,TRUE,AD82:AD93)</f>
        <v>5280.1795939911435</v>
      </c>
      <c r="AE94" s="27" t="s">
        <v>149</v>
      </c>
      <c r="AF94" s="3"/>
      <c r="AG94" s="3"/>
      <c r="AH94" s="3"/>
      <c r="AI94" s="3"/>
      <c r="AJ94" s="31" t="s">
        <v>141</v>
      </c>
      <c r="AK94" s="51">
        <f>IF($AN94,AK55,NA())</f>
        <v>2373.3088765000002</v>
      </c>
      <c r="AL94" s="51">
        <f t="shared" ref="AL94:AM94" si="16">IF($AN94,AL55,NA())</f>
        <v>4271.9559777000004</v>
      </c>
      <c r="AM94" s="51">
        <f t="shared" si="16"/>
        <v>7594.5884048000007</v>
      </c>
      <c r="AN94" s="374" t="b">
        <v>1</v>
      </c>
      <c r="AO94" s="3"/>
      <c r="AQ94" s="62"/>
    </row>
    <row r="95" spans="4:43" ht="16.5" hidden="1" outlineLevel="1" thickTop="1" x14ac:dyDescent="0.3">
      <c r="P95" s="3"/>
      <c r="Q95" s="3"/>
      <c r="R95" s="3"/>
      <c r="S95" s="3"/>
      <c r="T95" s="3"/>
      <c r="U95" s="3"/>
      <c r="V95" s="3"/>
      <c r="W95" s="3"/>
      <c r="X95" s="3"/>
      <c r="Y95" s="3"/>
      <c r="Z95" s="3"/>
      <c r="AA95" s="3"/>
      <c r="AB95" s="3"/>
      <c r="AC95" s="3"/>
      <c r="AD95" s="3"/>
      <c r="AE95" s="3"/>
      <c r="AF95" s="3"/>
      <c r="AG95" s="3"/>
      <c r="AH95" s="3"/>
      <c r="AI95" s="3"/>
      <c r="AJ95" s="31" t="s">
        <v>142</v>
      </c>
      <c r="AK95" s="51">
        <f t="shared" ref="AK95:AM96" si="17">IF($AN95,AK56,NA())</f>
        <v>4297.5</v>
      </c>
      <c r="AL95" s="51">
        <f t="shared" si="17"/>
        <v>5620.160118992103</v>
      </c>
      <c r="AM95" s="51">
        <f t="shared" si="17"/>
        <v>4924.2043876888438</v>
      </c>
      <c r="AN95" s="374" t="b">
        <v>1</v>
      </c>
      <c r="AO95" s="3"/>
      <c r="AQ95" s="62"/>
    </row>
    <row r="96" spans="4:43" ht="15.75" hidden="1" outlineLevel="1" x14ac:dyDescent="0.3">
      <c r="P96" s="3"/>
      <c r="Q96" s="3"/>
      <c r="R96" s="3"/>
      <c r="S96" s="3"/>
      <c r="T96" s="3"/>
      <c r="U96" s="3"/>
      <c r="V96" s="3"/>
      <c r="W96" s="3"/>
      <c r="X96" s="3"/>
      <c r="Y96" s="3"/>
      <c r="Z96" s="3"/>
      <c r="AA96" s="3"/>
      <c r="AB96" s="3"/>
      <c r="AC96" s="3"/>
      <c r="AD96" s="3"/>
      <c r="AE96" s="3"/>
      <c r="AF96" s="3"/>
      <c r="AG96" s="3"/>
      <c r="AH96" s="3"/>
      <c r="AI96" s="3"/>
      <c r="AJ96" s="31" t="s">
        <v>143</v>
      </c>
      <c r="AK96" s="51">
        <f t="shared" si="17"/>
        <v>145788.24057023795</v>
      </c>
      <c r="AL96" s="51">
        <f t="shared" si="17"/>
        <v>248260.15004491925</v>
      </c>
      <c r="AM96" s="51">
        <f t="shared" si="17"/>
        <v>422414.3675192917</v>
      </c>
      <c r="AN96" s="374" t="b">
        <v>1</v>
      </c>
      <c r="AO96" s="3"/>
      <c r="AQ96" s="62"/>
    </row>
    <row r="97" spans="2:43" ht="13.5" hidden="1" outlineLevel="1" thickBot="1" x14ac:dyDescent="0.25">
      <c r="P97" s="3"/>
      <c r="Q97" s="3" t="str">
        <f>IF($G$16&gt;0,"Bitte den Handeingabewert 'Umstellung Dieselstapler' für 'Bilanzjahr +10 Jahre' und ggf. 'Bilanzjahr +5 Jahre' auch anpassen. Diese Werte dürfen nicht größer Ihrer Handeingabe 'Anzahl Dieselstapler im Werk' sein. Ansonsten ist die Berechnung fehlerhaft.","")</f>
        <v/>
      </c>
      <c r="R97" s="3"/>
      <c r="S97" s="3"/>
      <c r="T97" s="3"/>
      <c r="U97" s="3"/>
      <c r="V97" s="3"/>
      <c r="W97" s="3"/>
      <c r="X97" s="3"/>
      <c r="Y97" s="3"/>
      <c r="Z97" s="3"/>
      <c r="AA97" s="3"/>
      <c r="AB97" s="3"/>
      <c r="AC97" s="3"/>
      <c r="AD97" s="3"/>
      <c r="AE97" s="3"/>
      <c r="AF97" s="3"/>
      <c r="AG97" s="3"/>
      <c r="AH97" s="3"/>
      <c r="AI97" s="3"/>
      <c r="AJ97" s="27" t="s">
        <v>67</v>
      </c>
      <c r="AK97" s="55">
        <f>IF($AN$93,AK93,0)+IF($AN$92,AK92,0)+IF($AN$91,AK91,0)+IF($AN$90,AK90,0)+AK82</f>
        <v>262128.04944673795</v>
      </c>
      <c r="AL97" s="55">
        <f t="shared" ref="AL97:AM97" si="18">IF($AN$93,AL93,0)+IF($AN$92,AL92,0)+IF($AN$91,AL91,0)+IF($AN$90,AL90,0)+AL82</f>
        <v>367821.26614161138</v>
      </c>
      <c r="AM97" s="55">
        <f t="shared" si="18"/>
        <v>544602.16031178052</v>
      </c>
      <c r="AN97" s="3"/>
      <c r="AO97" s="3"/>
      <c r="AQ97" s="62"/>
    </row>
    <row r="98" spans="2:43" ht="13.5" hidden="1" outlineLevel="1" thickTop="1" x14ac:dyDescent="0.2">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Q98" s="62"/>
    </row>
    <row r="99" spans="2:43" hidden="1" outlineLevel="1" x14ac:dyDescent="0.2">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Q99" s="62"/>
    </row>
    <row r="100" spans="2:43" hidden="1" outlineLevel="1" x14ac:dyDescent="0.2">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Q100" s="62"/>
    </row>
    <row r="101" spans="2:43" hidden="1" outlineLevel="1" x14ac:dyDescent="0.2">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Q101" s="62"/>
    </row>
    <row r="102" spans="2:43" hidden="1" outlineLevel="1" x14ac:dyDescent="0.2">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Q102" s="62"/>
    </row>
    <row r="103" spans="2:43" hidden="1" outlineLevel="1" x14ac:dyDescent="0.2">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Q103" s="62"/>
    </row>
    <row r="104" spans="2:43" hidden="1" outlineLevel="1" x14ac:dyDescent="0.2">
      <c r="P104" s="3"/>
      <c r="Q104" s="3"/>
      <c r="S104" s="3"/>
      <c r="T104" s="3"/>
      <c r="U104" s="3"/>
      <c r="V104" s="3"/>
      <c r="W104" s="3"/>
      <c r="X104" s="3"/>
      <c r="Y104" s="3"/>
      <c r="Z104" s="3"/>
      <c r="AA104" s="3"/>
      <c r="AB104" s="3"/>
      <c r="AC104" s="3"/>
      <c r="AD104" s="3"/>
      <c r="AE104" s="3"/>
      <c r="AF104" s="3"/>
      <c r="AG104" s="3"/>
      <c r="AH104" s="3"/>
      <c r="AI104" s="3"/>
      <c r="AJ104" s="3"/>
      <c r="AK104" s="3"/>
      <c r="AL104" s="3"/>
      <c r="AM104" s="3"/>
      <c r="AN104" s="3"/>
      <c r="AO104" s="3"/>
      <c r="AQ104" s="3"/>
    </row>
    <row r="105" spans="2:43" hidden="1" outlineLevel="1" x14ac:dyDescent="0.2">
      <c r="P105" s="3"/>
      <c r="Q105" s="3"/>
      <c r="S105" s="3"/>
      <c r="T105" s="3"/>
      <c r="U105" s="3"/>
      <c r="V105" s="3"/>
      <c r="W105" s="3"/>
      <c r="X105" s="3"/>
      <c r="Y105" s="3"/>
      <c r="Z105" s="3"/>
      <c r="AA105" s="3"/>
      <c r="AB105" s="3"/>
      <c r="AC105" s="3"/>
      <c r="AD105" s="3"/>
      <c r="AE105" s="3"/>
      <c r="AF105" s="3"/>
      <c r="AG105" s="3"/>
      <c r="AH105" s="3"/>
      <c r="AI105" s="3"/>
      <c r="AJ105" s="3"/>
      <c r="AK105" s="3"/>
      <c r="AL105" s="3"/>
      <c r="AM105" s="3"/>
      <c r="AN105" s="3"/>
      <c r="AO105" s="3"/>
      <c r="AQ105" s="3"/>
    </row>
    <row r="106" spans="2:43" hidden="1" outlineLevel="1" x14ac:dyDescent="0.2">
      <c r="AQ106" s="3"/>
    </row>
    <row r="107" spans="2:43" hidden="1" outlineLevel="1" x14ac:dyDescent="0.2">
      <c r="B107" s="6" t="str">
        <f>IF(AND($G$16&gt;0,K16&lt;G16),"Bitte den Handeingabewert 'selbsterzeugte Strommenge' für 'Bilanzjahr +10 Jahre' auch anpassen. Dieser muss dem Werte Ihrer Handeingabe 'Bilanzjahr +5 Jahre' entsprechen, sollte nur eine Maßnahme in 'Bilanzjahr +5 Jahre' umgesetzt werden.","")</f>
        <v/>
      </c>
      <c r="AQ107" s="3"/>
    </row>
    <row r="108" spans="2:43" ht="15.75" hidden="1" outlineLevel="1" x14ac:dyDescent="0.25">
      <c r="P108" s="22"/>
      <c r="Q108" s="22" t="s">
        <v>103</v>
      </c>
      <c r="R108" s="17"/>
      <c r="S108" s="17"/>
      <c r="T108" s="17"/>
      <c r="U108" s="17"/>
      <c r="V108" s="17"/>
      <c r="W108" s="17"/>
      <c r="X108" s="17"/>
      <c r="Y108" s="17"/>
      <c r="Z108" s="17"/>
      <c r="AA108" s="17"/>
      <c r="AB108" s="6">
        <f>P108</f>
        <v>0</v>
      </c>
      <c r="AC108" s="22" t="s">
        <v>106</v>
      </c>
      <c r="AD108" s="17"/>
      <c r="AE108" s="17"/>
      <c r="AF108" s="17"/>
      <c r="AG108" s="17"/>
      <c r="AH108" s="17"/>
      <c r="AI108" s="17"/>
      <c r="AJ108" s="17"/>
      <c r="AQ108" s="3"/>
    </row>
    <row r="109" spans="2:43" ht="15" hidden="1" outlineLevel="1" x14ac:dyDescent="0.25">
      <c r="P109" s="64"/>
      <c r="Q109" s="64">
        <f>D13</f>
        <v>5</v>
      </c>
      <c r="R109" s="17" t="s">
        <v>240</v>
      </c>
      <c r="S109" s="17"/>
      <c r="T109" s="17"/>
      <c r="U109" s="17"/>
      <c r="V109" s="17"/>
      <c r="W109" s="17"/>
      <c r="X109" s="17"/>
      <c r="Y109" s="17"/>
      <c r="Z109" s="17"/>
      <c r="AA109" s="17"/>
      <c r="AB109" s="6" t="s">
        <v>475</v>
      </c>
      <c r="AC109" s="64">
        <f>Q109</f>
        <v>5</v>
      </c>
      <c r="AD109" s="17"/>
      <c r="AE109" s="17"/>
      <c r="AF109" s="17"/>
      <c r="AG109" s="17"/>
      <c r="AH109" s="17"/>
      <c r="AI109" s="17"/>
      <c r="AJ109" s="17"/>
      <c r="AQ109" s="3"/>
    </row>
    <row r="110" spans="2:43" hidden="1" outlineLevel="1" x14ac:dyDescent="0.2">
      <c r="P110" s="274"/>
      <c r="Q110" s="17"/>
      <c r="R110" s="17" t="s">
        <v>235</v>
      </c>
      <c r="S110" s="287">
        <f>(1-(IF(NOT(ISBLANK($F17)),$F17/100,$D17/100)))</f>
        <v>0.95</v>
      </c>
      <c r="T110" s="17"/>
      <c r="U110" s="17"/>
      <c r="V110" s="17"/>
      <c r="W110" s="17"/>
      <c r="X110" s="17"/>
      <c r="Y110" s="17"/>
      <c r="Z110" s="17"/>
      <c r="AA110" s="17"/>
      <c r="AC110" s="21"/>
      <c r="AD110" s="17"/>
      <c r="AE110" s="17"/>
      <c r="AF110" s="17"/>
      <c r="AG110" s="17"/>
      <c r="AH110" s="17"/>
      <c r="AI110" s="17"/>
      <c r="AJ110" s="17"/>
      <c r="AQ110" s="3"/>
    </row>
    <row r="111" spans="2:43" hidden="1" outlineLevel="1" x14ac:dyDescent="0.2">
      <c r="P111" s="274"/>
      <c r="Q111" s="17"/>
      <c r="R111" s="17" t="s">
        <v>236</v>
      </c>
      <c r="S111" s="287">
        <f>(1-(IF(NOT(ISBLANK($F18)),$F18/100,$D18/100)))</f>
        <v>0.95</v>
      </c>
      <c r="T111" s="17"/>
      <c r="U111" s="17"/>
      <c r="V111" s="17"/>
      <c r="W111" s="17"/>
      <c r="X111" s="17"/>
      <c r="Y111" s="17"/>
      <c r="Z111" s="17"/>
      <c r="AA111" s="17"/>
      <c r="AC111" s="21"/>
      <c r="AD111" s="17"/>
      <c r="AE111" s="17"/>
      <c r="AF111" s="17"/>
      <c r="AG111" s="17"/>
      <c r="AH111" s="17"/>
      <c r="AI111" s="17"/>
      <c r="AJ111" s="17"/>
      <c r="AQ111" s="3"/>
    </row>
    <row r="112" spans="2:43" hidden="1" outlineLevel="1" x14ac:dyDescent="0.2">
      <c r="P112" s="274"/>
      <c r="Q112" s="17"/>
      <c r="R112" s="17" t="s">
        <v>48</v>
      </c>
      <c r="S112" s="287">
        <f>(1-(IF(NOT(ISBLANK($F19)),$F19/100,$D19/100)))</f>
        <v>0.95</v>
      </c>
      <c r="T112" s="17"/>
      <c r="U112" s="17"/>
      <c r="V112" s="17"/>
      <c r="W112" s="17"/>
      <c r="X112" s="17"/>
      <c r="Y112" s="17"/>
      <c r="Z112" s="17"/>
      <c r="AA112" s="17"/>
      <c r="AC112" s="21"/>
      <c r="AD112" s="17"/>
      <c r="AE112" s="17"/>
      <c r="AF112" s="17"/>
      <c r="AG112" s="17"/>
      <c r="AH112" s="17"/>
      <c r="AI112" s="17"/>
      <c r="AJ112" s="17"/>
      <c r="AQ112" s="3"/>
    </row>
    <row r="113" spans="2:43" hidden="1" outlineLevel="1" x14ac:dyDescent="0.2">
      <c r="B113" s="6" t="str">
        <f>IF(AND($G$21&gt;0,K21&lt;G21),"Bitte den Handeingabewert 'Reduktion' für 'Bilanzjahr +10 Jahre' auch anpassen. Dieser muss dem Werte Ihrer Handeingabe 'Bilanzjahr +5 Jahre' entsprechen, sollte nur eine Maßnahme in 'Bilanzjahr +5 Jahre' umgesetzt werden.","")</f>
        <v/>
      </c>
      <c r="P113" s="274"/>
      <c r="Q113" s="17"/>
      <c r="R113" s="17" t="s">
        <v>147</v>
      </c>
      <c r="S113" s="287">
        <f>(1-(IF(NOT(ISBLANK($F20)),$F20/100,$D20/100)))</f>
        <v>0.95</v>
      </c>
      <c r="T113" s="17"/>
      <c r="U113" s="17"/>
      <c r="V113" s="17"/>
      <c r="W113" s="17"/>
      <c r="X113" s="17"/>
      <c r="Y113" s="17"/>
      <c r="Z113" s="17"/>
      <c r="AA113" s="17"/>
      <c r="AC113" s="21"/>
      <c r="AD113" s="17"/>
      <c r="AE113" s="17"/>
      <c r="AF113" s="17"/>
      <c r="AG113" s="17"/>
      <c r="AH113" s="17"/>
      <c r="AI113" s="17"/>
      <c r="AJ113" s="17"/>
      <c r="AQ113" s="3"/>
    </row>
    <row r="114" spans="2:43" hidden="1" outlineLevel="1" x14ac:dyDescent="0.2">
      <c r="P114" s="274"/>
      <c r="Q114" s="17"/>
      <c r="R114" s="17"/>
      <c r="S114" s="17"/>
      <c r="T114" s="17"/>
      <c r="U114" s="17"/>
      <c r="V114" s="17"/>
      <c r="W114" s="17"/>
      <c r="X114" s="17"/>
      <c r="Y114" s="17"/>
      <c r="Z114" s="17"/>
      <c r="AA114" s="17"/>
      <c r="AC114" s="21"/>
      <c r="AD114" s="17"/>
      <c r="AE114" s="17"/>
      <c r="AF114" s="17"/>
      <c r="AG114" s="17"/>
      <c r="AH114" s="17"/>
      <c r="AI114" s="17"/>
      <c r="AJ114" s="17"/>
      <c r="AQ114" s="3"/>
    </row>
    <row r="115" spans="2:43" hidden="1" outlineLevel="1" x14ac:dyDescent="0.2">
      <c r="P115" s="274"/>
      <c r="Q115" s="17"/>
      <c r="R115" s="17"/>
      <c r="S115" s="17"/>
      <c r="T115" s="17"/>
      <c r="U115" s="17"/>
      <c r="V115" s="17"/>
      <c r="W115" s="17"/>
      <c r="X115" s="17"/>
      <c r="Y115" s="17"/>
      <c r="Z115" s="17"/>
      <c r="AA115" s="17"/>
      <c r="AC115" s="21"/>
      <c r="AD115" s="17"/>
      <c r="AE115" s="17"/>
      <c r="AF115" s="17"/>
      <c r="AG115" s="17"/>
      <c r="AH115" s="17"/>
      <c r="AI115" s="17"/>
      <c r="AJ115" s="17"/>
      <c r="AQ115" s="3"/>
    </row>
    <row r="116" spans="2:43" hidden="1" outlineLevel="1" x14ac:dyDescent="0.2">
      <c r="B116" s="6" t="str">
        <f>IF(AND($G$23&gt;0,K23&lt;G23),"Bitte den Handeingabewert 'Umstellung Dieselstapler' für 'Bilanzjahr +10 Jahre' und ggf. 'Bilanzjahr +5 Jahre' auch anpassen. Diese Werte dürfen nicht größer Ihrer Handeingabe 'Anzahl Dieselstapler im Werk' sein. Ansonsten ist die Berechnung fehlerhaft.","")</f>
        <v/>
      </c>
      <c r="P116" s="274"/>
      <c r="Q116" s="17"/>
      <c r="R116" s="17"/>
      <c r="S116" s="17"/>
      <c r="T116" s="17"/>
      <c r="U116" s="17"/>
      <c r="V116" s="17"/>
      <c r="W116" s="17"/>
      <c r="X116" s="17"/>
      <c r="Y116" s="17"/>
      <c r="Z116" s="17"/>
      <c r="AA116" s="17"/>
      <c r="AC116" s="21"/>
      <c r="AD116" s="17"/>
      <c r="AE116" s="17"/>
      <c r="AF116" s="17"/>
      <c r="AG116" s="17"/>
      <c r="AH116" s="17"/>
      <c r="AI116" s="17"/>
      <c r="AJ116" s="17"/>
      <c r="AQ116" s="3"/>
    </row>
    <row r="117" spans="2:43" hidden="1" outlineLevel="1" x14ac:dyDescent="0.2">
      <c r="P117" s="17"/>
      <c r="Q117" s="17"/>
      <c r="R117" s="17"/>
      <c r="S117" s="17"/>
      <c r="T117" s="20"/>
      <c r="U117" s="20"/>
      <c r="V117" s="20"/>
      <c r="W117" s="17"/>
      <c r="X117" s="17"/>
      <c r="Y117" s="17"/>
      <c r="Z117" s="17"/>
      <c r="AA117" s="17"/>
      <c r="AC117" s="17"/>
      <c r="AD117" s="17"/>
      <c r="AE117" s="17"/>
      <c r="AF117" s="17"/>
      <c r="AG117" s="17"/>
      <c r="AH117" s="17"/>
      <c r="AI117" s="17"/>
      <c r="AJ117" s="17"/>
      <c r="AQ117" s="3"/>
    </row>
    <row r="118" spans="2:43" hidden="1" outlineLevel="1" x14ac:dyDescent="0.2">
      <c r="P118" s="17"/>
      <c r="Q118" s="17"/>
      <c r="R118" s="17"/>
      <c r="S118" s="17"/>
      <c r="T118" s="20"/>
      <c r="U118" s="20"/>
      <c r="V118" s="20"/>
      <c r="W118" s="17"/>
      <c r="X118" s="17"/>
      <c r="Y118" s="17"/>
      <c r="Z118" s="17"/>
      <c r="AA118" s="17"/>
      <c r="AC118" s="17"/>
      <c r="AD118" s="17"/>
      <c r="AE118" s="17"/>
      <c r="AF118" s="17"/>
      <c r="AG118" s="17"/>
      <c r="AH118" s="17"/>
      <c r="AI118" s="17"/>
      <c r="AJ118" s="17"/>
      <c r="AQ118" s="3"/>
    </row>
    <row r="119" spans="2:43" ht="63.75" hidden="1" outlineLevel="1" x14ac:dyDescent="0.2">
      <c r="P119" s="17"/>
      <c r="Q119" s="17"/>
      <c r="R119" s="17"/>
      <c r="S119" s="17"/>
      <c r="T119" s="36" t="s">
        <v>25</v>
      </c>
      <c r="U119" s="36" t="s">
        <v>77</v>
      </c>
      <c r="V119" s="36" t="s">
        <v>27</v>
      </c>
      <c r="W119" s="17"/>
      <c r="X119" s="17"/>
      <c r="Y119" s="39" t="s">
        <v>100</v>
      </c>
      <c r="Z119" s="40" t="s">
        <v>37</v>
      </c>
      <c r="AA119" s="17"/>
      <c r="AC119" s="17"/>
      <c r="AD119" s="17"/>
      <c r="AE119" s="17"/>
      <c r="AF119" s="18"/>
      <c r="AG119" s="18"/>
      <c r="AH119" s="18"/>
      <c r="AI119" s="18"/>
      <c r="AJ119" s="18"/>
      <c r="AQ119" s="3"/>
    </row>
    <row r="120" spans="2:43" ht="14.25" hidden="1" outlineLevel="1" x14ac:dyDescent="0.25">
      <c r="B120" s="102" t="str">
        <f>IF(OR((AND(F17&gt;0,F17&gt;J17)),(AND(F18&gt;0,F18&gt;J18)),(AND(F19&gt;0,F19&gt;J19)),(AND(F20&gt;0,F20&gt;J20))),"Hinweis: Bitte den Handeingabewert 'Reduktion' für 'Bilanzjahr +10 Jahre' auch anpassen. Dieser muss dem Werte Ihrer Handeingabe 'Bilanzjahr +5 Jahre' entsprechen, sollte nur eine Maßnahme in 'Bilanzjahr +5 Jahre' umgesetzt werden.","")</f>
        <v/>
      </c>
      <c r="P120" s="76"/>
      <c r="Q120" s="76" t="s">
        <v>176</v>
      </c>
      <c r="R120" s="76"/>
      <c r="S120" s="76"/>
      <c r="T120" s="77">
        <f>SUM(T122:T135)</f>
        <v>94.932355060000006</v>
      </c>
      <c r="U120" s="77">
        <f t="shared" ref="U120:V120" si="19">SUM(U122:U135)</f>
        <v>124.8924470887134</v>
      </c>
      <c r="V120" s="77">
        <f t="shared" si="19"/>
        <v>34.39057387091087</v>
      </c>
      <c r="W120" s="76"/>
      <c r="X120" s="76"/>
      <c r="Y120" s="77">
        <f>T120+U120</f>
        <v>219.82480214871339</v>
      </c>
      <c r="Z120" s="77">
        <f>SUM(T120:V120)</f>
        <v>254.21537601962427</v>
      </c>
      <c r="AA120" s="76" t="s">
        <v>183</v>
      </c>
      <c r="AC120" s="17"/>
      <c r="AD120" s="17"/>
      <c r="AE120" s="17"/>
      <c r="AF120" s="18"/>
      <c r="AG120" s="18"/>
      <c r="AH120" s="18"/>
      <c r="AI120" s="18"/>
      <c r="AJ120" s="18"/>
    </row>
    <row r="121" spans="2:43" hidden="1" outlineLevel="1" x14ac:dyDescent="0.2">
      <c r="B121" s="102" t="str">
        <f>IF(OR(F23&gt;0,F24&gt;0,J23&gt;0,J24&gt;0),"Hinweis: Bitte den Handeingabewert 'Emissionsfaktor' für Ersatzstoff 1 und / oder Ersatzstoff 2 eintragen.","")</f>
        <v/>
      </c>
      <c r="P121" s="17"/>
      <c r="Q121" s="17" t="s">
        <v>132</v>
      </c>
      <c r="R121" s="17"/>
      <c r="S121" s="17"/>
      <c r="T121" s="17"/>
      <c r="U121" s="17"/>
      <c r="V121" s="17"/>
      <c r="W121" s="17"/>
      <c r="X121" s="17"/>
      <c r="Y121" s="17"/>
      <c r="Z121" s="17"/>
      <c r="AA121" s="17"/>
      <c r="AC121" s="17" t="s">
        <v>132</v>
      </c>
      <c r="AD121" s="17"/>
      <c r="AE121" s="17"/>
      <c r="AF121" s="18"/>
      <c r="AG121" s="18"/>
      <c r="AH121" s="18"/>
      <c r="AI121" s="18"/>
      <c r="AJ121" s="18"/>
    </row>
    <row r="122" spans="2:43" ht="15.75" hidden="1" outlineLevel="1" x14ac:dyDescent="0.3">
      <c r="P122" s="274"/>
      <c r="Q122" s="17"/>
      <c r="R122" s="17" t="s">
        <v>114</v>
      </c>
      <c r="S122" s="17"/>
      <c r="T122" s="37">
        <f>IF(NOT(ISBLANK('Referenz Plattenfertiger'!$I16)),'Referenz Plattenfertiger'!$I16,'Referenz Plattenfertiger'!$F16)*IF(NOT(ISBLANK('Eingabe EF'!$AA9)),'Eingabe EF'!$AA9,'Eingabe EF'!$Y9)</f>
        <v>34.434080000000002</v>
      </c>
      <c r="U122" s="37">
        <f>IF(NOT(ISBLANK('Referenz Plattenfertiger'!$I16)),'Referenz Plattenfertiger'!$I16,'Referenz Plattenfertiger'!$F16)*IF(NOT(ISBLANK('Eingabe EF'!$AE9)),'Eingabe EF'!$AE9,'Eingabe EF'!$AC9)</f>
        <v>0</v>
      </c>
      <c r="V122" s="37">
        <f>IF(NOT(ISBLANK('Referenz Plattenfertiger'!$I16)),'Referenz Plattenfertiger'!$I16,'Referenz Plattenfertiger'!$F16)*IF(NOT(ISBLANK('Eingabe EF'!$AI9)),'Eingabe EF'!$AI9,'Eingabe EF'!$AG9)</f>
        <v>5.8938000000000006</v>
      </c>
      <c r="W122" s="17"/>
      <c r="X122" s="17"/>
      <c r="Y122" s="37">
        <f>T122+U122</f>
        <v>34.434080000000002</v>
      </c>
      <c r="Z122" s="37">
        <f>SUM(T122:V122)</f>
        <v>40.32788</v>
      </c>
      <c r="AA122" s="17" t="s">
        <v>184</v>
      </c>
      <c r="AC122" s="274"/>
      <c r="AD122" s="17" t="s">
        <v>114</v>
      </c>
      <c r="AE122" s="17"/>
      <c r="AF122" s="19"/>
      <c r="AG122" s="19"/>
      <c r="AH122" s="20"/>
      <c r="AI122" s="41">
        <f>IF(NOT(ISBLANK('Referenz Plattenfertiger'!$I16)),'Referenz Plattenfertiger'!$I16,'Referenz Plattenfertiger'!$F16)/1000*IF(NOT(ISBLANK('Eingabe Preise'!$K10)),'Eingabe Preise'!$K10,'Eingabe Preise'!$I10)</f>
        <v>11468</v>
      </c>
      <c r="AJ122" s="20" t="s">
        <v>96</v>
      </c>
    </row>
    <row r="123" spans="2:43" ht="15.75" hidden="1" outlineLevel="1" x14ac:dyDescent="0.3">
      <c r="P123" s="274"/>
      <c r="Q123" s="17"/>
      <c r="R123" s="17" t="s">
        <v>151</v>
      </c>
      <c r="S123" s="17"/>
      <c r="T123" s="37">
        <f>IF(NOT(ISBLANK('Referenz Plattenfertiger'!$I17)),'Referenz Plattenfertiger'!$I17,'Referenz Plattenfertiger'!$F17)*IF(NOT(ISBLANK('Eingabe EF'!$AA10)),'Eingabe EF'!$AA10,'Eingabe EF'!$Y10)</f>
        <v>6.4022399999999999</v>
      </c>
      <c r="U123" s="37">
        <f>IF(NOT(ISBLANK('Referenz Plattenfertiger'!$I17)),'Referenz Plattenfertiger'!$I17,'Referenz Plattenfertiger'!$F17)*IF(NOT(ISBLANK('Eingabe EF'!$AE10)),'Eingabe EF'!$AE10,'Eingabe EF'!$AC10)</f>
        <v>0</v>
      </c>
      <c r="V123" s="37">
        <f>IF(NOT(ISBLANK('Referenz Plattenfertiger'!$I17)),'Referenz Plattenfertiger'!$I17,'Referenz Plattenfertiger'!$F17)*IF(NOT(ISBLANK('Eingabe EF'!$AI10)),'Eingabe EF'!$AI10,'Eingabe EF'!$AG10)</f>
        <v>0.949824</v>
      </c>
      <c r="W123" s="17"/>
      <c r="X123" s="17"/>
      <c r="Y123" s="37">
        <f>T123+U123</f>
        <v>6.4022399999999999</v>
      </c>
      <c r="Z123" s="37">
        <f>SUM(T123:V123)</f>
        <v>7.3520640000000004</v>
      </c>
      <c r="AA123" s="17" t="s">
        <v>184</v>
      </c>
      <c r="AC123" s="274"/>
      <c r="AD123" s="17" t="s">
        <v>151</v>
      </c>
      <c r="AE123" s="17"/>
      <c r="AF123" s="20"/>
      <c r="AG123" s="20"/>
      <c r="AH123" s="20"/>
      <c r="AI123" s="41">
        <f>IF(NOT(ISBLANK('Referenz Plattenfertiger'!$I17)),'Referenz Plattenfertiger'!$I17,'Referenz Plattenfertiger'!$F17)/1000*IF(NOT(ISBLANK('Eingabe Preise'!$K11)),'Eingabe Preise'!$K11,'Eingabe Preise'!$I11)</f>
        <v>1104</v>
      </c>
      <c r="AJ123" s="20" t="s">
        <v>96</v>
      </c>
    </row>
    <row r="124" spans="2:43" ht="15.75" hidden="1" outlineLevel="1" x14ac:dyDescent="0.3">
      <c r="B124" s="6"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P124" s="274"/>
      <c r="Q124" s="17"/>
      <c r="R124" s="17" t="s">
        <v>152</v>
      </c>
      <c r="S124" s="17"/>
      <c r="T124" s="37">
        <f>IF(NOT(ISBLANK('Referenz Plattenfertiger'!$I18)),'Referenz Plattenfertiger'!$I18,'Referenz Plattenfertiger'!$F18)*IF(NOT(ISBLANK('Eingabe EF'!$AA11)),'Eingabe EF'!$AA11,'Eingabe EF'!$Y11)</f>
        <v>0</v>
      </c>
      <c r="U124" s="37">
        <f>IF(NOT(ISBLANK('Referenz Plattenfertiger'!$I18)),'Referenz Plattenfertiger'!$I18,'Referenz Plattenfertiger'!$F18)*IF(NOT(ISBLANK('Eingabe EF'!$AE11)),'Eingabe EF'!$AE11,'Eingabe EF'!$AC11)</f>
        <v>12.48924470887134</v>
      </c>
      <c r="V124" s="37">
        <f>IF(NOT(ISBLANK('Referenz Plattenfertiger'!$I18)),'Referenz Plattenfertiger'!$I18,'Referenz Plattenfertiger'!$F18)*IF(NOT(ISBLANK('Eingabe EF'!$AI11)),'Eingabe EF'!$AI11,'Eingabe EF'!$AG11)</f>
        <v>1.8308840410910865</v>
      </c>
      <c r="W124" s="17"/>
      <c r="X124" s="17"/>
      <c r="Y124" s="37">
        <f>T124+U124</f>
        <v>12.48924470887134</v>
      </c>
      <c r="Z124" s="37">
        <f>SUM(T124:V124)</f>
        <v>14.320128749962427</v>
      </c>
      <c r="AA124" s="17" t="s">
        <v>184</v>
      </c>
      <c r="AC124" s="274"/>
      <c r="AD124" s="17" t="s">
        <v>152</v>
      </c>
      <c r="AE124" s="17"/>
      <c r="AF124" s="20"/>
      <c r="AG124" s="20"/>
      <c r="AH124" s="20"/>
      <c r="AI124" s="41">
        <f>IF(NOT(ISBLANK('Referenz Plattenfertiger'!$I18)),'Referenz Plattenfertiger'!$I18,'Referenz Plattenfertiger'!$F18)/1000*IF(NOT(ISBLANK('Eingabe Preise'!$K12)),'Eingabe Preise'!$K12,'Eingabe Preise'!$I12)</f>
        <v>7740</v>
      </c>
      <c r="AJ124" s="20" t="s">
        <v>96</v>
      </c>
    </row>
    <row r="125" spans="2:43" ht="15.75" hidden="1" outlineLevel="1" x14ac:dyDescent="0.3">
      <c r="P125" s="274"/>
      <c r="Q125" s="17"/>
      <c r="R125" s="17" t="s">
        <v>115</v>
      </c>
      <c r="S125" s="17"/>
      <c r="T125" s="43">
        <f>IF(NOT(ISBLANK('Referenz Plattenfertiger'!$I19)),'Referenz Plattenfertiger'!$I19,'Referenz Plattenfertiger'!$F19)*IF(NOT(ISBLANK('Eingabe EF'!$AA12)),'Eingabe EF'!$AA12,0)</f>
        <v>0</v>
      </c>
      <c r="U125" s="43">
        <f>IF(NOT(ISBLANK('Referenz Plattenfertiger'!$I19)),'Referenz Plattenfertiger'!$I19,'Referenz Plattenfertiger'!$F19)*IF(NOT(ISBLANK('Eingabe EF'!$AE12)),'Eingabe EF'!$AE12,0)</f>
        <v>0</v>
      </c>
      <c r="V125" s="43">
        <f>IF(NOT(ISBLANK('Referenz Plattenfertiger'!$I19)),'Referenz Plattenfertiger'!$I19,'Referenz Plattenfertiger'!$F19)*IF(NOT(ISBLANK('Eingabe EF'!$AI12)),'Eingabe EF'!$AI12,0)</f>
        <v>0</v>
      </c>
      <c r="W125" s="17"/>
      <c r="X125" s="17"/>
      <c r="Y125" s="37">
        <f>T125+U125</f>
        <v>0</v>
      </c>
      <c r="Z125" s="37">
        <f>SUM(T125:V125)</f>
        <v>0</v>
      </c>
      <c r="AA125" s="17" t="s">
        <v>184</v>
      </c>
      <c r="AC125" s="274"/>
      <c r="AD125" s="17" t="s">
        <v>115</v>
      </c>
      <c r="AE125" s="17"/>
      <c r="AF125" s="20"/>
      <c r="AG125" s="20"/>
      <c r="AH125" s="20"/>
      <c r="AI125" s="41">
        <f>IF(NOT(ISBLANK('Referenz Plattenfertiger'!$I19)),'Referenz Plattenfertiger'!$I19,'Referenz Plattenfertiger'!$F19)/1000*IF(NOT(ISBLANK('Eingabe Preise'!$K16)),'Eingabe Preise'!$K16,0)</f>
        <v>0</v>
      </c>
      <c r="AJ125" s="20" t="s">
        <v>96</v>
      </c>
    </row>
    <row r="126" spans="2:43" hidden="1" outlineLevel="1" x14ac:dyDescent="0.2">
      <c r="P126" s="17"/>
      <c r="Q126" s="17" t="s">
        <v>133</v>
      </c>
      <c r="R126" s="17"/>
      <c r="S126" s="17"/>
      <c r="T126" s="20"/>
      <c r="U126" s="20"/>
      <c r="V126" s="20"/>
      <c r="W126" s="17"/>
      <c r="X126" s="17"/>
      <c r="Y126" s="17"/>
      <c r="Z126" s="17"/>
      <c r="AA126" s="17"/>
      <c r="AC126" s="17" t="s">
        <v>133</v>
      </c>
      <c r="AD126" s="17"/>
      <c r="AE126" s="17"/>
      <c r="AF126" s="20"/>
      <c r="AG126" s="20"/>
      <c r="AH126" s="20"/>
      <c r="AI126" s="20"/>
      <c r="AJ126" s="20"/>
    </row>
    <row r="127" spans="2:43" ht="15.75" hidden="1" outlineLevel="1" x14ac:dyDescent="0.3">
      <c r="P127" s="17"/>
      <c r="Q127" s="17"/>
      <c r="R127" s="17" t="s">
        <v>29</v>
      </c>
      <c r="S127" s="17"/>
      <c r="T127" s="37">
        <f>IF(NOT(ISBLANK('Referenz Plattenfertiger'!$I21)),'Referenz Plattenfertiger'!$I21,'Referenz Plattenfertiger'!$F21)*IF(NOT(ISBLANK('Eingabe EF'!$AA9)),'Eingabe EF'!$AA9,'Eingabe EF'!$Y9)</f>
        <v>8.6085200000000004</v>
      </c>
      <c r="U127" s="37">
        <f>IF(NOT(ISBLANK('Referenz Plattenfertiger'!$I21)),'Referenz Plattenfertiger'!$I21,'Referenz Plattenfertiger'!$F21)*IF(NOT(ISBLANK('Eingabe EF'!$AE9)),'Eingabe EF'!$AE9,'Eingabe EF'!$AC9)</f>
        <v>0</v>
      </c>
      <c r="V127" s="37">
        <f>IF(NOT(ISBLANK('Referenz Plattenfertiger'!$I21)),'Referenz Plattenfertiger'!$I21,'Referenz Plattenfertiger'!$F21)*IF(NOT(ISBLANK('Eingabe EF'!$AG9)),'Eingabe EF'!$AG9,'Eingabe EF'!$AIC9)</f>
        <v>1.4734500000000001</v>
      </c>
      <c r="W127" s="17"/>
      <c r="X127" s="17"/>
      <c r="Y127" s="37">
        <f t="shared" ref="Y127:Y128" si="20">T127+U127</f>
        <v>8.6085200000000004</v>
      </c>
      <c r="Z127" s="37">
        <f t="shared" ref="Z127:Z138" si="21">SUM(T127:V127)</f>
        <v>10.08197</v>
      </c>
      <c r="AA127" s="17" t="s">
        <v>184</v>
      </c>
      <c r="AB127" s="42"/>
      <c r="AC127" s="17"/>
      <c r="AD127" s="17" t="s">
        <v>29</v>
      </c>
      <c r="AE127" s="17"/>
      <c r="AF127" s="20"/>
      <c r="AG127" s="20"/>
      <c r="AH127" s="20"/>
      <c r="AI127" s="41">
        <f>IF(NOT(ISBLANK('Referenz Plattenfertiger'!$I21)),'Referenz Plattenfertiger'!$I21,'Referenz Plattenfertiger'!$F21)/1000*IF(NOT(ISBLANK('Eingabe Preise'!$K10)),'Eingabe Preise'!$K10,'Eingabe Preise'!$I10)</f>
        <v>2867</v>
      </c>
      <c r="AJ127" s="20" t="s">
        <v>96</v>
      </c>
    </row>
    <row r="128" spans="2:43" ht="15.75" hidden="1" outlineLevel="1" x14ac:dyDescent="0.3">
      <c r="P128" s="17"/>
      <c r="Q128" s="17"/>
      <c r="R128" s="17" t="s">
        <v>30</v>
      </c>
      <c r="S128" s="17"/>
      <c r="T128" s="37">
        <f>IF(NOT(ISBLANK('Referenz Plattenfertiger'!$I22)),'Referenz Plattenfertiger'!$I22,'Referenz Plattenfertiger'!$F22)*IF(NOT(ISBLANK('Eingabe EF'!$AA10)),'Eingabe EF'!$AA10,'Eingabe EF'!$Y10)</f>
        <v>9.6033600000000003</v>
      </c>
      <c r="U128" s="37">
        <f>IF(NOT(ISBLANK('Referenz Plattenfertiger'!$I22)),'Referenz Plattenfertiger'!$I22,'Referenz Plattenfertiger'!$F22)*IF(NOT(ISBLANK('Eingabe EF'!$AE10)),'Eingabe EF'!$AE10,'Eingabe EF'!$AC10)</f>
        <v>0</v>
      </c>
      <c r="V128" s="37">
        <f>IF(NOT(ISBLANK('Referenz Plattenfertiger'!$I22)),'Referenz Plattenfertiger'!$I22,'Referenz Plattenfertiger'!$F22)*IF(NOT(ISBLANK('Eingabe EF'!$AG10)),'Eingabe EF'!$AG10,'Eingabe EF'!$AIC10)</f>
        <v>1.424736</v>
      </c>
      <c r="W128" s="17"/>
      <c r="X128" s="17"/>
      <c r="Y128" s="37">
        <f t="shared" si="20"/>
        <v>9.6033600000000003</v>
      </c>
      <c r="Z128" s="37">
        <f t="shared" si="21"/>
        <v>11.028096</v>
      </c>
      <c r="AA128" s="17" t="s">
        <v>184</v>
      </c>
      <c r="AB128" s="42"/>
      <c r="AC128" s="17"/>
      <c r="AD128" s="17" t="s">
        <v>30</v>
      </c>
      <c r="AE128" s="17"/>
      <c r="AF128" s="20"/>
      <c r="AG128" s="20"/>
      <c r="AH128" s="20"/>
      <c r="AI128" s="41">
        <f>IF(NOT(ISBLANK('Referenz Plattenfertiger'!$I22)),'Referenz Plattenfertiger'!$I22,'Referenz Plattenfertiger'!$F22)/1000*IF(NOT(ISBLANK('Eingabe Preise'!$K11)),'Eingabe Preise'!$K11,'Eingabe Preise'!$I11)</f>
        <v>1656</v>
      </c>
      <c r="AJ128" s="20" t="s">
        <v>96</v>
      </c>
    </row>
    <row r="129" spans="16:42" hidden="1" outlineLevel="1" x14ac:dyDescent="0.2">
      <c r="P129" s="17"/>
      <c r="Q129" s="17" t="s">
        <v>134</v>
      </c>
      <c r="R129" s="17"/>
      <c r="S129" s="17"/>
      <c r="T129" s="20"/>
      <c r="U129" s="20"/>
      <c r="V129" s="20"/>
      <c r="W129" s="17"/>
      <c r="X129" s="17"/>
      <c r="Y129" s="17"/>
      <c r="Z129" s="17"/>
      <c r="AA129" s="17"/>
      <c r="AC129" s="17" t="s">
        <v>134</v>
      </c>
      <c r="AD129" s="17"/>
      <c r="AE129" s="17"/>
      <c r="AF129" s="20"/>
      <c r="AG129" s="20"/>
      <c r="AH129" s="20"/>
      <c r="AI129" s="20"/>
      <c r="AJ129" s="20"/>
    </row>
    <row r="130" spans="16:42" ht="15.75" hidden="1" outlineLevel="1" x14ac:dyDescent="0.3">
      <c r="P130" s="17"/>
      <c r="Q130" s="17"/>
      <c r="R130" s="17" t="s">
        <v>136</v>
      </c>
      <c r="S130" s="17"/>
      <c r="T130" s="37">
        <f>IF(NOT(ISBLANK('Referenz Plattenfertiger'!$I24)),'Referenz Plattenfertiger'!$I24,'Referenz Plattenfertiger'!$F24)*IF(NOT(ISBLANK('Eingabe EF'!$AA11)),'Eingabe EF'!$AA11,'Eingabe EF'!$Y11)</f>
        <v>0</v>
      </c>
      <c r="U130" s="37">
        <f>IF(NOT(ISBLANK('Referenz Plattenfertiger'!$I24)),'Referenz Plattenfertiger'!$I24,'Referenz Plattenfertiger'!$F24)*IF(NOT(ISBLANK('Eingabe EF'!$AE11)),'Eingabe EF'!$AE11,'Eingabe EF'!$AC11)</f>
        <v>112.40320237984206</v>
      </c>
      <c r="V130" s="37">
        <f>IF(NOT(ISBLANK('Referenz Plattenfertiger'!$I24)),'Referenz Plattenfertiger'!$I24,'Referenz Plattenfertiger'!$F24)*IF(NOT(ISBLANK('Eingabe EF'!$AI11)),'Eingabe EF'!$AI11,'Eingabe EF'!$AG11)</f>
        <v>16.477956369819779</v>
      </c>
      <c r="W130" s="17"/>
      <c r="X130" s="17"/>
      <c r="Y130" s="37">
        <f t="shared" ref="Y130:Y138" si="22">T130+U130</f>
        <v>112.40320237984206</v>
      </c>
      <c r="Z130" s="37">
        <f t="shared" si="21"/>
        <v>128.88115874966184</v>
      </c>
      <c r="AA130" s="17" t="s">
        <v>184</v>
      </c>
      <c r="AB130" s="42"/>
      <c r="AC130" s="17"/>
      <c r="AD130" s="17" t="s">
        <v>153</v>
      </c>
      <c r="AE130" s="17"/>
      <c r="AF130" s="20"/>
      <c r="AG130" s="20"/>
      <c r="AH130" s="20"/>
      <c r="AI130" s="41">
        <f>IF(NOT(ISBLANK('Referenz Plattenfertiger'!$I24)),'Referenz Plattenfertiger'!$I24,'Referenz Plattenfertiger'!$F24)/1000*IF(NOT(ISBLANK('Eingabe Preise'!$K12)),'Eingabe Preise'!$K12,'Eingabe Preise'!$I12)</f>
        <v>69660</v>
      </c>
      <c r="AJ130" s="20" t="s">
        <v>96</v>
      </c>
    </row>
    <row r="131" spans="16:42" ht="15.75" hidden="1" outlineLevel="1" x14ac:dyDescent="0.3">
      <c r="P131" s="17"/>
      <c r="Q131" s="17"/>
      <c r="R131" s="17" t="s">
        <v>111</v>
      </c>
      <c r="S131" s="17"/>
      <c r="T131" s="37">
        <f>IF(NOT(ISBLANK('Referenz Plattenfertiger'!$I25)),'Referenz Plattenfertiger'!$I25,'Referenz Plattenfertiger'!$F25)*IF(NOT(ISBLANK('Eingabe EF'!$AA13)),'Eingabe EF'!$AA13,'Eingabe EF'!$Y13)</f>
        <v>0</v>
      </c>
      <c r="U131" s="37">
        <f>IF(NOT(ISBLANK('Referenz Plattenfertiger'!$I25)),'Referenz Plattenfertiger'!$I25,'Referenz Plattenfertiger'!$F25)*IF(NOT(ISBLANK('Eingabe EF'!$AE13)),'Eingabe EF'!$AE13,'Eingabe EF'!$AC13)</f>
        <v>0</v>
      </c>
      <c r="V131" s="37">
        <f>IF(NOT(ISBLANK('Referenz Plattenfertiger'!$I25)),'Referenz Plattenfertiger'!$I25,'Referenz Plattenfertiger'!$F25)*IF(NOT(ISBLANK('Eingabe EF'!$AI13)),'Eingabe EF'!$AI13,'Eingabe EF'!$AG13)</f>
        <v>0</v>
      </c>
      <c r="W131" s="17"/>
      <c r="X131" s="17"/>
      <c r="Y131" s="37">
        <f t="shared" si="22"/>
        <v>0</v>
      </c>
      <c r="Z131" s="37">
        <f t="shared" si="21"/>
        <v>0</v>
      </c>
      <c r="AA131" s="17" t="s">
        <v>184</v>
      </c>
      <c r="AB131" s="42"/>
      <c r="AC131" s="17"/>
      <c r="AD131" s="17" t="s">
        <v>111</v>
      </c>
      <c r="AE131" s="17"/>
      <c r="AF131" s="20"/>
      <c r="AG131" s="20"/>
      <c r="AH131" s="20"/>
      <c r="AI131" s="41">
        <f>IF(NOT(ISBLANK('Referenz Plattenfertiger'!$I25)),'Referenz Plattenfertiger'!$I25,'Referenz Plattenfertiger'!$F25)/1000*IF(NOT(ISBLANK('Eingabe Preise'!$K13)),'Eingabe Preise'!$K13,'Eingabe Preise'!$I13)</f>
        <v>0</v>
      </c>
      <c r="AJ131" s="20" t="s">
        <v>96</v>
      </c>
    </row>
    <row r="132" spans="16:42" ht="15.75" hidden="1" outlineLevel="1" x14ac:dyDescent="0.3">
      <c r="P132" s="17"/>
      <c r="Q132" s="17"/>
      <c r="R132" s="17" t="s">
        <v>135</v>
      </c>
      <c r="S132" s="17"/>
      <c r="T132" s="37">
        <f>IF(NOT(ISBLANK('Referenz Plattenfertiger'!$I26)),'Referenz Plattenfertiger'!$I26,'Referenz Plattenfertiger'!$F26)*IF(NOT(ISBLANK('Eingabe EF'!$AA14)),'Eingabe EF'!$AA14,0)</f>
        <v>0</v>
      </c>
      <c r="U132" s="37">
        <f>IF(NOT(ISBLANK('Referenz Plattenfertiger'!$I26)),'Referenz Plattenfertiger'!$I26,'Referenz Plattenfertiger'!$F26)*IF(NOT(ISBLANK('Eingabe EF'!$AE14)),'Eingabe EF'!$AE14,0)</f>
        <v>0</v>
      </c>
      <c r="V132" s="37">
        <f>IF(NOT(ISBLANK('Referenz Plattenfertiger'!$I26)),'Referenz Plattenfertiger'!$I26,'Referenz Plattenfertiger'!$F26)*IF(NOT(ISBLANK('Eingabe EF'!$AI14)),'Eingabe EF'!$AI14,0)</f>
        <v>0</v>
      </c>
      <c r="W132" s="17"/>
      <c r="X132" s="17"/>
      <c r="Y132" s="37">
        <f t="shared" si="22"/>
        <v>0</v>
      </c>
      <c r="Z132" s="37">
        <f t="shared" si="21"/>
        <v>0</v>
      </c>
      <c r="AA132" s="17" t="s">
        <v>184</v>
      </c>
      <c r="AB132" s="42"/>
      <c r="AC132" s="17"/>
      <c r="AD132" s="17" t="s">
        <v>135</v>
      </c>
      <c r="AE132" s="17"/>
      <c r="AF132" s="30"/>
      <c r="AG132" s="30"/>
      <c r="AH132" s="17"/>
      <c r="AI132" s="41">
        <f>IF(NOT(ISBLANK('Referenz Plattenfertiger'!$I26)),'Referenz Plattenfertiger'!$I26,'Referenz Plattenfertiger'!$F26)/1000*IF(NOT(ISBLANK('Eingabe Preise'!$K17)),'Eingabe Preise'!$K17,0)</f>
        <v>0</v>
      </c>
      <c r="AJ132" s="20" t="s">
        <v>96</v>
      </c>
    </row>
    <row r="133" spans="16:42" hidden="1" outlineLevel="1" x14ac:dyDescent="0.2">
      <c r="P133" s="17"/>
      <c r="Q133" s="17"/>
      <c r="R133" s="17"/>
      <c r="S133" s="17"/>
      <c r="T133" s="20"/>
      <c r="U133" s="20"/>
      <c r="V133" s="20"/>
      <c r="W133" s="17"/>
      <c r="X133" s="17"/>
      <c r="Y133" s="17"/>
      <c r="Z133" s="17"/>
      <c r="AA133" s="17"/>
      <c r="AC133" s="17"/>
      <c r="AD133" s="17"/>
      <c r="AE133" s="17"/>
      <c r="AF133" s="30"/>
      <c r="AG133" s="30"/>
      <c r="AH133" s="17"/>
      <c r="AI133" s="17"/>
      <c r="AJ133" s="17"/>
    </row>
    <row r="134" spans="16:42" ht="15.75" hidden="1" outlineLevel="1" x14ac:dyDescent="0.3">
      <c r="P134" s="17"/>
      <c r="Q134" s="17" t="s">
        <v>408</v>
      </c>
      <c r="R134" s="17" t="s">
        <v>32</v>
      </c>
      <c r="S134" s="17"/>
      <c r="T134" s="37">
        <f>IF(NOT(ISBLANK('Referenz Plattenfertiger'!$I28)),'Referenz Plattenfertiger'!$I28,'Referenz Plattenfertiger'!$F28)*IF(NOT(ISBLANK('Eingabe EF'!$AA15)),'Eingabe EF'!$AA15,'Eingabe EF'!$Y15)</f>
        <v>29.238941159999996</v>
      </c>
      <c r="U134" s="37">
        <f>IF(NOT(ISBLANK('Referenz Plattenfertiger'!$I28)),'Referenz Plattenfertiger'!$I28,'Referenz Plattenfertiger'!$F28)*IF(NOT(ISBLANK('Eingabe EF'!$AE15)),'Eingabe EF'!$AE15,'Eingabe EF'!$AC15)</f>
        <v>0</v>
      </c>
      <c r="V134" s="37">
        <f>IF(NOT(ISBLANK('Referenz Plattenfertiger'!$I28)),'Referenz Plattenfertiger'!$I28,'Referenz Plattenfertiger'!$F28)*IF(NOT(ISBLANK('Eingabe EF'!$AI15)),'Eingabe EF'!$AI15,'Eingabe EF'!$AG15)</f>
        <v>5.1658635600000009</v>
      </c>
      <c r="W134" s="17"/>
      <c r="X134" s="17"/>
      <c r="Y134" s="37">
        <f t="shared" si="22"/>
        <v>29.238941159999996</v>
      </c>
      <c r="Z134" s="37">
        <f t="shared" si="21"/>
        <v>34.404804719999994</v>
      </c>
      <c r="AA134" s="17" t="s">
        <v>184</v>
      </c>
      <c r="AB134" s="42"/>
      <c r="AC134" s="17"/>
      <c r="AD134" s="17" t="s">
        <v>32</v>
      </c>
      <c r="AE134" s="17" t="s">
        <v>408</v>
      </c>
      <c r="AF134" s="30"/>
      <c r="AG134" s="30"/>
      <c r="AH134" s="17"/>
      <c r="AI134" s="41">
        <f>IF(NOT(ISBLANK('Referenz Plattenfertiger'!$I28)),'Referenz Plattenfertiger'!$I28,'Referenz Plattenfertiger'!$F28)*IF(NOT(ISBLANK('Eingabe Preise'!$K14)),'Eingabe Preise'!$K14,'Eingabe Preise'!$I14)</f>
        <v>12364.000000000002</v>
      </c>
      <c r="AJ134" s="20" t="s">
        <v>96</v>
      </c>
    </row>
    <row r="135" spans="16:42" ht="15.75" hidden="1" outlineLevel="1" x14ac:dyDescent="0.3">
      <c r="P135" s="17"/>
      <c r="Q135" s="17" t="s">
        <v>70</v>
      </c>
      <c r="R135" s="17" t="s">
        <v>32</v>
      </c>
      <c r="S135" s="17"/>
      <c r="T135" s="37">
        <f>IF(NOT(ISBLANK('Referenz Plattenfertiger'!$I29)),'Referenz Plattenfertiger'!$I29,'Referenz Plattenfertiger'!$F29)*IF(NOT(ISBLANK('Eingabe EF'!$AA15)),'Eingabe EF'!$AA15,'Eingabe EF'!$Y15)</f>
        <v>6.645213899999999</v>
      </c>
      <c r="U135" s="37">
        <f>IF(NOT(ISBLANK('Referenz Plattenfertiger'!$I29)),'Referenz Plattenfertiger'!$I29,'Referenz Plattenfertiger'!$F29)*IF(NOT(ISBLANK('Eingabe EF'!$AE15)),'Eingabe EF'!$AE15,'Eingabe EF'!$AC15)</f>
        <v>0</v>
      </c>
      <c r="V135" s="37">
        <f>IF(NOT(ISBLANK('Referenz Plattenfertiger'!$I29)),'Referenz Plattenfertiger'!$I29,'Referenz Plattenfertiger'!$F29)*IF(NOT(ISBLANK('Eingabe EF'!$AI15)),'Eingabe EF'!$AI15,'Eingabe EF'!$AG15)</f>
        <v>1.1740599000000003</v>
      </c>
      <c r="W135" s="17"/>
      <c r="X135" s="17"/>
      <c r="Y135" s="37">
        <f t="shared" si="22"/>
        <v>6.645213899999999</v>
      </c>
      <c r="Z135" s="37">
        <f t="shared" si="21"/>
        <v>7.8192737999999995</v>
      </c>
      <c r="AA135" s="17" t="s">
        <v>184</v>
      </c>
      <c r="AB135" s="42"/>
      <c r="AC135" s="17"/>
      <c r="AD135" s="17" t="s">
        <v>32</v>
      </c>
      <c r="AE135" s="17" t="s">
        <v>70</v>
      </c>
      <c r="AF135" s="30"/>
      <c r="AG135" s="30"/>
      <c r="AH135" s="17"/>
      <c r="AI135" s="41">
        <f>IF(NOT(ISBLANK('Referenz Plattenfertiger'!$I29)),'Referenz Plattenfertiger'!$I29,'Referenz Plattenfertiger'!$F29)*IF(NOT(ISBLANK('Eingabe Preise'!$K14)),'Eingabe Preise'!$K14,'Eingabe Preise'!$I14)</f>
        <v>2810.0000000000005</v>
      </c>
      <c r="AJ135" s="20" t="s">
        <v>96</v>
      </c>
    </row>
    <row r="136" spans="16:42" ht="14.25" hidden="1" outlineLevel="1" x14ac:dyDescent="0.25">
      <c r="P136" s="69"/>
      <c r="Q136" s="69" t="s">
        <v>175</v>
      </c>
      <c r="R136" s="69"/>
      <c r="S136" s="69"/>
      <c r="T136" s="71"/>
      <c r="U136" s="71"/>
      <c r="V136" s="71">
        <f t="shared" ref="V136" si="23">V137+V138</f>
        <v>469.15642799999995</v>
      </c>
      <c r="W136" s="69"/>
      <c r="X136" s="69"/>
      <c r="Y136" s="71">
        <f t="shared" si="22"/>
        <v>0</v>
      </c>
      <c r="Z136" s="71">
        <f t="shared" si="21"/>
        <v>469.15642799999995</v>
      </c>
      <c r="AA136" s="76" t="s">
        <v>183</v>
      </c>
      <c r="AB136" s="72"/>
      <c r="AC136" s="21"/>
      <c r="AD136" s="21"/>
      <c r="AE136" s="21"/>
      <c r="AF136" s="73"/>
      <c r="AG136" s="73"/>
      <c r="AH136" s="21"/>
      <c r="AI136" s="21"/>
      <c r="AJ136" s="21"/>
      <c r="AL136" s="72"/>
      <c r="AM136" s="72"/>
      <c r="AN136" s="72"/>
      <c r="AO136" s="72"/>
      <c r="AP136" s="72"/>
    </row>
    <row r="137" spans="16:42" ht="15.75" hidden="1" outlineLevel="1" x14ac:dyDescent="0.3">
      <c r="P137" s="17"/>
      <c r="Q137" s="17"/>
      <c r="R137" s="17" t="s">
        <v>43</v>
      </c>
      <c r="S137" s="17"/>
      <c r="T137" s="37"/>
      <c r="U137" s="37"/>
      <c r="V137" s="37">
        <f>IF(NOT(ISBLANK('Referenz Plattenfertiger'!$I32)),'Referenz Plattenfertiger'!$I32,'Referenz Plattenfertiger'!$F32)*IF(NOT(ISBLANK('Eingabe EF'!$AI17)),'Eingabe EF'!$AI17,'Eingabe EF'!$AG17)</f>
        <v>109.4698332</v>
      </c>
      <c r="W137" s="17"/>
      <c r="X137" s="17"/>
      <c r="Y137" s="37">
        <f t="shared" si="22"/>
        <v>0</v>
      </c>
      <c r="Z137" s="37">
        <f t="shared" si="21"/>
        <v>109.4698332</v>
      </c>
      <c r="AA137" s="17" t="s">
        <v>184</v>
      </c>
      <c r="AB137" s="42"/>
      <c r="AC137" s="17"/>
      <c r="AD137" s="17"/>
      <c r="AE137" s="17"/>
      <c r="AF137" s="30"/>
      <c r="AG137" s="30"/>
      <c r="AH137" s="17"/>
      <c r="AI137" s="17"/>
      <c r="AJ137" s="17"/>
    </row>
    <row r="138" spans="16:42" ht="15.75" hidden="1" outlineLevel="1" x14ac:dyDescent="0.3">
      <c r="P138" s="17"/>
      <c r="Q138" s="17"/>
      <c r="R138" s="17" t="s">
        <v>44</v>
      </c>
      <c r="S138" s="17"/>
      <c r="T138" s="37"/>
      <c r="U138" s="37"/>
      <c r="V138" s="37">
        <f>IF(NOT(ISBLANK('Referenz Plattenfertiger'!$I33)),'Referenz Plattenfertiger'!$I33,'Referenz Plattenfertiger'!$F33)*IF(NOT(ISBLANK('Eingabe EF'!$AI18)),'Eingabe EF'!$AI18,'Eingabe EF'!$AG18)</f>
        <v>359.68659479999997</v>
      </c>
      <c r="W138" s="17"/>
      <c r="X138" s="17"/>
      <c r="Y138" s="37">
        <f t="shared" si="22"/>
        <v>0</v>
      </c>
      <c r="Z138" s="37">
        <f t="shared" si="21"/>
        <v>359.68659479999997</v>
      </c>
      <c r="AA138" s="17" t="s">
        <v>184</v>
      </c>
      <c r="AB138" s="42"/>
      <c r="AC138" s="17"/>
      <c r="AD138" s="17" t="s">
        <v>28</v>
      </c>
      <c r="AE138" s="17"/>
      <c r="AF138" s="30"/>
      <c r="AG138" s="30"/>
      <c r="AH138" s="17"/>
      <c r="AI138" s="41">
        <f>IF(NOT(ISBLANK($F$30)),$F$30,$D$30)/IF(NOT(ISBLANK($F$35)),$F$35,$D$35)+IF(NOT(ISBLANK($F$30)),$F$30,$D$30)*(IF(NOT(ISBLANK($F$36)),$F$36,$D$36)/100)</f>
        <v>0</v>
      </c>
      <c r="AJ138" s="20" t="s">
        <v>96</v>
      </c>
    </row>
    <row r="139" spans="16:42" hidden="1" outlineLevel="1" x14ac:dyDescent="0.2">
      <c r="P139" s="17"/>
      <c r="Q139" s="17"/>
      <c r="R139" s="17"/>
      <c r="S139" s="17"/>
      <c r="T139" s="20"/>
      <c r="U139" s="20"/>
      <c r="V139" s="20"/>
      <c r="W139" s="17"/>
      <c r="X139" s="17"/>
      <c r="Y139" s="20"/>
      <c r="Z139" s="20"/>
      <c r="AA139" s="17"/>
      <c r="AC139" s="17"/>
      <c r="AD139" s="44" t="s">
        <v>139</v>
      </c>
      <c r="AE139" s="17"/>
      <c r="AF139" s="30"/>
      <c r="AG139" s="30"/>
      <c r="AH139" s="17"/>
      <c r="AI139" s="41">
        <f>IF(NOT(ISBLANK($F$31)),$F$31,$D$31)</f>
        <v>0</v>
      </c>
      <c r="AJ139" s="20" t="s">
        <v>96</v>
      </c>
    </row>
    <row r="140" spans="16:42" ht="14.25" hidden="1" outlineLevel="1" x14ac:dyDescent="0.25">
      <c r="P140" s="69"/>
      <c r="Q140" s="69" t="s">
        <v>66</v>
      </c>
      <c r="R140" s="70"/>
      <c r="S140" s="70"/>
      <c r="T140" s="71"/>
      <c r="U140" s="71"/>
      <c r="V140" s="71">
        <f>SUM(V141:V144)</f>
        <v>4321.1167999999998</v>
      </c>
      <c r="W140" s="70"/>
      <c r="X140" s="70"/>
      <c r="Y140" s="71">
        <f t="shared" ref="Y140:Y144" si="24">T140+U140</f>
        <v>0</v>
      </c>
      <c r="Z140" s="71">
        <f t="shared" ref="Z140:Z143" si="25">SUM(T140:V140)</f>
        <v>4321.1167999999998</v>
      </c>
      <c r="AA140" s="76" t="s">
        <v>183</v>
      </c>
      <c r="AC140" s="17"/>
      <c r="AD140" s="44" t="s">
        <v>146</v>
      </c>
      <c r="AE140" s="17"/>
      <c r="AF140" s="30"/>
      <c r="AG140" s="30"/>
      <c r="AH140" s="17"/>
      <c r="AI140" s="41">
        <f>IF(NOT(ISBLANK($F$32)),$F$32,$D$32)/IF(NOT(ISBLANK($F$35)),$F$35,$D$35)+IF(NOT(ISBLANK($F$32)),$F$32,$D$32)*(IF(NOT(ISBLANK($F$36)),$F$36,$D$36)/100)</f>
        <v>0</v>
      </c>
      <c r="AJ140" s="20" t="s">
        <v>96</v>
      </c>
    </row>
    <row r="141" spans="16:42" ht="15.75" hidden="1" outlineLevel="1" x14ac:dyDescent="0.3">
      <c r="P141" s="274"/>
      <c r="Q141" s="17"/>
      <c r="R141" s="17" t="s">
        <v>45</v>
      </c>
      <c r="S141" s="17"/>
      <c r="T141" s="37"/>
      <c r="U141" s="37"/>
      <c r="V141" s="450">
        <f>'M1 Härtekammern'!T134*S110</f>
        <v>1149.7849999999999</v>
      </c>
      <c r="W141" s="17"/>
      <c r="X141" s="17"/>
      <c r="Y141" s="37">
        <f t="shared" si="24"/>
        <v>0</v>
      </c>
      <c r="Z141" s="37">
        <f t="shared" si="25"/>
        <v>1149.7849999999999</v>
      </c>
      <c r="AA141" s="17" t="s">
        <v>184</v>
      </c>
      <c r="AB141" s="42"/>
      <c r="AC141" s="17"/>
      <c r="AD141" s="17"/>
      <c r="AE141" s="17"/>
      <c r="AF141" s="17"/>
      <c r="AG141" s="17"/>
      <c r="AH141" s="17"/>
      <c r="AI141" s="17"/>
      <c r="AJ141" s="17"/>
    </row>
    <row r="142" spans="16:42" ht="15.75" hidden="1" outlineLevel="1" x14ac:dyDescent="0.3">
      <c r="P142" s="274"/>
      <c r="Q142" s="17"/>
      <c r="R142" s="17" t="s">
        <v>47</v>
      </c>
      <c r="S142" s="17"/>
      <c r="T142" s="37"/>
      <c r="U142" s="37"/>
      <c r="V142" s="450">
        <f>'M1 Härtekammern'!T135*S111</f>
        <v>2294.7287999999999</v>
      </c>
      <c r="W142" s="17"/>
      <c r="X142" s="17"/>
      <c r="Y142" s="37">
        <f t="shared" si="24"/>
        <v>0</v>
      </c>
      <c r="Z142" s="37">
        <f t="shared" si="25"/>
        <v>2294.7287999999999</v>
      </c>
      <c r="AA142" s="17" t="s">
        <v>184</v>
      </c>
      <c r="AB142" s="42"/>
      <c r="AC142" s="17"/>
      <c r="AD142" s="17"/>
      <c r="AE142" s="17"/>
      <c r="AF142" s="17"/>
      <c r="AG142" s="17"/>
      <c r="AH142" s="17"/>
      <c r="AI142" s="17"/>
      <c r="AJ142" s="17"/>
    </row>
    <row r="143" spans="16:42" ht="15.75" hidden="1" outlineLevel="1" x14ac:dyDescent="0.3">
      <c r="P143" s="274"/>
      <c r="Q143" s="17"/>
      <c r="R143" s="17" t="s">
        <v>48</v>
      </c>
      <c r="S143" s="17"/>
      <c r="T143" s="37"/>
      <c r="U143" s="37"/>
      <c r="V143" s="450">
        <f>'M1 Härtekammern'!T136*S112</f>
        <v>876.60299999999984</v>
      </c>
      <c r="W143" s="17"/>
      <c r="X143" s="17"/>
      <c r="Y143" s="37">
        <f t="shared" si="24"/>
        <v>0</v>
      </c>
      <c r="Z143" s="37">
        <f t="shared" si="25"/>
        <v>876.60299999999984</v>
      </c>
      <c r="AA143" s="17" t="s">
        <v>184</v>
      </c>
      <c r="AB143" s="42"/>
      <c r="AC143" s="17"/>
      <c r="AD143" s="17" t="s">
        <v>186</v>
      </c>
      <c r="AE143" s="17"/>
      <c r="AF143" s="30"/>
      <c r="AG143" s="30"/>
      <c r="AH143" s="17"/>
      <c r="AI143" s="41">
        <f>T187*IF(NOT(ISBLANK('Eingabe Preise'!$K21)),'Eingabe Preise'!$K21,'Eingabe Preise'!$I21)</f>
        <v>4271.9559777000004</v>
      </c>
      <c r="AJ143" s="20" t="s">
        <v>96</v>
      </c>
    </row>
    <row r="144" spans="16:42" ht="15.75" hidden="1" outlineLevel="1" x14ac:dyDescent="0.3">
      <c r="P144" s="274"/>
      <c r="Q144" s="17"/>
      <c r="R144" s="17" t="s">
        <v>147</v>
      </c>
      <c r="S144" s="17"/>
      <c r="T144" s="37"/>
      <c r="U144" s="37"/>
      <c r="V144" s="450">
        <f>'M1 Härtekammern'!T137*S113</f>
        <v>0</v>
      </c>
      <c r="W144" s="17"/>
      <c r="X144" s="17"/>
      <c r="Y144" s="37">
        <f t="shared" si="24"/>
        <v>0</v>
      </c>
      <c r="Z144" s="37">
        <f t="shared" ref="Z144" si="26">SUM(T144:V144)</f>
        <v>0</v>
      </c>
      <c r="AA144" s="17" t="s">
        <v>184</v>
      </c>
      <c r="AB144" s="42"/>
      <c r="AC144" s="17"/>
      <c r="AD144" s="17" t="s">
        <v>187</v>
      </c>
      <c r="AE144" s="17"/>
      <c r="AF144" s="30"/>
      <c r="AG144" s="30"/>
      <c r="AH144" s="17"/>
      <c r="AI144" s="41">
        <f>U187*IF(NOT(ISBLANK('Eingabe Preise'!$K22)),'Eingabe Preise'!$K22,'Eingabe Preise'!$I22)</f>
        <v>5620.160118992103</v>
      </c>
      <c r="AJ144" s="20" t="s">
        <v>96</v>
      </c>
    </row>
    <row r="145" spans="16:36" ht="15.75" hidden="1" outlineLevel="1" x14ac:dyDescent="0.3">
      <c r="P145" s="17"/>
      <c r="Q145" s="17"/>
      <c r="R145" s="17"/>
      <c r="S145" s="17"/>
      <c r="T145" s="20"/>
      <c r="U145" s="20"/>
      <c r="V145" s="20"/>
      <c r="W145" s="17"/>
      <c r="X145" s="17"/>
      <c r="Y145" s="17"/>
      <c r="Z145" s="20"/>
      <c r="AA145" s="20"/>
      <c r="AB145" s="42"/>
      <c r="AC145" s="17"/>
      <c r="AD145" s="17" t="s">
        <v>188</v>
      </c>
      <c r="AE145" s="17"/>
      <c r="AF145" s="30"/>
      <c r="AG145" s="30"/>
      <c r="AH145" s="17"/>
      <c r="AI145" s="41">
        <f>V187*IF(NOT(ISBLANK('Eingabe Preise'!$K23)),'Eingabe Preise'!$K23,'Eingabe Preise'!$I23)</f>
        <v>248260.15004491925</v>
      </c>
      <c r="AJ145" s="20" t="s">
        <v>96</v>
      </c>
    </row>
    <row r="146" spans="16:36" ht="14.25" hidden="1" outlineLevel="1" x14ac:dyDescent="0.25">
      <c r="P146" s="69"/>
      <c r="Q146" s="69" t="s">
        <v>163</v>
      </c>
      <c r="R146" s="70"/>
      <c r="S146" s="70"/>
      <c r="T146" s="71"/>
      <c r="U146" s="71"/>
      <c r="V146" s="71">
        <f>SUM(V147:V151)</f>
        <v>129.59200000000001</v>
      </c>
      <c r="W146" s="70"/>
      <c r="X146" s="70"/>
      <c r="Y146" s="71">
        <f t="shared" ref="Y146" si="27">T146+U146</f>
        <v>0</v>
      </c>
      <c r="Z146" s="71">
        <f t="shared" ref="Z146" si="28">SUM(T146:V146)</f>
        <v>129.59200000000001</v>
      </c>
      <c r="AA146" s="76" t="s">
        <v>183</v>
      </c>
      <c r="AB146" s="42"/>
      <c r="AC146" s="17"/>
      <c r="AD146" s="17"/>
      <c r="AE146" s="17"/>
      <c r="AF146" s="30"/>
      <c r="AG146" s="30"/>
      <c r="AH146" s="17"/>
      <c r="AI146" s="66"/>
      <c r="AJ146" s="17"/>
    </row>
    <row r="147" spans="16:36" ht="15.75" hidden="1" outlineLevel="1" x14ac:dyDescent="0.3">
      <c r="P147" s="17"/>
      <c r="Q147" s="17"/>
      <c r="R147" s="17" t="s">
        <v>164</v>
      </c>
      <c r="S147" s="17"/>
      <c r="T147" s="37"/>
      <c r="U147" s="37"/>
      <c r="V147" s="37">
        <f>'M1 Härtekammern'!T140</f>
        <v>129.59200000000001</v>
      </c>
      <c r="W147" s="17"/>
      <c r="X147" s="17"/>
      <c r="Y147" s="37">
        <f>T147+U147</f>
        <v>0</v>
      </c>
      <c r="Z147" s="37">
        <f>SUM(T147:V147)</f>
        <v>129.59200000000001</v>
      </c>
      <c r="AA147" s="17" t="s">
        <v>184</v>
      </c>
      <c r="AB147" s="42"/>
      <c r="AC147" s="17"/>
      <c r="AD147" s="17"/>
      <c r="AE147" s="17"/>
      <c r="AF147" s="30"/>
      <c r="AG147" s="30"/>
      <c r="AH147" s="17"/>
      <c r="AI147" s="17"/>
      <c r="AJ147" s="17"/>
    </row>
    <row r="148" spans="16:36" ht="15.75" hidden="1" outlineLevel="1" x14ac:dyDescent="0.3">
      <c r="P148" s="17"/>
      <c r="Q148" s="17"/>
      <c r="R148" s="17" t="s">
        <v>165</v>
      </c>
      <c r="S148" s="17"/>
      <c r="T148" s="37"/>
      <c r="U148" s="37"/>
      <c r="V148" s="37">
        <f>'M1 Härtekammern'!T141</f>
        <v>0</v>
      </c>
      <c r="W148" s="17"/>
      <c r="X148" s="17"/>
      <c r="Y148" s="37">
        <f t="shared" ref="Y148:Y149" si="29">T148+U148</f>
        <v>0</v>
      </c>
      <c r="Z148" s="37">
        <f t="shared" ref="Z148:Z149" si="30">SUM(T148:V148)</f>
        <v>0</v>
      </c>
      <c r="AA148" s="17" t="s">
        <v>184</v>
      </c>
      <c r="AB148" s="42"/>
      <c r="AC148" s="17"/>
      <c r="AD148" s="17"/>
      <c r="AE148" s="17"/>
      <c r="AF148" s="30"/>
      <c r="AG148" s="30"/>
      <c r="AH148" s="17"/>
      <c r="AI148" s="66"/>
      <c r="AJ148" s="17"/>
    </row>
    <row r="149" spans="16:36" ht="15.75" hidden="1" outlineLevel="1" x14ac:dyDescent="0.3">
      <c r="P149" s="17"/>
      <c r="Q149" s="17"/>
      <c r="R149" s="17" t="s">
        <v>166</v>
      </c>
      <c r="S149" s="17"/>
      <c r="T149" s="37"/>
      <c r="U149" s="37"/>
      <c r="V149" s="37">
        <f>'M1 Härtekammern'!T142</f>
        <v>0</v>
      </c>
      <c r="W149" s="17"/>
      <c r="X149" s="17"/>
      <c r="Y149" s="37">
        <f t="shared" si="29"/>
        <v>0</v>
      </c>
      <c r="Z149" s="37">
        <f t="shared" si="30"/>
        <v>0</v>
      </c>
      <c r="AA149" s="17" t="s">
        <v>184</v>
      </c>
      <c r="AB149" s="42"/>
      <c r="AC149" s="42"/>
      <c r="AD149" s="42"/>
      <c r="AE149" s="42"/>
      <c r="AF149" s="42"/>
      <c r="AG149" s="42"/>
      <c r="AH149" s="42"/>
      <c r="AI149" s="42"/>
    </row>
    <row r="150" spans="16:36" ht="15.75" hidden="1" outlineLevel="1" x14ac:dyDescent="0.3">
      <c r="P150" s="17"/>
      <c r="Q150" s="17"/>
      <c r="R150" s="17" t="str">
        <f>'M1 Härtekammern'!P143</f>
        <v>Weiterer Zuschlagstoff 1</v>
      </c>
      <c r="S150" s="17"/>
      <c r="T150" s="37"/>
      <c r="U150" s="37"/>
      <c r="V150" s="37">
        <f>'M1 Härtekammern'!T143</f>
        <v>0</v>
      </c>
      <c r="W150" s="17"/>
      <c r="X150" s="17"/>
      <c r="Y150" s="37">
        <f t="shared" ref="Y150:Y151" si="31">T150+U150</f>
        <v>0</v>
      </c>
      <c r="Z150" s="37">
        <f t="shared" ref="Z150:Z151" si="32">SUM(T150:V150)</f>
        <v>0</v>
      </c>
      <c r="AA150" s="17" t="s">
        <v>184</v>
      </c>
      <c r="AB150" s="42"/>
      <c r="AC150" s="42"/>
      <c r="AD150" s="42"/>
      <c r="AE150" s="42"/>
      <c r="AF150" s="42"/>
      <c r="AG150" s="42"/>
      <c r="AH150" s="42"/>
      <c r="AI150" s="42"/>
    </row>
    <row r="151" spans="16:36" ht="15.75" hidden="1" outlineLevel="1" x14ac:dyDescent="0.3">
      <c r="P151" s="17"/>
      <c r="Q151" s="17"/>
      <c r="R151" s="17" t="str">
        <f>'M1 Härtekammern'!P144</f>
        <v>Weiterer Zuschlagstoff 2</v>
      </c>
      <c r="S151" s="17"/>
      <c r="T151" s="37"/>
      <c r="U151" s="37"/>
      <c r="V151" s="37">
        <f>'M1 Härtekammern'!T144</f>
        <v>0</v>
      </c>
      <c r="W151" s="17"/>
      <c r="X151" s="17"/>
      <c r="Y151" s="37">
        <f t="shared" si="31"/>
        <v>0</v>
      </c>
      <c r="Z151" s="37">
        <f t="shared" si="32"/>
        <v>0</v>
      </c>
      <c r="AA151" s="17" t="s">
        <v>184</v>
      </c>
      <c r="AB151" s="42"/>
      <c r="AC151" s="42"/>
      <c r="AD151" s="42"/>
      <c r="AE151" s="42"/>
      <c r="AF151" s="42"/>
      <c r="AG151" s="42"/>
      <c r="AH151" s="42"/>
      <c r="AI151" s="42"/>
    </row>
    <row r="152" spans="16:36" hidden="1" outlineLevel="1" x14ac:dyDescent="0.2">
      <c r="P152" s="17"/>
      <c r="Q152" s="17"/>
      <c r="R152" s="17"/>
      <c r="S152" s="17"/>
      <c r="T152" s="20"/>
      <c r="U152" s="20"/>
      <c r="V152" s="20"/>
      <c r="W152" s="17"/>
      <c r="X152" s="17"/>
      <c r="Y152" s="17"/>
      <c r="Z152" s="20"/>
      <c r="AA152" s="20"/>
      <c r="AB152" s="42"/>
      <c r="AC152" s="42"/>
      <c r="AD152" s="42"/>
      <c r="AE152" s="42"/>
      <c r="AF152" s="42"/>
      <c r="AG152" s="42"/>
      <c r="AH152" s="42"/>
      <c r="AI152" s="42"/>
    </row>
    <row r="153" spans="16:36" ht="14.25" hidden="1" outlineLevel="1" x14ac:dyDescent="0.25">
      <c r="P153" s="17"/>
      <c r="Q153" s="17"/>
      <c r="R153" s="21" t="s">
        <v>55</v>
      </c>
      <c r="S153" s="21"/>
      <c r="T153" s="74"/>
      <c r="U153" s="74"/>
      <c r="V153" s="74">
        <f>'M1 Härtekammern'!T146</f>
        <v>208</v>
      </c>
      <c r="W153" s="21"/>
      <c r="X153" s="21"/>
      <c r="Y153" s="74">
        <f>T153+U153</f>
        <v>0</v>
      </c>
      <c r="Z153" s="74">
        <f t="shared" ref="Z153" si="33">SUM(T153:V153)</f>
        <v>208</v>
      </c>
      <c r="AA153" s="21" t="s">
        <v>183</v>
      </c>
      <c r="AB153" s="42"/>
      <c r="AC153" s="42"/>
      <c r="AD153" s="42"/>
      <c r="AE153" s="42"/>
      <c r="AF153" s="42"/>
      <c r="AG153" s="42"/>
      <c r="AH153" s="42"/>
      <c r="AI153" s="42"/>
    </row>
    <row r="154" spans="16:36" hidden="1" outlineLevel="1" x14ac:dyDescent="0.2">
      <c r="P154" s="17"/>
      <c r="Q154" s="17"/>
      <c r="R154" s="17"/>
      <c r="S154" s="17"/>
      <c r="T154" s="20"/>
      <c r="U154" s="20"/>
      <c r="V154" s="20"/>
      <c r="W154" s="17"/>
      <c r="X154" s="17"/>
      <c r="Y154" s="17"/>
      <c r="Z154" s="20"/>
      <c r="AA154" s="20"/>
      <c r="AB154" s="42"/>
      <c r="AC154" s="42"/>
      <c r="AD154" s="42"/>
      <c r="AE154" s="42"/>
      <c r="AF154" s="42"/>
      <c r="AG154" s="42"/>
      <c r="AH154" s="42"/>
      <c r="AI154" s="42"/>
    </row>
    <row r="155" spans="16:36" ht="14.25" hidden="1" outlineLevel="1" x14ac:dyDescent="0.25">
      <c r="P155" s="69"/>
      <c r="Q155" s="69" t="s">
        <v>167</v>
      </c>
      <c r="R155" s="70"/>
      <c r="S155" s="70"/>
      <c r="T155" s="71"/>
      <c r="U155" s="71"/>
      <c r="V155" s="71">
        <f>SUM(V156:V160)</f>
        <v>81.003999999999991</v>
      </c>
      <c r="W155" s="70"/>
      <c r="X155" s="70"/>
      <c r="Y155" s="71">
        <f t="shared" ref="Y155" si="34">T155+U155</f>
        <v>0</v>
      </c>
      <c r="Z155" s="71">
        <f t="shared" ref="Z155" si="35">SUM(T155:V155)</f>
        <v>81.003999999999991</v>
      </c>
      <c r="AA155" s="76" t="s">
        <v>183</v>
      </c>
      <c r="AB155" s="42"/>
      <c r="AC155" s="42"/>
      <c r="AD155" s="42"/>
      <c r="AE155" s="42"/>
      <c r="AF155" s="42"/>
      <c r="AG155" s="42"/>
      <c r="AH155" s="42"/>
      <c r="AI155" s="42"/>
    </row>
    <row r="156" spans="16:36" ht="15.75" hidden="1" outlineLevel="1" x14ac:dyDescent="0.3">
      <c r="P156" s="17"/>
      <c r="Q156" s="17"/>
      <c r="R156" s="17" t="s">
        <v>57</v>
      </c>
      <c r="S156" s="17"/>
      <c r="T156" s="37"/>
      <c r="U156" s="37"/>
      <c r="V156" s="37">
        <f>'M1 Härtekammern'!T149</f>
        <v>0</v>
      </c>
      <c r="W156" s="17"/>
      <c r="X156" s="17"/>
      <c r="Y156" s="37">
        <f>T156+U156</f>
        <v>0</v>
      </c>
      <c r="Z156" s="37">
        <f>SUM(T156:V156)</f>
        <v>0</v>
      </c>
      <c r="AA156" s="17" t="s">
        <v>184</v>
      </c>
      <c r="AB156" s="42"/>
      <c r="AC156" s="42"/>
      <c r="AD156" s="42"/>
      <c r="AE156" s="42"/>
      <c r="AF156" s="42"/>
      <c r="AG156" s="42"/>
      <c r="AH156" s="42"/>
      <c r="AI156" s="42"/>
    </row>
    <row r="157" spans="16:36" ht="15.75" hidden="1" outlineLevel="1" x14ac:dyDescent="0.3">
      <c r="P157" s="274"/>
      <c r="Q157" s="17"/>
      <c r="R157" s="17" t="s">
        <v>58</v>
      </c>
      <c r="S157" s="17"/>
      <c r="T157" s="37"/>
      <c r="U157" s="37"/>
      <c r="V157" s="37">
        <f>'M1 Härtekammern'!T150</f>
        <v>8.6840000000000011</v>
      </c>
      <c r="W157" s="17"/>
      <c r="X157" s="17"/>
      <c r="Y157" s="37">
        <f>T157+U157</f>
        <v>0</v>
      </c>
      <c r="Z157" s="37">
        <f>SUM(T157:V157)</f>
        <v>8.6840000000000011</v>
      </c>
      <c r="AA157" s="17" t="s">
        <v>184</v>
      </c>
      <c r="AB157" s="42"/>
      <c r="AC157" s="42"/>
      <c r="AD157" s="42"/>
      <c r="AE157" s="42"/>
      <c r="AF157" s="42"/>
      <c r="AG157" s="42"/>
      <c r="AH157" s="42"/>
      <c r="AI157" s="42"/>
    </row>
    <row r="158" spans="16:36" ht="15.75" hidden="1" outlineLevel="1" x14ac:dyDescent="0.3">
      <c r="P158" s="274"/>
      <c r="Q158" s="17"/>
      <c r="R158" s="17" t="str">
        <f>'M1 Härtekammern'!P151</f>
        <v>Kalksteinmehl</v>
      </c>
      <c r="S158" s="17"/>
      <c r="T158" s="37"/>
      <c r="U158" s="37"/>
      <c r="V158" s="37">
        <f>'M1 Härtekammern'!T151</f>
        <v>72.319999999999993</v>
      </c>
      <c r="W158" s="17"/>
      <c r="X158" s="17"/>
      <c r="Y158" s="37">
        <f>T158+U158</f>
        <v>0</v>
      </c>
      <c r="Z158" s="37">
        <f>SUM(T158:V158)</f>
        <v>72.319999999999993</v>
      </c>
      <c r="AA158" s="17" t="s">
        <v>184</v>
      </c>
      <c r="AB158" s="42"/>
      <c r="AC158" s="42"/>
      <c r="AD158" s="42"/>
      <c r="AE158" s="42"/>
      <c r="AF158" s="42"/>
      <c r="AG158" s="42"/>
      <c r="AH158" s="42"/>
      <c r="AI158" s="42"/>
    </row>
    <row r="159" spans="16:36" ht="15.75" hidden="1" outlineLevel="1" x14ac:dyDescent="0.3">
      <c r="P159" s="274"/>
      <c r="Q159" s="17"/>
      <c r="R159" s="17" t="str">
        <f>'M1 Härtekammern'!P152</f>
        <v>Weiterer Zusatzstoff 1</v>
      </c>
      <c r="S159" s="17"/>
      <c r="T159" s="37"/>
      <c r="U159" s="37"/>
      <c r="V159" s="37">
        <f>'M1 Härtekammern'!T152</f>
        <v>0</v>
      </c>
      <c r="W159" s="17"/>
      <c r="X159" s="17"/>
      <c r="Y159" s="37">
        <f t="shared" ref="Y159:Y160" si="36">T159+U159</f>
        <v>0</v>
      </c>
      <c r="Z159" s="37">
        <f t="shared" ref="Z159:Z160" si="37">SUM(T159:V159)</f>
        <v>0</v>
      </c>
      <c r="AA159" s="17" t="s">
        <v>184</v>
      </c>
      <c r="AB159" s="42"/>
      <c r="AC159" s="42"/>
      <c r="AD159" s="42"/>
      <c r="AE159" s="42"/>
      <c r="AF159" s="42"/>
      <c r="AG159" s="42"/>
      <c r="AH159" s="42"/>
      <c r="AI159" s="42"/>
    </row>
    <row r="160" spans="16:36" ht="15.75" hidden="1" outlineLevel="1" x14ac:dyDescent="0.3">
      <c r="P160" s="274"/>
      <c r="Q160" s="17"/>
      <c r="R160" s="17" t="str">
        <f>'M1 Härtekammern'!P153</f>
        <v>Weiterer Zusatzstoff 2</v>
      </c>
      <c r="S160" s="17"/>
      <c r="T160" s="37"/>
      <c r="U160" s="37"/>
      <c r="V160" s="37">
        <f>'M1 Härtekammern'!T153</f>
        <v>0</v>
      </c>
      <c r="W160" s="17"/>
      <c r="X160" s="17"/>
      <c r="Y160" s="37">
        <f t="shared" si="36"/>
        <v>0</v>
      </c>
      <c r="Z160" s="37">
        <f t="shared" si="37"/>
        <v>0</v>
      </c>
      <c r="AA160" s="17" t="s">
        <v>184</v>
      </c>
      <c r="AB160" s="42"/>
      <c r="AC160" s="42"/>
      <c r="AD160" s="42"/>
      <c r="AE160" s="42"/>
      <c r="AF160" s="42"/>
      <c r="AG160" s="42"/>
      <c r="AH160" s="42"/>
      <c r="AI160" s="42"/>
    </row>
    <row r="161" spans="16:35" hidden="1" outlineLevel="1" x14ac:dyDescent="0.2">
      <c r="P161" s="17"/>
      <c r="Q161" s="17"/>
      <c r="R161" s="17"/>
      <c r="S161" s="17"/>
      <c r="T161" s="20"/>
      <c r="U161" s="20"/>
      <c r="V161" s="20"/>
      <c r="W161" s="17"/>
      <c r="X161" s="17"/>
      <c r="Y161" s="17"/>
      <c r="Z161" s="20"/>
      <c r="AA161" s="20"/>
      <c r="AB161" s="42"/>
      <c r="AC161" s="42"/>
      <c r="AD161" s="42"/>
      <c r="AE161" s="42"/>
      <c r="AF161" s="42"/>
      <c r="AG161" s="42"/>
      <c r="AH161" s="42"/>
      <c r="AI161" s="42"/>
    </row>
    <row r="162" spans="16:35" ht="14.25" hidden="1" outlineLevel="1" x14ac:dyDescent="0.25">
      <c r="P162" s="69"/>
      <c r="Q162" s="69" t="s">
        <v>49</v>
      </c>
      <c r="R162" s="70"/>
      <c r="S162" s="70"/>
      <c r="T162" s="71"/>
      <c r="U162" s="71"/>
      <c r="V162" s="71">
        <f>SUM(V163:V166)</f>
        <v>148.44746134951595</v>
      </c>
      <c r="W162" s="70"/>
      <c r="X162" s="70"/>
      <c r="Y162" s="71">
        <f t="shared" ref="Y162:Y166" si="38">T162+U162</f>
        <v>0</v>
      </c>
      <c r="Z162" s="71">
        <f t="shared" ref="Z162" si="39">SUM(T162:V162)</f>
        <v>148.44746134951595</v>
      </c>
      <c r="AA162" s="76" t="s">
        <v>183</v>
      </c>
      <c r="AB162" s="42"/>
      <c r="AC162" s="42"/>
      <c r="AD162" s="42"/>
      <c r="AE162" s="42"/>
      <c r="AF162" s="42"/>
      <c r="AG162" s="42"/>
      <c r="AH162" s="42"/>
      <c r="AI162" s="42"/>
    </row>
    <row r="163" spans="16:35" ht="15.75" hidden="1" outlineLevel="1" x14ac:dyDescent="0.3">
      <c r="P163" s="17"/>
      <c r="Q163" s="17"/>
      <c r="R163" s="17" t="s">
        <v>50</v>
      </c>
      <c r="S163" s="17"/>
      <c r="T163" s="37"/>
      <c r="U163" s="37"/>
      <c r="V163" s="37">
        <f>'M1 Härtekammern'!T156</f>
        <v>47.997919375812742</v>
      </c>
      <c r="W163" s="17"/>
      <c r="X163" s="17"/>
      <c r="Y163" s="37">
        <f t="shared" si="38"/>
        <v>0</v>
      </c>
      <c r="Z163" s="37">
        <f t="shared" ref="Z163:Z166" si="40">SUM(T163:V163)</f>
        <v>47.997919375812742</v>
      </c>
      <c r="AA163" s="17" t="s">
        <v>184</v>
      </c>
      <c r="AB163" s="42"/>
      <c r="AC163" s="42"/>
      <c r="AD163" s="42"/>
      <c r="AE163" s="42"/>
      <c r="AF163" s="42"/>
      <c r="AG163" s="42"/>
      <c r="AH163" s="42"/>
      <c r="AI163" s="42"/>
    </row>
    <row r="164" spans="16:35" ht="15.75" hidden="1" outlineLevel="1" x14ac:dyDescent="0.3">
      <c r="P164" s="17"/>
      <c r="Q164" s="17"/>
      <c r="R164" s="17" t="s">
        <v>52</v>
      </c>
      <c r="S164" s="17"/>
      <c r="T164" s="37"/>
      <c r="U164" s="37"/>
      <c r="V164" s="37">
        <f>'M1 Härtekammern'!T157</f>
        <v>5.7797543707556596</v>
      </c>
      <c r="W164" s="17"/>
      <c r="X164" s="17"/>
      <c r="Y164" s="37">
        <f t="shared" si="38"/>
        <v>0</v>
      </c>
      <c r="Z164" s="37">
        <f t="shared" si="40"/>
        <v>5.7797543707556596</v>
      </c>
      <c r="AA164" s="17" t="s">
        <v>184</v>
      </c>
      <c r="AB164" s="42"/>
      <c r="AC164" s="42"/>
      <c r="AD164" s="42"/>
      <c r="AE164" s="42"/>
      <c r="AF164" s="42"/>
      <c r="AG164" s="42"/>
      <c r="AH164" s="42"/>
      <c r="AI164" s="42"/>
    </row>
    <row r="165" spans="16:35" ht="15.75" hidden="1" outlineLevel="1" x14ac:dyDescent="0.3">
      <c r="P165" s="17"/>
      <c r="Q165" s="17"/>
      <c r="R165" s="17" t="s">
        <v>53</v>
      </c>
      <c r="S165" s="17"/>
      <c r="T165" s="37"/>
      <c r="U165" s="37"/>
      <c r="V165" s="37">
        <f>'M1 Härtekammern'!T158</f>
        <v>1.4217598612917211E-2</v>
      </c>
      <c r="W165" s="17"/>
      <c r="X165" s="17"/>
      <c r="Y165" s="37">
        <f t="shared" si="38"/>
        <v>0</v>
      </c>
      <c r="Z165" s="37">
        <f t="shared" si="40"/>
        <v>1.4217598612917211E-2</v>
      </c>
      <c r="AA165" s="17" t="s">
        <v>184</v>
      </c>
      <c r="AB165" s="42"/>
      <c r="AC165" s="42"/>
      <c r="AD165" s="42"/>
      <c r="AE165" s="42"/>
      <c r="AF165" s="42"/>
      <c r="AG165" s="42"/>
      <c r="AH165" s="42"/>
      <c r="AI165" s="42"/>
    </row>
    <row r="166" spans="16:35" ht="15.75" hidden="1" outlineLevel="1" x14ac:dyDescent="0.3">
      <c r="P166" s="17"/>
      <c r="Q166" s="17"/>
      <c r="R166" s="17" t="s">
        <v>54</v>
      </c>
      <c r="S166" s="17"/>
      <c r="T166" s="37"/>
      <c r="U166" s="37"/>
      <c r="V166" s="37">
        <f>'M1 Härtekammern'!T159</f>
        <v>94.655570004334635</v>
      </c>
      <c r="W166" s="17"/>
      <c r="X166" s="17"/>
      <c r="Y166" s="37">
        <f t="shared" si="38"/>
        <v>0</v>
      </c>
      <c r="Z166" s="37">
        <f t="shared" si="40"/>
        <v>94.655570004334635</v>
      </c>
      <c r="AA166" s="17" t="s">
        <v>184</v>
      </c>
      <c r="AB166" s="42"/>
      <c r="AC166" s="42"/>
      <c r="AD166" s="42"/>
      <c r="AE166" s="42"/>
      <c r="AF166" s="42"/>
      <c r="AG166" s="42"/>
      <c r="AH166" s="42"/>
      <c r="AI166" s="42"/>
    </row>
    <row r="167" spans="16:35" hidden="1" outlineLevel="1" x14ac:dyDescent="0.2">
      <c r="P167" s="17"/>
      <c r="Q167" s="17"/>
      <c r="R167" s="17"/>
      <c r="S167" s="17"/>
      <c r="T167" s="20"/>
      <c r="U167" s="20"/>
      <c r="V167" s="20"/>
      <c r="W167" s="17"/>
      <c r="X167" s="17"/>
      <c r="Y167" s="20"/>
      <c r="Z167" s="20"/>
      <c r="AA167" s="17"/>
      <c r="AB167" s="42"/>
      <c r="AC167" s="42"/>
      <c r="AD167" s="42"/>
      <c r="AE167" s="42"/>
      <c r="AF167" s="42"/>
      <c r="AG167" s="42"/>
      <c r="AH167" s="42"/>
      <c r="AI167" s="42"/>
    </row>
    <row r="168" spans="16:35" ht="14.25" hidden="1" outlineLevel="1" x14ac:dyDescent="0.25">
      <c r="P168" s="69"/>
      <c r="Q168" s="69" t="s">
        <v>246</v>
      </c>
      <c r="R168" s="70"/>
      <c r="S168" s="70"/>
      <c r="T168" s="71"/>
      <c r="U168" s="71"/>
      <c r="V168" s="71">
        <f>SUM(V169:V170)</f>
        <v>0</v>
      </c>
      <c r="W168" s="70"/>
      <c r="X168" s="70"/>
      <c r="Y168" s="71">
        <f>T168+U168</f>
        <v>0</v>
      </c>
      <c r="Z168" s="71">
        <f t="shared" ref="Z168" si="41">SUM(T168:V168)</f>
        <v>0</v>
      </c>
      <c r="AA168" s="76" t="s">
        <v>183</v>
      </c>
      <c r="AB168" s="42"/>
      <c r="AC168" s="42"/>
      <c r="AD168" s="42"/>
      <c r="AE168" s="42"/>
      <c r="AF168" s="42"/>
      <c r="AG168" s="42"/>
      <c r="AH168" s="42"/>
      <c r="AI168" s="42"/>
    </row>
    <row r="169" spans="16:35" ht="15.75" hidden="1" outlineLevel="1" x14ac:dyDescent="0.3">
      <c r="P169" s="274"/>
      <c r="Q169" s="17"/>
      <c r="R169" s="17" t="s">
        <v>242</v>
      </c>
      <c r="S169" s="17"/>
      <c r="T169" s="37"/>
      <c r="U169" s="37"/>
      <c r="V169" s="37">
        <f>IF(NOT(ISBLANK(F23)),F23,D23)*IF(NOT(ISBLANK(F26)),F26,0)</f>
        <v>0</v>
      </c>
      <c r="W169" s="17"/>
      <c r="X169" s="17"/>
      <c r="Y169" s="37">
        <f t="shared" ref="Y169:Y170" si="42">T169+U169</f>
        <v>0</v>
      </c>
      <c r="Z169" s="37">
        <f t="shared" ref="Z169:Z170" si="43">SUM(T169:V169)</f>
        <v>0</v>
      </c>
      <c r="AA169" s="17" t="s">
        <v>184</v>
      </c>
      <c r="AB169" s="42"/>
      <c r="AC169" s="42"/>
      <c r="AD169" s="42"/>
      <c r="AE169" s="42"/>
      <c r="AF169" s="42"/>
      <c r="AG169" s="42"/>
      <c r="AH169" s="42"/>
      <c r="AI169" s="42"/>
    </row>
    <row r="170" spans="16:35" ht="15.75" hidden="1" outlineLevel="1" x14ac:dyDescent="0.3">
      <c r="P170" s="274"/>
      <c r="Q170" s="17"/>
      <c r="R170" s="17" t="s">
        <v>243</v>
      </c>
      <c r="S170" s="17"/>
      <c r="T170" s="37"/>
      <c r="U170" s="37"/>
      <c r="V170" s="37">
        <f>IF(NOT(ISBLANK(F24)),F24,D24)*IF(NOT(ISBLANK(F27)),F27,0)</f>
        <v>0</v>
      </c>
      <c r="W170" s="17"/>
      <c r="X170" s="17"/>
      <c r="Y170" s="37">
        <f t="shared" si="42"/>
        <v>0</v>
      </c>
      <c r="Z170" s="37">
        <f t="shared" si="43"/>
        <v>0</v>
      </c>
      <c r="AA170" s="17" t="s">
        <v>184</v>
      </c>
      <c r="AB170" s="42"/>
      <c r="AC170" s="42"/>
      <c r="AD170" s="42"/>
      <c r="AE170" s="42"/>
      <c r="AF170" s="42"/>
      <c r="AG170" s="42"/>
      <c r="AH170" s="42"/>
      <c r="AI170" s="42"/>
    </row>
    <row r="171" spans="16:35" hidden="1" outlineLevel="1" x14ac:dyDescent="0.2">
      <c r="P171" s="17"/>
      <c r="Q171" s="17"/>
      <c r="R171" s="17"/>
      <c r="S171" s="17"/>
      <c r="T171" s="20"/>
      <c r="U171" s="20"/>
      <c r="V171" s="20"/>
      <c r="W171" s="17"/>
      <c r="X171" s="17"/>
      <c r="Y171" s="20"/>
      <c r="Z171" s="20"/>
      <c r="AA171" s="17"/>
      <c r="AB171" s="42"/>
      <c r="AC171" s="42"/>
      <c r="AD171" s="42"/>
      <c r="AE171" s="42"/>
      <c r="AF171" s="42"/>
      <c r="AG171" s="42"/>
      <c r="AH171" s="42"/>
      <c r="AI171" s="42"/>
    </row>
    <row r="172" spans="16:35" ht="14.25" hidden="1" outlineLevel="1" x14ac:dyDescent="0.25">
      <c r="P172" s="17"/>
      <c r="Q172" s="17"/>
      <c r="R172" s="21" t="s">
        <v>99</v>
      </c>
      <c r="S172" s="21"/>
      <c r="T172" s="74"/>
      <c r="U172" s="74"/>
      <c r="V172" s="74">
        <f>'M1 Härtekammern'!T161</f>
        <v>0</v>
      </c>
      <c r="W172" s="21"/>
      <c r="X172" s="21"/>
      <c r="Y172" s="74">
        <f>T172+U172</f>
        <v>0</v>
      </c>
      <c r="Z172" s="74">
        <f>SUM(T172:V172)</f>
        <v>0</v>
      </c>
      <c r="AA172" s="21" t="s">
        <v>183</v>
      </c>
      <c r="AB172" s="42"/>
      <c r="AC172" s="42"/>
      <c r="AD172" s="42"/>
      <c r="AE172" s="42"/>
      <c r="AF172" s="42"/>
      <c r="AG172" s="42"/>
      <c r="AH172" s="42"/>
      <c r="AI172" s="42"/>
    </row>
    <row r="173" spans="16:35" ht="14.25" hidden="1" outlineLevel="1" x14ac:dyDescent="0.25">
      <c r="P173" s="17"/>
      <c r="Q173" s="17"/>
      <c r="R173" s="21" t="s">
        <v>62</v>
      </c>
      <c r="S173" s="21"/>
      <c r="T173" s="74"/>
      <c r="U173" s="74"/>
      <c r="V173" s="74">
        <f>'M1 Härtekammern'!T162</f>
        <v>0.54400000000000004</v>
      </c>
      <c r="W173" s="21"/>
      <c r="X173" s="21"/>
      <c r="Y173" s="74">
        <f>T173+U173</f>
        <v>0</v>
      </c>
      <c r="Z173" s="74">
        <f>SUM(T173:V173)</f>
        <v>0.54400000000000004</v>
      </c>
      <c r="AA173" s="21" t="s">
        <v>183</v>
      </c>
      <c r="AB173" s="42"/>
      <c r="AC173" s="42"/>
      <c r="AD173" s="42"/>
      <c r="AE173" s="42"/>
      <c r="AF173" s="42"/>
      <c r="AG173" s="42"/>
      <c r="AH173" s="42"/>
      <c r="AI173" s="42"/>
    </row>
    <row r="174" spans="16:35" hidden="1" outlineLevel="1" x14ac:dyDescent="0.2">
      <c r="P174" s="17"/>
      <c r="Q174" s="17"/>
      <c r="R174" s="17"/>
      <c r="S174" s="17"/>
      <c r="T174" s="20"/>
      <c r="U174" s="20"/>
      <c r="V174" s="20"/>
      <c r="W174" s="17"/>
      <c r="X174" s="17"/>
      <c r="Y174" s="20"/>
      <c r="Z174" s="20"/>
      <c r="AA174" s="17"/>
      <c r="AB174" s="42"/>
      <c r="AC174" s="42"/>
      <c r="AD174" s="42"/>
      <c r="AE174" s="42"/>
      <c r="AF174" s="42"/>
      <c r="AG174" s="42"/>
      <c r="AH174" s="42"/>
      <c r="AI174" s="42"/>
    </row>
    <row r="175" spans="16:35" ht="14.25" hidden="1" outlineLevel="1" x14ac:dyDescent="0.25">
      <c r="P175" s="69"/>
      <c r="Q175" s="69" t="s">
        <v>168</v>
      </c>
      <c r="R175" s="70"/>
      <c r="S175" s="70"/>
      <c r="T175" s="71"/>
      <c r="U175" s="71"/>
      <c r="V175" s="71">
        <f>SUM(V176:V178)</f>
        <v>0.16095999999999999</v>
      </c>
      <c r="W175" s="70"/>
      <c r="X175" s="70"/>
      <c r="Y175" s="71">
        <f t="shared" ref="Y175:Y178" si="44">T175+U175</f>
        <v>0</v>
      </c>
      <c r="Z175" s="71">
        <f t="shared" ref="Z175" si="45">SUM(T175:V175)</f>
        <v>0.16095999999999999</v>
      </c>
      <c r="AA175" s="76" t="s">
        <v>183</v>
      </c>
      <c r="AB175" s="42"/>
      <c r="AC175" s="42"/>
      <c r="AD175" s="42"/>
      <c r="AE175" s="42"/>
      <c r="AF175" s="42"/>
      <c r="AG175" s="42"/>
      <c r="AH175" s="42"/>
      <c r="AI175" s="42"/>
    </row>
    <row r="176" spans="16:35" ht="15.75" hidden="1" outlineLevel="1" x14ac:dyDescent="0.3">
      <c r="P176" s="17"/>
      <c r="Q176" s="17"/>
      <c r="R176" s="17" t="s">
        <v>169</v>
      </c>
      <c r="S176" s="17"/>
      <c r="T176" s="37"/>
      <c r="U176" s="37"/>
      <c r="V176" s="37">
        <f>'M1 Härtekammern'!T165</f>
        <v>0</v>
      </c>
      <c r="W176" s="17"/>
      <c r="X176" s="17"/>
      <c r="Y176" s="37">
        <f t="shared" si="44"/>
        <v>0</v>
      </c>
      <c r="Z176" s="37">
        <f t="shared" ref="Z176:Z178" si="46">SUM(T176:V176)</f>
        <v>0</v>
      </c>
      <c r="AA176" s="17" t="s">
        <v>184</v>
      </c>
      <c r="AB176" s="42"/>
      <c r="AC176" s="42"/>
      <c r="AD176" s="42"/>
      <c r="AE176" s="42"/>
      <c r="AF176" s="42"/>
      <c r="AG176" s="42"/>
      <c r="AH176" s="42"/>
      <c r="AI176" s="42"/>
    </row>
    <row r="177" spans="16:42" ht="15.75" hidden="1" outlineLevel="1" x14ac:dyDescent="0.3">
      <c r="P177" s="17"/>
      <c r="Q177" s="17"/>
      <c r="R177" s="17" t="s">
        <v>60</v>
      </c>
      <c r="S177" s="17"/>
      <c r="T177" s="37"/>
      <c r="U177" s="37"/>
      <c r="V177" s="37">
        <f>'M1 Härtekammern'!T166</f>
        <v>0.16095999999999999</v>
      </c>
      <c r="W177" s="17"/>
      <c r="X177" s="17"/>
      <c r="Y177" s="37">
        <f t="shared" si="44"/>
        <v>0</v>
      </c>
      <c r="Z177" s="37">
        <f t="shared" si="46"/>
        <v>0.16095999999999999</v>
      </c>
      <c r="AA177" s="17" t="s">
        <v>184</v>
      </c>
      <c r="AB177" s="42"/>
      <c r="AC177" s="42"/>
      <c r="AD177" s="42"/>
      <c r="AE177" s="42"/>
      <c r="AF177" s="42"/>
      <c r="AG177" s="42"/>
      <c r="AH177" s="42"/>
      <c r="AI177" s="42"/>
    </row>
    <row r="178" spans="16:42" ht="15.75" hidden="1" outlineLevel="1" x14ac:dyDescent="0.3">
      <c r="P178" s="17"/>
      <c r="Q178" s="17"/>
      <c r="R178" s="17" t="s">
        <v>170</v>
      </c>
      <c r="S178" s="17"/>
      <c r="T178" s="37"/>
      <c r="U178" s="37"/>
      <c r="V178" s="37">
        <f>'M1 Härtekammern'!T167</f>
        <v>0</v>
      </c>
      <c r="W178" s="17"/>
      <c r="X178" s="17"/>
      <c r="Y178" s="37">
        <f t="shared" si="44"/>
        <v>0</v>
      </c>
      <c r="Z178" s="37">
        <f t="shared" si="46"/>
        <v>0</v>
      </c>
      <c r="AA178" s="17" t="s">
        <v>184</v>
      </c>
      <c r="AB178" s="42"/>
      <c r="AC178" s="42"/>
      <c r="AD178" s="42"/>
      <c r="AE178" s="42"/>
      <c r="AF178" s="42"/>
      <c r="AG178" s="42"/>
      <c r="AH178" s="42"/>
      <c r="AI178" s="42"/>
    </row>
    <row r="179" spans="16:42" hidden="1" outlineLevel="1" x14ac:dyDescent="0.2">
      <c r="P179" s="17"/>
      <c r="Q179" s="17"/>
      <c r="R179" s="17"/>
      <c r="S179" s="17"/>
      <c r="T179" s="20"/>
      <c r="U179" s="20"/>
      <c r="V179" s="20"/>
      <c r="W179" s="17"/>
      <c r="X179" s="17"/>
      <c r="Y179" s="17"/>
      <c r="Z179" s="17"/>
      <c r="AA179" s="20"/>
      <c r="AB179" s="42"/>
      <c r="AC179" s="42"/>
      <c r="AD179" s="42"/>
      <c r="AE179" s="42"/>
      <c r="AF179" s="42"/>
      <c r="AG179" s="42"/>
      <c r="AH179" s="42"/>
      <c r="AI179" s="42"/>
    </row>
    <row r="180" spans="16:42" s="72" customFormat="1" ht="14.25" hidden="1" outlineLevel="1" x14ac:dyDescent="0.25">
      <c r="P180" s="69"/>
      <c r="Q180" s="69" t="s">
        <v>171</v>
      </c>
      <c r="R180" s="70"/>
      <c r="S180" s="70"/>
      <c r="T180" s="71"/>
      <c r="U180" s="71"/>
      <c r="V180" s="71">
        <f>SUM(V181:V183)</f>
        <v>60</v>
      </c>
      <c r="W180" s="70"/>
      <c r="X180" s="70"/>
      <c r="Y180" s="71">
        <f>T180+U180</f>
        <v>0</v>
      </c>
      <c r="Z180" s="71">
        <f t="shared" ref="Z180" si="47">SUM(T180:V180)</f>
        <v>60</v>
      </c>
      <c r="AA180" s="76" t="s">
        <v>183</v>
      </c>
      <c r="AB180" s="42"/>
      <c r="AC180" s="42"/>
      <c r="AD180" s="42"/>
      <c r="AE180" s="42"/>
      <c r="AF180" s="42"/>
      <c r="AG180" s="42"/>
      <c r="AH180" s="42"/>
      <c r="AI180" s="42"/>
      <c r="AJ180" s="6"/>
      <c r="AK180" s="6"/>
      <c r="AL180" s="6"/>
      <c r="AM180" s="6"/>
      <c r="AN180" s="6"/>
      <c r="AO180" s="6"/>
      <c r="AP180" s="6"/>
    </row>
    <row r="181" spans="16:42" ht="15.75" hidden="1" outlineLevel="1" x14ac:dyDescent="0.3">
      <c r="P181" s="17"/>
      <c r="Q181" s="17"/>
      <c r="R181" s="17" t="s">
        <v>64</v>
      </c>
      <c r="S181" s="17"/>
      <c r="T181" s="37"/>
      <c r="U181" s="37"/>
      <c r="V181" s="37">
        <f>'M1 Härtekammern'!T170</f>
        <v>60</v>
      </c>
      <c r="W181" s="17"/>
      <c r="X181" s="17"/>
      <c r="Y181" s="37">
        <f>T181+U181</f>
        <v>0</v>
      </c>
      <c r="Z181" s="37">
        <f>SUM(T181:V181)</f>
        <v>60</v>
      </c>
      <c r="AA181" s="17" t="s">
        <v>184</v>
      </c>
      <c r="AB181" s="42"/>
      <c r="AC181" s="42"/>
      <c r="AD181" s="42"/>
      <c r="AE181" s="42"/>
      <c r="AF181" s="42"/>
      <c r="AG181" s="42"/>
      <c r="AH181" s="42"/>
      <c r="AI181" s="42"/>
    </row>
    <row r="182" spans="16:42" ht="15.75" hidden="1" outlineLevel="1" x14ac:dyDescent="0.3">
      <c r="P182" s="17"/>
      <c r="Q182" s="17"/>
      <c r="R182" s="17" t="s">
        <v>173</v>
      </c>
      <c r="S182" s="17"/>
      <c r="T182" s="37"/>
      <c r="U182" s="37"/>
      <c r="V182" s="37">
        <f>'M1 Härtekammern'!T171</f>
        <v>0</v>
      </c>
      <c r="W182" s="17"/>
      <c r="X182" s="17"/>
      <c r="Y182" s="37">
        <f t="shared" ref="Y182:Y183" si="48">T182+U182</f>
        <v>0</v>
      </c>
      <c r="Z182" s="37">
        <f t="shared" ref="Z182:Z183" si="49">SUM(T182:V182)</f>
        <v>0</v>
      </c>
      <c r="AA182" s="17" t="s">
        <v>184</v>
      </c>
      <c r="AB182" s="42"/>
      <c r="AC182" s="42"/>
      <c r="AD182" s="42"/>
      <c r="AE182" s="42"/>
      <c r="AF182" s="42"/>
      <c r="AG182" s="42"/>
      <c r="AH182" s="42"/>
      <c r="AI182" s="42"/>
    </row>
    <row r="183" spans="16:42" ht="15.75" hidden="1" outlineLevel="1" x14ac:dyDescent="0.3">
      <c r="P183" s="17"/>
      <c r="Q183" s="17"/>
      <c r="R183" s="17" t="s">
        <v>172</v>
      </c>
      <c r="S183" s="17"/>
      <c r="T183" s="37"/>
      <c r="U183" s="37"/>
      <c r="V183" s="37">
        <f>'M1 Härtekammern'!T172</f>
        <v>0</v>
      </c>
      <c r="W183" s="17"/>
      <c r="X183" s="17"/>
      <c r="Y183" s="37">
        <f t="shared" si="48"/>
        <v>0</v>
      </c>
      <c r="Z183" s="37">
        <f t="shared" si="49"/>
        <v>0</v>
      </c>
      <c r="AA183" s="17" t="s">
        <v>184</v>
      </c>
      <c r="AB183" s="42"/>
      <c r="AC183" s="42"/>
      <c r="AD183" s="42"/>
      <c r="AE183" s="42"/>
      <c r="AF183" s="42"/>
      <c r="AG183" s="42"/>
      <c r="AH183" s="42"/>
      <c r="AI183" s="42"/>
    </row>
    <row r="184" spans="16:42" hidden="1" outlineLevel="1" x14ac:dyDescent="0.2">
      <c r="P184" s="17"/>
      <c r="Q184" s="17"/>
      <c r="R184" s="17"/>
      <c r="S184" s="17"/>
      <c r="T184" s="20"/>
      <c r="U184" s="20"/>
      <c r="V184" s="20"/>
      <c r="W184" s="17"/>
      <c r="X184" s="17"/>
      <c r="Y184" s="17"/>
      <c r="Z184" s="17"/>
      <c r="AA184" s="20"/>
      <c r="AB184" s="42"/>
      <c r="AC184" s="42"/>
      <c r="AD184" s="42"/>
      <c r="AE184" s="42"/>
      <c r="AF184" s="42"/>
      <c r="AG184" s="42"/>
      <c r="AH184" s="42"/>
      <c r="AI184" s="42"/>
    </row>
    <row r="185" spans="16:42" ht="14.25" hidden="1" outlineLevel="1" x14ac:dyDescent="0.25">
      <c r="P185" s="17"/>
      <c r="Q185" s="17"/>
      <c r="R185" s="21" t="s">
        <v>61</v>
      </c>
      <c r="S185" s="21"/>
      <c r="T185" s="74"/>
      <c r="U185" s="74"/>
      <c r="V185" s="74">
        <f>'M1 Härtekammern'!T174</f>
        <v>64.48</v>
      </c>
      <c r="W185" s="21"/>
      <c r="X185" s="21"/>
      <c r="Y185" s="74">
        <f t="shared" ref="Y185" si="50">T185+U185</f>
        <v>0</v>
      </c>
      <c r="Z185" s="74">
        <f t="shared" ref="Z185" si="51">SUM(T185:V185)</f>
        <v>64.48</v>
      </c>
      <c r="AA185" s="21" t="s">
        <v>183</v>
      </c>
    </row>
    <row r="186" spans="16:42" hidden="1" outlineLevel="1" x14ac:dyDescent="0.2">
      <c r="P186" s="17"/>
      <c r="Q186" s="17"/>
      <c r="R186" s="17"/>
      <c r="S186" s="17"/>
      <c r="T186" s="20"/>
      <c r="U186" s="20"/>
      <c r="V186" s="20"/>
      <c r="W186" s="17"/>
      <c r="X186" s="17"/>
      <c r="Y186" s="17"/>
      <c r="Z186" s="17"/>
      <c r="AA186" s="20"/>
    </row>
    <row r="187" spans="16:42" ht="16.5" hidden="1" outlineLevel="1" thickBot="1" x14ac:dyDescent="0.3">
      <c r="P187" s="17"/>
      <c r="Q187" s="17"/>
      <c r="R187" s="67" t="s">
        <v>67</v>
      </c>
      <c r="S187" s="67"/>
      <c r="T187" s="68">
        <f>SUM(T122:T185)-T136-T140-T146-T155-T162-T175-T180-T168</f>
        <v>94.932355060000006</v>
      </c>
      <c r="U187" s="68">
        <f>SUM(U122:U185)-U136-U140-U146-U155-U162-U175-U180-U168</f>
        <v>124.8924470887134</v>
      </c>
      <c r="V187" s="68">
        <f>SUM(V122:V185)-V136-V140-V146-V155-V162-V175-V180-V168</f>
        <v>5516.8922232204277</v>
      </c>
      <c r="W187" s="21"/>
      <c r="X187" s="21"/>
      <c r="Y187" s="68">
        <f>SUM(Y122:Y185)-Y136-Y140-Y146-Y155-Y162-Y175-Y180-Y168</f>
        <v>219.82480214871336</v>
      </c>
      <c r="Z187" s="68">
        <f>SUM(Z122:Z185)-Z136-Z140-Z146-Z155-Z162-Z175-Z180-Z168</f>
        <v>5736.717025369142</v>
      </c>
      <c r="AA187" s="68" t="s">
        <v>183</v>
      </c>
      <c r="AC187" s="22" t="s">
        <v>106</v>
      </c>
      <c r="AD187" s="17"/>
      <c r="AE187" s="17"/>
      <c r="AF187" s="17"/>
      <c r="AG187" s="17"/>
      <c r="AH187" s="17"/>
      <c r="AI187" s="17"/>
      <c r="AJ187" s="17"/>
    </row>
    <row r="188" spans="16:42" ht="15.75" hidden="1" outlineLevel="1" thickTop="1" x14ac:dyDescent="0.25">
      <c r="P188" s="17"/>
      <c r="Q188" s="17"/>
      <c r="R188" s="17"/>
      <c r="S188" s="17"/>
      <c r="T188" s="20"/>
      <c r="U188" s="20"/>
      <c r="V188" s="20"/>
      <c r="W188" s="17"/>
      <c r="X188" s="17"/>
      <c r="Y188" s="17"/>
      <c r="Z188" s="17"/>
      <c r="AA188" s="20"/>
      <c r="AC188" s="64">
        <f>Q192</f>
        <v>10</v>
      </c>
      <c r="AD188" s="17"/>
      <c r="AE188" s="17"/>
      <c r="AF188" s="17"/>
      <c r="AG188" s="17"/>
      <c r="AH188" s="17"/>
      <c r="AI188" s="17"/>
      <c r="AJ188" s="17"/>
    </row>
    <row r="189" spans="16:42" hidden="1" outlineLevel="1" x14ac:dyDescent="0.2">
      <c r="AC189" s="17"/>
      <c r="AD189" s="17"/>
      <c r="AE189" s="17"/>
      <c r="AF189" s="17"/>
      <c r="AG189" s="17"/>
      <c r="AH189" s="17"/>
      <c r="AI189" s="17"/>
      <c r="AJ189" s="17"/>
    </row>
    <row r="190" spans="16:42" hidden="1" outlineLevel="1" x14ac:dyDescent="0.2">
      <c r="AC190" s="17"/>
      <c r="AD190" s="17"/>
      <c r="AE190" s="17"/>
      <c r="AF190" s="17"/>
      <c r="AG190" s="17"/>
      <c r="AH190" s="17"/>
      <c r="AI190" s="17"/>
      <c r="AJ190" s="17"/>
    </row>
    <row r="191" spans="16:42" ht="15.75" hidden="1" outlineLevel="1" x14ac:dyDescent="0.25">
      <c r="P191" s="22"/>
      <c r="Q191" s="22" t="s">
        <v>103</v>
      </c>
      <c r="R191" s="17"/>
      <c r="S191" s="17"/>
      <c r="T191" s="17"/>
      <c r="U191" s="17"/>
      <c r="V191" s="17"/>
      <c r="W191" s="17"/>
      <c r="X191" s="17"/>
      <c r="Y191" s="17"/>
      <c r="Z191" s="17"/>
      <c r="AA191" s="17"/>
      <c r="AC191" s="17"/>
      <c r="AD191" s="17"/>
      <c r="AE191" s="17"/>
      <c r="AF191" s="17"/>
      <c r="AG191" s="17"/>
      <c r="AH191" s="17"/>
      <c r="AI191" s="17"/>
      <c r="AJ191" s="17"/>
    </row>
    <row r="192" spans="16:42" ht="15" hidden="1" outlineLevel="1" x14ac:dyDescent="0.25">
      <c r="P192" s="64"/>
      <c r="Q192" s="64">
        <f>H13</f>
        <v>10</v>
      </c>
      <c r="R192" s="17" t="s">
        <v>192</v>
      </c>
      <c r="S192" s="25"/>
      <c r="T192" s="25"/>
      <c r="U192" s="25"/>
      <c r="V192" s="25"/>
      <c r="W192" s="25"/>
      <c r="X192" s="25"/>
      <c r="Y192" s="25"/>
      <c r="Z192" s="25"/>
      <c r="AA192" s="25"/>
      <c r="AC192" s="17"/>
      <c r="AD192" s="17"/>
      <c r="AE192" s="17"/>
      <c r="AF192" s="17"/>
      <c r="AG192" s="17"/>
      <c r="AH192" s="17"/>
      <c r="AI192" s="17"/>
      <c r="AJ192" s="17"/>
    </row>
    <row r="193" spans="16:36" hidden="1" outlineLevel="1" x14ac:dyDescent="0.2">
      <c r="P193" s="274"/>
      <c r="Q193" s="17"/>
      <c r="R193" s="17" t="s">
        <v>235</v>
      </c>
      <c r="S193" s="287">
        <f>(1-(IF(NOT(ISBLANK($J17)),$J17/100,$H17/100)))</f>
        <v>0.9</v>
      </c>
      <c r="T193" s="17"/>
      <c r="U193" s="17"/>
      <c r="V193" s="17"/>
      <c r="W193" s="17"/>
      <c r="X193" s="17"/>
      <c r="Y193" s="17"/>
      <c r="Z193" s="17"/>
      <c r="AA193" s="17"/>
      <c r="AC193" s="17"/>
      <c r="AD193" s="17"/>
      <c r="AE193" s="17"/>
      <c r="AF193" s="17"/>
      <c r="AG193" s="17"/>
      <c r="AH193" s="17"/>
      <c r="AI193" s="17"/>
      <c r="AJ193" s="17"/>
    </row>
    <row r="194" spans="16:36" hidden="1" outlineLevel="1" x14ac:dyDescent="0.2">
      <c r="P194" s="274"/>
      <c r="Q194" s="17"/>
      <c r="R194" s="17" t="s">
        <v>236</v>
      </c>
      <c r="S194" s="287">
        <f>(1-(IF(NOT(ISBLANK($J18)),$J18/100,$H18/100)))</f>
        <v>0.9</v>
      </c>
      <c r="T194" s="17"/>
      <c r="U194" s="17"/>
      <c r="V194" s="17"/>
      <c r="W194" s="17"/>
      <c r="X194" s="17"/>
      <c r="Y194" s="17"/>
      <c r="Z194" s="17"/>
      <c r="AA194" s="17"/>
      <c r="AC194" s="17"/>
      <c r="AD194" s="17"/>
      <c r="AE194" s="17"/>
      <c r="AF194" s="17"/>
      <c r="AG194" s="17"/>
      <c r="AH194" s="17"/>
      <c r="AI194" s="17"/>
      <c r="AJ194" s="17"/>
    </row>
    <row r="195" spans="16:36" hidden="1" outlineLevel="1" x14ac:dyDescent="0.2">
      <c r="P195" s="274"/>
      <c r="Q195" s="17"/>
      <c r="R195" s="17" t="s">
        <v>48</v>
      </c>
      <c r="S195" s="287">
        <f>(1-(IF(NOT(ISBLANK($J19)),$J19/100,$H19/100)))</f>
        <v>0.9</v>
      </c>
      <c r="T195" s="17"/>
      <c r="U195" s="17"/>
      <c r="V195" s="17"/>
      <c r="W195" s="17"/>
      <c r="X195" s="17"/>
      <c r="Y195" s="17"/>
      <c r="Z195" s="17"/>
      <c r="AA195" s="17"/>
      <c r="AC195" s="17"/>
      <c r="AD195" s="17"/>
      <c r="AE195" s="17"/>
      <c r="AF195" s="17"/>
      <c r="AG195" s="17"/>
      <c r="AH195" s="17"/>
      <c r="AI195" s="17"/>
      <c r="AJ195" s="17"/>
    </row>
    <row r="196" spans="16:36" hidden="1" outlineLevel="1" x14ac:dyDescent="0.2">
      <c r="P196" s="274"/>
      <c r="Q196" s="17"/>
      <c r="R196" s="17" t="s">
        <v>147</v>
      </c>
      <c r="S196" s="287">
        <f>(1-(IF(NOT(ISBLANK($J20)),$J20/100,$H20/100)))</f>
        <v>0.9</v>
      </c>
      <c r="T196" s="17"/>
      <c r="U196" s="17"/>
      <c r="V196" s="17"/>
      <c r="W196" s="17"/>
      <c r="X196" s="17"/>
      <c r="Y196" s="17"/>
      <c r="Z196" s="17"/>
      <c r="AA196" s="17"/>
      <c r="AC196" s="17"/>
      <c r="AD196" s="17"/>
      <c r="AE196" s="17"/>
      <c r="AF196" s="17"/>
      <c r="AG196" s="17"/>
      <c r="AH196" s="17"/>
      <c r="AI196" s="17"/>
      <c r="AJ196" s="17"/>
    </row>
    <row r="197" spans="16:36" hidden="1" outlineLevel="1" x14ac:dyDescent="0.2">
      <c r="P197" s="274"/>
      <c r="Q197" s="17"/>
      <c r="R197" s="17"/>
      <c r="S197" s="17"/>
      <c r="T197" s="17"/>
      <c r="U197" s="17"/>
      <c r="V197" s="17"/>
      <c r="W197" s="17"/>
      <c r="X197" s="17"/>
      <c r="Y197" s="17"/>
      <c r="Z197" s="17"/>
      <c r="AA197" s="17"/>
      <c r="AC197" s="17"/>
      <c r="AD197" s="17"/>
      <c r="AE197" s="17"/>
      <c r="AF197" s="18"/>
      <c r="AG197" s="18"/>
      <c r="AH197" s="17"/>
      <c r="AI197" s="18"/>
      <c r="AJ197" s="18"/>
    </row>
    <row r="198" spans="16:36" hidden="1" outlineLevel="1" x14ac:dyDescent="0.2">
      <c r="P198" s="274"/>
      <c r="Q198" s="17"/>
      <c r="R198" s="17"/>
      <c r="S198" s="17"/>
      <c r="T198" s="17"/>
      <c r="U198" s="17"/>
      <c r="V198" s="17"/>
      <c r="W198" s="17"/>
      <c r="X198" s="17"/>
      <c r="Y198" s="17"/>
      <c r="Z198" s="17"/>
      <c r="AA198" s="17"/>
      <c r="AC198" s="17"/>
      <c r="AD198" s="17"/>
      <c r="AE198" s="17"/>
      <c r="AF198" s="18"/>
      <c r="AG198" s="18"/>
      <c r="AH198" s="17"/>
      <c r="AI198" s="18"/>
      <c r="AJ198" s="18"/>
    </row>
    <row r="199" spans="16:36" hidden="1" outlineLevel="1" x14ac:dyDescent="0.2">
      <c r="P199" s="274"/>
      <c r="Q199" s="17"/>
      <c r="R199" s="17"/>
      <c r="S199" s="17"/>
      <c r="T199" s="17"/>
      <c r="U199" s="17"/>
      <c r="V199" s="17"/>
      <c r="W199" s="17"/>
      <c r="X199" s="17"/>
      <c r="Y199" s="17"/>
      <c r="Z199" s="17"/>
      <c r="AA199" s="17"/>
      <c r="AC199" s="17" t="s">
        <v>132</v>
      </c>
      <c r="AD199" s="17"/>
      <c r="AE199" s="17"/>
      <c r="AF199" s="18"/>
      <c r="AG199" s="18"/>
      <c r="AH199" s="17"/>
      <c r="AI199" s="18"/>
      <c r="AJ199" s="18"/>
    </row>
    <row r="200" spans="16:36" hidden="1" outlineLevel="1" x14ac:dyDescent="0.2">
      <c r="P200" s="17"/>
      <c r="Q200" s="17"/>
      <c r="R200" s="17"/>
      <c r="S200" s="17"/>
      <c r="T200" s="17"/>
      <c r="U200" s="17"/>
      <c r="V200" s="17"/>
      <c r="W200" s="17"/>
      <c r="X200" s="17"/>
      <c r="Y200" s="17"/>
      <c r="Z200" s="17"/>
      <c r="AA200" s="17"/>
      <c r="AC200" s="274"/>
      <c r="AD200" s="17" t="s">
        <v>114</v>
      </c>
      <c r="AE200" s="17"/>
      <c r="AF200" s="19"/>
      <c r="AG200" s="19"/>
      <c r="AH200" s="17"/>
      <c r="AI200" s="41">
        <f>IF(NOT(ISBLANK('Referenz Plattenfertiger'!$I16)),'Referenz Plattenfertiger'!$I16,'Referenz Plattenfertiger'!$F16)/1000*IF(NOT(ISBLANK('Eingabe Preise'!$O10)),'Eingabe Preise'!$O10,'Eingabe Preise'!$M10)</f>
        <v>11468</v>
      </c>
      <c r="AJ200" s="20" t="s">
        <v>96</v>
      </c>
    </row>
    <row r="201" spans="16:36" ht="63.75" hidden="1" outlineLevel="1" x14ac:dyDescent="0.2">
      <c r="P201" s="17"/>
      <c r="Q201" s="17"/>
      <c r="R201" s="17"/>
      <c r="S201" s="17"/>
      <c r="T201" s="36" t="s">
        <v>25</v>
      </c>
      <c r="U201" s="36" t="s">
        <v>77</v>
      </c>
      <c r="V201" s="36" t="s">
        <v>27</v>
      </c>
      <c r="W201" s="17"/>
      <c r="X201" s="17"/>
      <c r="Y201" s="39" t="s">
        <v>100</v>
      </c>
      <c r="Z201" s="40" t="s">
        <v>37</v>
      </c>
      <c r="AA201" s="17"/>
      <c r="AC201" s="274"/>
      <c r="AD201" s="17" t="s">
        <v>151</v>
      </c>
      <c r="AE201" s="17"/>
      <c r="AF201" s="20"/>
      <c r="AG201" s="20"/>
      <c r="AH201" s="17"/>
      <c r="AI201" s="41">
        <f>IF(NOT(ISBLANK('Referenz Plattenfertiger'!$I17)),'Referenz Plattenfertiger'!$I17,'Referenz Plattenfertiger'!$F17)/1000*IF(NOT(ISBLANK('Eingabe Preise'!$O11)),'Eingabe Preise'!$O11,'Eingabe Preise'!$M11)</f>
        <v>1104</v>
      </c>
      <c r="AJ201" s="20" t="s">
        <v>96</v>
      </c>
    </row>
    <row r="202" spans="16:36" ht="14.25" hidden="1" outlineLevel="1" x14ac:dyDescent="0.25">
      <c r="P202" s="76"/>
      <c r="Q202" s="76" t="s">
        <v>176</v>
      </c>
      <c r="R202" s="76"/>
      <c r="S202" s="76"/>
      <c r="T202" s="77">
        <f>SUM(T204:T217)</f>
        <v>94.932355060000006</v>
      </c>
      <c r="U202" s="77">
        <f>SUM(U204:U217)</f>
        <v>61.552554846110553</v>
      </c>
      <c r="V202" s="77">
        <f>SUM(V204:V217)</f>
        <v>25.105144641628776</v>
      </c>
      <c r="W202" s="76"/>
      <c r="X202" s="76"/>
      <c r="Y202" s="77">
        <f>T202+U202</f>
        <v>156.48490990611054</v>
      </c>
      <c r="Z202" s="77">
        <f>SUM(T202:V202)</f>
        <v>181.59005454773933</v>
      </c>
      <c r="AA202" s="76" t="s">
        <v>183</v>
      </c>
      <c r="AC202" s="274"/>
      <c r="AD202" s="17" t="s">
        <v>138</v>
      </c>
      <c r="AE202" s="17"/>
      <c r="AF202" s="20"/>
      <c r="AG202" s="20"/>
      <c r="AH202" s="17"/>
      <c r="AI202" s="41">
        <f>IF(NOT(ISBLANK('Referenz Plattenfertiger'!$I18)),'Referenz Plattenfertiger'!$I18,'Referenz Plattenfertiger'!$F18)/1000*IF(NOT(ISBLANK('Eingabe Preise'!$O12)),'Eingabe Preise'!$O12,'Eingabe Preise'!$M12)</f>
        <v>7740</v>
      </c>
      <c r="AJ202" s="20" t="s">
        <v>96</v>
      </c>
    </row>
    <row r="203" spans="16:36" hidden="1" outlineLevel="1" x14ac:dyDescent="0.2">
      <c r="P203" s="17"/>
      <c r="Q203" s="17" t="s">
        <v>132</v>
      </c>
      <c r="R203" s="17"/>
      <c r="S203" s="17"/>
      <c r="T203" s="17"/>
      <c r="U203" s="17"/>
      <c r="V203" s="17"/>
      <c r="W203" s="17"/>
      <c r="X203" s="17"/>
      <c r="Y203" s="17"/>
      <c r="Z203" s="17"/>
      <c r="AA203" s="17"/>
      <c r="AC203" s="274"/>
      <c r="AD203" s="17" t="s">
        <v>115</v>
      </c>
      <c r="AE203" s="17"/>
      <c r="AF203" s="20"/>
      <c r="AG203" s="20"/>
      <c r="AH203" s="17"/>
      <c r="AI203" s="41">
        <f>IF(NOT(ISBLANK('Referenz Plattenfertiger'!$I19)),'Referenz Plattenfertiger'!$I19,'Referenz Plattenfertiger'!$F19)/1000*IF(NOT(ISBLANK('Eingabe Preise'!$O16)),'Eingabe Preise'!$O16,0)</f>
        <v>0</v>
      </c>
      <c r="AJ203" s="20" t="s">
        <v>96</v>
      </c>
    </row>
    <row r="204" spans="16:36" ht="15.75" hidden="1" outlineLevel="1" x14ac:dyDescent="0.3">
      <c r="P204" s="274"/>
      <c r="Q204" s="17"/>
      <c r="R204" s="17" t="s">
        <v>114</v>
      </c>
      <c r="S204" s="17"/>
      <c r="T204" s="37">
        <f>IF(NOT(ISBLANK('Referenz Plattenfertiger'!$I16)),'Referenz Plattenfertiger'!$I16,'Referenz Plattenfertiger'!$F16)*IF(NOT(ISBLANK('Eingabe EF'!$AS9)),'Eingabe EF'!$AS9,'Eingabe EF'!$AQ9)</f>
        <v>34.434080000000002</v>
      </c>
      <c r="U204" s="37">
        <f>IF(NOT(ISBLANK('Referenz Plattenfertiger'!$I16)),'Referenz Plattenfertiger'!$I16,'Referenz Plattenfertiger'!$F16)*IF(NOT(ISBLANK('Eingabe EF'!$AW9)),'Eingabe EF'!$AW9,'Eingabe EF'!$AU9)</f>
        <v>0</v>
      </c>
      <c r="V204" s="37">
        <f>IF(NOT(ISBLANK('Referenz Plattenfertiger'!$I16)),'Referenz Plattenfertiger'!$I16,'Referenz Plattenfertiger'!$F16)*IF(NOT(ISBLANK('Eingabe EF'!$BA9)),'Eingabe EF'!$BA9,'Eingabe EF'!$AY9)</f>
        <v>5.8938000000000006</v>
      </c>
      <c r="W204" s="17"/>
      <c r="X204" s="17"/>
      <c r="Y204" s="37">
        <f>T204+U204</f>
        <v>34.434080000000002</v>
      </c>
      <c r="Z204" s="37">
        <f>SUM(T204:V204)</f>
        <v>40.32788</v>
      </c>
      <c r="AA204" s="17" t="s">
        <v>184</v>
      </c>
      <c r="AC204" s="17" t="s">
        <v>133</v>
      </c>
      <c r="AD204" s="17"/>
      <c r="AE204" s="17"/>
      <c r="AF204" s="20"/>
      <c r="AG204" s="20"/>
      <c r="AH204" s="17"/>
      <c r="AI204" s="20"/>
      <c r="AJ204" s="20"/>
    </row>
    <row r="205" spans="16:36" ht="15.75" hidden="1" outlineLevel="1" x14ac:dyDescent="0.3">
      <c r="P205" s="274"/>
      <c r="Q205" s="17"/>
      <c r="R205" s="17" t="s">
        <v>151</v>
      </c>
      <c r="S205" s="17"/>
      <c r="T205" s="37">
        <f>IF(NOT(ISBLANK('Referenz Plattenfertiger'!$I17)),'Referenz Plattenfertiger'!$I17,'Referenz Plattenfertiger'!$F17)*IF(NOT(ISBLANK('Eingabe EF'!$AS10)),'Eingabe EF'!$AS10,'Eingabe EF'!$AQ10)</f>
        <v>6.4022399999999999</v>
      </c>
      <c r="U205" s="37">
        <f>IF(NOT(ISBLANK('Referenz Plattenfertiger'!$I17)),'Referenz Plattenfertiger'!$I17,'Referenz Plattenfertiger'!$F17)*IF(NOT(ISBLANK('Eingabe EF'!$AW10)),'Eingabe EF'!$AW10,'Eingabe EF'!$AU10)</f>
        <v>0</v>
      </c>
      <c r="V205" s="37">
        <f>IF(NOT(ISBLANK('Referenz Plattenfertiger'!$I17)),'Referenz Plattenfertiger'!$I17,'Referenz Plattenfertiger'!$F17)*IF(NOT(ISBLANK('Eingabe EF'!$BA10)),'Eingabe EF'!$BA10,'Eingabe EF'!$AY10)</f>
        <v>0.949824</v>
      </c>
      <c r="W205" s="17"/>
      <c r="X205" s="17"/>
      <c r="Y205" s="37">
        <f>T205+U205</f>
        <v>6.4022399999999999</v>
      </c>
      <c r="Z205" s="37">
        <f>SUM(T205:V205)</f>
        <v>7.3520640000000004</v>
      </c>
      <c r="AA205" s="17" t="s">
        <v>184</v>
      </c>
      <c r="AC205" s="17"/>
      <c r="AD205" s="17" t="s">
        <v>29</v>
      </c>
      <c r="AE205" s="17"/>
      <c r="AF205" s="20"/>
      <c r="AG205" s="20"/>
      <c r="AH205" s="17"/>
      <c r="AI205" s="41">
        <f>IF(NOT(ISBLANK('Referenz Plattenfertiger'!$I21)),'Referenz Plattenfertiger'!$I21,'Referenz Plattenfertiger'!$F21)/1000*IF(NOT(ISBLANK('Eingabe Preise'!$O10)),'Eingabe Preise'!$O10,'Eingabe Preise'!$M10)</f>
        <v>2867</v>
      </c>
      <c r="AJ205" s="20" t="s">
        <v>96</v>
      </c>
    </row>
    <row r="206" spans="16:36" ht="15.75" hidden="1" outlineLevel="1" x14ac:dyDescent="0.3">
      <c r="P206" s="274"/>
      <c r="Q206" s="17"/>
      <c r="R206" s="17" t="s">
        <v>138</v>
      </c>
      <c r="S206" s="17"/>
      <c r="T206" s="37">
        <f>IF(NOT(ISBLANK('Referenz Plattenfertiger'!$I18)),'Referenz Plattenfertiger'!$I18,'Referenz Plattenfertiger'!$F18)*IF(NOT(ISBLANK('Eingabe EF'!$AS11)),'Eingabe EF'!$AS11,'Eingabe EF'!$AQ11)</f>
        <v>0</v>
      </c>
      <c r="U206" s="37">
        <f>IF(NOT(ISBLANK('Referenz Plattenfertiger'!$I18)),'Referenz Plattenfertiger'!$I18,'Referenz Plattenfertiger'!$F18)*IF(NOT(ISBLANK('Eingabe EF'!$AW11)),'Eingabe EF'!$AW11,'Eingabe EF'!$AU11)</f>
        <v>6.1552554846110556</v>
      </c>
      <c r="V206" s="37">
        <f>IF(NOT(ISBLANK('Referenz Plattenfertiger'!$I18)),'Referenz Plattenfertiger'!$I18,'Referenz Plattenfertiger'!$F18)*IF(NOT(ISBLANK('Eingabe EF'!$BA11)),'Eingabe EF'!$BA11,'Eingabe EF'!$AY11)</f>
        <v>0.90234111816287721</v>
      </c>
      <c r="W206" s="17"/>
      <c r="X206" s="17"/>
      <c r="Y206" s="37">
        <f>T206+U206</f>
        <v>6.1552554846110556</v>
      </c>
      <c r="Z206" s="37">
        <f>SUM(T206:V206)</f>
        <v>7.0575966027739332</v>
      </c>
      <c r="AA206" s="17" t="s">
        <v>184</v>
      </c>
      <c r="AC206" s="17"/>
      <c r="AD206" s="17" t="s">
        <v>30</v>
      </c>
      <c r="AE206" s="17"/>
      <c r="AF206" s="20"/>
      <c r="AG206" s="20"/>
      <c r="AH206" s="17"/>
      <c r="AI206" s="41">
        <f>IF(NOT(ISBLANK('Referenz Plattenfertiger'!$I22)),'Referenz Plattenfertiger'!$I22,'Referenz Plattenfertiger'!$F22)/1000*IF(NOT(ISBLANK('Eingabe Preise'!$O11)),'Eingabe Preise'!$O11,'Eingabe Preise'!$M11)</f>
        <v>1656</v>
      </c>
      <c r="AJ206" s="20" t="s">
        <v>96</v>
      </c>
    </row>
    <row r="207" spans="16:36" ht="15.75" hidden="1" outlineLevel="1" x14ac:dyDescent="0.3">
      <c r="P207" s="274"/>
      <c r="Q207" s="17"/>
      <c r="R207" s="17" t="s">
        <v>115</v>
      </c>
      <c r="S207" s="17"/>
      <c r="T207" s="43">
        <f>IF(NOT(ISBLANK('Referenz Plattenfertiger'!$I19)),'Referenz Plattenfertiger'!$I19,'Referenz Plattenfertiger'!$F19)*IF(NOT(ISBLANK('Eingabe EF'!$AS12)),'Eingabe EF'!$AS12,0)</f>
        <v>0</v>
      </c>
      <c r="U207" s="43">
        <f>IF(NOT(ISBLANK('Referenz Plattenfertiger'!$I19)),'Referenz Plattenfertiger'!$I19,'Referenz Plattenfertiger'!$F19)*IF(NOT(ISBLANK('Eingabe EF'!$AW12)),'Eingabe EF'!$AW12,0)</f>
        <v>0</v>
      </c>
      <c r="V207" s="43">
        <f>IF(NOT(ISBLANK('Referenz Plattenfertiger'!$I19)),'Referenz Plattenfertiger'!$I19,'Referenz Plattenfertiger'!$F19)*IF(NOT(ISBLANK('Eingabe EF'!$BA12)),'Eingabe EF'!$BA12,0)</f>
        <v>0</v>
      </c>
      <c r="W207" s="17"/>
      <c r="X207" s="17"/>
      <c r="Y207" s="37">
        <f>T207+U207</f>
        <v>0</v>
      </c>
      <c r="Z207" s="37">
        <f>SUM(T207:V207)</f>
        <v>0</v>
      </c>
      <c r="AA207" s="17" t="s">
        <v>184</v>
      </c>
      <c r="AC207" s="17" t="s">
        <v>134</v>
      </c>
      <c r="AD207" s="17"/>
      <c r="AE207" s="17"/>
      <c r="AF207" s="20"/>
      <c r="AG207" s="20"/>
      <c r="AH207" s="17"/>
      <c r="AI207" s="20"/>
      <c r="AJ207" s="20"/>
    </row>
    <row r="208" spans="16:36" hidden="1" outlineLevel="1" x14ac:dyDescent="0.2">
      <c r="P208" s="17"/>
      <c r="Q208" s="17" t="s">
        <v>133</v>
      </c>
      <c r="R208" s="17"/>
      <c r="S208" s="17"/>
      <c r="T208" s="17"/>
      <c r="U208" s="17"/>
      <c r="V208" s="17"/>
      <c r="W208" s="17"/>
      <c r="X208" s="17"/>
      <c r="Y208" s="17"/>
      <c r="Z208" s="17"/>
      <c r="AA208" s="17"/>
      <c r="AC208" s="17"/>
      <c r="AD208" s="17" t="s">
        <v>136</v>
      </c>
      <c r="AE208" s="17"/>
      <c r="AF208" s="20"/>
      <c r="AG208" s="20"/>
      <c r="AH208" s="17"/>
      <c r="AI208" s="41">
        <f>IF(NOT(ISBLANK('Referenz Plattenfertiger'!$I24)),'Referenz Plattenfertiger'!$I24,'Referenz Plattenfertiger'!$F24)/1000*IF(NOT(ISBLANK('Eingabe Preise'!$O12)),'Eingabe Preise'!$O12,'Eingabe Preise'!$M12)</f>
        <v>69660</v>
      </c>
      <c r="AJ208" s="20" t="s">
        <v>96</v>
      </c>
    </row>
    <row r="209" spans="16:36" ht="15.75" hidden="1" outlineLevel="1" x14ac:dyDescent="0.3">
      <c r="P209" s="17"/>
      <c r="Q209" s="17"/>
      <c r="R209" s="17" t="s">
        <v>29</v>
      </c>
      <c r="S209" s="17"/>
      <c r="T209" s="43">
        <f>IF(NOT(ISBLANK('Referenz Plattenfertiger'!$I21)),'Referenz Plattenfertiger'!$I21,'Referenz Plattenfertiger'!$F21)*IF(NOT(ISBLANK('Eingabe EF'!$AS9)),'Eingabe EF'!$AS9,'Eingabe EF'!$AQ9)</f>
        <v>8.6085200000000004</v>
      </c>
      <c r="U209" s="43">
        <f>IF(NOT(ISBLANK('Referenz Plattenfertiger'!$I21)),'Referenz Plattenfertiger'!$I21,'Referenz Plattenfertiger'!$F21)*IF(NOT(ISBLANK('Eingabe EF'!$AW9)),'Eingabe EF'!$AW9,'Eingabe EF'!$AU9)</f>
        <v>0</v>
      </c>
      <c r="V209" s="43">
        <f>IF(NOT(ISBLANK('Referenz Plattenfertiger'!$I21)),'Referenz Plattenfertiger'!$I21,'Referenz Plattenfertiger'!$F21)*IF(NOT(ISBLANK('Eingabe EF'!$BA9)),'Eingabe EF'!$BA9,'Eingabe EF'!$AY9)</f>
        <v>1.4734500000000001</v>
      </c>
      <c r="W209" s="17"/>
      <c r="X209" s="17"/>
      <c r="Y209" s="37">
        <f t="shared" ref="Y209:Y210" si="52">T209+U209</f>
        <v>8.6085200000000004</v>
      </c>
      <c r="Z209" s="37">
        <f t="shared" ref="Z209:Z210" si="53">SUM(T209:V209)</f>
        <v>10.08197</v>
      </c>
      <c r="AA209" s="17" t="s">
        <v>184</v>
      </c>
      <c r="AC209" s="17"/>
      <c r="AD209" s="17" t="s">
        <v>111</v>
      </c>
      <c r="AE209" s="17"/>
      <c r="AF209" s="20"/>
      <c r="AG209" s="20"/>
      <c r="AH209" s="17"/>
      <c r="AI209" s="41">
        <f>IF(NOT(ISBLANK('Referenz Plattenfertiger'!$I25)),'Referenz Plattenfertiger'!$I25,'Referenz Plattenfertiger'!$F25)/1000*IF(NOT(ISBLANK('Eingabe Preise'!$O13)),'Eingabe Preise'!$O13,'Eingabe Preise'!$M13)</f>
        <v>0</v>
      </c>
      <c r="AJ209" s="20" t="s">
        <v>96</v>
      </c>
    </row>
    <row r="210" spans="16:36" ht="15.75" hidden="1" outlineLevel="1" x14ac:dyDescent="0.3">
      <c r="P210" s="17"/>
      <c r="Q210" s="17"/>
      <c r="R210" s="17" t="s">
        <v>30</v>
      </c>
      <c r="S210" s="17"/>
      <c r="T210" s="43">
        <f>IF(NOT(ISBLANK('Referenz Plattenfertiger'!$I22)),'Referenz Plattenfertiger'!$I22,'Referenz Plattenfertiger'!$F22)*IF(NOT(ISBLANK('Eingabe EF'!$AS10)),'Eingabe EF'!$AS10,'Eingabe EF'!$AQ10)</f>
        <v>9.6033600000000003</v>
      </c>
      <c r="U210" s="43">
        <f>IF(NOT(ISBLANK('Referenz Plattenfertiger'!$I22)),'Referenz Plattenfertiger'!$I22,'Referenz Plattenfertiger'!$F22)*IF(NOT(ISBLANK('Eingabe EF'!$AW10)),'Eingabe EF'!$AW10,'Eingabe EF'!$AU10)</f>
        <v>0</v>
      </c>
      <c r="V210" s="43">
        <f>IF(NOT(ISBLANK('Referenz Plattenfertiger'!$I22)),'Referenz Plattenfertiger'!$I22,'Referenz Plattenfertiger'!$F22)*IF(NOT(ISBLANK('Eingabe EF'!$BA10)),'Eingabe EF'!$BA10,'Eingabe EF'!$AY10)</f>
        <v>1.424736</v>
      </c>
      <c r="W210" s="17"/>
      <c r="X210" s="17"/>
      <c r="Y210" s="37">
        <f t="shared" si="52"/>
        <v>9.6033600000000003</v>
      </c>
      <c r="Z210" s="37">
        <f t="shared" si="53"/>
        <v>11.028096</v>
      </c>
      <c r="AA210" s="17" t="s">
        <v>184</v>
      </c>
      <c r="AC210" s="17"/>
      <c r="AD210" s="17" t="s">
        <v>135</v>
      </c>
      <c r="AE210" s="17"/>
      <c r="AF210" s="30"/>
      <c r="AG210" s="30"/>
      <c r="AH210" s="17"/>
      <c r="AI210" s="41">
        <f>IF(NOT(ISBLANK('Referenz Plattenfertiger'!$I26)),'Referenz Plattenfertiger'!$I26,'Referenz Plattenfertiger'!$F26)/1000*IF(NOT(ISBLANK('Eingabe Preise'!$O17)),'Eingabe Preise'!$O17,0)</f>
        <v>0</v>
      </c>
      <c r="AJ210" s="20" t="s">
        <v>96</v>
      </c>
    </row>
    <row r="211" spans="16:36" hidden="1" outlineLevel="1" x14ac:dyDescent="0.2">
      <c r="P211" s="17"/>
      <c r="Q211" s="17" t="s">
        <v>134</v>
      </c>
      <c r="R211" s="17"/>
      <c r="S211" s="17"/>
      <c r="T211" s="17"/>
      <c r="U211" s="17"/>
      <c r="V211" s="17"/>
      <c r="W211" s="17"/>
      <c r="X211" s="17"/>
      <c r="Y211" s="17"/>
      <c r="Z211" s="17"/>
      <c r="AA211" s="17"/>
      <c r="AC211" s="17"/>
      <c r="AD211" s="17"/>
      <c r="AE211" s="17"/>
      <c r="AF211" s="30"/>
      <c r="AG211" s="30"/>
      <c r="AH211" s="17"/>
      <c r="AI211" s="17"/>
      <c r="AJ211" s="17"/>
    </row>
    <row r="212" spans="16:36" ht="15.75" hidden="1" outlineLevel="1" x14ac:dyDescent="0.3">
      <c r="P212" s="17"/>
      <c r="Q212" s="17"/>
      <c r="R212" s="17" t="s">
        <v>136</v>
      </c>
      <c r="S212" s="17"/>
      <c r="T212" s="43">
        <f>IF(NOT(ISBLANK('Referenz Plattenfertiger'!$I24)),'Referenz Plattenfertiger'!$I24,'Referenz Plattenfertiger'!$F24)*IF(NOT(ISBLANK('Eingabe EF'!$AS11)),'Eingabe EF'!$AS11,'Eingabe EF'!$AQ11)</f>
        <v>0</v>
      </c>
      <c r="U212" s="43">
        <f>IF(NOT(ISBLANK('Referenz Plattenfertiger'!$I24)),'Referenz Plattenfertiger'!$I24,'Referenz Plattenfertiger'!$F24)*IF(NOT(ISBLANK('Eingabe EF'!$AW11)),'Eingabe EF'!$AW11,'Eingabe EF'!$AU11)</f>
        <v>55.397299361499499</v>
      </c>
      <c r="V212" s="43">
        <f>IF(NOT(ISBLANK('Referenz Plattenfertiger'!$I24)),'Referenz Plattenfertiger'!$I24,'Referenz Plattenfertiger'!$F24)*IF(NOT(ISBLANK('Eingabe EF'!$BA11)),'Eingabe EF'!$BA11,'Eingabe EF'!$AY11)</f>
        <v>8.1210700634658952</v>
      </c>
      <c r="W212" s="17"/>
      <c r="X212" s="17"/>
      <c r="Y212" s="37">
        <f t="shared" ref="Y212:Y220" si="54">T212+U212</f>
        <v>55.397299361499499</v>
      </c>
      <c r="Z212" s="37">
        <f t="shared" ref="Z212:Z220" si="55">SUM(T212:V212)</f>
        <v>63.518369424965393</v>
      </c>
      <c r="AA212" s="17" t="s">
        <v>184</v>
      </c>
      <c r="AC212" s="17"/>
      <c r="AD212" s="17" t="s">
        <v>32</v>
      </c>
      <c r="AE212" s="17" t="s">
        <v>408</v>
      </c>
      <c r="AF212" s="30"/>
      <c r="AG212" s="30"/>
      <c r="AH212" s="17"/>
      <c r="AI212" s="41">
        <f>IF(NOT(ISBLANK('Referenz Plattenfertiger'!$I28)),'Referenz Plattenfertiger'!$I28,'Referenz Plattenfertiger'!$F28)*IF(NOT(ISBLANK('Eingabe Preise'!$O14)),'Eingabe Preise'!$O14,'Eingabe Preise'!$M14)</f>
        <v>12364.000000000002</v>
      </c>
      <c r="AJ212" s="20" t="s">
        <v>96</v>
      </c>
    </row>
    <row r="213" spans="16:36" ht="15.75" hidden="1" outlineLevel="1" x14ac:dyDescent="0.3">
      <c r="P213" s="17"/>
      <c r="Q213" s="17"/>
      <c r="R213" s="17" t="s">
        <v>111</v>
      </c>
      <c r="S213" s="17"/>
      <c r="T213" s="43">
        <f>IF(NOT(ISBLANK('Referenz Plattenfertiger'!$I25)),'Referenz Plattenfertiger'!$I25,'Referenz Plattenfertiger'!$F25)*IF(NOT(ISBLANK('Eingabe EF'!$AS13)),'Eingabe EF'!$AS13,'Eingabe EF'!$AQ13)</f>
        <v>0</v>
      </c>
      <c r="U213" s="43">
        <f>IF(NOT(ISBLANK('Referenz Plattenfertiger'!$I25)),'Referenz Plattenfertiger'!$I25,'Referenz Plattenfertiger'!$F25)*IF(NOT(ISBLANK('Eingabe EF'!$AW13)),'Eingabe EF'!$AW13,'Eingabe EF'!$AU13)</f>
        <v>0</v>
      </c>
      <c r="V213" s="43">
        <f>IF(NOT(ISBLANK('Referenz Plattenfertiger'!$I25)),'Referenz Plattenfertiger'!$I25,'Referenz Plattenfertiger'!$F25)*IF(NOT(ISBLANK('Eingabe EF'!$BA13)),'Eingabe EF'!$BA13,'Eingabe EF'!$AY13)</f>
        <v>0</v>
      </c>
      <c r="W213" s="17"/>
      <c r="X213" s="17"/>
      <c r="Y213" s="37">
        <f t="shared" si="54"/>
        <v>0</v>
      </c>
      <c r="Z213" s="37">
        <f t="shared" si="55"/>
        <v>0</v>
      </c>
      <c r="AA213" s="17" t="s">
        <v>184</v>
      </c>
      <c r="AC213" s="17"/>
      <c r="AD213" s="17" t="s">
        <v>32</v>
      </c>
      <c r="AE213" s="17" t="s">
        <v>70</v>
      </c>
      <c r="AF213" s="30"/>
      <c r="AG213" s="30"/>
      <c r="AH213" s="17"/>
      <c r="AI213" s="41">
        <f>IF(NOT(ISBLANK('Referenz Plattenfertiger'!$I29)),'Referenz Plattenfertiger'!$I29,'Referenz Plattenfertiger'!$F29)*IF(NOT(ISBLANK('Eingabe Preise'!$O14)),'Eingabe Preise'!$O14,'Eingabe Preise'!$M14)</f>
        <v>2810.0000000000005</v>
      </c>
      <c r="AJ213" s="20" t="s">
        <v>96</v>
      </c>
    </row>
    <row r="214" spans="16:36" ht="15.75" hidden="1" outlineLevel="1" x14ac:dyDescent="0.3">
      <c r="P214" s="17"/>
      <c r="Q214" s="17"/>
      <c r="R214" s="17" t="s">
        <v>135</v>
      </c>
      <c r="S214" s="17"/>
      <c r="T214" s="43">
        <f>IF(NOT(ISBLANK('Referenz Plattenfertiger'!$I26)),'Referenz Plattenfertiger'!$I26,'Referenz Plattenfertiger'!$F26)*IF(NOT(ISBLANK('Eingabe EF'!$AS14)),'Eingabe EF'!$AS14,0)</f>
        <v>0</v>
      </c>
      <c r="U214" s="43">
        <f>IF(NOT(ISBLANK('Referenz Plattenfertiger'!$I26)),'Referenz Plattenfertiger'!$I26,'Referenz Plattenfertiger'!$F26)*IF(NOT(ISBLANK('Eingabe EF'!$AW14)),'Eingabe EF'!$AW14,0)</f>
        <v>0</v>
      </c>
      <c r="V214" s="43">
        <f>IF(NOT(ISBLANK('Referenz Plattenfertiger'!$I26)),'Referenz Plattenfertiger'!$I26,'Referenz Plattenfertiger'!$F26)*IF(NOT(ISBLANK('Eingabe EF'!$BA14)),'Eingabe EF'!$BA14,0)</f>
        <v>0</v>
      </c>
      <c r="W214" s="17"/>
      <c r="X214" s="17"/>
      <c r="Y214" s="37">
        <f t="shared" si="54"/>
        <v>0</v>
      </c>
      <c r="Z214" s="37">
        <f t="shared" si="55"/>
        <v>0</v>
      </c>
      <c r="AA214" s="17" t="s">
        <v>184</v>
      </c>
      <c r="AC214" s="17"/>
      <c r="AD214" s="17"/>
      <c r="AE214" s="17"/>
      <c r="AF214" s="30"/>
      <c r="AG214" s="30"/>
      <c r="AH214" s="17"/>
      <c r="AI214" s="17"/>
      <c r="AJ214" s="17"/>
    </row>
    <row r="215" spans="16:36" hidden="1" outlineLevel="1" x14ac:dyDescent="0.2">
      <c r="P215" s="17"/>
      <c r="Q215" s="17"/>
      <c r="R215" s="17"/>
      <c r="S215" s="17"/>
      <c r="T215" s="17"/>
      <c r="U215" s="17"/>
      <c r="V215" s="17"/>
      <c r="W215" s="17"/>
      <c r="X215" s="17"/>
      <c r="Y215" s="17"/>
      <c r="Z215" s="17"/>
      <c r="AA215" s="17"/>
      <c r="AC215" s="17"/>
      <c r="AD215" s="17"/>
      <c r="AE215" s="17"/>
      <c r="AF215" s="30"/>
      <c r="AG215" s="30"/>
      <c r="AH215" s="17"/>
      <c r="AI215" s="17"/>
      <c r="AJ215" s="17"/>
    </row>
    <row r="216" spans="16:36" ht="15.75" hidden="1" outlineLevel="1" x14ac:dyDescent="0.3">
      <c r="P216" s="17"/>
      <c r="Q216" s="17" t="s">
        <v>408</v>
      </c>
      <c r="R216" s="17" t="s">
        <v>32</v>
      </c>
      <c r="S216" s="17"/>
      <c r="T216" s="43">
        <f>IF(NOT(ISBLANK('Referenz Plattenfertiger'!$I28)),'Referenz Plattenfertiger'!$I28,'Referenz Plattenfertiger'!$F28)*IF(NOT(ISBLANK('Eingabe EF'!$AS15)),'Eingabe EF'!$AS15,'Eingabe EF'!$AQ15)</f>
        <v>29.238941159999996</v>
      </c>
      <c r="U216" s="43">
        <f>IF(NOT(ISBLANK('Referenz Plattenfertiger'!$I28)),'Referenz Plattenfertiger'!$I28,'Referenz Plattenfertiger'!$F28)*IF(NOT(ISBLANK('Eingabe EF'!$AW15)),'Eingabe EF'!$AW15,'Eingabe EF'!$AU15)</f>
        <v>0</v>
      </c>
      <c r="V216" s="43">
        <f>IF(NOT(ISBLANK('Referenz Plattenfertiger'!$I28)),'Referenz Plattenfertiger'!$I28,'Referenz Plattenfertiger'!$F28)*IF(NOT(ISBLANK('Eingabe EF'!$BA15)),'Eingabe EF'!$BA15,'Eingabe EF'!$AY15)</f>
        <v>5.1658635600000009</v>
      </c>
      <c r="W216" s="17"/>
      <c r="X216" s="17"/>
      <c r="Y216" s="37">
        <f t="shared" ref="Y216:Y218" si="56">T216+U216</f>
        <v>29.238941159999996</v>
      </c>
      <c r="Z216" s="37">
        <f t="shared" ref="Z216:Z218" si="57">SUM(T216:V216)</f>
        <v>34.404804719999994</v>
      </c>
      <c r="AA216" s="17" t="s">
        <v>184</v>
      </c>
      <c r="AC216" s="17"/>
      <c r="AD216" s="17" t="s">
        <v>28</v>
      </c>
      <c r="AE216" s="17"/>
      <c r="AF216" s="30"/>
      <c r="AG216" s="30"/>
      <c r="AH216" s="17"/>
      <c r="AI216" s="41">
        <f>AI228+AI229</f>
        <v>0</v>
      </c>
      <c r="AJ216" s="20" t="s">
        <v>96</v>
      </c>
    </row>
    <row r="217" spans="16:36" ht="15.75" hidden="1" outlineLevel="1" x14ac:dyDescent="0.3">
      <c r="P217" s="17"/>
      <c r="Q217" s="17" t="s">
        <v>70</v>
      </c>
      <c r="R217" s="17" t="s">
        <v>32</v>
      </c>
      <c r="S217" s="17"/>
      <c r="T217" s="43">
        <f>IF(NOT(ISBLANK('Referenz Plattenfertiger'!$I29)),'Referenz Plattenfertiger'!$I29,'Referenz Plattenfertiger'!$F29)*IF(NOT(ISBLANK('Eingabe EF'!$AS15)),'Eingabe EF'!$AS15,'Eingabe EF'!$AQ15)</f>
        <v>6.645213899999999</v>
      </c>
      <c r="U217" s="43">
        <f>IF(NOT(ISBLANK('Referenz Plattenfertiger'!$I29)),'Referenz Plattenfertiger'!$I29,'Referenz Plattenfertiger'!$F29)*IF(NOT(ISBLANK('Eingabe EF'!$AW15)),'Eingabe EF'!$AW15,'Eingabe EF'!$AU15)</f>
        <v>0</v>
      </c>
      <c r="V217" s="43">
        <f>IF(NOT(ISBLANK('Referenz Plattenfertiger'!$I29)),'Referenz Plattenfertiger'!$I29,'Referenz Plattenfertiger'!$F29)*IF(NOT(ISBLANK('Eingabe EF'!$BA15)),'Eingabe EF'!$BA15,'Eingabe EF'!$AY15)</f>
        <v>1.1740599000000003</v>
      </c>
      <c r="W217" s="17"/>
      <c r="X217" s="17"/>
      <c r="Y217" s="37">
        <f t="shared" si="56"/>
        <v>6.645213899999999</v>
      </c>
      <c r="Z217" s="37">
        <f t="shared" si="57"/>
        <v>7.8192737999999995</v>
      </c>
      <c r="AA217" s="17" t="s">
        <v>184</v>
      </c>
      <c r="AC217" s="17"/>
      <c r="AD217" s="44" t="s">
        <v>139</v>
      </c>
      <c r="AE217" s="17"/>
      <c r="AF217" s="30"/>
      <c r="AG217" s="30"/>
      <c r="AH217" s="17"/>
      <c r="AI217" s="41">
        <f>IF(NOT(ISBLANK($J$31)),$J$31,$H$31)</f>
        <v>0</v>
      </c>
      <c r="AJ217" s="20" t="s">
        <v>96</v>
      </c>
    </row>
    <row r="218" spans="16:36" ht="14.25" hidden="1" outlineLevel="1" x14ac:dyDescent="0.25">
      <c r="P218" s="69"/>
      <c r="Q218" s="69" t="s">
        <v>175</v>
      </c>
      <c r="R218" s="69"/>
      <c r="S218" s="69"/>
      <c r="T218" s="71"/>
      <c r="U218" s="71"/>
      <c r="V218" s="71">
        <f t="shared" ref="V218" si="58">V219+V220</f>
        <v>469.15642799999995</v>
      </c>
      <c r="W218" s="69"/>
      <c r="X218" s="69"/>
      <c r="Y218" s="71">
        <f t="shared" si="56"/>
        <v>0</v>
      </c>
      <c r="Z218" s="71">
        <f t="shared" si="57"/>
        <v>469.15642799999995</v>
      </c>
      <c r="AA218" s="76" t="s">
        <v>183</v>
      </c>
      <c r="AC218" s="17"/>
      <c r="AD218" s="44" t="s">
        <v>146</v>
      </c>
      <c r="AE218" s="17"/>
      <c r="AF218" s="30"/>
      <c r="AG218" s="30"/>
      <c r="AH218" s="17"/>
      <c r="AI218" s="41">
        <f>AI231+AI232</f>
        <v>0</v>
      </c>
      <c r="AJ218" s="20" t="s">
        <v>96</v>
      </c>
    </row>
    <row r="219" spans="16:36" ht="15.75" hidden="1" outlineLevel="1" x14ac:dyDescent="0.3">
      <c r="P219" s="17"/>
      <c r="Q219" s="17"/>
      <c r="R219" s="17" t="s">
        <v>43</v>
      </c>
      <c r="S219" s="17"/>
      <c r="T219" s="43"/>
      <c r="U219" s="43"/>
      <c r="V219" s="43">
        <f>IF(NOT(ISBLANK('Referenz Plattenfertiger'!$I32)),'Referenz Plattenfertiger'!$I32,'Referenz Plattenfertiger'!$F32)*IF(NOT(ISBLANK('Eingabe EF'!$BA17)),'Eingabe EF'!$BA17,'Eingabe EF'!$AY17)</f>
        <v>109.4698332</v>
      </c>
      <c r="W219" s="17"/>
      <c r="X219" s="17"/>
      <c r="Y219" s="37">
        <f t="shared" si="54"/>
        <v>0</v>
      </c>
      <c r="Z219" s="37">
        <f t="shared" si="55"/>
        <v>109.4698332</v>
      </c>
      <c r="AA219" s="17" t="s">
        <v>184</v>
      </c>
      <c r="AC219" s="17"/>
      <c r="AD219" s="17"/>
      <c r="AE219" s="17"/>
      <c r="AF219" s="17"/>
      <c r="AG219" s="17"/>
      <c r="AH219" s="17"/>
      <c r="AI219" s="17"/>
      <c r="AJ219" s="17"/>
    </row>
    <row r="220" spans="16:36" ht="15.75" hidden="1" outlineLevel="1" x14ac:dyDescent="0.3">
      <c r="P220" s="17"/>
      <c r="Q220" s="17"/>
      <c r="R220" s="17" t="s">
        <v>44</v>
      </c>
      <c r="S220" s="17"/>
      <c r="T220" s="43"/>
      <c r="U220" s="43"/>
      <c r="V220" s="43">
        <f>IF(NOT(ISBLANK('Referenz Plattenfertiger'!$I33)),'Referenz Plattenfertiger'!$I33,'Referenz Plattenfertiger'!$F33)*IF(NOT(ISBLANK('Eingabe EF'!$BA18)),'Eingabe EF'!$BA18,'Eingabe EF'!$AY18)</f>
        <v>359.68659479999997</v>
      </c>
      <c r="W220" s="17"/>
      <c r="X220" s="17"/>
      <c r="Y220" s="37">
        <f t="shared" si="54"/>
        <v>0</v>
      </c>
      <c r="Z220" s="37">
        <f t="shared" si="55"/>
        <v>359.68659479999997</v>
      </c>
      <c r="AA220" s="17" t="s">
        <v>184</v>
      </c>
      <c r="AC220" s="17"/>
      <c r="AD220" s="17"/>
      <c r="AE220" s="17"/>
      <c r="AF220" s="17"/>
      <c r="AG220" s="17"/>
      <c r="AH220" s="17"/>
      <c r="AI220" s="17"/>
      <c r="AJ220" s="17"/>
    </row>
    <row r="221" spans="16:36" hidden="1" outlineLevel="1" x14ac:dyDescent="0.2">
      <c r="P221" s="17"/>
      <c r="Q221" s="17"/>
      <c r="R221" s="17"/>
      <c r="S221" s="17"/>
      <c r="T221" s="20"/>
      <c r="U221" s="20"/>
      <c r="V221" s="20"/>
      <c r="W221" s="17"/>
      <c r="X221" s="17"/>
      <c r="Y221" s="20"/>
      <c r="Z221" s="20"/>
      <c r="AA221" s="17"/>
      <c r="AC221" s="17"/>
      <c r="AD221" s="17" t="s">
        <v>490</v>
      </c>
      <c r="AE221" s="17"/>
      <c r="AF221" s="30"/>
      <c r="AG221" s="30"/>
      <c r="AH221" s="17"/>
      <c r="AI221" s="41">
        <f>T269*IF(NOT(ISBLANK('Eingabe Preise'!$O21)),'Eingabe Preise'!$O21,'Eingabe Preise'!$M21)</f>
        <v>7594.5884048000007</v>
      </c>
      <c r="AJ221" s="20" t="s">
        <v>96</v>
      </c>
    </row>
    <row r="222" spans="16:36" ht="14.25" hidden="1" outlineLevel="1" x14ac:dyDescent="0.25">
      <c r="P222" s="69"/>
      <c r="Q222" s="69" t="s">
        <v>66</v>
      </c>
      <c r="R222" s="70"/>
      <c r="S222" s="70"/>
      <c r="T222" s="71"/>
      <c r="U222" s="71"/>
      <c r="V222" s="71">
        <f>SUM(V223:V226)</f>
        <v>4093.6895999999997</v>
      </c>
      <c r="W222" s="70"/>
      <c r="X222" s="70"/>
      <c r="Y222" s="71">
        <f t="shared" ref="Y222:Y226" si="59">T222+U222</f>
        <v>0</v>
      </c>
      <c r="Z222" s="71">
        <f t="shared" ref="Z222" si="60">SUM(T222:V222)</f>
        <v>4093.6895999999997</v>
      </c>
      <c r="AA222" s="76" t="s">
        <v>183</v>
      </c>
      <c r="AC222" s="17"/>
      <c r="AD222" s="17" t="s">
        <v>491</v>
      </c>
      <c r="AE222" s="17"/>
      <c r="AF222" s="30"/>
      <c r="AG222" s="30"/>
      <c r="AH222" s="17"/>
      <c r="AI222" s="41">
        <f>U269*IF(NOT(ISBLANK('Eingabe Preise'!$O22)),'Eingabe Preise'!$O22,'Eingabe Preise'!$M22)</f>
        <v>4924.2043876888438</v>
      </c>
      <c r="AJ222" s="20" t="s">
        <v>96</v>
      </c>
    </row>
    <row r="223" spans="16:36" ht="15.75" hidden="1" outlineLevel="1" x14ac:dyDescent="0.3">
      <c r="P223" s="274"/>
      <c r="Q223" s="17"/>
      <c r="R223" s="17" t="s">
        <v>45</v>
      </c>
      <c r="S223" s="17"/>
      <c r="T223" s="37"/>
      <c r="U223" s="37"/>
      <c r="V223" s="450">
        <f>'M1 Härtekammern'!T206*S193</f>
        <v>1089.27</v>
      </c>
      <c r="W223" s="17"/>
      <c r="X223" s="17"/>
      <c r="Y223" s="37">
        <f t="shared" si="59"/>
        <v>0</v>
      </c>
      <c r="Z223" s="37">
        <f t="shared" ref="Z223:Z226" si="61">SUM(T223:V223)</f>
        <v>1089.27</v>
      </c>
      <c r="AA223" s="17" t="s">
        <v>184</v>
      </c>
      <c r="AC223" s="17"/>
      <c r="AD223" s="17" t="s">
        <v>492</v>
      </c>
      <c r="AE223" s="17"/>
      <c r="AF223" s="30"/>
      <c r="AG223" s="30"/>
      <c r="AH223" s="17"/>
      <c r="AI223" s="41">
        <f>V269*IF(NOT(ISBLANK('Eingabe Preise'!$O23)),'Eingabe Preise'!$O23,'Eingabe Preise'!$M23)</f>
        <v>422414.3675192917</v>
      </c>
      <c r="AJ223" s="20" t="s">
        <v>96</v>
      </c>
    </row>
    <row r="224" spans="16:36" ht="15.75" hidden="1" outlineLevel="1" x14ac:dyDescent="0.3">
      <c r="P224" s="274"/>
      <c r="Q224" s="17"/>
      <c r="R224" s="17" t="s">
        <v>47</v>
      </c>
      <c r="S224" s="17"/>
      <c r="T224" s="37"/>
      <c r="U224" s="37"/>
      <c r="V224" s="450">
        <f>'M1 Härtekammern'!T207*S194</f>
        <v>2173.9535999999998</v>
      </c>
      <c r="W224" s="17"/>
      <c r="X224" s="17"/>
      <c r="Y224" s="37">
        <f t="shared" si="59"/>
        <v>0</v>
      </c>
      <c r="Z224" s="37">
        <f t="shared" si="61"/>
        <v>2173.9535999999998</v>
      </c>
      <c r="AA224" s="17" t="s">
        <v>184</v>
      </c>
      <c r="AC224" s="17"/>
      <c r="AD224" s="17"/>
      <c r="AE224" s="17"/>
      <c r="AF224" s="17"/>
      <c r="AG224" s="17"/>
      <c r="AH224" s="17"/>
      <c r="AI224" s="17"/>
      <c r="AJ224" s="17"/>
    </row>
    <row r="225" spans="16:36" ht="15.75" hidden="1" outlineLevel="1" x14ac:dyDescent="0.3">
      <c r="P225" s="274"/>
      <c r="Q225" s="17"/>
      <c r="R225" s="17" t="s">
        <v>48</v>
      </c>
      <c r="S225" s="17"/>
      <c r="T225" s="37"/>
      <c r="U225" s="37"/>
      <c r="V225" s="450">
        <f>'M1 Härtekammern'!T208*S195</f>
        <v>830.46599999999989</v>
      </c>
      <c r="W225" s="17"/>
      <c r="X225" s="17"/>
      <c r="Y225" s="37">
        <f t="shared" si="59"/>
        <v>0</v>
      </c>
      <c r="Z225" s="37">
        <f t="shared" si="61"/>
        <v>830.46599999999989</v>
      </c>
      <c r="AA225" s="17" t="s">
        <v>184</v>
      </c>
      <c r="AC225" s="17"/>
      <c r="AD225" s="17"/>
      <c r="AE225" s="17"/>
      <c r="AF225" s="17"/>
      <c r="AG225" s="17"/>
      <c r="AH225" s="17"/>
      <c r="AI225" s="17"/>
      <c r="AJ225" s="17"/>
    </row>
    <row r="226" spans="16:36" ht="15.75" hidden="1" outlineLevel="1" x14ac:dyDescent="0.3">
      <c r="P226" s="274"/>
      <c r="Q226" s="17"/>
      <c r="R226" s="17" t="s">
        <v>147</v>
      </c>
      <c r="S226" s="17"/>
      <c r="T226" s="37"/>
      <c r="U226" s="37"/>
      <c r="V226" s="450">
        <f>'M1 Härtekammern'!T209*S196</f>
        <v>0</v>
      </c>
      <c r="W226" s="17"/>
      <c r="X226" s="17"/>
      <c r="Y226" s="37">
        <f t="shared" si="59"/>
        <v>0</v>
      </c>
      <c r="Z226" s="37">
        <f t="shared" si="61"/>
        <v>0</v>
      </c>
      <c r="AA226" s="17" t="s">
        <v>184</v>
      </c>
      <c r="AC226" s="17"/>
      <c r="AD226" s="17"/>
      <c r="AE226" s="17"/>
      <c r="AF226" s="18"/>
      <c r="AG226" s="18"/>
      <c r="AH226" s="17"/>
      <c r="AI226" s="18"/>
      <c r="AJ226" s="18"/>
    </row>
    <row r="227" spans="16:36" hidden="1" outlineLevel="1" x14ac:dyDescent="0.2">
      <c r="P227" s="17"/>
      <c r="Q227" s="17"/>
      <c r="R227" s="17"/>
      <c r="S227" s="17"/>
      <c r="T227" s="17"/>
      <c r="U227" s="17"/>
      <c r="V227" s="17"/>
      <c r="W227" s="17"/>
      <c r="X227" s="17"/>
      <c r="Y227" s="20"/>
      <c r="Z227" s="20"/>
      <c r="AA227" s="17"/>
      <c r="AC227" s="21" t="s">
        <v>209</v>
      </c>
      <c r="AD227" s="17"/>
      <c r="AE227" s="17"/>
      <c r="AF227" s="17"/>
      <c r="AG227" s="17"/>
      <c r="AH227" s="17"/>
      <c r="AI227" s="17"/>
      <c r="AJ227" s="17"/>
    </row>
    <row r="228" spans="16:36" ht="14.25" hidden="1" outlineLevel="1" x14ac:dyDescent="0.25">
      <c r="P228" s="69"/>
      <c r="Q228" s="69" t="s">
        <v>163</v>
      </c>
      <c r="R228" s="70"/>
      <c r="S228" s="70"/>
      <c r="T228" s="71"/>
      <c r="U228" s="71"/>
      <c r="V228" s="71">
        <f>SUM(V229:V233)</f>
        <v>129.59200000000001</v>
      </c>
      <c r="W228" s="70"/>
      <c r="X228" s="70"/>
      <c r="Y228" s="71">
        <f t="shared" ref="Y228" si="62">T228+U228</f>
        <v>0</v>
      </c>
      <c r="Z228" s="71">
        <f t="shared" ref="Z228" si="63">SUM(T228:V228)</f>
        <v>129.59200000000001</v>
      </c>
      <c r="AA228" s="76" t="s">
        <v>183</v>
      </c>
      <c r="AC228" s="17"/>
      <c r="AD228" s="17" t="s">
        <v>443</v>
      </c>
      <c r="AE228" s="17"/>
      <c r="AF228" s="18">
        <f>T41</f>
        <v>5</v>
      </c>
      <c r="AG228" s="18"/>
      <c r="AH228" s="17"/>
      <c r="AI228" s="41">
        <f>IF(IF(NOT(ISBLANK($F$35)),$F$35,$D$35)&gt;5,AI138,0)</f>
        <v>0</v>
      </c>
      <c r="AJ228" s="20" t="s">
        <v>96</v>
      </c>
    </row>
    <row r="229" spans="16:36" ht="15.75" hidden="1" outlineLevel="1" x14ac:dyDescent="0.3">
      <c r="P229" s="17"/>
      <c r="Q229" s="17"/>
      <c r="R229" s="17" t="s">
        <v>164</v>
      </c>
      <c r="S229" s="17"/>
      <c r="T229" s="37"/>
      <c r="U229" s="37"/>
      <c r="V229" s="37">
        <f>'M1 Härtekammern'!T212</f>
        <v>129.59200000000001</v>
      </c>
      <c r="W229" s="17"/>
      <c r="X229" s="17"/>
      <c r="Y229" s="37">
        <f>T229+U229</f>
        <v>0</v>
      </c>
      <c r="Z229" s="37">
        <f>SUM(T229:V229)</f>
        <v>129.59200000000001</v>
      </c>
      <c r="AA229" s="17" t="s">
        <v>184</v>
      </c>
      <c r="AC229" s="17"/>
      <c r="AD229" s="17" t="s">
        <v>444</v>
      </c>
      <c r="AE229" s="17"/>
      <c r="AF229" s="17">
        <f>U41</f>
        <v>10</v>
      </c>
      <c r="AG229" s="17"/>
      <c r="AH229" s="17"/>
      <c r="AI229" s="41">
        <f>IF(NOT(ISBLANK($J$30)),$J$30,$H$30)/IF(NOT(ISBLANK($J$35)),$J$35,$H$35)+IF(NOT(ISBLANK($J$30)),$J$30,$H$30)*(IF(NOT(ISBLANK($J$36)),$J$36,$H$36)/100)</f>
        <v>0</v>
      </c>
      <c r="AJ229" s="20" t="s">
        <v>96</v>
      </c>
    </row>
    <row r="230" spans="16:36" ht="15.75" hidden="1" outlineLevel="1" x14ac:dyDescent="0.3">
      <c r="P230" s="17"/>
      <c r="Q230" s="17"/>
      <c r="R230" s="17" t="s">
        <v>165</v>
      </c>
      <c r="S230" s="17"/>
      <c r="T230" s="37"/>
      <c r="U230" s="37"/>
      <c r="V230" s="37">
        <f>'M1 Härtekammern'!T213</f>
        <v>0</v>
      </c>
      <c r="W230" s="17"/>
      <c r="X230" s="17"/>
      <c r="Y230" s="37">
        <f>T230+U230</f>
        <v>0</v>
      </c>
      <c r="Z230" s="37">
        <f t="shared" ref="Z230:Z231" si="64">SUM(T230:V230)</f>
        <v>0</v>
      </c>
      <c r="AA230" s="17" t="s">
        <v>184</v>
      </c>
      <c r="AC230" s="17"/>
      <c r="AD230" s="17"/>
      <c r="AE230" s="17"/>
      <c r="AF230" s="18"/>
      <c r="AG230" s="18"/>
      <c r="AH230" s="17"/>
      <c r="AI230" s="18"/>
      <c r="AJ230" s="18"/>
    </row>
    <row r="231" spans="16:36" ht="15.75" hidden="1" outlineLevel="1" x14ac:dyDescent="0.3">
      <c r="P231" s="17"/>
      <c r="Q231" s="17"/>
      <c r="R231" s="17" t="s">
        <v>166</v>
      </c>
      <c r="S231" s="17"/>
      <c r="T231" s="37"/>
      <c r="U231" s="37"/>
      <c r="V231" s="37">
        <f>'M1 Härtekammern'!T214</f>
        <v>0</v>
      </c>
      <c r="W231" s="17"/>
      <c r="X231" s="17"/>
      <c r="Y231" s="37">
        <f t="shared" ref="Y231" si="65">T231+U231</f>
        <v>0</v>
      </c>
      <c r="Z231" s="37">
        <f t="shared" si="64"/>
        <v>0</v>
      </c>
      <c r="AA231" s="17" t="s">
        <v>184</v>
      </c>
      <c r="AC231" s="17"/>
      <c r="AD231" s="17" t="s">
        <v>442</v>
      </c>
      <c r="AE231" s="17"/>
      <c r="AF231" s="17">
        <f>AF228</f>
        <v>5</v>
      </c>
      <c r="AG231" s="17"/>
      <c r="AH231" s="17"/>
      <c r="AI231" s="41">
        <f>IF(IF(NOT(ISBLANK($F$35)),$F$35,$D$35)&gt;5,AI140,0)</f>
        <v>0</v>
      </c>
      <c r="AJ231" s="20" t="s">
        <v>96</v>
      </c>
    </row>
    <row r="232" spans="16:36" ht="15.75" hidden="1" outlineLevel="1" x14ac:dyDescent="0.3">
      <c r="P232" s="17"/>
      <c r="Q232" s="17"/>
      <c r="R232" s="17" t="str">
        <f>'M1 Härtekammern'!P215</f>
        <v>Weiterer Zuschlagstoff 1</v>
      </c>
      <c r="S232" s="17"/>
      <c r="T232" s="37"/>
      <c r="U232" s="37"/>
      <c r="V232" s="37">
        <f>'M1 Härtekammern'!T215</f>
        <v>0</v>
      </c>
      <c r="W232" s="17"/>
      <c r="X232" s="17"/>
      <c r="Y232" s="37">
        <f t="shared" ref="Y232:Y233" si="66">T232+U232</f>
        <v>0</v>
      </c>
      <c r="Z232" s="37">
        <f t="shared" ref="Z232:Z233" si="67">SUM(T232:V232)</f>
        <v>0</v>
      </c>
      <c r="AA232" s="17" t="s">
        <v>184</v>
      </c>
      <c r="AC232" s="17"/>
      <c r="AD232" s="17" t="s">
        <v>442</v>
      </c>
      <c r="AE232" s="17"/>
      <c r="AF232" s="17">
        <f>AF229</f>
        <v>10</v>
      </c>
      <c r="AG232" s="17"/>
      <c r="AH232" s="17"/>
      <c r="AI232" s="41">
        <f>IF(NOT(ISBLANK($J$32)),$J$32,$H$32)/IF(NOT(ISBLANK($J$35)),$J$35,$H$35)+IF(NOT(ISBLANK($J$32)),$J$32,$H$32)*(IF(NOT(ISBLANK($J$36)),$J$36,$H$36)/100)</f>
        <v>0</v>
      </c>
      <c r="AJ232" s="20" t="s">
        <v>96</v>
      </c>
    </row>
    <row r="233" spans="16:36" ht="15.75" hidden="1" outlineLevel="1" x14ac:dyDescent="0.3">
      <c r="P233" s="17"/>
      <c r="Q233" s="17"/>
      <c r="R233" s="17" t="str">
        <f>'M1 Härtekammern'!P216</f>
        <v>Weiterer Zuschlagstoff 2</v>
      </c>
      <c r="S233" s="17"/>
      <c r="T233" s="37"/>
      <c r="U233" s="37"/>
      <c r="V233" s="37">
        <f>'M1 Härtekammern'!T216</f>
        <v>0</v>
      </c>
      <c r="W233" s="17"/>
      <c r="X233" s="17"/>
      <c r="Y233" s="37">
        <f t="shared" si="66"/>
        <v>0</v>
      </c>
      <c r="Z233" s="37">
        <f t="shared" si="67"/>
        <v>0</v>
      </c>
      <c r="AA233" s="17" t="s">
        <v>184</v>
      </c>
      <c r="AC233" s="17"/>
      <c r="AD233" s="17"/>
      <c r="AE233" s="17"/>
      <c r="AF233" s="18"/>
      <c r="AG233" s="18"/>
      <c r="AH233" s="17"/>
      <c r="AI233" s="18"/>
      <c r="AJ233" s="18"/>
    </row>
    <row r="234" spans="16:36" hidden="1" outlineLevel="1" x14ac:dyDescent="0.2">
      <c r="P234" s="17"/>
      <c r="Q234" s="17"/>
      <c r="R234" s="17"/>
      <c r="S234" s="17"/>
      <c r="T234" s="17"/>
      <c r="U234" s="17"/>
      <c r="V234" s="17"/>
      <c r="W234" s="17"/>
      <c r="X234" s="17"/>
      <c r="Y234" s="20"/>
      <c r="Z234" s="20"/>
      <c r="AA234" s="17"/>
      <c r="AC234" s="17"/>
      <c r="AD234" s="17"/>
      <c r="AE234" s="17"/>
      <c r="AF234" s="17"/>
      <c r="AG234" s="17"/>
      <c r="AH234" s="17"/>
      <c r="AI234" s="17"/>
      <c r="AJ234" s="17"/>
    </row>
    <row r="235" spans="16:36" ht="14.25" hidden="1" outlineLevel="1" x14ac:dyDescent="0.25">
      <c r="P235" s="17"/>
      <c r="Q235" s="17"/>
      <c r="R235" s="21" t="s">
        <v>55</v>
      </c>
      <c r="S235" s="21"/>
      <c r="T235" s="74"/>
      <c r="U235" s="74"/>
      <c r="V235" s="74">
        <f>'M1 Härtekammern'!T218</f>
        <v>208</v>
      </c>
      <c r="W235" s="21"/>
      <c r="X235" s="21"/>
      <c r="Y235" s="74">
        <f>T235+U235</f>
        <v>0</v>
      </c>
      <c r="Z235" s="74">
        <f t="shared" ref="Z235" si="68">SUM(T235:V235)</f>
        <v>208</v>
      </c>
      <c r="AA235" s="21" t="s">
        <v>183</v>
      </c>
      <c r="AC235" s="17"/>
      <c r="AD235" s="17"/>
      <c r="AE235" s="17"/>
      <c r="AF235" s="18"/>
      <c r="AG235" s="18"/>
      <c r="AH235" s="17"/>
      <c r="AI235" s="18"/>
      <c r="AJ235" s="18"/>
    </row>
    <row r="236" spans="16:36" hidden="1" outlineLevel="1" x14ac:dyDescent="0.2">
      <c r="P236" s="17"/>
      <c r="Q236" s="17"/>
      <c r="R236" s="17"/>
      <c r="S236" s="17"/>
      <c r="T236" s="17"/>
      <c r="U236" s="17"/>
      <c r="V236" s="17"/>
      <c r="W236" s="17"/>
      <c r="X236" s="17"/>
      <c r="Y236" s="20"/>
      <c r="Z236" s="20"/>
      <c r="AA236" s="17"/>
    </row>
    <row r="237" spans="16:36" ht="14.25" hidden="1" outlineLevel="1" x14ac:dyDescent="0.25">
      <c r="P237" s="69"/>
      <c r="Q237" s="69" t="s">
        <v>167</v>
      </c>
      <c r="R237" s="70"/>
      <c r="S237" s="70"/>
      <c r="T237" s="71"/>
      <c r="U237" s="71"/>
      <c r="V237" s="71">
        <f>SUM(V238:V242)</f>
        <v>81.003999999999991</v>
      </c>
      <c r="W237" s="70"/>
      <c r="X237" s="70"/>
      <c r="Y237" s="71">
        <f t="shared" ref="Y237" si="69">T237+U237</f>
        <v>0</v>
      </c>
      <c r="Z237" s="71">
        <f t="shared" ref="Z237" si="70">SUM(T237:V237)</f>
        <v>81.003999999999991</v>
      </c>
      <c r="AA237" s="76" t="s">
        <v>183</v>
      </c>
    </row>
    <row r="238" spans="16:36" ht="15.75" hidden="1" outlineLevel="1" x14ac:dyDescent="0.3">
      <c r="P238" s="17"/>
      <c r="Q238" s="17"/>
      <c r="R238" s="17" t="s">
        <v>57</v>
      </c>
      <c r="S238" s="17"/>
      <c r="T238" s="37"/>
      <c r="U238" s="37"/>
      <c r="V238" s="37">
        <f>'M1 Härtekammern'!T221</f>
        <v>0</v>
      </c>
      <c r="W238" s="17"/>
      <c r="X238" s="17"/>
      <c r="Y238" s="37">
        <f>T238+U238</f>
        <v>0</v>
      </c>
      <c r="Z238" s="37">
        <f>SUM(T238:V238)</f>
        <v>0</v>
      </c>
      <c r="AA238" s="17" t="s">
        <v>184</v>
      </c>
    </row>
    <row r="239" spans="16:36" ht="15.75" hidden="1" outlineLevel="1" x14ac:dyDescent="0.3">
      <c r="P239" s="274"/>
      <c r="Q239" s="17"/>
      <c r="R239" s="17" t="s">
        <v>58</v>
      </c>
      <c r="S239" s="17"/>
      <c r="T239" s="37"/>
      <c r="U239" s="37"/>
      <c r="V239" s="37">
        <f>'M1 Härtekammern'!T222</f>
        <v>8.6840000000000011</v>
      </c>
      <c r="W239" s="17"/>
      <c r="X239" s="17"/>
      <c r="Y239" s="37">
        <f>T239+U239</f>
        <v>0</v>
      </c>
      <c r="Z239" s="37">
        <f>SUM(T239:V239)</f>
        <v>8.6840000000000011</v>
      </c>
      <c r="AA239" s="17" t="s">
        <v>184</v>
      </c>
    </row>
    <row r="240" spans="16:36" ht="15.75" hidden="1" outlineLevel="1" x14ac:dyDescent="0.3">
      <c r="P240" s="274"/>
      <c r="Q240" s="17"/>
      <c r="R240" s="17" t="s">
        <v>59</v>
      </c>
      <c r="S240" s="17"/>
      <c r="T240" s="37"/>
      <c r="U240" s="37"/>
      <c r="V240" s="37">
        <f>'M1 Härtekammern'!T223</f>
        <v>72.319999999999993</v>
      </c>
      <c r="W240" s="17"/>
      <c r="X240" s="17"/>
      <c r="Y240" s="37">
        <f>T240+U240</f>
        <v>0</v>
      </c>
      <c r="Z240" s="37">
        <f>SUM(T240:V240)</f>
        <v>72.319999999999993</v>
      </c>
      <c r="AA240" s="17" t="s">
        <v>184</v>
      </c>
    </row>
    <row r="241" spans="16:27" ht="15.75" hidden="1" outlineLevel="1" x14ac:dyDescent="0.3">
      <c r="P241" s="274"/>
      <c r="Q241" s="17"/>
      <c r="R241" s="17" t="str">
        <f>'M1 Härtekammern'!P224</f>
        <v>Weiterer Zusatzstoff 1</v>
      </c>
      <c r="S241" s="17"/>
      <c r="T241" s="37"/>
      <c r="U241" s="37"/>
      <c r="V241" s="37">
        <f>'M1 Härtekammern'!T224</f>
        <v>0</v>
      </c>
      <c r="W241" s="17"/>
      <c r="X241" s="17"/>
      <c r="Y241" s="37">
        <f t="shared" ref="Y241:Y242" si="71">T241+U241</f>
        <v>0</v>
      </c>
      <c r="Z241" s="37">
        <f t="shared" ref="Z241:Z242" si="72">SUM(T241:V241)</f>
        <v>0</v>
      </c>
      <c r="AA241" s="17" t="s">
        <v>184</v>
      </c>
    </row>
    <row r="242" spans="16:27" ht="15.75" hidden="1" outlineLevel="1" x14ac:dyDescent="0.3">
      <c r="P242" s="274"/>
      <c r="Q242" s="17"/>
      <c r="R242" s="17" t="str">
        <f>'M1 Härtekammern'!P225</f>
        <v>Weiterer Zusatzstoff 2</v>
      </c>
      <c r="S242" s="17"/>
      <c r="T242" s="37"/>
      <c r="U242" s="37"/>
      <c r="V242" s="37">
        <f>'M1 Härtekammern'!T225</f>
        <v>0</v>
      </c>
      <c r="W242" s="17"/>
      <c r="X242" s="17"/>
      <c r="Y242" s="37">
        <f t="shared" si="71"/>
        <v>0</v>
      </c>
      <c r="Z242" s="37">
        <f t="shared" si="72"/>
        <v>0</v>
      </c>
      <c r="AA242" s="17" t="s">
        <v>184</v>
      </c>
    </row>
    <row r="243" spans="16:27" hidden="1" outlineLevel="1" x14ac:dyDescent="0.2">
      <c r="P243" s="17"/>
      <c r="Q243" s="17"/>
      <c r="R243" s="17"/>
      <c r="S243" s="17"/>
      <c r="T243" s="17"/>
      <c r="U243" s="17"/>
      <c r="V243" s="17"/>
      <c r="W243" s="17"/>
      <c r="X243" s="17"/>
      <c r="Y243" s="17"/>
      <c r="Z243" s="20"/>
      <c r="AA243" s="20"/>
    </row>
    <row r="244" spans="16:27" ht="14.25" hidden="1" outlineLevel="1" x14ac:dyDescent="0.25">
      <c r="P244" s="69"/>
      <c r="Q244" s="69" t="s">
        <v>49</v>
      </c>
      <c r="R244" s="70"/>
      <c r="S244" s="70"/>
      <c r="T244" s="71"/>
      <c r="U244" s="71"/>
      <c r="V244" s="71">
        <f t="shared" ref="V244" si="73">SUM(V245:V248)</f>
        <v>148.44746134951595</v>
      </c>
      <c r="W244" s="70"/>
      <c r="X244" s="70"/>
      <c r="Y244" s="71">
        <f t="shared" ref="Y244:Y248" si="74">T244+U244</f>
        <v>0</v>
      </c>
      <c r="Z244" s="71">
        <f t="shared" ref="Z244" si="75">SUM(T244:V244)</f>
        <v>148.44746134951595</v>
      </c>
      <c r="AA244" s="76" t="s">
        <v>183</v>
      </c>
    </row>
    <row r="245" spans="16:27" ht="15.75" hidden="1" outlineLevel="1" x14ac:dyDescent="0.3">
      <c r="P245" s="17"/>
      <c r="Q245" s="17"/>
      <c r="R245" s="17" t="s">
        <v>50</v>
      </c>
      <c r="S245" s="17"/>
      <c r="T245" s="37"/>
      <c r="U245" s="37"/>
      <c r="V245" s="37">
        <f>'M1 Härtekammern'!T228</f>
        <v>47.997919375812742</v>
      </c>
      <c r="W245" s="17"/>
      <c r="X245" s="17"/>
      <c r="Y245" s="37">
        <f t="shared" si="74"/>
        <v>0</v>
      </c>
      <c r="Z245" s="37">
        <f t="shared" ref="Z245:Z248" si="76">SUM(T245:V245)</f>
        <v>47.997919375812742</v>
      </c>
      <c r="AA245" s="17" t="s">
        <v>184</v>
      </c>
    </row>
    <row r="246" spans="16:27" ht="15.75" hidden="1" outlineLevel="1" x14ac:dyDescent="0.3">
      <c r="P246" s="17"/>
      <c r="Q246" s="17"/>
      <c r="R246" s="17" t="s">
        <v>52</v>
      </c>
      <c r="S246" s="17"/>
      <c r="T246" s="37"/>
      <c r="U246" s="37"/>
      <c r="V246" s="37">
        <f>'M1 Härtekammern'!T229</f>
        <v>5.7797543707556596</v>
      </c>
      <c r="W246" s="17"/>
      <c r="X246" s="17"/>
      <c r="Y246" s="37">
        <f t="shared" si="74"/>
        <v>0</v>
      </c>
      <c r="Z246" s="37">
        <f t="shared" si="76"/>
        <v>5.7797543707556596</v>
      </c>
      <c r="AA246" s="17" t="s">
        <v>184</v>
      </c>
    </row>
    <row r="247" spans="16:27" ht="15.75" hidden="1" outlineLevel="1" x14ac:dyDescent="0.3">
      <c r="P247" s="17"/>
      <c r="Q247" s="17"/>
      <c r="R247" s="17" t="s">
        <v>53</v>
      </c>
      <c r="S247" s="17"/>
      <c r="T247" s="37"/>
      <c r="U247" s="37"/>
      <c r="V247" s="37">
        <f>'M1 Härtekammern'!T230</f>
        <v>1.4217598612917211E-2</v>
      </c>
      <c r="W247" s="17"/>
      <c r="X247" s="17"/>
      <c r="Y247" s="37">
        <f t="shared" si="74"/>
        <v>0</v>
      </c>
      <c r="Z247" s="37">
        <f t="shared" si="76"/>
        <v>1.4217598612917211E-2</v>
      </c>
      <c r="AA247" s="17" t="s">
        <v>184</v>
      </c>
    </row>
    <row r="248" spans="16:27" ht="15.75" hidden="1" outlineLevel="1" x14ac:dyDescent="0.3">
      <c r="P248" s="17"/>
      <c r="Q248" s="17"/>
      <c r="R248" s="17" t="s">
        <v>54</v>
      </c>
      <c r="S248" s="17"/>
      <c r="T248" s="37"/>
      <c r="U248" s="37"/>
      <c r="V248" s="37">
        <f>'M1 Härtekammern'!T231</f>
        <v>94.655570004334635</v>
      </c>
      <c r="W248" s="17"/>
      <c r="X248" s="17"/>
      <c r="Y248" s="37">
        <f t="shared" si="74"/>
        <v>0</v>
      </c>
      <c r="Z248" s="37">
        <f t="shared" si="76"/>
        <v>94.655570004334635</v>
      </c>
      <c r="AA248" s="17" t="s">
        <v>184</v>
      </c>
    </row>
    <row r="249" spans="16:27" hidden="1" outlineLevel="1" x14ac:dyDescent="0.2">
      <c r="P249" s="17"/>
      <c r="Q249" s="17"/>
      <c r="R249" s="17"/>
      <c r="S249" s="17"/>
      <c r="T249" s="17"/>
      <c r="U249" s="17"/>
      <c r="V249" s="17"/>
      <c r="W249" s="17"/>
      <c r="X249" s="17"/>
      <c r="Y249" s="17"/>
      <c r="Z249" s="17"/>
      <c r="AA249" s="20"/>
    </row>
    <row r="250" spans="16:27" ht="14.25" hidden="1" outlineLevel="1" x14ac:dyDescent="0.25">
      <c r="P250" s="69"/>
      <c r="Q250" s="69" t="s">
        <v>246</v>
      </c>
      <c r="R250" s="70"/>
      <c r="S250" s="70"/>
      <c r="T250" s="71"/>
      <c r="U250" s="71"/>
      <c r="V250" s="71">
        <f>SUM(V251:V252)</f>
        <v>0</v>
      </c>
      <c r="W250" s="70"/>
      <c r="X250" s="70"/>
      <c r="Y250" s="71">
        <f>T250+U250</f>
        <v>0</v>
      </c>
      <c r="Z250" s="71">
        <f t="shared" ref="Z250" si="77">SUM(T250:V250)</f>
        <v>0</v>
      </c>
      <c r="AA250" s="76" t="s">
        <v>183</v>
      </c>
    </row>
    <row r="251" spans="16:27" ht="15.75" hidden="1" outlineLevel="1" x14ac:dyDescent="0.3">
      <c r="P251" s="274"/>
      <c r="Q251" s="17"/>
      <c r="R251" s="17" t="s">
        <v>242</v>
      </c>
      <c r="S251" s="17"/>
      <c r="T251" s="37"/>
      <c r="U251" s="37"/>
      <c r="V251" s="37">
        <f>IF(NOT(ISBLANK(J23)),J23,H23)*IF(NOT(ISBLANK(J26)),J26,0)</f>
        <v>0</v>
      </c>
      <c r="W251" s="17"/>
      <c r="X251" s="17"/>
      <c r="Y251" s="37">
        <f t="shared" ref="Y251:Y252" si="78">T251+U251</f>
        <v>0</v>
      </c>
      <c r="Z251" s="37">
        <f t="shared" ref="Z251:Z252" si="79">SUM(T251:V251)</f>
        <v>0</v>
      </c>
      <c r="AA251" s="17" t="s">
        <v>184</v>
      </c>
    </row>
    <row r="252" spans="16:27" ht="15.75" hidden="1" outlineLevel="1" x14ac:dyDescent="0.3">
      <c r="P252" s="274"/>
      <c r="Q252" s="17"/>
      <c r="R252" s="17" t="s">
        <v>243</v>
      </c>
      <c r="S252" s="17"/>
      <c r="T252" s="37"/>
      <c r="U252" s="37"/>
      <c r="V252" s="37">
        <f>IF(NOT(ISBLANK(J24)),J24,H24)*IF(NOT(ISBLANK(J27)),J27,0)</f>
        <v>0</v>
      </c>
      <c r="W252" s="17"/>
      <c r="X252" s="17"/>
      <c r="Y252" s="37">
        <f t="shared" si="78"/>
        <v>0</v>
      </c>
      <c r="Z252" s="37">
        <f t="shared" si="79"/>
        <v>0</v>
      </c>
      <c r="AA252" s="17" t="s">
        <v>184</v>
      </c>
    </row>
    <row r="253" spans="16:27" hidden="1" outlineLevel="1" x14ac:dyDescent="0.2">
      <c r="P253" s="17"/>
      <c r="Q253" s="17"/>
      <c r="R253" s="17"/>
      <c r="S253" s="17"/>
      <c r="T253" s="17"/>
      <c r="U253" s="17"/>
      <c r="V253" s="17"/>
      <c r="W253" s="17"/>
      <c r="X253" s="17"/>
      <c r="Y253" s="17"/>
      <c r="Z253" s="17"/>
      <c r="AA253" s="20"/>
    </row>
    <row r="254" spans="16:27" ht="14.25" hidden="1" outlineLevel="1" x14ac:dyDescent="0.25">
      <c r="P254" s="17"/>
      <c r="Q254" s="17"/>
      <c r="R254" s="21" t="s">
        <v>99</v>
      </c>
      <c r="S254" s="21"/>
      <c r="T254" s="74"/>
      <c r="U254" s="74"/>
      <c r="V254" s="74">
        <f>'M1 Härtekammern'!T233</f>
        <v>0</v>
      </c>
      <c r="W254" s="21"/>
      <c r="X254" s="21"/>
      <c r="Y254" s="74">
        <f>T254+U254</f>
        <v>0</v>
      </c>
      <c r="Z254" s="74">
        <f>SUM(T254:V254)</f>
        <v>0</v>
      </c>
      <c r="AA254" s="21" t="s">
        <v>183</v>
      </c>
    </row>
    <row r="255" spans="16:27" ht="14.25" hidden="1" outlineLevel="1" x14ac:dyDescent="0.25">
      <c r="P255" s="17"/>
      <c r="Q255" s="17"/>
      <c r="R255" s="21" t="s">
        <v>62</v>
      </c>
      <c r="S255" s="21"/>
      <c r="T255" s="75"/>
      <c r="U255" s="75"/>
      <c r="V255" s="75">
        <f>'M1 Härtekammern'!T234</f>
        <v>0.54400000000000004</v>
      </c>
      <c r="W255" s="21"/>
      <c r="X255" s="21"/>
      <c r="Y255" s="74">
        <f>T255+U255</f>
        <v>0</v>
      </c>
      <c r="Z255" s="74">
        <f>SUM(T255:V255)</f>
        <v>0.54400000000000004</v>
      </c>
      <c r="AA255" s="21" t="s">
        <v>183</v>
      </c>
    </row>
    <row r="256" spans="16:27" hidden="1" outlineLevel="1" x14ac:dyDescent="0.2">
      <c r="P256" s="17"/>
      <c r="Q256" s="17"/>
      <c r="R256" s="17"/>
      <c r="S256" s="17"/>
      <c r="T256" s="17"/>
      <c r="U256" s="17"/>
      <c r="V256" s="17"/>
      <c r="W256" s="17"/>
      <c r="X256" s="17"/>
      <c r="Y256" s="17"/>
      <c r="Z256" s="17"/>
      <c r="AA256" s="20"/>
    </row>
    <row r="257" spans="16:27" ht="14.25" hidden="1" outlineLevel="1" x14ac:dyDescent="0.25">
      <c r="P257" s="69"/>
      <c r="Q257" s="69" t="s">
        <v>168</v>
      </c>
      <c r="R257" s="70"/>
      <c r="S257" s="70"/>
      <c r="T257" s="71"/>
      <c r="U257" s="71"/>
      <c r="V257" s="71">
        <f t="shared" ref="V257" si="80">SUM(V258:V260)</f>
        <v>0.16095999999999999</v>
      </c>
      <c r="W257" s="70"/>
      <c r="X257" s="70"/>
      <c r="Y257" s="71">
        <f t="shared" ref="Y257" si="81">T257+U257</f>
        <v>0</v>
      </c>
      <c r="Z257" s="71">
        <f t="shared" ref="Z257" si="82">SUM(T257:V257)</f>
        <v>0.16095999999999999</v>
      </c>
      <c r="AA257" s="76" t="s">
        <v>183</v>
      </c>
    </row>
    <row r="258" spans="16:27" ht="15.75" hidden="1" outlineLevel="1" x14ac:dyDescent="0.3">
      <c r="P258" s="17"/>
      <c r="Q258" s="17"/>
      <c r="R258" s="17" t="s">
        <v>169</v>
      </c>
      <c r="S258" s="17"/>
      <c r="T258" s="37"/>
      <c r="U258" s="37"/>
      <c r="V258" s="37">
        <f>'M1 Härtekammern'!T237</f>
        <v>0</v>
      </c>
      <c r="W258" s="17"/>
      <c r="X258" s="17"/>
      <c r="Y258" s="37">
        <f>T258+U258</f>
        <v>0</v>
      </c>
      <c r="Z258" s="37">
        <f>SUM(T258:V258)</f>
        <v>0</v>
      </c>
      <c r="AA258" s="17" t="s">
        <v>184</v>
      </c>
    </row>
    <row r="259" spans="16:27" ht="15.75" hidden="1" outlineLevel="1" x14ac:dyDescent="0.3">
      <c r="P259" s="17"/>
      <c r="Q259" s="17"/>
      <c r="R259" s="17" t="s">
        <v>60</v>
      </c>
      <c r="S259" s="17"/>
      <c r="T259" s="37"/>
      <c r="U259" s="37"/>
      <c r="V259" s="37">
        <f>'M1 Härtekammern'!T238</f>
        <v>0.16095999999999999</v>
      </c>
      <c r="W259" s="17"/>
      <c r="X259" s="17"/>
      <c r="Y259" s="37">
        <f t="shared" ref="Y259" si="83">T259+U259</f>
        <v>0</v>
      </c>
      <c r="Z259" s="37">
        <f t="shared" ref="Z259" si="84">SUM(T259:V259)</f>
        <v>0.16095999999999999</v>
      </c>
      <c r="AA259" s="17" t="s">
        <v>184</v>
      </c>
    </row>
    <row r="260" spans="16:27" ht="15.75" hidden="1" outlineLevel="1" x14ac:dyDescent="0.3">
      <c r="P260" s="17"/>
      <c r="Q260" s="17"/>
      <c r="R260" s="17" t="s">
        <v>170</v>
      </c>
      <c r="S260" s="17"/>
      <c r="T260" s="37"/>
      <c r="U260" s="37"/>
      <c r="V260" s="37">
        <f>'M1 Härtekammern'!T239</f>
        <v>0</v>
      </c>
      <c r="W260" s="17"/>
      <c r="X260" s="17"/>
      <c r="Y260" s="37">
        <f>T260+U260</f>
        <v>0</v>
      </c>
      <c r="Z260" s="37">
        <f>SUM(T260:V260)</f>
        <v>0</v>
      </c>
      <c r="AA260" s="17" t="s">
        <v>184</v>
      </c>
    </row>
    <row r="261" spans="16:27" hidden="1" outlineLevel="1" x14ac:dyDescent="0.2">
      <c r="P261" s="17"/>
      <c r="Q261" s="17"/>
      <c r="R261" s="17"/>
      <c r="S261" s="17"/>
      <c r="T261" s="17"/>
      <c r="U261" s="17"/>
      <c r="V261" s="17"/>
      <c r="W261" s="17"/>
      <c r="X261" s="17"/>
      <c r="Y261" s="17"/>
      <c r="Z261" s="17"/>
      <c r="AA261" s="20"/>
    </row>
    <row r="262" spans="16:27" ht="14.25" hidden="1" outlineLevel="1" x14ac:dyDescent="0.25">
      <c r="P262" s="69"/>
      <c r="Q262" s="69" t="s">
        <v>171</v>
      </c>
      <c r="R262" s="70"/>
      <c r="S262" s="70"/>
      <c r="T262" s="71"/>
      <c r="U262" s="71"/>
      <c r="V262" s="71">
        <f t="shared" ref="V262" si="85">SUM(V263:V265)</f>
        <v>60</v>
      </c>
      <c r="W262" s="70"/>
      <c r="X262" s="70"/>
      <c r="Y262" s="71">
        <f t="shared" ref="Y262" si="86">T262+U262</f>
        <v>0</v>
      </c>
      <c r="Z262" s="71">
        <f t="shared" ref="Z262" si="87">SUM(T262:V262)</f>
        <v>60</v>
      </c>
      <c r="AA262" s="76" t="s">
        <v>183</v>
      </c>
    </row>
    <row r="263" spans="16:27" ht="15.75" hidden="1" outlineLevel="1" x14ac:dyDescent="0.3">
      <c r="P263" s="17"/>
      <c r="Q263" s="17"/>
      <c r="R263" s="17" t="s">
        <v>64</v>
      </c>
      <c r="S263" s="17"/>
      <c r="T263" s="43"/>
      <c r="U263" s="43"/>
      <c r="V263" s="43">
        <f>'M1 Härtekammern'!T242</f>
        <v>60</v>
      </c>
      <c r="W263" s="17"/>
      <c r="X263" s="17"/>
      <c r="Y263" s="37">
        <f>T263+U263</f>
        <v>0</v>
      </c>
      <c r="Z263" s="37">
        <f>SUM(T263:V263)</f>
        <v>60</v>
      </c>
      <c r="AA263" s="17" t="s">
        <v>184</v>
      </c>
    </row>
    <row r="264" spans="16:27" ht="15.75" hidden="1" outlineLevel="1" x14ac:dyDescent="0.3">
      <c r="P264" s="17"/>
      <c r="Q264" s="17"/>
      <c r="R264" s="17" t="s">
        <v>173</v>
      </c>
      <c r="S264" s="17"/>
      <c r="T264" s="43"/>
      <c r="U264" s="43"/>
      <c r="V264" s="43">
        <f>'M1 Härtekammern'!T243</f>
        <v>0</v>
      </c>
      <c r="W264" s="17"/>
      <c r="X264" s="17"/>
      <c r="Y264" s="37">
        <f t="shared" ref="Y264:Y265" si="88">T264+U264</f>
        <v>0</v>
      </c>
      <c r="Z264" s="37">
        <f t="shared" ref="Z264:Z265" si="89">SUM(T264:V264)</f>
        <v>0</v>
      </c>
      <c r="AA264" s="17" t="s">
        <v>184</v>
      </c>
    </row>
    <row r="265" spans="16:27" ht="15.75" hidden="1" outlineLevel="1" x14ac:dyDescent="0.3">
      <c r="P265" s="17"/>
      <c r="Q265" s="17"/>
      <c r="R265" s="17" t="s">
        <v>172</v>
      </c>
      <c r="S265" s="17"/>
      <c r="T265" s="43"/>
      <c r="U265" s="43"/>
      <c r="V265" s="43">
        <f>'M1 Härtekammern'!T244</f>
        <v>0</v>
      </c>
      <c r="W265" s="17"/>
      <c r="X265" s="17"/>
      <c r="Y265" s="37">
        <f t="shared" si="88"/>
        <v>0</v>
      </c>
      <c r="Z265" s="37">
        <f t="shared" si="89"/>
        <v>0</v>
      </c>
      <c r="AA265" s="17" t="s">
        <v>184</v>
      </c>
    </row>
    <row r="266" spans="16:27" hidden="1" outlineLevel="1" x14ac:dyDescent="0.2">
      <c r="P266" s="17"/>
      <c r="Q266" s="17"/>
      <c r="R266" s="17"/>
      <c r="S266" s="17"/>
      <c r="T266" s="17"/>
      <c r="U266" s="17"/>
      <c r="V266" s="17"/>
      <c r="W266" s="17"/>
      <c r="X266" s="17"/>
      <c r="Y266" s="17"/>
      <c r="Z266" s="17"/>
      <c r="AA266" s="20"/>
    </row>
    <row r="267" spans="16:27" ht="14.25" hidden="1" outlineLevel="1" x14ac:dyDescent="0.25">
      <c r="P267" s="17"/>
      <c r="Q267" s="17"/>
      <c r="R267" s="21" t="s">
        <v>61</v>
      </c>
      <c r="S267" s="21"/>
      <c r="T267" s="75"/>
      <c r="U267" s="75"/>
      <c r="V267" s="75">
        <f>'M1 Härtekammern'!T246</f>
        <v>64.48</v>
      </c>
      <c r="W267" s="21"/>
      <c r="X267" s="21"/>
      <c r="Y267" s="74">
        <f t="shared" ref="Y267" si="90">T267+U267</f>
        <v>0</v>
      </c>
      <c r="Z267" s="74">
        <f t="shared" ref="Z267" si="91">SUM(T267:V267)</f>
        <v>64.48</v>
      </c>
      <c r="AA267" s="21" t="s">
        <v>183</v>
      </c>
    </row>
    <row r="268" spans="16:27" hidden="1" outlineLevel="1" x14ac:dyDescent="0.2">
      <c r="P268" s="17"/>
      <c r="Q268" s="17"/>
      <c r="R268" s="17"/>
      <c r="S268" s="17"/>
      <c r="T268" s="20"/>
      <c r="U268" s="20"/>
      <c r="V268" s="20"/>
      <c r="W268" s="17"/>
      <c r="X268" s="17"/>
      <c r="Y268" s="17"/>
      <c r="Z268" s="20"/>
      <c r="AA268" s="20"/>
    </row>
    <row r="269" spans="16:27" ht="15" hidden="1" outlineLevel="1" thickBot="1" x14ac:dyDescent="0.3">
      <c r="P269" s="17"/>
      <c r="Q269" s="17"/>
      <c r="R269" s="67" t="s">
        <v>67</v>
      </c>
      <c r="S269" s="67"/>
      <c r="T269" s="68">
        <f>SUM(T204:T267)-T218-T222-T228-T237-T244-T250-T257-T262</f>
        <v>94.932355060000006</v>
      </c>
      <c r="U269" s="68">
        <f>SUM(U204:U267)-U218-U222-U228-U237-U244-U250-U257-U262</f>
        <v>61.552554846110553</v>
      </c>
      <c r="V269" s="68">
        <f>SUM(V204:V267)-V218-V222-V228-V237-V244-V250-V257-V262</f>
        <v>5280.1795939911462</v>
      </c>
      <c r="W269" s="21"/>
      <c r="X269" s="21"/>
      <c r="Y269" s="68">
        <f>SUM(Y204:Y267)-Y218-Y222-Y228-Y237-Y244-Y250-Y257-Y262</f>
        <v>156.48490990611054</v>
      </c>
      <c r="Z269" s="68">
        <f>SUM(Z204:Z267)-Z218-Z222-Z228-Z237-Z244-Z250-Z257-Z262</f>
        <v>5436.6645038972565</v>
      </c>
      <c r="AA269" s="68" t="s">
        <v>183</v>
      </c>
    </row>
    <row r="270" spans="16:27" ht="13.5" hidden="1" outlineLevel="1" thickTop="1" x14ac:dyDescent="0.2">
      <c r="P270" s="17"/>
      <c r="Q270" s="17"/>
      <c r="R270" s="17"/>
      <c r="S270" s="17"/>
      <c r="T270" s="20"/>
      <c r="U270" s="20"/>
      <c r="V270" s="20"/>
      <c r="W270" s="17"/>
      <c r="X270" s="17"/>
      <c r="Y270" s="17"/>
      <c r="Z270" s="20"/>
      <c r="AA270" s="20"/>
    </row>
    <row r="271" spans="16:27" hidden="1" outlineLevel="1" x14ac:dyDescent="0.2"/>
    <row r="272" spans="16:27" hidden="1" outlineLevel="1" x14ac:dyDescent="0.2"/>
    <row r="273" hidden="1" outlineLevel="1" x14ac:dyDescent="0.2"/>
    <row r="274" hidden="1" outlineLevel="1" x14ac:dyDescent="0.2"/>
    <row r="275" hidden="1" outlineLevel="1" x14ac:dyDescent="0.2"/>
    <row r="276" hidden="1" outlineLevel="1" x14ac:dyDescent="0.2"/>
    <row r="277" hidden="1" outlineLevel="1" x14ac:dyDescent="0.2"/>
    <row r="278" hidden="1" outlineLevel="1" x14ac:dyDescent="0.2"/>
    <row r="279" hidden="1" outlineLevel="1" x14ac:dyDescent="0.2"/>
    <row r="280" hidden="1" outlineLevel="1" x14ac:dyDescent="0.2"/>
    <row r="281" hidden="1" outlineLevel="1" x14ac:dyDescent="0.2"/>
    <row r="282" hidden="1" outlineLevel="1" x14ac:dyDescent="0.2"/>
    <row r="283" hidden="1" outlineLevel="1" x14ac:dyDescent="0.2"/>
    <row r="284" hidden="1" outlineLevel="1" x14ac:dyDescent="0.2"/>
    <row r="285" hidden="1" outlineLevel="1" x14ac:dyDescent="0.2"/>
    <row r="286" hidden="1" outlineLevel="1" x14ac:dyDescent="0.2"/>
    <row r="287" hidden="1" outlineLevel="1" x14ac:dyDescent="0.2"/>
    <row r="288" hidden="1" outlineLevel="1" x14ac:dyDescent="0.2"/>
    <row r="289" hidden="1" outlineLevel="1" x14ac:dyDescent="0.2"/>
    <row r="290" hidden="1" outlineLevel="1" x14ac:dyDescent="0.2"/>
    <row r="291" hidden="1" outlineLevel="1" x14ac:dyDescent="0.2"/>
    <row r="292" hidden="1" outlineLevel="1" x14ac:dyDescent="0.2"/>
    <row r="293" hidden="1" outlineLevel="1" x14ac:dyDescent="0.2"/>
    <row r="294" hidden="1" outlineLevel="1" x14ac:dyDescent="0.2"/>
    <row r="295" hidden="1" outlineLevel="1" x14ac:dyDescent="0.2"/>
    <row r="296" hidden="1" outlineLevel="1" x14ac:dyDescent="0.2"/>
    <row r="297" hidden="1" outlineLevel="1" x14ac:dyDescent="0.2"/>
    <row r="298" hidden="1" outlineLevel="1" x14ac:dyDescent="0.2"/>
    <row r="299" hidden="1" outlineLevel="1" x14ac:dyDescent="0.2"/>
    <row r="300" hidden="1" outlineLevel="1" x14ac:dyDescent="0.2"/>
    <row r="301" hidden="1" outlineLevel="1" x14ac:dyDescent="0.2"/>
    <row r="302" hidden="1" outlineLevel="1" x14ac:dyDescent="0.2"/>
    <row r="303" hidden="1" outlineLevel="1" x14ac:dyDescent="0.2"/>
    <row r="304" hidden="1" outlineLevel="1" x14ac:dyDescent="0.2"/>
    <row r="305" hidden="1" outlineLevel="1" x14ac:dyDescent="0.2"/>
    <row r="306" hidden="1" outlineLevel="1" x14ac:dyDescent="0.2"/>
    <row r="307" collapsed="1" x14ac:dyDescent="0.2"/>
  </sheetData>
  <sheetProtection algorithmName="SHA-512" hashValue="f6vfMdN7tVHgbfpUN3Y9A3gjkB6shEIIEGcQGTH5/oRBNDt5CMR2NDutWS6U/XKpJrgxWAQxvBikqWUGKtQfng==" saltValue="cgs4TPrv0HlvFBi4HW4RUg==" spinCount="100000" sheet="1" selectLockedCells="1"/>
  <mergeCells count="12">
    <mergeCell ref="AI41:AI42"/>
    <mergeCell ref="C6:L6"/>
    <mergeCell ref="Z50:Z51"/>
    <mergeCell ref="D13:F13"/>
    <mergeCell ref="H13:J13"/>
    <mergeCell ref="L14:L15"/>
    <mergeCell ref="C39:K39"/>
    <mergeCell ref="C40:K40"/>
    <mergeCell ref="C41:K41"/>
    <mergeCell ref="C42:K42"/>
    <mergeCell ref="C43:K43"/>
    <mergeCell ref="Q41:Q42"/>
  </mergeCells>
  <dataValidations count="2">
    <dataValidation allowBlank="1" showInputMessage="1" showErrorMessage="1" prompt="Hinweis: Bitte den Handeingabewert 'Reduktion' für 'Bilanzjahr +10 Jahre' auch anpassen. Dieser muss dem Werte Ihrer Handeingabe 'Bilanzjahr +5 Jahre' entsprechen, sollte nur eine Maßnahme in 'Bilanzjahr +5 Jahre' umgesetzt werden." sqref="F17:F20 J17:J20" xr:uid="{96CFA3E1-C898-41ED-817F-F69E2CD403A6}"/>
    <dataValidation allowBlank="1" showInputMessage="1" showErrorMessage="1" prompt="Hinweis: Bitte den Handeingabewert 'Emissionsfaktor' für Ersatzstoff 1 und / oder Ersatzstoff 2 eintragen." sqref="F23:F24 J23:J24" xr:uid="{AF432860-B151-422F-811A-411F475DD033}"/>
  </dataValidations>
  <hyperlinks>
    <hyperlink ref="A1" location="Cockpit!A1" display="zurück zu Cockpit" xr:uid="{FC2A5B9F-A471-4B86-A483-35910E0C7AC5}"/>
  </hyperlinks>
  <printOptions horizontalCentered="1"/>
  <pageMargins left="0.39370078740157483" right="0.39370078740157483" top="0.39370078740157483" bottom="0.59055118110236227" header="0.19685039370078741" footer="0.19685039370078741"/>
  <pageSetup paperSize="9" scale="44" fitToWidth="4" orientation="portrait" verticalDpi="601" r:id="rId1"/>
  <colBreaks count="3" manualBreakCount="3">
    <brk id="14" max="1048575" man="1"/>
    <brk id="23" max="1048575" man="1"/>
    <brk id="3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8241" r:id="rId4" name="Check Box 1">
              <controlPr defaultSize="0" autoFill="0" autoLine="0" autoPict="0">
                <anchor moveWithCells="1">
                  <from>
                    <xdr:col>25</xdr:col>
                    <xdr:colOff>523875</xdr:colOff>
                    <xdr:row>51</xdr:row>
                    <xdr:rowOff>28575</xdr:rowOff>
                  </from>
                  <to>
                    <xdr:col>25</xdr:col>
                    <xdr:colOff>704850</xdr:colOff>
                    <xdr:row>51</xdr:row>
                    <xdr:rowOff>190500</xdr:rowOff>
                  </to>
                </anchor>
              </controlPr>
            </control>
          </mc:Choice>
        </mc:AlternateContent>
        <mc:AlternateContent xmlns:mc="http://schemas.openxmlformats.org/markup-compatibility/2006">
          <mc:Choice Requires="x14">
            <control shapeId="138242" r:id="rId5" name="Check Box 2">
              <controlPr defaultSize="0" autoFill="0" autoLine="0" autoPict="0">
                <anchor moveWithCells="1">
                  <from>
                    <xdr:col>25</xdr:col>
                    <xdr:colOff>523875</xdr:colOff>
                    <xdr:row>52</xdr:row>
                    <xdr:rowOff>28575</xdr:rowOff>
                  </from>
                  <to>
                    <xdr:col>25</xdr:col>
                    <xdr:colOff>704850</xdr:colOff>
                    <xdr:row>52</xdr:row>
                    <xdr:rowOff>190500</xdr:rowOff>
                  </to>
                </anchor>
              </controlPr>
            </control>
          </mc:Choice>
        </mc:AlternateContent>
        <mc:AlternateContent xmlns:mc="http://schemas.openxmlformats.org/markup-compatibility/2006">
          <mc:Choice Requires="x14">
            <control shapeId="138243" r:id="rId6" name="Check Box 3">
              <controlPr defaultSize="0" autoFill="0" autoLine="0" autoPict="0">
                <anchor moveWithCells="1">
                  <from>
                    <xdr:col>25</xdr:col>
                    <xdr:colOff>523875</xdr:colOff>
                    <xdr:row>53</xdr:row>
                    <xdr:rowOff>28575</xdr:rowOff>
                  </from>
                  <to>
                    <xdr:col>25</xdr:col>
                    <xdr:colOff>704850</xdr:colOff>
                    <xdr:row>53</xdr:row>
                    <xdr:rowOff>180975</xdr:rowOff>
                  </to>
                </anchor>
              </controlPr>
            </control>
          </mc:Choice>
        </mc:AlternateContent>
        <mc:AlternateContent xmlns:mc="http://schemas.openxmlformats.org/markup-compatibility/2006">
          <mc:Choice Requires="x14">
            <control shapeId="138244" r:id="rId7" name="Check Box 4">
              <controlPr defaultSize="0" autoFill="0" autoLine="0" autoPict="0">
                <anchor moveWithCells="1">
                  <from>
                    <xdr:col>25</xdr:col>
                    <xdr:colOff>523875</xdr:colOff>
                    <xdr:row>54</xdr:row>
                    <xdr:rowOff>19050</xdr:rowOff>
                  </from>
                  <to>
                    <xdr:col>25</xdr:col>
                    <xdr:colOff>704850</xdr:colOff>
                    <xdr:row>54</xdr:row>
                    <xdr:rowOff>190500</xdr:rowOff>
                  </to>
                </anchor>
              </controlPr>
            </control>
          </mc:Choice>
        </mc:AlternateContent>
        <mc:AlternateContent xmlns:mc="http://schemas.openxmlformats.org/markup-compatibility/2006">
          <mc:Choice Requires="x14">
            <control shapeId="138245" r:id="rId8" name="Check Box 5">
              <controlPr defaultSize="0" autoFill="0" autoLine="0" autoPict="0">
                <anchor moveWithCells="1">
                  <from>
                    <xdr:col>25</xdr:col>
                    <xdr:colOff>523875</xdr:colOff>
                    <xdr:row>55</xdr:row>
                    <xdr:rowOff>19050</xdr:rowOff>
                  </from>
                  <to>
                    <xdr:col>25</xdr:col>
                    <xdr:colOff>704850</xdr:colOff>
                    <xdr:row>55</xdr:row>
                    <xdr:rowOff>180975</xdr:rowOff>
                  </to>
                </anchor>
              </controlPr>
            </control>
          </mc:Choice>
        </mc:AlternateContent>
        <mc:AlternateContent xmlns:mc="http://schemas.openxmlformats.org/markup-compatibility/2006">
          <mc:Choice Requires="x14">
            <control shapeId="138246" r:id="rId9" name="Check Box 6">
              <controlPr defaultSize="0" autoFill="0" autoLine="0" autoPict="0">
                <anchor moveWithCells="1">
                  <from>
                    <xdr:col>25</xdr:col>
                    <xdr:colOff>523875</xdr:colOff>
                    <xdr:row>56</xdr:row>
                    <xdr:rowOff>0</xdr:rowOff>
                  </from>
                  <to>
                    <xdr:col>25</xdr:col>
                    <xdr:colOff>704850</xdr:colOff>
                    <xdr:row>56</xdr:row>
                    <xdr:rowOff>180975</xdr:rowOff>
                  </to>
                </anchor>
              </controlPr>
            </control>
          </mc:Choice>
        </mc:AlternateContent>
        <mc:AlternateContent xmlns:mc="http://schemas.openxmlformats.org/markup-compatibility/2006">
          <mc:Choice Requires="x14">
            <control shapeId="138247" r:id="rId10" name="Check Box 7">
              <controlPr defaultSize="0" autoFill="0" autoLine="0" autoPict="0">
                <anchor moveWithCells="1">
                  <from>
                    <xdr:col>25</xdr:col>
                    <xdr:colOff>523875</xdr:colOff>
                    <xdr:row>57</xdr:row>
                    <xdr:rowOff>9525</xdr:rowOff>
                  </from>
                  <to>
                    <xdr:col>25</xdr:col>
                    <xdr:colOff>704850</xdr:colOff>
                    <xdr:row>57</xdr:row>
                    <xdr:rowOff>190500</xdr:rowOff>
                  </to>
                </anchor>
              </controlPr>
            </control>
          </mc:Choice>
        </mc:AlternateContent>
        <mc:AlternateContent xmlns:mc="http://schemas.openxmlformats.org/markup-compatibility/2006">
          <mc:Choice Requires="x14">
            <control shapeId="138248" r:id="rId11" name="Check Box 8">
              <controlPr defaultSize="0" autoFill="0" autoLine="0" autoPict="0">
                <anchor moveWithCells="1">
                  <from>
                    <xdr:col>34</xdr:col>
                    <xdr:colOff>457200</xdr:colOff>
                    <xdr:row>53</xdr:row>
                    <xdr:rowOff>0</xdr:rowOff>
                  </from>
                  <to>
                    <xdr:col>34</xdr:col>
                    <xdr:colOff>676275</xdr:colOff>
                    <xdr:row>53</xdr:row>
                    <xdr:rowOff>180975</xdr:rowOff>
                  </to>
                </anchor>
              </controlPr>
            </control>
          </mc:Choice>
        </mc:AlternateContent>
        <mc:AlternateContent xmlns:mc="http://schemas.openxmlformats.org/markup-compatibility/2006">
          <mc:Choice Requires="x14">
            <control shapeId="138249" r:id="rId12" name="Check Box 9">
              <controlPr defaultSize="0" autoFill="0" autoLine="0" autoPict="0">
                <anchor moveWithCells="1">
                  <from>
                    <xdr:col>34</xdr:col>
                    <xdr:colOff>571500</xdr:colOff>
                    <xdr:row>54</xdr:row>
                    <xdr:rowOff>19050</xdr:rowOff>
                  </from>
                  <to>
                    <xdr:col>35</xdr:col>
                    <xdr:colOff>0</xdr:colOff>
                    <xdr:row>54</xdr:row>
                    <xdr:rowOff>200025</xdr:rowOff>
                  </to>
                </anchor>
              </controlPr>
            </control>
          </mc:Choice>
        </mc:AlternateContent>
        <mc:AlternateContent xmlns:mc="http://schemas.openxmlformats.org/markup-compatibility/2006">
          <mc:Choice Requires="x14">
            <control shapeId="138250" r:id="rId13" name="Check Box 10">
              <controlPr defaultSize="0" autoFill="0" autoLine="0" autoPict="0">
                <anchor moveWithCells="1">
                  <from>
                    <xdr:col>34</xdr:col>
                    <xdr:colOff>571500</xdr:colOff>
                    <xdr:row>55</xdr:row>
                    <xdr:rowOff>19050</xdr:rowOff>
                  </from>
                  <to>
                    <xdr:col>35</xdr:col>
                    <xdr:colOff>0</xdr:colOff>
                    <xdr:row>55</xdr:row>
                    <xdr:rowOff>200025</xdr:rowOff>
                  </to>
                </anchor>
              </controlPr>
            </control>
          </mc:Choice>
        </mc:AlternateContent>
        <mc:AlternateContent xmlns:mc="http://schemas.openxmlformats.org/markup-compatibility/2006">
          <mc:Choice Requires="x14">
            <control shapeId="138251" r:id="rId14" name="Check Box 11">
              <controlPr defaultSize="0" autoFill="0" autoLine="0" autoPict="0">
                <anchor moveWithCells="1">
                  <from>
                    <xdr:col>34</xdr:col>
                    <xdr:colOff>571500</xdr:colOff>
                    <xdr:row>56</xdr:row>
                    <xdr:rowOff>9525</xdr:rowOff>
                  </from>
                  <to>
                    <xdr:col>35</xdr:col>
                    <xdr:colOff>0</xdr:colOff>
                    <xdr:row>56</xdr:row>
                    <xdr:rowOff>190500</xdr:rowOff>
                  </to>
                </anchor>
              </controlPr>
            </control>
          </mc:Choice>
        </mc:AlternateContent>
        <mc:AlternateContent xmlns:mc="http://schemas.openxmlformats.org/markup-compatibility/2006">
          <mc:Choice Requires="x14">
            <control shapeId="138252" r:id="rId15" name="Check Box 12">
              <controlPr defaultSize="0" autoFill="0" autoLine="0" autoPict="0">
                <anchor moveWithCells="1">
                  <from>
                    <xdr:col>34</xdr:col>
                    <xdr:colOff>457200</xdr:colOff>
                    <xdr:row>51</xdr:row>
                    <xdr:rowOff>9525</xdr:rowOff>
                  </from>
                  <to>
                    <xdr:col>34</xdr:col>
                    <xdr:colOff>676275</xdr:colOff>
                    <xdr:row>52</xdr:row>
                    <xdr:rowOff>9525</xdr:rowOff>
                  </to>
                </anchor>
              </controlPr>
            </control>
          </mc:Choice>
        </mc:AlternateContent>
        <mc:AlternateContent xmlns:mc="http://schemas.openxmlformats.org/markup-compatibility/2006">
          <mc:Choice Requires="x14">
            <control shapeId="138253" r:id="rId16" name="Check Box 13">
              <controlPr defaultSize="0" autoFill="0" autoLine="0" autoPict="0">
                <anchor moveWithCells="1">
                  <from>
                    <xdr:col>34</xdr:col>
                    <xdr:colOff>457200</xdr:colOff>
                    <xdr:row>50</xdr:row>
                    <xdr:rowOff>0</xdr:rowOff>
                  </from>
                  <to>
                    <xdr:col>34</xdr:col>
                    <xdr:colOff>676275</xdr:colOff>
                    <xdr:row>50</xdr:row>
                    <xdr:rowOff>180975</xdr:rowOff>
                  </to>
                </anchor>
              </controlPr>
            </control>
          </mc:Choice>
        </mc:AlternateContent>
        <mc:AlternateContent xmlns:mc="http://schemas.openxmlformats.org/markup-compatibility/2006">
          <mc:Choice Requires="x14">
            <control shapeId="138254" r:id="rId17" name="Check Box 14">
              <controlPr defaultSize="0" autoFill="0" autoLine="0" autoPict="0">
                <anchor moveWithCells="1">
                  <from>
                    <xdr:col>34</xdr:col>
                    <xdr:colOff>457200</xdr:colOff>
                    <xdr:row>52</xdr:row>
                    <xdr:rowOff>9525</xdr:rowOff>
                  </from>
                  <to>
                    <xdr:col>34</xdr:col>
                    <xdr:colOff>676275</xdr:colOff>
                    <xdr:row>53</xdr:row>
                    <xdr:rowOff>0</xdr:rowOff>
                  </to>
                </anchor>
              </controlPr>
            </control>
          </mc:Choice>
        </mc:AlternateContent>
        <mc:AlternateContent xmlns:mc="http://schemas.openxmlformats.org/markup-compatibility/2006">
          <mc:Choice Requires="x14">
            <control shapeId="138255" r:id="rId18" name="Check Box 15">
              <controlPr defaultSize="0" autoFill="0" autoLine="0" autoPict="0">
                <anchor moveWithCells="1">
                  <from>
                    <xdr:col>16</xdr:col>
                    <xdr:colOff>514350</xdr:colOff>
                    <xdr:row>41</xdr:row>
                    <xdr:rowOff>152400</xdr:rowOff>
                  </from>
                  <to>
                    <xdr:col>16</xdr:col>
                    <xdr:colOff>723900</xdr:colOff>
                    <xdr:row>43</xdr:row>
                    <xdr:rowOff>9525</xdr:rowOff>
                  </to>
                </anchor>
              </controlPr>
            </control>
          </mc:Choice>
        </mc:AlternateContent>
        <mc:AlternateContent xmlns:mc="http://schemas.openxmlformats.org/markup-compatibility/2006">
          <mc:Choice Requires="x14">
            <control shapeId="138256" r:id="rId19" name="Check Box 16">
              <controlPr defaultSize="0" autoFill="0" autoLine="0" autoPict="0">
                <anchor moveWithCells="1">
                  <from>
                    <xdr:col>16</xdr:col>
                    <xdr:colOff>514350</xdr:colOff>
                    <xdr:row>42</xdr:row>
                    <xdr:rowOff>190500</xdr:rowOff>
                  </from>
                  <to>
                    <xdr:col>16</xdr:col>
                    <xdr:colOff>723900</xdr:colOff>
                    <xdr:row>44</xdr:row>
                    <xdr:rowOff>9525</xdr:rowOff>
                  </to>
                </anchor>
              </controlPr>
            </control>
          </mc:Choice>
        </mc:AlternateContent>
        <mc:AlternateContent xmlns:mc="http://schemas.openxmlformats.org/markup-compatibility/2006">
          <mc:Choice Requires="x14">
            <control shapeId="138257" r:id="rId20" name="Check Box 17">
              <controlPr defaultSize="0" autoFill="0" autoLine="0" autoPict="0">
                <anchor moveWithCells="1">
                  <from>
                    <xdr:col>16</xdr:col>
                    <xdr:colOff>514350</xdr:colOff>
                    <xdr:row>43</xdr:row>
                    <xdr:rowOff>190500</xdr:rowOff>
                  </from>
                  <to>
                    <xdr:col>16</xdr:col>
                    <xdr:colOff>723900</xdr:colOff>
                    <xdr:row>45</xdr:row>
                    <xdr:rowOff>9525</xdr:rowOff>
                  </to>
                </anchor>
              </controlPr>
            </control>
          </mc:Choice>
        </mc:AlternateContent>
        <mc:AlternateContent xmlns:mc="http://schemas.openxmlformats.org/markup-compatibility/2006">
          <mc:Choice Requires="x14">
            <control shapeId="138258" r:id="rId21" name="Check Box 18">
              <controlPr defaultSize="0" autoFill="0" autoLine="0" autoPict="0">
                <anchor moveWithCells="1">
                  <from>
                    <xdr:col>16</xdr:col>
                    <xdr:colOff>514350</xdr:colOff>
                    <xdr:row>44</xdr:row>
                    <xdr:rowOff>190500</xdr:rowOff>
                  </from>
                  <to>
                    <xdr:col>16</xdr:col>
                    <xdr:colOff>723900</xdr:colOff>
                    <xdr:row>46</xdr:row>
                    <xdr:rowOff>0</xdr:rowOff>
                  </to>
                </anchor>
              </controlPr>
            </control>
          </mc:Choice>
        </mc:AlternateContent>
        <mc:AlternateContent xmlns:mc="http://schemas.openxmlformats.org/markup-compatibility/2006">
          <mc:Choice Requires="x14">
            <control shapeId="138259" r:id="rId22" name="Check Box 19">
              <controlPr defaultSize="0" autoFill="0" autoLine="0" autoPict="0">
                <anchor moveWithCells="1">
                  <from>
                    <xdr:col>16</xdr:col>
                    <xdr:colOff>514350</xdr:colOff>
                    <xdr:row>45</xdr:row>
                    <xdr:rowOff>190500</xdr:rowOff>
                  </from>
                  <to>
                    <xdr:col>16</xdr:col>
                    <xdr:colOff>723900</xdr:colOff>
                    <xdr:row>46</xdr:row>
                    <xdr:rowOff>200025</xdr:rowOff>
                  </to>
                </anchor>
              </controlPr>
            </control>
          </mc:Choice>
        </mc:AlternateContent>
        <mc:AlternateContent xmlns:mc="http://schemas.openxmlformats.org/markup-compatibility/2006">
          <mc:Choice Requires="x14">
            <control shapeId="138260" r:id="rId23" name="Check Box 20">
              <controlPr defaultSize="0" autoFill="0" autoLine="0" autoPict="0">
                <anchor moveWithCells="1">
                  <from>
                    <xdr:col>16</xdr:col>
                    <xdr:colOff>514350</xdr:colOff>
                    <xdr:row>46</xdr:row>
                    <xdr:rowOff>180975</xdr:rowOff>
                  </from>
                  <to>
                    <xdr:col>16</xdr:col>
                    <xdr:colOff>723900</xdr:colOff>
                    <xdr:row>47</xdr:row>
                    <xdr:rowOff>190500</xdr:rowOff>
                  </to>
                </anchor>
              </controlPr>
            </control>
          </mc:Choice>
        </mc:AlternateContent>
        <mc:AlternateContent xmlns:mc="http://schemas.openxmlformats.org/markup-compatibility/2006">
          <mc:Choice Requires="x14">
            <control shapeId="138261" r:id="rId24" name="Check Box 21">
              <controlPr defaultSize="0" autoFill="0" autoLine="0" autoPict="0">
                <anchor moveWithCells="1">
                  <from>
                    <xdr:col>16</xdr:col>
                    <xdr:colOff>514350</xdr:colOff>
                    <xdr:row>47</xdr:row>
                    <xdr:rowOff>171450</xdr:rowOff>
                  </from>
                  <to>
                    <xdr:col>16</xdr:col>
                    <xdr:colOff>723900</xdr:colOff>
                    <xdr:row>49</xdr:row>
                    <xdr:rowOff>0</xdr:rowOff>
                  </to>
                </anchor>
              </controlPr>
            </control>
          </mc:Choice>
        </mc:AlternateContent>
        <mc:AlternateContent xmlns:mc="http://schemas.openxmlformats.org/markup-compatibility/2006">
          <mc:Choice Requires="x14">
            <control shapeId="138262" r:id="rId25" name="Check Box 22">
              <controlPr defaultSize="0" autoFill="0" autoLine="0" autoPict="0">
                <anchor moveWithCells="1">
                  <from>
                    <xdr:col>16</xdr:col>
                    <xdr:colOff>514350</xdr:colOff>
                    <xdr:row>49</xdr:row>
                    <xdr:rowOff>190500</xdr:rowOff>
                  </from>
                  <to>
                    <xdr:col>16</xdr:col>
                    <xdr:colOff>723900</xdr:colOff>
                    <xdr:row>51</xdr:row>
                    <xdr:rowOff>0</xdr:rowOff>
                  </to>
                </anchor>
              </controlPr>
            </control>
          </mc:Choice>
        </mc:AlternateContent>
        <mc:AlternateContent xmlns:mc="http://schemas.openxmlformats.org/markup-compatibility/2006">
          <mc:Choice Requires="x14">
            <control shapeId="138263" r:id="rId26" name="Check Box 23">
              <controlPr defaultSize="0" autoFill="0" autoLine="0" autoPict="0">
                <anchor moveWithCells="1">
                  <from>
                    <xdr:col>16</xdr:col>
                    <xdr:colOff>514350</xdr:colOff>
                    <xdr:row>50</xdr:row>
                    <xdr:rowOff>180975</xdr:rowOff>
                  </from>
                  <to>
                    <xdr:col>16</xdr:col>
                    <xdr:colOff>723900</xdr:colOff>
                    <xdr:row>52</xdr:row>
                    <xdr:rowOff>0</xdr:rowOff>
                  </to>
                </anchor>
              </controlPr>
            </control>
          </mc:Choice>
        </mc:AlternateContent>
        <mc:AlternateContent xmlns:mc="http://schemas.openxmlformats.org/markup-compatibility/2006">
          <mc:Choice Requires="x14">
            <control shapeId="138264" r:id="rId27" name="Check Box 24">
              <controlPr defaultSize="0" autoFill="0" autoLine="0" autoPict="0">
                <anchor moveWithCells="1">
                  <from>
                    <xdr:col>16</xdr:col>
                    <xdr:colOff>514350</xdr:colOff>
                    <xdr:row>51</xdr:row>
                    <xdr:rowOff>180975</xdr:rowOff>
                  </from>
                  <to>
                    <xdr:col>16</xdr:col>
                    <xdr:colOff>723900</xdr:colOff>
                    <xdr:row>53</xdr:row>
                    <xdr:rowOff>0</xdr:rowOff>
                  </to>
                </anchor>
              </controlPr>
            </control>
          </mc:Choice>
        </mc:AlternateContent>
        <mc:AlternateContent xmlns:mc="http://schemas.openxmlformats.org/markup-compatibility/2006">
          <mc:Choice Requires="x14">
            <control shapeId="138265" r:id="rId28" name="Check Box 25">
              <controlPr defaultSize="0" autoFill="0" autoLine="0" autoPict="0">
                <anchor moveWithCells="1">
                  <from>
                    <xdr:col>16</xdr:col>
                    <xdr:colOff>514350</xdr:colOff>
                    <xdr:row>52</xdr:row>
                    <xdr:rowOff>180975</xdr:rowOff>
                  </from>
                  <to>
                    <xdr:col>16</xdr:col>
                    <xdr:colOff>723900</xdr:colOff>
                    <xdr:row>54</xdr:row>
                    <xdr:rowOff>9525</xdr:rowOff>
                  </to>
                </anchor>
              </controlPr>
            </control>
          </mc:Choice>
        </mc:AlternateContent>
        <mc:AlternateContent xmlns:mc="http://schemas.openxmlformats.org/markup-compatibility/2006">
          <mc:Choice Requires="x14">
            <control shapeId="138266" r:id="rId29" name="Check Box 26">
              <controlPr defaultSize="0" autoFill="0" autoLine="0" autoPict="0">
                <anchor moveWithCells="1">
                  <from>
                    <xdr:col>16</xdr:col>
                    <xdr:colOff>514350</xdr:colOff>
                    <xdr:row>48</xdr:row>
                    <xdr:rowOff>180975</xdr:rowOff>
                  </from>
                  <to>
                    <xdr:col>16</xdr:col>
                    <xdr:colOff>723900</xdr:colOff>
                    <xdr:row>50</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EAEA-DC4F-41F5-A123-E0E22079813B}">
  <dimension ref="A1:AK221"/>
  <sheetViews>
    <sheetView tabSelected="1" workbookViewId="0">
      <selection activeCell="D6" sqref="D6"/>
    </sheetView>
  </sheetViews>
  <sheetFormatPr baseColWidth="10" defaultColWidth="9" defaultRowHeight="12.75" outlineLevelRow="1" x14ac:dyDescent="0.2"/>
  <cols>
    <col min="1" max="1" width="3.5" style="6" customWidth="1"/>
    <col min="2" max="2" width="3.75" style="6" customWidth="1"/>
    <col min="3" max="3" width="13.625" style="6" customWidth="1"/>
    <col min="4" max="4" width="25.25" style="6" customWidth="1"/>
    <col min="5" max="5" width="26.5" style="6" customWidth="1"/>
    <col min="6" max="6" width="16.25" style="6" customWidth="1"/>
    <col min="7" max="7" width="17.625" style="6" customWidth="1"/>
    <col min="8" max="8" width="2" style="6" customWidth="1"/>
    <col min="9" max="9" width="17" style="6" customWidth="1"/>
    <col min="10" max="12" width="17.375" style="6" customWidth="1"/>
    <col min="13" max="13" width="21.375" style="6" customWidth="1"/>
    <col min="14" max="14" width="3.75" style="6" customWidth="1"/>
    <col min="15" max="15" width="4.125" style="6" customWidth="1"/>
    <col min="16" max="16" width="3.75" style="6" customWidth="1"/>
    <col min="17" max="17" width="31" style="6" customWidth="1"/>
    <col min="18" max="18" width="1.375" style="6" customWidth="1"/>
    <col min="19" max="20" width="9" style="6"/>
    <col min="21" max="21" width="10.5" style="6" bestFit="1" customWidth="1"/>
    <col min="22" max="22" width="3.125" style="6" customWidth="1"/>
    <col min="23" max="24" width="11.625" style="6" customWidth="1"/>
    <col min="25" max="25" width="15.125" style="6" bestFit="1" customWidth="1"/>
    <col min="26" max="26" width="3.75" style="6" customWidth="1"/>
    <col min="27" max="27" width="4.125" style="6" customWidth="1"/>
    <col min="28" max="28" width="3.75" style="6" customWidth="1"/>
    <col min="29" max="29" width="29.875" style="6" bestFit="1" customWidth="1"/>
    <col min="30" max="30" width="10.875" style="6" bestFit="1" customWidth="1"/>
    <col min="31" max="31" width="6.625" style="6" customWidth="1"/>
    <col min="32" max="16384" width="9" style="6"/>
  </cols>
  <sheetData>
    <row r="1" spans="1:35" x14ac:dyDescent="0.2">
      <c r="A1" s="425" t="s">
        <v>467</v>
      </c>
      <c r="B1" s="426"/>
      <c r="C1" s="426"/>
    </row>
    <row r="3" spans="1:35" x14ac:dyDescent="0.2">
      <c r="B3" s="3"/>
      <c r="C3" s="3"/>
      <c r="D3" s="3"/>
      <c r="E3" s="3"/>
      <c r="F3" s="3"/>
      <c r="G3" s="3"/>
      <c r="H3" s="3"/>
      <c r="I3" s="3"/>
      <c r="J3" s="3"/>
      <c r="K3" s="3"/>
      <c r="L3" s="3"/>
      <c r="M3" s="3"/>
      <c r="N3" s="3"/>
    </row>
    <row r="4" spans="1:35" ht="15.75" x14ac:dyDescent="0.25">
      <c r="B4" s="3"/>
      <c r="C4" s="332" t="s">
        <v>537</v>
      </c>
      <c r="D4" s="3"/>
      <c r="E4" s="3"/>
      <c r="F4" s="3"/>
      <c r="G4" s="3"/>
      <c r="H4" s="3"/>
      <c r="I4" s="3"/>
      <c r="J4" s="3"/>
      <c r="K4" s="3"/>
      <c r="L4" s="3"/>
      <c r="M4" s="3"/>
      <c r="N4" s="3"/>
    </row>
    <row r="5" spans="1:35" ht="23.25" customHeight="1" x14ac:dyDescent="0.2">
      <c r="B5" s="3"/>
      <c r="C5" s="3"/>
      <c r="D5" s="3"/>
      <c r="E5" s="3"/>
      <c r="F5" s="467" t="s">
        <v>405</v>
      </c>
      <c r="G5" s="467"/>
      <c r="H5" s="467"/>
      <c r="I5" s="467"/>
      <c r="J5" s="467"/>
      <c r="K5" s="467"/>
      <c r="L5" s="467"/>
      <c r="M5" s="467"/>
      <c r="N5" s="3"/>
    </row>
    <row r="6" spans="1:35" x14ac:dyDescent="0.2">
      <c r="B6" s="3"/>
      <c r="C6" s="3" t="s">
        <v>250</v>
      </c>
      <c r="D6" s="110"/>
      <c r="E6" s="3"/>
      <c r="F6" s="3"/>
      <c r="G6" s="3"/>
      <c r="H6" s="3"/>
      <c r="I6" s="3"/>
      <c r="J6" s="3"/>
      <c r="K6" s="3"/>
      <c r="L6" s="3"/>
      <c r="M6" s="3"/>
      <c r="N6" s="3"/>
    </row>
    <row r="7" spans="1:35" x14ac:dyDescent="0.2">
      <c r="B7" s="3"/>
      <c r="C7" s="3" t="s">
        <v>251</v>
      </c>
      <c r="D7" s="377"/>
      <c r="E7" s="3"/>
      <c r="F7" s="3"/>
      <c r="G7" s="3"/>
      <c r="H7" s="3"/>
      <c r="I7" s="3"/>
      <c r="J7" s="3"/>
      <c r="K7" s="3"/>
      <c r="L7" s="3"/>
      <c r="M7" s="3"/>
      <c r="N7" s="3"/>
    </row>
    <row r="8" spans="1:35" x14ac:dyDescent="0.2">
      <c r="B8" s="3"/>
      <c r="C8" s="3" t="s">
        <v>252</v>
      </c>
      <c r="D8" s="110"/>
      <c r="E8" s="3"/>
      <c r="F8" s="3"/>
      <c r="G8" s="3"/>
      <c r="H8" s="3"/>
      <c r="I8" s="3"/>
      <c r="J8" s="3"/>
      <c r="K8" s="3"/>
      <c r="L8" s="3"/>
      <c r="M8" s="3"/>
      <c r="N8" s="3"/>
      <c r="P8" s="3"/>
      <c r="Q8" s="3"/>
      <c r="R8" s="3"/>
      <c r="S8" s="3"/>
      <c r="T8" s="3"/>
      <c r="U8" s="3"/>
      <c r="V8" s="3"/>
      <c r="W8" s="3"/>
      <c r="X8" s="3"/>
      <c r="Y8" s="3"/>
      <c r="Z8" s="3"/>
      <c r="AB8" s="3"/>
      <c r="AC8" s="3"/>
      <c r="AD8" s="3"/>
      <c r="AE8" s="3"/>
      <c r="AF8" s="3"/>
    </row>
    <row r="9" spans="1:35" x14ac:dyDescent="0.2">
      <c r="B9" s="3"/>
      <c r="C9" s="3" t="s">
        <v>499</v>
      </c>
      <c r="D9" s="380"/>
      <c r="E9" s="3"/>
      <c r="F9" s="3"/>
      <c r="G9" s="3"/>
      <c r="H9" s="3"/>
      <c r="I9" s="3"/>
      <c r="J9" s="3"/>
      <c r="K9" s="3"/>
      <c r="L9" s="3"/>
      <c r="M9" s="3"/>
      <c r="N9" s="3"/>
      <c r="P9" s="3"/>
      <c r="Q9" s="3"/>
      <c r="R9" s="3"/>
      <c r="S9" s="3"/>
      <c r="T9" s="3"/>
      <c r="U9" s="3"/>
      <c r="V9" s="3"/>
      <c r="W9" s="3"/>
      <c r="X9" s="3"/>
      <c r="Y9" s="3"/>
      <c r="Z9" s="3"/>
      <c r="AB9" s="3"/>
      <c r="AC9" s="3"/>
      <c r="AD9" s="3"/>
      <c r="AE9" s="3"/>
      <c r="AF9" s="3"/>
    </row>
    <row r="10" spans="1:35" ht="15" x14ac:dyDescent="0.25">
      <c r="B10" s="3"/>
      <c r="C10" s="3"/>
      <c r="D10" s="381" t="s">
        <v>426</v>
      </c>
      <c r="E10" s="3"/>
      <c r="F10" s="334" t="s">
        <v>499</v>
      </c>
      <c r="G10" s="334">
        <f>D9</f>
        <v>0</v>
      </c>
      <c r="H10" s="3"/>
      <c r="I10" s="3"/>
      <c r="J10" s="3"/>
      <c r="K10" s="3"/>
      <c r="L10" s="3"/>
      <c r="M10" s="3"/>
      <c r="N10" s="3"/>
      <c r="P10" s="3"/>
      <c r="Q10" s="333" t="s">
        <v>427</v>
      </c>
      <c r="R10" s="3"/>
      <c r="S10" s="3"/>
      <c r="T10" s="3"/>
      <c r="U10" s="3"/>
      <c r="V10" s="3"/>
      <c r="W10" s="3"/>
      <c r="X10" s="3"/>
      <c r="Y10" s="3"/>
      <c r="Z10" s="3"/>
      <c r="AB10" s="3"/>
      <c r="AC10" s="333" t="s">
        <v>79</v>
      </c>
      <c r="AD10" s="3"/>
      <c r="AE10" s="3"/>
      <c r="AF10" s="3"/>
    </row>
    <row r="11" spans="1:35" ht="15" x14ac:dyDescent="0.25">
      <c r="B11" s="3"/>
      <c r="C11" s="3"/>
      <c r="D11" s="3"/>
      <c r="E11" s="3"/>
      <c r="F11" s="334" t="s">
        <v>292</v>
      </c>
      <c r="G11" s="334"/>
      <c r="H11" s="115"/>
      <c r="I11" s="115" t="s">
        <v>72</v>
      </c>
      <c r="J11" s="3"/>
      <c r="K11" s="3"/>
      <c r="L11" s="3"/>
      <c r="M11" s="3"/>
      <c r="N11" s="3"/>
      <c r="P11" s="3"/>
      <c r="Q11" s="382">
        <f>D9</f>
        <v>0</v>
      </c>
      <c r="R11" s="3"/>
      <c r="S11" s="3"/>
      <c r="T11" s="3"/>
      <c r="U11" s="3"/>
      <c r="V11" s="3"/>
      <c r="W11" s="3"/>
      <c r="X11" s="3"/>
      <c r="Y11" s="3"/>
      <c r="Z11" s="3"/>
      <c r="AB11" s="3"/>
      <c r="AC11" s="382">
        <f>D9</f>
        <v>0</v>
      </c>
      <c r="AD11" s="3"/>
      <c r="AE11" s="3"/>
      <c r="AF11" s="3"/>
    </row>
    <row r="12" spans="1:35" x14ac:dyDescent="0.2">
      <c r="B12" s="3"/>
      <c r="C12" s="3"/>
      <c r="D12" s="3"/>
      <c r="E12" s="13" t="s">
        <v>78</v>
      </c>
      <c r="F12" s="335">
        <v>40000</v>
      </c>
      <c r="G12" s="335" t="s">
        <v>46</v>
      </c>
      <c r="H12" s="3"/>
      <c r="I12" s="110"/>
      <c r="J12" s="3" t="s">
        <v>46</v>
      </c>
      <c r="K12" s="3"/>
      <c r="L12" s="3"/>
      <c r="M12" s="3"/>
      <c r="N12" s="3"/>
      <c r="P12" s="3"/>
      <c r="Q12" s="3"/>
      <c r="R12" s="3"/>
      <c r="S12" s="3"/>
      <c r="T12" s="3"/>
      <c r="U12" s="3"/>
      <c r="V12" s="3"/>
      <c r="W12" s="3"/>
      <c r="X12" s="3"/>
      <c r="Y12" s="3"/>
      <c r="Z12" s="3"/>
      <c r="AB12" s="3"/>
      <c r="AC12" s="3"/>
      <c r="AD12" s="3"/>
      <c r="AE12" s="3"/>
      <c r="AF12" s="3"/>
    </row>
    <row r="13" spans="1:35" x14ac:dyDescent="0.2">
      <c r="B13" s="3"/>
      <c r="C13" s="3"/>
      <c r="D13" s="3"/>
      <c r="E13" s="3"/>
      <c r="F13" s="3"/>
      <c r="G13" s="3"/>
      <c r="H13" s="3"/>
      <c r="I13" s="3"/>
      <c r="J13" s="3"/>
      <c r="K13" s="3"/>
      <c r="L13" s="3"/>
      <c r="M13" s="3"/>
      <c r="N13" s="3"/>
      <c r="P13" s="3"/>
      <c r="Q13" s="3"/>
      <c r="R13" s="3"/>
      <c r="S13" s="3"/>
      <c r="T13" s="3"/>
      <c r="U13" s="3"/>
      <c r="V13" s="3"/>
      <c r="W13" s="3"/>
      <c r="X13" s="3"/>
      <c r="Y13" s="3"/>
      <c r="Z13" s="3"/>
      <c r="AB13" s="3"/>
      <c r="AC13" s="3"/>
      <c r="AD13" s="3"/>
      <c r="AE13" s="3"/>
      <c r="AF13" s="3"/>
    </row>
    <row r="14" spans="1:35" s="340" customFormat="1" ht="38.25" x14ac:dyDescent="0.2">
      <c r="B14" s="116"/>
      <c r="C14" s="24"/>
      <c r="D14" s="336"/>
      <c r="E14" s="49" t="s">
        <v>69</v>
      </c>
      <c r="F14" s="337" t="s">
        <v>74</v>
      </c>
      <c r="G14" s="338" t="s">
        <v>19</v>
      </c>
      <c r="H14" s="339"/>
      <c r="I14" s="339" t="s">
        <v>73</v>
      </c>
      <c r="J14" s="49" t="s">
        <v>19</v>
      </c>
      <c r="K14" s="49"/>
      <c r="L14" s="49"/>
      <c r="M14" s="49" t="s">
        <v>255</v>
      </c>
      <c r="N14" s="116"/>
      <c r="P14" s="116"/>
      <c r="Q14" s="24"/>
      <c r="R14" s="24"/>
      <c r="S14" s="117" t="s">
        <v>25</v>
      </c>
      <c r="T14" s="117" t="s">
        <v>26</v>
      </c>
      <c r="U14" s="117" t="s">
        <v>27</v>
      </c>
      <c r="V14" s="117"/>
      <c r="W14" s="49" t="s">
        <v>80</v>
      </c>
      <c r="X14" s="341" t="s">
        <v>37</v>
      </c>
      <c r="Y14" s="49"/>
      <c r="Z14" s="116"/>
      <c r="AB14" s="116"/>
      <c r="AC14" s="336"/>
      <c r="AD14" s="336"/>
      <c r="AE14" s="336"/>
      <c r="AF14" s="116"/>
      <c r="AG14" s="6"/>
      <c r="AH14" s="6"/>
      <c r="AI14" s="6"/>
    </row>
    <row r="15" spans="1:35" s="340" customFormat="1" ht="14.25" x14ac:dyDescent="0.2">
      <c r="B15" s="116"/>
      <c r="C15" s="8" t="s">
        <v>71</v>
      </c>
      <c r="D15" s="116"/>
      <c r="E15" s="12"/>
      <c r="F15" s="342"/>
      <c r="G15" s="343"/>
      <c r="H15" s="344"/>
      <c r="I15" s="344"/>
      <c r="J15" s="12"/>
      <c r="K15" s="12"/>
      <c r="L15" s="12"/>
      <c r="M15" s="116"/>
      <c r="N15" s="116"/>
      <c r="P15" s="116"/>
      <c r="Q15" s="345" t="s">
        <v>176</v>
      </c>
      <c r="R15" s="345"/>
      <c r="S15" s="346">
        <f>SUM(S16:S29)</f>
        <v>94.932355060000006</v>
      </c>
      <c r="T15" s="346">
        <f>SUM(T16:T29)</f>
        <v>171.9</v>
      </c>
      <c r="U15" s="346">
        <f>SUM(U16:U29)</f>
        <v>41.281733459999998</v>
      </c>
      <c r="V15" s="347"/>
      <c r="W15" s="346">
        <f>S15+T15</f>
        <v>266.83235506</v>
      </c>
      <c r="X15" s="367">
        <f>SUM(S15:U15)</f>
        <v>308.11408852</v>
      </c>
      <c r="Y15" s="347" t="s">
        <v>149</v>
      </c>
      <c r="Z15" s="116"/>
      <c r="AB15" s="116"/>
      <c r="AC15" s="347" t="s">
        <v>108</v>
      </c>
      <c r="AD15" s="369">
        <f>SUM(AD16:AD22)</f>
        <v>109669</v>
      </c>
      <c r="AE15" s="347" t="s">
        <v>96</v>
      </c>
      <c r="AF15" s="116"/>
      <c r="AG15" s="6"/>
      <c r="AH15" s="6"/>
      <c r="AI15" s="6"/>
    </row>
    <row r="16" spans="1:35" ht="15.75" x14ac:dyDescent="0.2">
      <c r="B16" s="3"/>
      <c r="C16" s="348"/>
      <c r="D16" s="3" t="s">
        <v>476</v>
      </c>
      <c r="E16" s="3" t="s">
        <v>29</v>
      </c>
      <c r="F16" s="335">
        <f>235000*0.8</f>
        <v>188000</v>
      </c>
      <c r="G16" s="118" t="s">
        <v>38</v>
      </c>
      <c r="H16" s="9"/>
      <c r="I16" s="110"/>
      <c r="J16" s="3" t="s">
        <v>38</v>
      </c>
      <c r="K16" s="3"/>
      <c r="L16" s="3"/>
      <c r="M16" s="3"/>
      <c r="N16" s="3"/>
      <c r="P16" s="3"/>
      <c r="Q16" s="3" t="str">
        <f>E16</f>
        <v>Erdgas</v>
      </c>
      <c r="R16" s="3"/>
      <c r="S16" s="79">
        <f>IF(NOT(ISBLANK($I16)),$I16,$F16)*IF(NOT(ISBLANK('Eingabe EF'!$I9)),'Eingabe EF'!$I9,'Eingabe EF'!$G9)</f>
        <v>34.434080000000002</v>
      </c>
      <c r="T16" s="79">
        <f>IF(NOT(ISBLANK($I16)),$I16,$F16)*IF(NOT(ISBLANK('Eingabe EF'!$M9)),'Eingabe EF'!$M9,'Eingabe EF'!$K9)</f>
        <v>0</v>
      </c>
      <c r="U16" s="79">
        <f>IF(NOT(ISBLANK($I16)),$I16,$F16)*IF(NOT(ISBLANK('Eingabe EF'!$Q9)),'Eingabe EF'!$Q9,'Eingabe EF'!$O9)</f>
        <v>5.8938000000000006</v>
      </c>
      <c r="V16" s="15"/>
      <c r="W16" s="79">
        <f>S16+T16</f>
        <v>34.434080000000002</v>
      </c>
      <c r="X16" s="81">
        <f>SUM(S16:U16)</f>
        <v>40.32788</v>
      </c>
      <c r="Y16" s="15" t="s">
        <v>148</v>
      </c>
      <c r="Z16" s="3"/>
      <c r="AB16" s="3"/>
      <c r="AC16" s="15" t="s">
        <v>29</v>
      </c>
      <c r="AD16" s="80">
        <f>(IF(NOT(ISBLANK($I16)),$I16,$F16)+IF(NOT(ISBLANK($I21)),$I21,$F21))/1000*IF(NOT(ISBLANK('Eingabe Preise'!$G10)),'Eingabe Preise'!$G10,'Eingabe Preise'!$E10)</f>
        <v>14335</v>
      </c>
      <c r="AE16" s="15" t="s">
        <v>96</v>
      </c>
      <c r="AF16" s="3"/>
    </row>
    <row r="17" spans="2:32" ht="15.75" x14ac:dyDescent="0.2">
      <c r="B17" s="3"/>
      <c r="C17" s="348"/>
      <c r="D17" s="3"/>
      <c r="E17" s="3" t="s">
        <v>30</v>
      </c>
      <c r="F17" s="335">
        <f>60000*0.4</f>
        <v>24000</v>
      </c>
      <c r="G17" s="118" t="s">
        <v>41</v>
      </c>
      <c r="H17" s="9"/>
      <c r="I17" s="110"/>
      <c r="J17" s="3" t="s">
        <v>41</v>
      </c>
      <c r="K17" s="3"/>
      <c r="L17" s="3"/>
      <c r="M17" s="3"/>
      <c r="N17" s="3"/>
      <c r="P17" s="3"/>
      <c r="Q17" s="3" t="str">
        <f>E17</f>
        <v>Heizöl</v>
      </c>
      <c r="R17" s="3"/>
      <c r="S17" s="79">
        <f>IF(NOT(ISBLANK($I17)),$I17,$F17)*IF(NOT(ISBLANK('Eingabe EF'!$I10)),'Eingabe EF'!$I10,'Eingabe EF'!$G10)</f>
        <v>6.4022399999999999</v>
      </c>
      <c r="T17" s="79">
        <f>IF(NOT(ISBLANK($I17)),$I17,$F17)*IF(NOT(ISBLANK('Eingabe EF'!$M10)),'Eingabe EF'!$M10,'Eingabe EF'!$K10)</f>
        <v>0</v>
      </c>
      <c r="U17" s="79">
        <f>IF(NOT(ISBLANK($I17)),$I17,$F17)*IF(NOT(ISBLANK('Eingabe EF'!$Q10)),'Eingabe EF'!$Q10,'Eingabe EF'!$O10)</f>
        <v>0.949824</v>
      </c>
      <c r="V17" s="15"/>
      <c r="W17" s="79">
        <f t="shared" ref="W17:W29" si="0">S17+T17</f>
        <v>6.4022399999999999</v>
      </c>
      <c r="X17" s="81">
        <f>SUM(S17:U17)</f>
        <v>7.3520640000000004</v>
      </c>
      <c r="Y17" s="15" t="s">
        <v>148</v>
      </c>
      <c r="Z17" s="3"/>
      <c r="AB17" s="3"/>
      <c r="AC17" s="15" t="s">
        <v>30</v>
      </c>
      <c r="AD17" s="80">
        <f>(IF(NOT(ISBLANK($I17)),$I17,$F17)+IF(NOT(ISBLANK($I22)),$I22,$F22))/1000*IF(NOT(ISBLANK('Eingabe Preise'!$G11)),'Eingabe Preise'!$G11,'Eingabe Preise'!$E11)</f>
        <v>2760</v>
      </c>
      <c r="AE17" s="15" t="s">
        <v>96</v>
      </c>
      <c r="AF17" s="3"/>
    </row>
    <row r="18" spans="2:32" ht="25.5" x14ac:dyDescent="0.2">
      <c r="B18" s="3"/>
      <c r="C18" s="348"/>
      <c r="D18" s="3"/>
      <c r="E18" s="116" t="s">
        <v>523</v>
      </c>
      <c r="F18" s="335">
        <f>450000*0.1</f>
        <v>45000</v>
      </c>
      <c r="G18" s="118" t="s">
        <v>40</v>
      </c>
      <c r="H18" s="9"/>
      <c r="I18" s="110"/>
      <c r="J18" s="3" t="s">
        <v>40</v>
      </c>
      <c r="K18" s="3"/>
      <c r="L18" s="3"/>
      <c r="M18" s="3"/>
      <c r="N18" s="3"/>
      <c r="P18" s="3"/>
      <c r="Q18" s="116" t="str">
        <f>E18</f>
        <v>Elektrische Energie (Default = deutscher Strommix)</v>
      </c>
      <c r="R18" s="3"/>
      <c r="S18" s="79">
        <f>IF(NOT(ISBLANK($I18)),$I18,$F18)*IF(NOT(ISBLANK('Eingabe EF'!$I11)),'Eingabe EF'!$I11,'Eingabe EF'!$G11)</f>
        <v>0</v>
      </c>
      <c r="T18" s="79">
        <f>IF(NOT(ISBLANK($I18)),$I18,$F18)*IF(NOT(ISBLANK('Eingabe EF'!$M11)),'Eingabe EF'!$M11,'Eingabe EF'!$K11)</f>
        <v>17.190000000000001</v>
      </c>
      <c r="U18" s="79">
        <f>IF(NOT(ISBLANK($I18)),$I18,$F18)*IF(NOT(ISBLANK('Eingabe EF'!$Q11)),'Eingabe EF'!$Q11,'Eingabe EF'!$O11)</f>
        <v>2.52</v>
      </c>
      <c r="V18" s="15"/>
      <c r="W18" s="79">
        <f>S18+T18</f>
        <v>17.190000000000001</v>
      </c>
      <c r="X18" s="81">
        <f>SUM(S18:U18)</f>
        <v>19.71</v>
      </c>
      <c r="Y18" s="15" t="s">
        <v>148</v>
      </c>
      <c r="Z18" s="3"/>
      <c r="AB18" s="3"/>
      <c r="AC18" s="15" t="s">
        <v>31</v>
      </c>
      <c r="AD18" s="80">
        <f>(IF(NOT(ISBLANK($I18)),$I18,$F18)+IF(NOT(ISBLANK($I24)),$I24,$F24))/1000*IF(NOT(ISBLANK('Eingabe Preise'!$G12)),'Eingabe Preise'!$G12,'Eingabe Preise'!$E12)</f>
        <v>77400</v>
      </c>
      <c r="AE18" s="15" t="s">
        <v>96</v>
      </c>
      <c r="AF18" s="3"/>
    </row>
    <row r="19" spans="2:32" ht="25.5" x14ac:dyDescent="0.2">
      <c r="B19" s="3"/>
      <c r="C19" s="348"/>
      <c r="D19" s="3"/>
      <c r="E19" s="14" t="s">
        <v>527</v>
      </c>
      <c r="F19" s="335">
        <v>0</v>
      </c>
      <c r="G19" s="118" t="s">
        <v>40</v>
      </c>
      <c r="H19" s="9"/>
      <c r="I19" s="110"/>
      <c r="J19" s="3" t="s">
        <v>40</v>
      </c>
      <c r="K19" s="3"/>
      <c r="L19" s="3"/>
      <c r="M19" s="119"/>
      <c r="N19" s="3"/>
      <c r="P19" s="3"/>
      <c r="Q19" s="3" t="str">
        <f>E19</f>
        <v>Alternativer Energieträger / ggf. Eigenerzeugung</v>
      </c>
      <c r="R19" s="3"/>
      <c r="S19" s="79">
        <f>IF(NOT(ISBLANK($I19)),$I19,$F19)*IF(NOT(ISBLANK('Eingabe EF'!$I12)),'Eingabe EF'!$I12,0)</f>
        <v>0</v>
      </c>
      <c r="T19" s="79">
        <f>IF(NOT(ISBLANK($I19)),$I19,$F19)*IF(NOT(ISBLANK('Eingabe EF'!$M12)),'Eingabe EF'!$M12,0)</f>
        <v>0</v>
      </c>
      <c r="U19" s="79">
        <f>IF(NOT(ISBLANK($I19)),$I19,$F19)*IF(NOT(ISBLANK('Eingabe EF'!$Q12)),'Eingabe EF'!$Q12,0)</f>
        <v>0</v>
      </c>
      <c r="V19" s="15"/>
      <c r="W19" s="79">
        <f>S19+T19</f>
        <v>0</v>
      </c>
      <c r="X19" s="81">
        <f>SUM(S19:U19)</f>
        <v>0</v>
      </c>
      <c r="Y19" s="15" t="s">
        <v>148</v>
      </c>
      <c r="Z19" s="3"/>
      <c r="AB19" s="3"/>
      <c r="AC19" s="15" t="s">
        <v>111</v>
      </c>
      <c r="AD19" s="80">
        <f>IF(NOT(ISBLANK($I25)),$I25,$F25)/1000*IF(NOT(ISBLANK('Eingabe Preise'!$G13)),'Eingabe Preise'!$G13,'Eingabe Preise'!$E13)</f>
        <v>0</v>
      </c>
      <c r="AE19" s="15" t="s">
        <v>96</v>
      </c>
      <c r="AF19" s="3"/>
    </row>
    <row r="20" spans="2:32" x14ac:dyDescent="0.2">
      <c r="B20" s="3"/>
      <c r="C20" s="348"/>
      <c r="D20" s="3"/>
      <c r="E20" s="3"/>
      <c r="F20" s="335"/>
      <c r="G20" s="118"/>
      <c r="H20" s="9"/>
      <c r="I20" s="9"/>
      <c r="J20" s="3"/>
      <c r="K20" s="3"/>
      <c r="L20" s="3"/>
      <c r="M20" s="3"/>
      <c r="N20" s="3"/>
      <c r="P20" s="3"/>
      <c r="Q20" s="3"/>
      <c r="R20" s="3"/>
      <c r="S20" s="79"/>
      <c r="T20" s="79"/>
      <c r="U20" s="79"/>
      <c r="V20" s="15"/>
      <c r="W20" s="79"/>
      <c r="X20" s="81"/>
      <c r="Y20" s="15"/>
      <c r="Z20" s="3"/>
      <c r="AB20" s="3"/>
      <c r="AC20" s="15" t="s">
        <v>112</v>
      </c>
      <c r="AD20" s="80">
        <f>I19/1000*'Eingabe Preise'!G16</f>
        <v>0</v>
      </c>
      <c r="AE20" s="15" t="s">
        <v>96</v>
      </c>
      <c r="AF20" s="3"/>
    </row>
    <row r="21" spans="2:32" s="372" customFormat="1" ht="25.5" x14ac:dyDescent="0.2">
      <c r="B21" s="15"/>
      <c r="C21" s="348"/>
      <c r="D21" s="14" t="s">
        <v>110</v>
      </c>
      <c r="E21" s="15" t="s">
        <v>29</v>
      </c>
      <c r="F21" s="335">
        <f>235000-F16</f>
        <v>47000</v>
      </c>
      <c r="G21" s="363" t="s">
        <v>38</v>
      </c>
      <c r="H21" s="79"/>
      <c r="I21" s="272"/>
      <c r="J21" s="15" t="s">
        <v>38</v>
      </c>
      <c r="K21" s="15"/>
      <c r="L21" s="15"/>
      <c r="M21" s="15"/>
      <c r="N21" s="15"/>
      <c r="P21" s="15"/>
      <c r="Q21" s="15" t="str">
        <f>E21</f>
        <v>Erdgas</v>
      </c>
      <c r="R21" s="15"/>
      <c r="S21" s="79">
        <f>IF(NOT(ISBLANK($I21)),$I21,$F21)*IF(NOT(ISBLANK('Eingabe EF'!$I9)),'Eingabe EF'!$I9,'Eingabe EF'!$G9)</f>
        <v>8.6085200000000004</v>
      </c>
      <c r="T21" s="79">
        <f>IF(NOT(ISBLANK($I21)),$I21,$F21)*IF(NOT(ISBLANK('Eingabe EF'!$M9)),'Eingabe EF'!$M9,'Eingabe EF'!$K9)</f>
        <v>0</v>
      </c>
      <c r="U21" s="79">
        <f>IF(NOT(ISBLANK($I21)),$I21,$F21)*IF(NOT(ISBLANK('Eingabe EF'!$Q9)),'Eingabe EF'!$Q9,'Eingabe EF'!$O9)</f>
        <v>1.4734500000000001</v>
      </c>
      <c r="V21" s="15"/>
      <c r="W21" s="79">
        <f>S21+T21</f>
        <v>8.6085200000000004</v>
      </c>
      <c r="X21" s="81">
        <f t="shared" ref="X21:X29" si="1">SUM(S21:U21)</f>
        <v>10.08197</v>
      </c>
      <c r="Y21" s="15" t="s">
        <v>148</v>
      </c>
      <c r="Z21" s="15"/>
      <c r="AB21" s="15"/>
      <c r="AC21" s="15" t="s">
        <v>113</v>
      </c>
      <c r="AD21" s="80">
        <f>I26/1000*'Eingabe Preise'!G17</f>
        <v>0</v>
      </c>
      <c r="AE21" s="15" t="s">
        <v>96</v>
      </c>
      <c r="AF21" s="15"/>
    </row>
    <row r="22" spans="2:32" ht="15.75" x14ac:dyDescent="0.2">
      <c r="B22" s="3"/>
      <c r="C22" s="348"/>
      <c r="D22" s="3"/>
      <c r="E22" s="3" t="s">
        <v>30</v>
      </c>
      <c r="F22" s="362">
        <f>60000-F17</f>
        <v>36000</v>
      </c>
      <c r="G22" s="363" t="s">
        <v>41</v>
      </c>
      <c r="H22" s="9"/>
      <c r="I22" s="110"/>
      <c r="J22" s="3" t="s">
        <v>41</v>
      </c>
      <c r="K22" s="3"/>
      <c r="L22" s="3"/>
      <c r="M22" s="3"/>
      <c r="N22" s="3"/>
      <c r="P22" s="3"/>
      <c r="Q22" s="3" t="str">
        <f>E22</f>
        <v>Heizöl</v>
      </c>
      <c r="R22" s="3"/>
      <c r="S22" s="79">
        <f>IF(NOT(ISBLANK($I22)),$I22,$F22)*IF(NOT(ISBLANK('Eingabe EF'!$I10)),'Eingabe EF'!$I10,'Eingabe EF'!$G10)</f>
        <v>9.6033600000000003</v>
      </c>
      <c r="T22" s="79">
        <f>IF(NOT(ISBLANK($I22)),$I22,$F22)*IF(NOT(ISBLANK('Eingabe EF'!$M10)),'Eingabe EF'!$M10,'Eingabe EF'!$K10)</f>
        <v>0</v>
      </c>
      <c r="U22" s="79">
        <f>IF(NOT(ISBLANK($I22)),$I22,$F22)*IF(NOT(ISBLANK('Eingabe EF'!$Q10)),'Eingabe EF'!$Q10,'Eingabe EF'!$O10)</f>
        <v>1.424736</v>
      </c>
      <c r="V22" s="15"/>
      <c r="W22" s="79">
        <f t="shared" ref="W22" si="2">S22+T22</f>
        <v>9.6033600000000003</v>
      </c>
      <c r="X22" s="81">
        <f t="shared" si="1"/>
        <v>11.028096</v>
      </c>
      <c r="Y22" s="15" t="s">
        <v>148</v>
      </c>
      <c r="Z22" s="3"/>
      <c r="AB22" s="3"/>
      <c r="AC22" s="15" t="s">
        <v>32</v>
      </c>
      <c r="AD22" s="80">
        <f>(IF(NOT(ISBLANK($I28)),$I28,$F28)+IF(NOT(ISBLANK($I29)),$I29,$F29))*IF(NOT(ISBLANK('Eingabe Preise'!$G14)),'Eingabe Preise'!$G14,'Eingabe Preise'!$E14)</f>
        <v>15174.000000000002</v>
      </c>
      <c r="AE22" s="15" t="s">
        <v>96</v>
      </c>
      <c r="AF22" s="3"/>
    </row>
    <row r="23" spans="2:32" x14ac:dyDescent="0.2">
      <c r="B23" s="3"/>
      <c r="C23" s="348"/>
      <c r="D23" s="3"/>
      <c r="E23" s="3"/>
      <c r="F23" s="363"/>
      <c r="G23" s="363"/>
      <c r="H23" s="3"/>
      <c r="I23" s="9"/>
      <c r="J23" s="3"/>
      <c r="K23" s="3"/>
      <c r="L23" s="3"/>
      <c r="M23" s="3"/>
      <c r="N23" s="3"/>
      <c r="P23" s="3"/>
      <c r="Q23" s="3"/>
      <c r="R23" s="3"/>
      <c r="S23" s="79"/>
      <c r="T23" s="79"/>
      <c r="U23" s="79"/>
      <c r="V23" s="15"/>
      <c r="W23" s="79"/>
      <c r="X23" s="81"/>
      <c r="Y23" s="15"/>
      <c r="Z23" s="3"/>
      <c r="AB23" s="3"/>
      <c r="AC23" s="15"/>
      <c r="AD23" s="80"/>
      <c r="AE23" s="15"/>
      <c r="AF23" s="3"/>
    </row>
    <row r="24" spans="2:32" ht="25.5" x14ac:dyDescent="0.2">
      <c r="B24" s="3"/>
      <c r="C24" s="348"/>
      <c r="D24" s="116" t="s">
        <v>477</v>
      </c>
      <c r="E24" s="116" t="s">
        <v>523</v>
      </c>
      <c r="F24" s="362">
        <f>450000-F18</f>
        <v>405000</v>
      </c>
      <c r="G24" s="363" t="s">
        <v>40</v>
      </c>
      <c r="H24" s="9"/>
      <c r="I24" s="110"/>
      <c r="J24" s="3" t="s">
        <v>40</v>
      </c>
      <c r="K24" s="3"/>
      <c r="L24" s="3"/>
      <c r="M24" s="3"/>
      <c r="N24" s="3"/>
      <c r="P24" s="3"/>
      <c r="Q24" s="3" t="str">
        <f>E24</f>
        <v>Elektrische Energie (Default = deutscher Strommix)</v>
      </c>
      <c r="R24" s="3"/>
      <c r="S24" s="79">
        <f>IF(NOT(ISBLANK($I24)),$I24,$F24)*IF(NOT(ISBLANK('Eingabe EF'!$I11)),'Eingabe EF'!$I11,'Eingabe EF'!$G11)</f>
        <v>0</v>
      </c>
      <c r="T24" s="79">
        <f>IF(NOT(ISBLANK($I24)),$I24,$F24)*IF(NOT(ISBLANK('Eingabe EF'!$M11)),'Eingabe EF'!$M11,'Eingabe EF'!$K11)</f>
        <v>154.71</v>
      </c>
      <c r="U24" s="79">
        <f>IF(NOT(ISBLANK($I24)),$I24,$F24)*IF(NOT(ISBLANK('Eingabe EF'!$Q11)),'Eingabe EF'!$Q11,'Eingabe EF'!$O11)</f>
        <v>22.68</v>
      </c>
      <c r="V24" s="15"/>
      <c r="W24" s="79">
        <f t="shared" si="0"/>
        <v>154.71</v>
      </c>
      <c r="X24" s="81">
        <f t="shared" si="1"/>
        <v>177.39000000000001</v>
      </c>
      <c r="Y24" s="15" t="s">
        <v>148</v>
      </c>
      <c r="Z24" s="3"/>
      <c r="AB24" s="3"/>
      <c r="AC24" s="15"/>
      <c r="AD24" s="15"/>
      <c r="AE24" s="15"/>
      <c r="AF24" s="3"/>
    </row>
    <row r="25" spans="2:32" ht="15.75" x14ac:dyDescent="0.2">
      <c r="B25" s="3"/>
      <c r="C25" s="348"/>
      <c r="D25" s="3"/>
      <c r="E25" s="3" t="s">
        <v>111</v>
      </c>
      <c r="F25" s="362">
        <v>0</v>
      </c>
      <c r="G25" s="363" t="s">
        <v>40</v>
      </c>
      <c r="H25" s="9"/>
      <c r="I25" s="110"/>
      <c r="J25" s="3" t="s">
        <v>40</v>
      </c>
      <c r="K25" s="3"/>
      <c r="L25" s="3"/>
      <c r="M25" s="3"/>
      <c r="N25" s="3"/>
      <c r="P25" s="3"/>
      <c r="Q25" s="3" t="str">
        <f>E25</f>
        <v>Flüssiggas</v>
      </c>
      <c r="R25" s="3"/>
      <c r="S25" s="79">
        <f>IF(NOT(ISBLANK($I25)),$I25,$F25)*IF(NOT(ISBLANK('Eingabe EF'!$I13)),'Eingabe EF'!$I13,'Eingabe EF'!$G13)</f>
        <v>0</v>
      </c>
      <c r="T25" s="79">
        <f>IF(NOT(ISBLANK($I25)),$I25,$F25)*IF(NOT(ISBLANK('Eingabe EF'!$M13)),'Eingabe EF'!$M13,'Eingabe EF'!$K13)</f>
        <v>0</v>
      </c>
      <c r="U25" s="79">
        <f>IF(NOT(ISBLANK($I25)),$I25,$F25)*IF(NOT(ISBLANK('Eingabe EF'!$Q13)),'Eingabe EF'!$Q13,'Eingabe EF'!$O13)</f>
        <v>0</v>
      </c>
      <c r="V25" s="15"/>
      <c r="W25" s="79">
        <f t="shared" ref="W25" si="3">S25+T25</f>
        <v>0</v>
      </c>
      <c r="X25" s="81">
        <f t="shared" si="1"/>
        <v>0</v>
      </c>
      <c r="Y25" s="15" t="s">
        <v>148</v>
      </c>
      <c r="Z25" s="3"/>
      <c r="AB25" s="3"/>
      <c r="AC25" s="347" t="s">
        <v>290</v>
      </c>
      <c r="AD25" s="369">
        <f>SUM(AD26:AD28)</f>
        <v>152459.04944673795</v>
      </c>
      <c r="AE25" s="347" t="s">
        <v>96</v>
      </c>
      <c r="AF25" s="3"/>
    </row>
    <row r="26" spans="2:32" s="372" customFormat="1" ht="25.5" x14ac:dyDescent="0.2">
      <c r="B26" s="15"/>
      <c r="C26" s="348"/>
      <c r="D26" s="15"/>
      <c r="E26" s="14" t="s">
        <v>527</v>
      </c>
      <c r="F26" s="362">
        <v>0</v>
      </c>
      <c r="G26" s="363" t="s">
        <v>40</v>
      </c>
      <c r="H26" s="79"/>
      <c r="I26" s="272"/>
      <c r="J26" s="15" t="s">
        <v>40</v>
      </c>
      <c r="K26" s="15"/>
      <c r="L26" s="15"/>
      <c r="M26" s="361"/>
      <c r="N26" s="15"/>
      <c r="P26" s="15"/>
      <c r="Q26" s="15" t="str">
        <f>E26</f>
        <v>Alternativer Energieträger / ggf. Eigenerzeugung</v>
      </c>
      <c r="R26" s="15"/>
      <c r="S26" s="79">
        <f>IF(NOT(ISBLANK($I26)),$I26,$F26)*IF(NOT(ISBLANK('Eingabe EF'!$I14)),'Eingabe EF'!$I14,0)</f>
        <v>0</v>
      </c>
      <c r="T26" s="79">
        <f>IF(NOT(ISBLANK($I26)),$I26,$F26)*IF(NOT(ISBLANK('Eingabe EF'!$M12)),'Eingabe EF'!$M12,0)</f>
        <v>0</v>
      </c>
      <c r="U26" s="79">
        <f>IF(NOT(ISBLANK($I26)),$I26,$F26)*IF(NOT(ISBLANK('Eingabe EF'!$Q14)),'Eingabe EF'!$Q14,0)</f>
        <v>0</v>
      </c>
      <c r="V26" s="15"/>
      <c r="W26" s="79">
        <f>S26+T26</f>
        <v>0</v>
      </c>
      <c r="X26" s="81">
        <f t="shared" si="1"/>
        <v>0</v>
      </c>
      <c r="Y26" s="15" t="s">
        <v>148</v>
      </c>
      <c r="Z26" s="15"/>
      <c r="AB26" s="15"/>
      <c r="AC26" s="15" t="s">
        <v>25</v>
      </c>
      <c r="AD26" s="80">
        <f>S78*IF(NOT(ISBLANK('Eingabe Preise'!$G21)),'Eingabe Preise'!$G21,'Eingabe Preise'!$E21)</f>
        <v>2373.3088765000002</v>
      </c>
      <c r="AE26" s="15" t="s">
        <v>96</v>
      </c>
      <c r="AF26" s="15"/>
    </row>
    <row r="27" spans="2:32" x14ac:dyDescent="0.2">
      <c r="B27" s="3"/>
      <c r="C27" s="348"/>
      <c r="D27" s="3"/>
      <c r="E27" s="3"/>
      <c r="F27" s="362"/>
      <c r="G27" s="362"/>
      <c r="H27" s="9"/>
      <c r="I27" s="9"/>
      <c r="J27" s="3"/>
      <c r="K27" s="3"/>
      <c r="L27" s="3"/>
      <c r="M27" s="3"/>
      <c r="N27" s="3"/>
      <c r="P27" s="3"/>
      <c r="Q27" s="31"/>
      <c r="R27" s="31"/>
      <c r="S27" s="364"/>
      <c r="T27" s="364"/>
      <c r="U27" s="364"/>
      <c r="V27" s="365"/>
      <c r="W27" s="364"/>
      <c r="X27" s="376"/>
      <c r="Y27" s="365"/>
      <c r="Z27" s="3"/>
      <c r="AB27" s="3"/>
      <c r="AC27" s="15" t="s">
        <v>26</v>
      </c>
      <c r="AD27" s="80">
        <f>T78*IF(NOT(ISBLANK('Eingabe Preise'!$G22)),'Eingabe Preise'!$G22,'Eingabe Preise'!$E22)</f>
        <v>4297.5</v>
      </c>
      <c r="AE27" s="15" t="s">
        <v>96</v>
      </c>
      <c r="AF27" s="3"/>
    </row>
    <row r="28" spans="2:32" ht="15.75" x14ac:dyDescent="0.2">
      <c r="B28" s="3"/>
      <c r="C28" s="348"/>
      <c r="D28" s="3" t="s">
        <v>478</v>
      </c>
      <c r="E28" s="3" t="s">
        <v>32</v>
      </c>
      <c r="F28" s="362">
        <v>11000</v>
      </c>
      <c r="G28" s="363" t="s">
        <v>39</v>
      </c>
      <c r="H28" s="9"/>
      <c r="I28" s="110"/>
      <c r="J28" s="3" t="s">
        <v>39</v>
      </c>
      <c r="K28" s="3"/>
      <c r="L28" s="3"/>
      <c r="M28" s="3"/>
      <c r="N28" s="3"/>
      <c r="P28" s="3"/>
      <c r="Q28" s="3" t="str">
        <f>E28&amp;" "&amp;D28</f>
        <v>Diesel Gabelstapler (4x) 1)</v>
      </c>
      <c r="R28" s="3"/>
      <c r="S28" s="79">
        <f>IF(NOT(ISBLANK($I28)),$I28,$F28)*IF(NOT(ISBLANK('Eingabe EF'!$I15)),'Eingabe EF'!$I15,'Eingabe EF'!$G15)</f>
        <v>29.238941159999996</v>
      </c>
      <c r="T28" s="79">
        <f>IF(NOT(ISBLANK($I28)),$I28,$F28)*IF(NOT(ISBLANK('Eingabe EF'!$M15)),'Eingabe EF'!$M15,'Eingabe EF'!$K15)</f>
        <v>0</v>
      </c>
      <c r="U28" s="79">
        <f>IF(NOT(ISBLANK($I28)),$I28,$F28)*IF(NOT(ISBLANK('Eingabe EF'!$Q15)),'Eingabe EF'!$Q15,'Eingabe EF'!$O15)</f>
        <v>5.1658635600000009</v>
      </c>
      <c r="V28" s="15"/>
      <c r="W28" s="79">
        <f t="shared" si="0"/>
        <v>29.238941159999996</v>
      </c>
      <c r="X28" s="81">
        <f t="shared" si="1"/>
        <v>34.404804719999994</v>
      </c>
      <c r="Y28" s="15" t="s">
        <v>148</v>
      </c>
      <c r="Z28" s="3"/>
      <c r="AB28" s="3"/>
      <c r="AC28" s="15" t="s">
        <v>27</v>
      </c>
      <c r="AD28" s="80">
        <f>U78*IF(NOT(ISBLANK('Eingabe Preise'!$G23)),'Eingabe Preise'!$G23,'Eingabe Preise'!$E23)</f>
        <v>145788.24057023795</v>
      </c>
      <c r="AE28" s="15" t="s">
        <v>96</v>
      </c>
      <c r="AF28" s="3"/>
    </row>
    <row r="29" spans="2:32" ht="15.75" x14ac:dyDescent="0.2">
      <c r="B29" s="3"/>
      <c r="C29" s="348"/>
      <c r="D29" s="3" t="s">
        <v>70</v>
      </c>
      <c r="E29" s="3" t="s">
        <v>32</v>
      </c>
      <c r="F29" s="362">
        <v>2500</v>
      </c>
      <c r="G29" s="363" t="s">
        <v>39</v>
      </c>
      <c r="H29" s="9"/>
      <c r="I29" s="110"/>
      <c r="J29" s="3" t="s">
        <v>39</v>
      </c>
      <c r="K29" s="3"/>
      <c r="L29" s="3"/>
      <c r="M29" s="3"/>
      <c r="N29" s="3"/>
      <c r="P29" s="3"/>
      <c r="Q29" s="3" t="str">
        <f>E29&amp;" "&amp;D29</f>
        <v>Diesel Radlader (1x)</v>
      </c>
      <c r="R29" s="3"/>
      <c r="S29" s="79">
        <f>IF(NOT(ISBLANK($I29)),$I29,$F29)*IF(NOT(ISBLANK('Eingabe EF'!$I15)),'Eingabe EF'!$I15,'Eingabe EF'!$G15)</f>
        <v>6.645213899999999</v>
      </c>
      <c r="T29" s="79">
        <f>IF(NOT(ISBLANK($I29)),$I29,$F29)*IF(NOT(ISBLANK('Eingabe EF'!$M15)),'Eingabe EF'!$M15,'Eingabe EF'!$K15)</f>
        <v>0</v>
      </c>
      <c r="U29" s="79">
        <f>IF(NOT(ISBLANK($I29)),$I29,$F29)*IF(NOT(ISBLANK('Eingabe EF'!$Q15)),'Eingabe EF'!$Q15,'Eingabe EF'!$O15)</f>
        <v>1.1740599000000003</v>
      </c>
      <c r="V29" s="15"/>
      <c r="W29" s="79">
        <f t="shared" si="0"/>
        <v>6.645213899999999</v>
      </c>
      <c r="X29" s="81">
        <f t="shared" si="1"/>
        <v>7.8192737999999995</v>
      </c>
      <c r="Y29" s="15" t="s">
        <v>148</v>
      </c>
      <c r="Z29" s="3"/>
      <c r="AB29" s="3"/>
      <c r="AC29" s="15"/>
      <c r="AD29" s="15"/>
      <c r="AE29" s="15"/>
      <c r="AF29" s="3"/>
    </row>
    <row r="30" spans="2:32" ht="13.5" thickBot="1" x14ac:dyDescent="0.25">
      <c r="B30" s="3"/>
      <c r="C30" s="419"/>
      <c r="D30" s="3"/>
      <c r="E30" s="3"/>
      <c r="F30" s="445"/>
      <c r="G30" s="363"/>
      <c r="H30" s="9"/>
      <c r="I30" s="9"/>
      <c r="J30" s="3"/>
      <c r="K30" s="3"/>
      <c r="L30" s="3"/>
      <c r="M30" s="3"/>
      <c r="N30" s="3"/>
      <c r="P30" s="3"/>
      <c r="Q30" s="3"/>
      <c r="R30" s="3"/>
      <c r="S30" s="79"/>
      <c r="T30" s="79"/>
      <c r="U30" s="79"/>
      <c r="V30" s="15"/>
      <c r="W30" s="79"/>
      <c r="X30" s="81"/>
      <c r="Y30" s="15"/>
      <c r="Z30" s="3"/>
      <c r="AB30" s="3"/>
      <c r="AC30" s="370" t="s">
        <v>120</v>
      </c>
      <c r="AD30" s="371">
        <f>AD25+AD15</f>
        <v>262128.04944673795</v>
      </c>
      <c r="AE30" s="370" t="s">
        <v>96</v>
      </c>
      <c r="AF30" s="3"/>
    </row>
    <row r="31" spans="2:32" ht="15" thickTop="1" x14ac:dyDescent="0.2">
      <c r="B31" s="3"/>
      <c r="C31" s="8" t="s">
        <v>27</v>
      </c>
      <c r="D31" s="3"/>
      <c r="E31" s="3"/>
      <c r="F31" s="445"/>
      <c r="G31" s="363"/>
      <c r="H31" s="9"/>
      <c r="I31" s="9"/>
      <c r="J31" s="3"/>
      <c r="K31" s="3"/>
      <c r="L31" s="3"/>
      <c r="M31" s="3"/>
      <c r="N31" s="3"/>
      <c r="P31" s="3"/>
      <c r="Q31" s="345" t="s">
        <v>175</v>
      </c>
      <c r="R31" s="118"/>
      <c r="S31" s="346"/>
      <c r="T31" s="346"/>
      <c r="U31" s="346">
        <f>U32+U33</f>
        <v>469.15642799999995</v>
      </c>
      <c r="V31" s="363"/>
      <c r="W31" s="346">
        <f>S31+T31</f>
        <v>0</v>
      </c>
      <c r="X31" s="367">
        <f>SUM(S31:U31)</f>
        <v>469.15642799999995</v>
      </c>
      <c r="Y31" s="347" t="s">
        <v>149</v>
      </c>
      <c r="Z31" s="3"/>
      <c r="AB31" s="3"/>
      <c r="AC31" s="3"/>
      <c r="AD31" s="3"/>
      <c r="AE31" s="3"/>
      <c r="AF31" s="3"/>
    </row>
    <row r="32" spans="2:32" ht="15.75" x14ac:dyDescent="0.2">
      <c r="B32" s="3"/>
      <c r="C32" s="3"/>
      <c r="D32" s="3" t="s">
        <v>43</v>
      </c>
      <c r="E32" s="3" t="s">
        <v>32</v>
      </c>
      <c r="F32" s="362">
        <v>35000</v>
      </c>
      <c r="G32" s="363" t="s">
        <v>39</v>
      </c>
      <c r="H32" s="9"/>
      <c r="I32" s="110"/>
      <c r="J32" s="3" t="s">
        <v>39</v>
      </c>
      <c r="K32" s="3"/>
      <c r="L32" s="3"/>
      <c r="M32" s="3"/>
      <c r="N32" s="3"/>
      <c r="P32" s="3"/>
      <c r="Q32" s="3" t="str">
        <f>E32&amp;" "&amp;D32</f>
        <v>Diesel Transport vorgelagert</v>
      </c>
      <c r="R32" s="3"/>
      <c r="S32" s="79"/>
      <c r="T32" s="79"/>
      <c r="U32" s="79">
        <f>IF(NOT(ISBLANK($I32)),$I32,$F32)*IF(NOT(ISBLANK('Eingabe EF'!$Q17)),'Eingabe EF'!$Q17,'Eingabe EF'!$O17)</f>
        <v>109.4698332</v>
      </c>
      <c r="V32" s="15"/>
      <c r="W32" s="79">
        <f>S32+T32</f>
        <v>0</v>
      </c>
      <c r="X32" s="81">
        <f>SUM(S32:U32)</f>
        <v>109.4698332</v>
      </c>
      <c r="Y32" s="15" t="s">
        <v>148</v>
      </c>
      <c r="Z32" s="3"/>
      <c r="AB32" s="3"/>
      <c r="AC32" s="3"/>
      <c r="AD32" s="3"/>
      <c r="AE32" s="3"/>
      <c r="AF32" s="3"/>
    </row>
    <row r="33" spans="2:37" ht="15.75" x14ac:dyDescent="0.2">
      <c r="B33" s="3"/>
      <c r="C33" s="3"/>
      <c r="D33" s="8" t="s">
        <v>44</v>
      </c>
      <c r="E33" s="3" t="s">
        <v>32</v>
      </c>
      <c r="F33" s="362">
        <v>115000</v>
      </c>
      <c r="G33" s="363" t="s">
        <v>39</v>
      </c>
      <c r="H33" s="9"/>
      <c r="I33" s="110"/>
      <c r="J33" s="3" t="s">
        <v>39</v>
      </c>
      <c r="K33" s="3"/>
      <c r="L33" s="3"/>
      <c r="M33" s="3"/>
      <c r="N33" s="3"/>
      <c r="P33" s="3"/>
      <c r="Q33" s="3" t="str">
        <f>E33&amp;" "&amp;D33</f>
        <v>Diesel Transport nachgelagert</v>
      </c>
      <c r="R33" s="3"/>
      <c r="S33" s="79"/>
      <c r="T33" s="79"/>
      <c r="U33" s="79">
        <f>IF(NOT(ISBLANK($I33)),$I33,$F33)*IF(NOT(ISBLANK('Eingabe EF'!$Q18)),'Eingabe EF'!$Q18,'Eingabe EF'!$O18)</f>
        <v>359.68659479999997</v>
      </c>
      <c r="V33" s="15"/>
      <c r="W33" s="79">
        <f>S33+T33</f>
        <v>0</v>
      </c>
      <c r="X33" s="81">
        <f>SUM(S33:U33)</f>
        <v>359.68659479999997</v>
      </c>
      <c r="Y33" s="15" t="s">
        <v>148</v>
      </c>
      <c r="Z33" s="3"/>
    </row>
    <row r="34" spans="2:37" x14ac:dyDescent="0.2">
      <c r="B34" s="3"/>
      <c r="C34" s="3"/>
      <c r="D34" s="3"/>
      <c r="E34" s="3"/>
      <c r="F34" s="363"/>
      <c r="G34" s="363"/>
      <c r="H34" s="3"/>
      <c r="I34" s="3"/>
      <c r="J34" s="3"/>
      <c r="K34" s="3"/>
      <c r="L34" s="3"/>
      <c r="M34" s="3"/>
      <c r="N34" s="3"/>
      <c r="P34" s="3"/>
      <c r="Q34" s="3"/>
      <c r="R34" s="3"/>
      <c r="S34" s="79"/>
      <c r="T34" s="79"/>
      <c r="U34" s="79"/>
      <c r="V34" s="15"/>
      <c r="W34" s="79"/>
      <c r="X34" s="81"/>
      <c r="Y34" s="15"/>
      <c r="Z34" s="3"/>
    </row>
    <row r="35" spans="2:37" ht="14.25" x14ac:dyDescent="0.2">
      <c r="B35" s="3"/>
      <c r="C35" s="3"/>
      <c r="D35" s="8" t="s">
        <v>66</v>
      </c>
      <c r="E35" s="3"/>
      <c r="F35" s="363"/>
      <c r="G35" s="363"/>
      <c r="H35" s="3"/>
      <c r="I35" s="3"/>
      <c r="J35" s="3"/>
      <c r="K35" s="3"/>
      <c r="L35" s="3"/>
      <c r="M35" s="3"/>
      <c r="N35" s="3"/>
      <c r="P35" s="3"/>
      <c r="Q35" s="345" t="s">
        <v>65</v>
      </c>
      <c r="R35" s="118"/>
      <c r="S35" s="346"/>
      <c r="T35" s="346"/>
      <c r="U35" s="346">
        <f>SUM(U36:U39)</f>
        <v>4548.5439999999999</v>
      </c>
      <c r="V35" s="363"/>
      <c r="W35" s="346">
        <f>S35+T35</f>
        <v>0</v>
      </c>
      <c r="X35" s="367">
        <f>SUM(S35:U35)</f>
        <v>4548.5439999999999</v>
      </c>
      <c r="Y35" s="347" t="s">
        <v>149</v>
      </c>
      <c r="Z35" s="3"/>
    </row>
    <row r="36" spans="2:37" ht="15.75" x14ac:dyDescent="0.2">
      <c r="B36" s="3"/>
      <c r="C36" s="3"/>
      <c r="D36" s="3" t="s">
        <v>45</v>
      </c>
      <c r="E36" s="3"/>
      <c r="F36" s="358">
        <v>4.5499999999999999E-2</v>
      </c>
      <c r="G36" s="363"/>
      <c r="H36" s="3"/>
      <c r="I36" s="120"/>
      <c r="J36" s="3" t="s">
        <v>447</v>
      </c>
      <c r="K36" s="385"/>
      <c r="L36" s="3" t="s">
        <v>462</v>
      </c>
      <c r="M36" s="3"/>
      <c r="N36" s="3"/>
      <c r="P36" s="3"/>
      <c r="Q36" s="3" t="str">
        <f>D36</f>
        <v>Zement - CEM I</v>
      </c>
      <c r="R36" s="3"/>
      <c r="S36" s="79"/>
      <c r="T36" s="79"/>
      <c r="U36" s="79">
        <f>IF(NOT(ISBLANK($K36)),$K36*IF(NOT(ISBLANK('Eingabe EF'!$Q21)),'Eingabe EF'!$Q21,'Eingabe EF'!$O21),IF(NOT(ISBLANK($I36)),$I36,$F36)*IF(NOT(ISBLANK('Eingabe EF'!$Q21)),'Eingabe EF'!$Q21,'Eingabe EF'!$O21)*IF(NOT(ISBLANK($I$12)),$I$12,$F$12))</f>
        <v>1210.3</v>
      </c>
      <c r="V36" s="15"/>
      <c r="W36" s="79">
        <f>S36+T36</f>
        <v>0</v>
      </c>
      <c r="X36" s="81">
        <f>SUM(S36:U36)</f>
        <v>1210.3</v>
      </c>
      <c r="Y36" s="15" t="s">
        <v>148</v>
      </c>
      <c r="Z36" s="3"/>
    </row>
    <row r="37" spans="2:37" ht="15.75" x14ac:dyDescent="0.2">
      <c r="B37" s="3"/>
      <c r="C37" s="3"/>
      <c r="D37" s="3" t="s">
        <v>47</v>
      </c>
      <c r="E37" s="3"/>
      <c r="F37" s="358">
        <v>0.10919999999999999</v>
      </c>
      <c r="G37" s="363"/>
      <c r="H37" s="3"/>
      <c r="I37" s="120"/>
      <c r="J37" s="3" t="s">
        <v>447</v>
      </c>
      <c r="K37" s="385"/>
      <c r="L37" s="3" t="s">
        <v>462</v>
      </c>
      <c r="M37" s="3"/>
      <c r="N37" s="3"/>
      <c r="P37" s="3"/>
      <c r="Q37" s="3" t="str">
        <f>D37</f>
        <v>Zement - CEM II</v>
      </c>
      <c r="R37" s="3"/>
      <c r="S37" s="79"/>
      <c r="T37" s="79"/>
      <c r="U37" s="79">
        <f>IF(NOT(ISBLANK($K37)),$K37*IF(NOT(ISBLANK('Eingabe EF'!$Q22)),'Eingabe EF'!$Q22,'Eingabe EF'!$O22),IF(NOT(ISBLANK($I37)),$I37,$F37)*IF(NOT(ISBLANK('Eingabe EF'!$Q22)),'Eingabe EF'!$Q22,'Eingabe EF'!$O22)*IF(NOT(ISBLANK($I$12)),$I$12,$F$12))</f>
        <v>2415.5039999999999</v>
      </c>
      <c r="V37" s="15"/>
      <c r="W37" s="79">
        <f>S37+T37</f>
        <v>0</v>
      </c>
      <c r="X37" s="81">
        <f>SUM(S37:U37)</f>
        <v>2415.5039999999999</v>
      </c>
      <c r="Y37" s="15" t="s">
        <v>148</v>
      </c>
      <c r="Z37" s="3"/>
    </row>
    <row r="38" spans="2:37" ht="15.75" x14ac:dyDescent="0.2">
      <c r="B38" s="3"/>
      <c r="C38" s="3"/>
      <c r="D38" s="3" t="s">
        <v>48</v>
      </c>
      <c r="E38" s="3"/>
      <c r="F38" s="358">
        <v>2.7299999999999998E-2</v>
      </c>
      <c r="G38" s="363"/>
      <c r="H38" s="3"/>
      <c r="I38" s="120"/>
      <c r="J38" s="3" t="s">
        <v>447</v>
      </c>
      <c r="K38" s="385"/>
      <c r="L38" s="3" t="s">
        <v>462</v>
      </c>
      <c r="M38" s="3"/>
      <c r="N38" s="3"/>
      <c r="P38" s="3"/>
      <c r="Q38" s="3" t="str">
        <f>D38</f>
        <v>Weißzement</v>
      </c>
      <c r="R38" s="3"/>
      <c r="S38" s="79"/>
      <c r="T38" s="79"/>
      <c r="U38" s="79">
        <f>IF(NOT(ISBLANK($K38)),$K38*IF(NOT(ISBLANK('Eingabe EF'!$Q23)),'Eingabe EF'!$Q23,'Eingabe EF'!$O23),IF(NOT(ISBLANK($I38)),$I38,$F38)*IF(NOT(ISBLANK('Eingabe EF'!$Q23)),'Eingabe EF'!$Q23,'Eingabe EF'!$O23)*IF(NOT(ISBLANK($I$12)),$I$12,$F$12))</f>
        <v>922.7399999999999</v>
      </c>
      <c r="V38" s="15"/>
      <c r="W38" s="79">
        <f>S38+T38</f>
        <v>0</v>
      </c>
      <c r="X38" s="81">
        <f>SUM(S38:U38)</f>
        <v>922.7399999999999</v>
      </c>
      <c r="Y38" s="15" t="s">
        <v>148</v>
      </c>
      <c r="Z38" s="3"/>
    </row>
    <row r="39" spans="2:37" ht="15.75" x14ac:dyDescent="0.2">
      <c r="B39" s="3"/>
      <c r="C39" s="3"/>
      <c r="D39" s="360" t="s">
        <v>147</v>
      </c>
      <c r="E39" s="3"/>
      <c r="F39" s="465">
        <v>0</v>
      </c>
      <c r="G39" s="363"/>
      <c r="H39" s="3"/>
      <c r="I39" s="120"/>
      <c r="J39" s="3" t="s">
        <v>447</v>
      </c>
      <c r="K39" s="385"/>
      <c r="L39" s="3" t="s">
        <v>462</v>
      </c>
      <c r="M39" s="119"/>
      <c r="N39" s="3"/>
      <c r="P39" s="3"/>
      <c r="Q39" s="3" t="str">
        <f>D39</f>
        <v>Weitere Zementsorte</v>
      </c>
      <c r="R39" s="3"/>
      <c r="S39" s="79"/>
      <c r="T39" s="79"/>
      <c r="U39" s="79">
        <f>IF(NOT(ISBLANK($K39)),$K39*('Eingabe EF'!$Q24),IF(NOT(ISBLANK($I39)),$I39,$F39)*('Eingabe EF'!$Q24)*IF(NOT(ISBLANK($I$12)),$I$12,$F$12))</f>
        <v>0</v>
      </c>
      <c r="V39" s="15"/>
      <c r="W39" s="79">
        <f>S39+T39</f>
        <v>0</v>
      </c>
      <c r="X39" s="81">
        <f>SUM(S39:U39)</f>
        <v>0</v>
      </c>
      <c r="Y39" s="15" t="s">
        <v>148</v>
      </c>
      <c r="Z39" s="3"/>
    </row>
    <row r="40" spans="2:37" x14ac:dyDescent="0.2">
      <c r="B40" s="3"/>
      <c r="C40" s="3"/>
      <c r="D40" s="3"/>
      <c r="E40" s="3"/>
      <c r="F40" s="447"/>
      <c r="G40" s="363"/>
      <c r="H40" s="3"/>
      <c r="I40" s="109"/>
      <c r="J40" s="3"/>
      <c r="K40" s="3"/>
      <c r="L40" s="3"/>
      <c r="M40" s="3"/>
      <c r="N40" s="3"/>
      <c r="P40" s="3"/>
      <c r="Q40" s="3"/>
      <c r="R40" s="3"/>
      <c r="S40" s="79"/>
      <c r="T40" s="79"/>
      <c r="U40" s="79"/>
      <c r="V40" s="15"/>
      <c r="W40" s="79"/>
      <c r="X40" s="81"/>
      <c r="Y40" s="15"/>
      <c r="Z40" s="3"/>
    </row>
    <row r="41" spans="2:37" ht="27" customHeight="1" x14ac:dyDescent="0.2">
      <c r="B41" s="3"/>
      <c r="C41" s="3"/>
      <c r="D41" s="8" t="s">
        <v>163</v>
      </c>
      <c r="E41" s="3"/>
      <c r="F41" s="447"/>
      <c r="G41" s="427"/>
      <c r="H41" s="3"/>
      <c r="I41" s="109"/>
      <c r="J41" s="3"/>
      <c r="K41" s="3"/>
      <c r="L41" s="3"/>
      <c r="M41" s="3"/>
      <c r="N41" s="3"/>
      <c r="P41" s="3"/>
      <c r="Q41" s="375" t="str">
        <f>D41</f>
        <v>Gesteinskörnungen (Zuschlagsstoffe)</v>
      </c>
      <c r="R41" s="118"/>
      <c r="S41" s="346"/>
      <c r="T41" s="346"/>
      <c r="U41" s="346">
        <f>SUM(U42:U46)</f>
        <v>129.59200000000001</v>
      </c>
      <c r="V41" s="363"/>
      <c r="W41" s="346">
        <f>S41+T41</f>
        <v>0</v>
      </c>
      <c r="X41" s="367">
        <f>SUM(S41:U41)</f>
        <v>129.59200000000001</v>
      </c>
      <c r="Y41" s="347" t="s">
        <v>149</v>
      </c>
      <c r="Z41" s="3"/>
      <c r="AI41" s="6">
        <f>AA41</f>
        <v>0</v>
      </c>
      <c r="AJ41" s="6">
        <f>AB41</f>
        <v>0</v>
      </c>
      <c r="AK41" s="6">
        <f>AC41</f>
        <v>0</v>
      </c>
    </row>
    <row r="42" spans="2:37" ht="15.75" x14ac:dyDescent="0.2">
      <c r="B42" s="3"/>
      <c r="C42" s="3"/>
      <c r="D42" s="3" t="s">
        <v>164</v>
      </c>
      <c r="E42" s="3"/>
      <c r="F42" s="358">
        <v>0.66800000000000004</v>
      </c>
      <c r="G42" s="363"/>
      <c r="H42" s="3"/>
      <c r="I42" s="120"/>
      <c r="J42" s="3" t="s">
        <v>447</v>
      </c>
      <c r="K42" s="385"/>
      <c r="L42" s="3" t="s">
        <v>462</v>
      </c>
      <c r="M42" s="3"/>
      <c r="N42" s="3"/>
      <c r="P42" s="3"/>
      <c r="Q42" s="3" t="str">
        <f>D42</f>
        <v>Sand, Kies</v>
      </c>
      <c r="R42" s="3"/>
      <c r="S42" s="79"/>
      <c r="T42" s="79"/>
      <c r="U42" s="79">
        <f>IF(NOT(ISBLANK($K42)),$K42*IF(NOT(ISBLANK('Eingabe EF'!$Q27)),'Eingabe EF'!$Q27,'Eingabe EF'!$O27),IF(NOT(ISBLANK($I42)),$I42,$F42)*IF(NOT(ISBLANK('Eingabe EF'!$Q27)),'Eingabe EF'!$Q27,'Eingabe EF'!$O27)*IF(NOT(ISBLANK($I$12)),$I$12,$F$12))</f>
        <v>129.59200000000001</v>
      </c>
      <c r="V42" s="15"/>
      <c r="W42" s="79">
        <f>S42+T42</f>
        <v>0</v>
      </c>
      <c r="X42" s="81">
        <f>SUM(S42:U42)</f>
        <v>129.59200000000001</v>
      </c>
      <c r="Y42" s="15" t="s">
        <v>148</v>
      </c>
      <c r="Z42" s="3"/>
    </row>
    <row r="43" spans="2:37" ht="15.75" x14ac:dyDescent="0.2">
      <c r="B43" s="3"/>
      <c r="C43" s="3"/>
      <c r="D43" s="3" t="s">
        <v>165</v>
      </c>
      <c r="E43" s="3"/>
      <c r="F43" s="358">
        <v>0</v>
      </c>
      <c r="G43" s="363"/>
      <c r="H43" s="3"/>
      <c r="I43" s="120"/>
      <c r="J43" s="3" t="s">
        <v>447</v>
      </c>
      <c r="K43" s="385"/>
      <c r="L43" s="3" t="s">
        <v>462</v>
      </c>
      <c r="M43" s="119"/>
      <c r="N43" s="3"/>
      <c r="P43" s="3"/>
      <c r="Q43" s="3" t="str">
        <f>D43</f>
        <v>Brechsand, Splitt</v>
      </c>
      <c r="R43" s="3"/>
      <c r="S43" s="79"/>
      <c r="T43" s="79"/>
      <c r="U43" s="79">
        <f>IF(NOT(ISBLANK($K43)),$K43*'Eingabe EF'!$Q28,IF(NOT(ISBLANK($I43)),$I43,$F43)*IF(NOT(ISBLANK('Eingabe EF'!$Q28)),'Eingabe EF'!$Q28,0)*IF(NOT(ISBLANK($I$12)),$I$12,$F$12))</f>
        <v>0</v>
      </c>
      <c r="V43" s="15"/>
      <c r="W43" s="79">
        <f>S43+T43</f>
        <v>0</v>
      </c>
      <c r="X43" s="81">
        <f t="shared" ref="X43:X44" si="4">SUM(S43:U43)</f>
        <v>0</v>
      </c>
      <c r="Y43" s="15" t="s">
        <v>148</v>
      </c>
      <c r="Z43" s="3"/>
    </row>
    <row r="44" spans="2:37" ht="15.75" x14ac:dyDescent="0.2">
      <c r="B44" s="3"/>
      <c r="C44" s="3"/>
      <c r="D44" s="3" t="s">
        <v>166</v>
      </c>
      <c r="E44" s="3"/>
      <c r="F44" s="358">
        <v>0</v>
      </c>
      <c r="G44" s="363"/>
      <c r="H44" s="3"/>
      <c r="I44" s="120"/>
      <c r="J44" s="3" t="s">
        <v>447</v>
      </c>
      <c r="K44" s="385"/>
      <c r="L44" s="3" t="s">
        <v>462</v>
      </c>
      <c r="M44" s="119"/>
      <c r="N44" s="3"/>
      <c r="P44" s="3"/>
      <c r="Q44" s="3" t="str">
        <f>D44</f>
        <v>RC-Material (Sand, Splitt)</v>
      </c>
      <c r="R44" s="3"/>
      <c r="S44" s="79"/>
      <c r="T44" s="79"/>
      <c r="U44" s="79">
        <f>IF(NOT(ISBLANK($K44)),$K44*'Eingabe EF'!$Q29,IF(NOT(ISBLANK($I44)),$I44,$F44)*IF(NOT(ISBLANK('Eingabe EF'!$Q29)),'Eingabe EF'!$Q29,0)*IF(NOT(ISBLANK($I$12)),$I$12,$F$12))</f>
        <v>0</v>
      </c>
      <c r="V44" s="15"/>
      <c r="W44" s="79">
        <f>S44+T44</f>
        <v>0</v>
      </c>
      <c r="X44" s="81">
        <f t="shared" si="4"/>
        <v>0</v>
      </c>
      <c r="Y44" s="15" t="s">
        <v>148</v>
      </c>
      <c r="Z44" s="3"/>
    </row>
    <row r="45" spans="2:37" ht="15.75" x14ac:dyDescent="0.2">
      <c r="B45" s="3"/>
      <c r="C45" s="3"/>
      <c r="D45" s="360" t="s">
        <v>505</v>
      </c>
      <c r="E45" s="3"/>
      <c r="F45" s="447">
        <v>0</v>
      </c>
      <c r="G45" s="363"/>
      <c r="H45" s="3"/>
      <c r="I45" s="120"/>
      <c r="J45" s="3" t="s">
        <v>447</v>
      </c>
      <c r="K45" s="385"/>
      <c r="L45" s="3" t="s">
        <v>462</v>
      </c>
      <c r="M45" s="119"/>
      <c r="N45" s="3"/>
      <c r="P45" s="3"/>
      <c r="Q45" s="3" t="str">
        <f t="shared" ref="Q45:Q46" si="5">D45</f>
        <v>Weiterer Zuschlagstoff 1</v>
      </c>
      <c r="R45" s="3"/>
      <c r="S45" s="79"/>
      <c r="T45" s="79"/>
      <c r="U45" s="79">
        <f>IF(NOT(ISBLANK($K45)),$K45*'Eingabe EF'!$Q30,IF(NOT(ISBLANK($I45)),$I45,$F45)*IF(NOT(ISBLANK('Eingabe EF'!$Q30)),'Eingabe EF'!$Q30,0)*IF(NOT(ISBLANK($I$12)),$I$12,$F$12))</f>
        <v>0</v>
      </c>
      <c r="V45" s="15"/>
      <c r="W45" s="79">
        <f t="shared" ref="W45:W46" si="6">S45+T45</f>
        <v>0</v>
      </c>
      <c r="X45" s="81">
        <f t="shared" ref="X45:X46" si="7">SUM(S45:U45)</f>
        <v>0</v>
      </c>
      <c r="Y45" s="15" t="s">
        <v>148</v>
      </c>
      <c r="Z45" s="3"/>
    </row>
    <row r="46" spans="2:37" ht="15.75" x14ac:dyDescent="0.2">
      <c r="B46" s="3"/>
      <c r="C46" s="3"/>
      <c r="D46" s="360" t="s">
        <v>506</v>
      </c>
      <c r="E46" s="3"/>
      <c r="F46" s="447">
        <v>0</v>
      </c>
      <c r="G46" s="363"/>
      <c r="H46" s="3"/>
      <c r="I46" s="120"/>
      <c r="J46" s="3" t="s">
        <v>447</v>
      </c>
      <c r="K46" s="385"/>
      <c r="L46" s="3" t="s">
        <v>462</v>
      </c>
      <c r="M46" s="119"/>
      <c r="N46" s="3"/>
      <c r="P46" s="3"/>
      <c r="Q46" s="3" t="str">
        <f t="shared" si="5"/>
        <v>Weiterer Zuschlagstoff 2</v>
      </c>
      <c r="R46" s="3"/>
      <c r="S46" s="79"/>
      <c r="T46" s="79"/>
      <c r="U46" s="79">
        <f>IF(NOT(ISBLANK($K46)),$K46*'Eingabe EF'!$Q31,IF(NOT(ISBLANK($I46)),$I46,$F46)*IF(NOT(ISBLANK('Eingabe EF'!$Q31)),'Eingabe EF'!$Q31,0)*IF(NOT(ISBLANK($I$12)),$I$12,$F$12))</f>
        <v>0</v>
      </c>
      <c r="V46" s="15"/>
      <c r="W46" s="79">
        <f t="shared" si="6"/>
        <v>0</v>
      </c>
      <c r="X46" s="81">
        <f t="shared" si="7"/>
        <v>0</v>
      </c>
      <c r="Y46" s="15" t="s">
        <v>148</v>
      </c>
      <c r="Z46" s="3"/>
    </row>
    <row r="47" spans="2:37" x14ac:dyDescent="0.2">
      <c r="B47" s="3"/>
      <c r="C47" s="3"/>
      <c r="D47" s="3"/>
      <c r="E47" s="3"/>
      <c r="F47" s="447"/>
      <c r="G47" s="363"/>
      <c r="H47" s="3"/>
      <c r="I47" s="109"/>
      <c r="J47" s="3"/>
      <c r="K47" s="3"/>
      <c r="L47" s="3"/>
      <c r="M47" s="3"/>
      <c r="N47" s="3"/>
      <c r="P47" s="3"/>
      <c r="Q47" s="3"/>
      <c r="R47" s="3"/>
      <c r="S47" s="79"/>
      <c r="T47" s="79"/>
      <c r="U47" s="79"/>
      <c r="V47" s="15"/>
      <c r="W47" s="79"/>
      <c r="X47" s="81"/>
      <c r="Y47" s="15"/>
      <c r="Z47" s="3"/>
    </row>
    <row r="48" spans="2:37" ht="14.25" x14ac:dyDescent="0.2">
      <c r="B48" s="3"/>
      <c r="C48" s="3"/>
      <c r="D48" s="3" t="s">
        <v>55</v>
      </c>
      <c r="E48" s="3"/>
      <c r="F48" s="358">
        <v>2E-3</v>
      </c>
      <c r="G48" s="363"/>
      <c r="H48" s="3"/>
      <c r="I48" s="120"/>
      <c r="J48" s="3" t="s">
        <v>447</v>
      </c>
      <c r="K48" s="385"/>
      <c r="L48" s="3" t="s">
        <v>448</v>
      </c>
      <c r="M48" s="3"/>
      <c r="N48" s="3"/>
      <c r="P48" s="3"/>
      <c r="Q48" s="8" t="str">
        <f>D48</f>
        <v>Farben</v>
      </c>
      <c r="R48" s="8"/>
      <c r="S48" s="366"/>
      <c r="T48" s="366"/>
      <c r="U48" s="366">
        <f>IF(NOT(ISBLANK($K48)),$K48/1000*IF(NOT(ISBLANK('Eingabe EF'!$Q33)),'Eingabe EF'!$Q33,'Eingabe EF'!$O33),IF(NOT(ISBLANK($I48)),$I48,$F48)*IF(NOT(ISBLANK('Eingabe EF'!$Q33)),'Eingabe EF'!$Q33,'Eingabe EF'!$O33)*IF(NOT(ISBLANK($I$12)),$I$12,$F$12))</f>
        <v>208</v>
      </c>
      <c r="V48" s="78"/>
      <c r="W48" s="366">
        <f>S48+T48</f>
        <v>0</v>
      </c>
      <c r="X48" s="368">
        <f>SUM(S48:U48)</f>
        <v>208</v>
      </c>
      <c r="Y48" s="78" t="s">
        <v>149</v>
      </c>
      <c r="Z48" s="3"/>
    </row>
    <row r="49" spans="2:26" x14ac:dyDescent="0.2">
      <c r="B49" s="3"/>
      <c r="C49" s="3"/>
      <c r="D49" s="3"/>
      <c r="E49" s="3"/>
      <c r="F49" s="446"/>
      <c r="G49" s="363"/>
      <c r="H49" s="3"/>
      <c r="I49" s="3"/>
      <c r="J49" s="3"/>
      <c r="K49" s="3"/>
      <c r="L49" s="3"/>
      <c r="M49" s="3"/>
      <c r="N49" s="3"/>
      <c r="P49" s="3"/>
      <c r="Q49" s="3"/>
      <c r="R49" s="3"/>
      <c r="S49" s="79"/>
      <c r="T49" s="79"/>
      <c r="U49" s="79"/>
      <c r="V49" s="15"/>
      <c r="W49" s="79"/>
      <c r="X49" s="81"/>
      <c r="Y49" s="15"/>
      <c r="Z49" s="3"/>
    </row>
    <row r="50" spans="2:26" ht="14.25" x14ac:dyDescent="0.2">
      <c r="B50" s="3"/>
      <c r="C50" s="3"/>
      <c r="D50" s="8" t="s">
        <v>167</v>
      </c>
      <c r="E50" s="3"/>
      <c r="F50" s="446"/>
      <c r="G50" s="363"/>
      <c r="H50" s="3"/>
      <c r="I50" s="3"/>
      <c r="J50" s="3"/>
      <c r="K50" s="3"/>
      <c r="L50" s="3"/>
      <c r="M50" s="3"/>
      <c r="N50" s="3"/>
      <c r="P50" s="3"/>
      <c r="Q50" s="345" t="str">
        <f t="shared" ref="Q50:Q55" si="8">D50</f>
        <v>Zusatzstoffe (Füllstoffe)</v>
      </c>
      <c r="R50" s="118"/>
      <c r="S50" s="346"/>
      <c r="T50" s="346"/>
      <c r="U50" s="346">
        <f>SUM(U51:U55)</f>
        <v>81.003999999999991</v>
      </c>
      <c r="V50" s="346">
        <f t="shared" ref="V50" si="9">SUM(V51:V55)</f>
        <v>0</v>
      </c>
      <c r="W50" s="346">
        <f>S50+T50</f>
        <v>0</v>
      </c>
      <c r="X50" s="367">
        <f>SUM(S50:U50)</f>
        <v>81.003999999999991</v>
      </c>
      <c r="Y50" s="347" t="s">
        <v>149</v>
      </c>
      <c r="Z50" s="3"/>
    </row>
    <row r="51" spans="2:26" ht="15.75" x14ac:dyDescent="0.2">
      <c r="B51" s="3"/>
      <c r="C51" s="3"/>
      <c r="D51" s="360" t="s">
        <v>57</v>
      </c>
      <c r="E51" s="3"/>
      <c r="F51" s="358">
        <v>0</v>
      </c>
      <c r="G51" s="363"/>
      <c r="H51" s="3"/>
      <c r="I51" s="120"/>
      <c r="J51" s="3" t="s">
        <v>447</v>
      </c>
      <c r="K51" s="385"/>
      <c r="L51" s="3" t="s">
        <v>462</v>
      </c>
      <c r="M51" s="3"/>
      <c r="N51" s="3"/>
      <c r="P51" s="3"/>
      <c r="Q51" s="3" t="str">
        <f t="shared" si="8"/>
        <v>Flugasche</v>
      </c>
      <c r="R51" s="3"/>
      <c r="S51" s="79"/>
      <c r="T51" s="79"/>
      <c r="U51" s="79">
        <f>IF(NOT(ISBLANK($K51)),$K51*IF(NOT(ISBLANK('Eingabe EF'!$Q36)),'Eingabe EF'!$Q36,'Eingabe EF'!$O36),IF(NOT(ISBLANK($I51)),$I51,$F51)*IF(NOT(ISBLANK('Eingabe EF'!$Q36)),'Eingabe EF'!$Q36,'Eingabe EF'!$O36)*IF(NOT(ISBLANK($I$12)),$I$12,$F$12))</f>
        <v>0</v>
      </c>
      <c r="V51" s="15"/>
      <c r="W51" s="79">
        <f>S51+T51</f>
        <v>0</v>
      </c>
      <c r="X51" s="81">
        <f>SUM(S51:U51)</f>
        <v>0</v>
      </c>
      <c r="Y51" s="15" t="s">
        <v>148</v>
      </c>
      <c r="Z51" s="3"/>
    </row>
    <row r="52" spans="2:26" ht="15.75" x14ac:dyDescent="0.2">
      <c r="B52" s="3"/>
      <c r="C52" s="3"/>
      <c r="D52" s="360" t="s">
        <v>58</v>
      </c>
      <c r="E52" s="3"/>
      <c r="F52" s="358">
        <v>5.0000000000000001E-3</v>
      </c>
      <c r="G52" s="363"/>
      <c r="H52" s="3"/>
      <c r="I52" s="120"/>
      <c r="J52" s="3" t="s">
        <v>447</v>
      </c>
      <c r="K52" s="385"/>
      <c r="L52" s="3" t="s">
        <v>462</v>
      </c>
      <c r="M52" s="3"/>
      <c r="N52" s="3"/>
      <c r="P52" s="3"/>
      <c r="Q52" s="3" t="str">
        <f t="shared" si="8"/>
        <v>Quarzsteinmehl</v>
      </c>
      <c r="R52" s="3"/>
      <c r="S52" s="79"/>
      <c r="T52" s="79"/>
      <c r="U52" s="79">
        <f>IF(NOT(ISBLANK($K52)),$K52*IF(NOT(ISBLANK('Eingabe EF'!$Q37)),'Eingabe EF'!$Q37,'Eingabe EF'!$O37),IF(NOT(ISBLANK($I52)),$I52,$F52)*IF(NOT(ISBLANK('Eingabe EF'!$Q37)),'Eingabe EF'!$Q37,'Eingabe EF'!$O37)*IF(NOT(ISBLANK($I$12)),$I$12,$F$12))</f>
        <v>8.6840000000000011</v>
      </c>
      <c r="V52" s="15"/>
      <c r="W52" s="79">
        <f>S52+T52</f>
        <v>0</v>
      </c>
      <c r="X52" s="81">
        <f>SUM(S52:U52)</f>
        <v>8.6840000000000011</v>
      </c>
      <c r="Y52" s="15" t="s">
        <v>148</v>
      </c>
      <c r="Z52" s="3"/>
    </row>
    <row r="53" spans="2:26" ht="15.75" x14ac:dyDescent="0.2">
      <c r="B53" s="3"/>
      <c r="C53" s="3"/>
      <c r="D53" s="360" t="s">
        <v>59</v>
      </c>
      <c r="E53" s="3"/>
      <c r="F53" s="358">
        <v>0.04</v>
      </c>
      <c r="G53" s="363"/>
      <c r="H53" s="3"/>
      <c r="I53" s="120"/>
      <c r="J53" s="3" t="s">
        <v>447</v>
      </c>
      <c r="K53" s="385"/>
      <c r="L53" s="3" t="s">
        <v>462</v>
      </c>
      <c r="M53" s="3"/>
      <c r="N53" s="3"/>
      <c r="P53" s="3"/>
      <c r="Q53" s="3" t="str">
        <f t="shared" si="8"/>
        <v>Kalksteinmehl</v>
      </c>
      <c r="R53" s="3"/>
      <c r="S53" s="79"/>
      <c r="T53" s="79"/>
      <c r="U53" s="79">
        <f>IF(NOT(ISBLANK($K53)),$K53*IF(NOT(ISBLANK('Eingabe EF'!$Q38)),'Eingabe EF'!$Q38,'Eingabe EF'!$O38),IF(NOT(ISBLANK($I53)),$I53,$F53)*IF(NOT(ISBLANK('Eingabe EF'!$Q38)),'Eingabe EF'!$Q38,'Eingabe EF'!$O38)*IF(NOT(ISBLANK($I$12)),$I$12,$F$12))</f>
        <v>72.319999999999993</v>
      </c>
      <c r="V53" s="15"/>
      <c r="W53" s="79">
        <f>S53+T53</f>
        <v>0</v>
      </c>
      <c r="X53" s="81">
        <f>SUM(S53:U53)</f>
        <v>72.319999999999993</v>
      </c>
      <c r="Y53" s="15" t="s">
        <v>148</v>
      </c>
      <c r="Z53" s="3"/>
    </row>
    <row r="54" spans="2:26" ht="15.75" x14ac:dyDescent="0.2">
      <c r="B54" s="3"/>
      <c r="C54" s="3"/>
      <c r="D54" s="360" t="s">
        <v>500</v>
      </c>
      <c r="E54" s="3"/>
      <c r="F54" s="447">
        <v>0</v>
      </c>
      <c r="G54" s="363"/>
      <c r="H54" s="3"/>
      <c r="I54" s="120"/>
      <c r="J54" s="3" t="s">
        <v>447</v>
      </c>
      <c r="K54" s="385"/>
      <c r="L54" s="3" t="s">
        <v>462</v>
      </c>
      <c r="M54" s="3"/>
      <c r="N54" s="3"/>
      <c r="P54" s="3"/>
      <c r="Q54" s="352" t="str">
        <f t="shared" si="8"/>
        <v>Weiterer Zusatzstoff 1</v>
      </c>
      <c r="R54" s="3"/>
      <c r="S54" s="79"/>
      <c r="T54" s="79"/>
      <c r="U54" s="79">
        <f>IF(NOT(ISBLANK($K54)),$K54*'Eingabe EF'!$Q39,IF(NOT(ISBLANK($I54)),$I54,$F54)*IF(NOT(ISBLANK('Eingabe EF'!$Q39)),'Eingabe EF'!$Q39,0)*IF(NOT(ISBLANK($I$12)),$I$12,$F$12))</f>
        <v>0</v>
      </c>
      <c r="V54" s="15"/>
      <c r="W54" s="79">
        <f t="shared" ref="W54:W55" si="10">S54+T54</f>
        <v>0</v>
      </c>
      <c r="X54" s="81">
        <f t="shared" ref="X54:X55" si="11">SUM(S54:U54)</f>
        <v>0</v>
      </c>
      <c r="Y54" s="15" t="s">
        <v>148</v>
      </c>
      <c r="Z54" s="3"/>
    </row>
    <row r="55" spans="2:26" ht="15.75" x14ac:dyDescent="0.2">
      <c r="B55" s="3"/>
      <c r="C55" s="3"/>
      <c r="D55" s="360" t="s">
        <v>501</v>
      </c>
      <c r="E55" s="3"/>
      <c r="F55" s="447">
        <v>0</v>
      </c>
      <c r="G55" s="363"/>
      <c r="H55" s="3"/>
      <c r="I55" s="120"/>
      <c r="J55" s="3" t="s">
        <v>447</v>
      </c>
      <c r="K55" s="385"/>
      <c r="L55" s="3" t="s">
        <v>462</v>
      </c>
      <c r="M55" s="3"/>
      <c r="N55" s="3"/>
      <c r="P55" s="3"/>
      <c r="Q55" s="352" t="str">
        <f t="shared" si="8"/>
        <v>Weiterer Zusatzstoff 2</v>
      </c>
      <c r="R55" s="3"/>
      <c r="S55" s="79"/>
      <c r="T55" s="79"/>
      <c r="U55" s="79">
        <f>IF(NOT(ISBLANK($K55)),$K55*'Eingabe EF'!$Q40,IF(NOT(ISBLANK($I55)),$I55,$F55)*IF(NOT(ISBLANK('Eingabe EF'!$Q40)),'Eingabe EF'!$Q40,0)*IF(NOT(ISBLANK($I$12)),$I$12,$F$12))</f>
        <v>0</v>
      </c>
      <c r="V55" s="15"/>
      <c r="W55" s="79">
        <f t="shared" si="10"/>
        <v>0</v>
      </c>
      <c r="X55" s="81">
        <f t="shared" si="11"/>
        <v>0</v>
      </c>
      <c r="Y55" s="15" t="s">
        <v>148</v>
      </c>
      <c r="Z55" s="3"/>
    </row>
    <row r="56" spans="2:26" x14ac:dyDescent="0.2">
      <c r="B56" s="3"/>
      <c r="C56" s="3"/>
      <c r="D56" s="3"/>
      <c r="E56" s="3"/>
      <c r="F56" s="446"/>
      <c r="G56" s="363"/>
      <c r="H56" s="3"/>
      <c r="I56" s="3"/>
      <c r="J56" s="3"/>
      <c r="K56" s="3"/>
      <c r="L56" s="3"/>
      <c r="M56" s="3"/>
      <c r="N56" s="3"/>
      <c r="P56" s="3"/>
      <c r="Q56" s="3"/>
      <c r="R56" s="3"/>
      <c r="S56" s="79"/>
      <c r="T56" s="79"/>
      <c r="U56" s="79"/>
      <c r="V56" s="15"/>
      <c r="W56" s="79"/>
      <c r="X56" s="81"/>
      <c r="Y56" s="15"/>
      <c r="Z56" s="3"/>
    </row>
    <row r="57" spans="2:26" ht="14.25" x14ac:dyDescent="0.2">
      <c r="B57" s="3"/>
      <c r="C57" s="3"/>
      <c r="D57" s="8" t="s">
        <v>49</v>
      </c>
      <c r="E57" s="3"/>
      <c r="F57" s="466">
        <v>2E-3</v>
      </c>
      <c r="G57" s="363"/>
      <c r="H57" s="3"/>
      <c r="I57" s="120"/>
      <c r="J57" s="3" t="s">
        <v>447</v>
      </c>
      <c r="K57" s="3"/>
      <c r="L57" s="3"/>
      <c r="M57" s="119"/>
      <c r="N57" s="3"/>
      <c r="P57" s="3"/>
      <c r="Q57" s="345" t="s">
        <v>49</v>
      </c>
      <c r="R57" s="118"/>
      <c r="S57" s="346"/>
      <c r="T57" s="346"/>
      <c r="U57" s="346">
        <f>SUM(U58:U61)</f>
        <v>148.44746134951595</v>
      </c>
      <c r="V57" s="363"/>
      <c r="W57" s="346">
        <f>S57+T57</f>
        <v>0</v>
      </c>
      <c r="X57" s="367">
        <f>SUM(S57:U57)</f>
        <v>148.44746134951595</v>
      </c>
      <c r="Y57" s="347" t="s">
        <v>149</v>
      </c>
      <c r="Z57" s="3"/>
    </row>
    <row r="58" spans="2:26" s="372" customFormat="1" ht="15.75" x14ac:dyDescent="0.2">
      <c r="B58" s="15"/>
      <c r="C58" s="15"/>
      <c r="D58" s="429" t="s">
        <v>412</v>
      </c>
      <c r="E58" s="15"/>
      <c r="F58" s="358">
        <v>0.39213986418147667</v>
      </c>
      <c r="G58" s="359" t="s">
        <v>51</v>
      </c>
      <c r="H58" s="15"/>
      <c r="I58" s="360"/>
      <c r="J58" s="468" t="s">
        <v>449</v>
      </c>
      <c r="K58" s="385"/>
      <c r="L58" s="3" t="s">
        <v>448</v>
      </c>
      <c r="M58" s="361"/>
      <c r="N58" s="15"/>
      <c r="P58" s="15"/>
      <c r="Q58" s="14" t="str">
        <f>D58</f>
        <v>Plastifizierer</v>
      </c>
      <c r="R58" s="15"/>
      <c r="S58" s="79"/>
      <c r="T58" s="79"/>
      <c r="U58" s="79">
        <f>IF(NOT(ISBLANK($K58)),$K58/1000*IF(NOT(ISBLANK('Eingabe EF'!$Q43)),'Eingabe EF'!$Q43,'Eingabe EF'!$O43),IF(NOT(ISBLANK($I$57)),$I$57,$F$57)*IF(NOT(ISBLANK($I58)),$I58,$F58)*IF(NOT(ISBLANK('Eingabe EF'!$Q43)),'Eingabe EF'!$Q43,'Eingabe EF'!$O43)*IF(NOT(ISBLANK($I$12)),$I$12,$F$12))</f>
        <v>47.997919375812742</v>
      </c>
      <c r="V58" s="15"/>
      <c r="W58" s="79">
        <f>S58+T58</f>
        <v>0</v>
      </c>
      <c r="X58" s="81">
        <f>SUM(S58:U58)</f>
        <v>47.997919375812742</v>
      </c>
      <c r="Y58" s="15" t="s">
        <v>148</v>
      </c>
      <c r="Z58" s="15"/>
    </row>
    <row r="59" spans="2:26" s="372" customFormat="1" ht="15.75" x14ac:dyDescent="0.2">
      <c r="B59" s="15"/>
      <c r="C59" s="15"/>
      <c r="D59" s="429" t="s">
        <v>413</v>
      </c>
      <c r="E59" s="15"/>
      <c r="F59" s="358">
        <v>0.164571593700332</v>
      </c>
      <c r="G59" s="359" t="s">
        <v>51</v>
      </c>
      <c r="H59" s="15"/>
      <c r="I59" s="360"/>
      <c r="J59" s="468"/>
      <c r="K59" s="385"/>
      <c r="L59" s="3" t="s">
        <v>448</v>
      </c>
      <c r="M59" s="361"/>
      <c r="N59" s="15"/>
      <c r="P59" s="15"/>
      <c r="Q59" s="14" t="str">
        <f>D59</f>
        <v>Luftporenbildner</v>
      </c>
      <c r="R59" s="15"/>
      <c r="S59" s="79"/>
      <c r="T59" s="79"/>
      <c r="U59" s="79">
        <f>IF(NOT(ISBLANK($K59)),$K59/1000*IF(NOT(ISBLANK('Eingabe EF'!$Q44)),'Eingabe EF'!$Q44,'Eingabe EF'!$O44),IF(NOT(ISBLANK($I$57)),$I$57,$F$57)*IF(NOT(ISBLANK($I59)),$I59,$F59)*IF(NOT(ISBLANK('Eingabe EF'!$Q44)),'Eingabe EF'!$Q44,'Eingabe EF'!$O44)*IF(NOT(ISBLANK($I$12)),$I$12,$F$12))</f>
        <v>5.7797543707556596</v>
      </c>
      <c r="V59" s="15"/>
      <c r="W59" s="79">
        <f>S59+T59</f>
        <v>0</v>
      </c>
      <c r="X59" s="81">
        <f>SUM(S59:U59)</f>
        <v>5.7797543707556596</v>
      </c>
      <c r="Y59" s="15" t="s">
        <v>148</v>
      </c>
      <c r="Z59" s="15"/>
    </row>
    <row r="60" spans="2:26" s="372" customFormat="1" ht="15.75" x14ac:dyDescent="0.2">
      <c r="B60" s="15"/>
      <c r="C60" s="15"/>
      <c r="D60" s="429" t="s">
        <v>414</v>
      </c>
      <c r="E60" s="15"/>
      <c r="F60" s="358">
        <v>1.4448779078167896E-4</v>
      </c>
      <c r="G60" s="359" t="s">
        <v>51</v>
      </c>
      <c r="H60" s="15"/>
      <c r="I60" s="360"/>
      <c r="J60" s="468"/>
      <c r="K60" s="385"/>
      <c r="L60" s="3" t="s">
        <v>448</v>
      </c>
      <c r="M60" s="361"/>
      <c r="N60" s="15"/>
      <c r="P60" s="15"/>
      <c r="Q60" s="14" t="str">
        <f>D60</f>
        <v>Stabilisierer</v>
      </c>
      <c r="R60" s="15"/>
      <c r="S60" s="79"/>
      <c r="T60" s="79"/>
      <c r="U60" s="79">
        <f>IF(NOT(ISBLANK($K60)),$K60/1000*IF(NOT(ISBLANK('Eingabe EF'!$Q45)),'Eingabe EF'!$Q45,'Eingabe EF'!$O45),IF(NOT(ISBLANK($I$57)),$I$57,$F$57)*IF(NOT(ISBLANK($I60)),$I60,$F60)*IF(NOT(ISBLANK('Eingabe EF'!$Q45)),'Eingabe EF'!$Q45,'Eingabe EF'!$O45)*IF(NOT(ISBLANK($I$12)),$I$12,$F$12))</f>
        <v>1.4217598612917211E-2</v>
      </c>
      <c r="V60" s="15"/>
      <c r="W60" s="79">
        <f>S60+T60</f>
        <v>0</v>
      </c>
      <c r="X60" s="81">
        <f>SUM(S60:U60)</f>
        <v>1.4217598612917211E-2</v>
      </c>
      <c r="Y60" s="15" t="s">
        <v>148</v>
      </c>
      <c r="Z60" s="15"/>
    </row>
    <row r="61" spans="2:26" s="372" customFormat="1" ht="15.75" x14ac:dyDescent="0.2">
      <c r="B61" s="15"/>
      <c r="C61" s="15"/>
      <c r="D61" s="429" t="s">
        <v>415</v>
      </c>
      <c r="E61" s="15"/>
      <c r="F61" s="358">
        <v>0.44314405432740933</v>
      </c>
      <c r="G61" s="359" t="s">
        <v>51</v>
      </c>
      <c r="H61" s="15"/>
      <c r="I61" s="360"/>
      <c r="J61" s="468"/>
      <c r="K61" s="385"/>
      <c r="L61" s="3" t="s">
        <v>448</v>
      </c>
      <c r="M61" s="361"/>
      <c r="N61" s="15"/>
      <c r="P61" s="15"/>
      <c r="Q61" s="14" t="str">
        <f>D61</f>
        <v>Hydrophobierer</v>
      </c>
      <c r="R61" s="15"/>
      <c r="S61" s="79"/>
      <c r="T61" s="79"/>
      <c r="U61" s="79">
        <f>IF(NOT(ISBLANK($K61)),$K61/1000*IF(NOT(ISBLANK('Eingabe EF'!$Q46)),'Eingabe EF'!$Q46,'Eingabe EF'!$O46),IF(NOT(ISBLANK($I$57)),$I$57,$F$57)*IF(NOT(ISBLANK($I61)),$I61,$F61)*IF(NOT(ISBLANK('Eingabe EF'!$Q46)),'Eingabe EF'!$Q46,'Eingabe EF'!$O46)*IF(NOT(ISBLANK($I$12)),$I$12,$F$12))</f>
        <v>94.655570004334635</v>
      </c>
      <c r="V61" s="15"/>
      <c r="W61" s="79">
        <f>S61+T61</f>
        <v>0</v>
      </c>
      <c r="X61" s="81">
        <f>SUM(S61:U61)</f>
        <v>94.655570004334635</v>
      </c>
      <c r="Y61" s="15" t="s">
        <v>148</v>
      </c>
      <c r="Z61" s="15"/>
    </row>
    <row r="62" spans="2:26" s="372" customFormat="1" x14ac:dyDescent="0.2">
      <c r="B62" s="15"/>
      <c r="C62" s="15"/>
      <c r="D62" s="15"/>
      <c r="E62" s="15"/>
      <c r="F62" s="447"/>
      <c r="G62" s="363"/>
      <c r="H62" s="15"/>
      <c r="I62" s="373"/>
      <c r="J62" s="15"/>
      <c r="K62" s="15"/>
      <c r="L62" s="15"/>
      <c r="M62" s="15"/>
      <c r="N62" s="15"/>
      <c r="P62" s="15"/>
      <c r="Q62" s="15"/>
      <c r="R62" s="15"/>
      <c r="S62" s="79"/>
      <c r="T62" s="79"/>
      <c r="U62" s="79"/>
      <c r="V62" s="15"/>
      <c r="W62" s="79"/>
      <c r="X62" s="81"/>
      <c r="Y62" s="15"/>
      <c r="Z62" s="15"/>
    </row>
    <row r="63" spans="2:26" s="372" customFormat="1" ht="14.25" x14ac:dyDescent="0.2">
      <c r="B63" s="15"/>
      <c r="C63" s="15"/>
      <c r="D63" s="15" t="s">
        <v>99</v>
      </c>
      <c r="E63" s="15"/>
      <c r="F63" s="358">
        <v>0.1</v>
      </c>
      <c r="G63" s="363"/>
      <c r="H63" s="15"/>
      <c r="I63" s="360"/>
      <c r="J63" s="15"/>
      <c r="K63" s="385"/>
      <c r="L63" s="15" t="s">
        <v>63</v>
      </c>
      <c r="M63" s="15"/>
      <c r="N63" s="15"/>
      <c r="P63" s="15"/>
      <c r="Q63" s="78" t="s">
        <v>189</v>
      </c>
      <c r="R63" s="78"/>
      <c r="S63" s="366"/>
      <c r="T63" s="366"/>
      <c r="U63" s="366">
        <f>IF(NOT(ISBLANK(K63)),K63*('Eingabe EF'!$Q48),IF(NOT(ISBLANK($I63)),$I63,$F63)*IF(NOT(ISBLANK('Eingabe EF'!$Q48)),'Eingabe EF'!$Q48,0)*IF(NOT(ISBLANK($I$12)),$I$12,$F$12))</f>
        <v>0</v>
      </c>
      <c r="V63" s="78"/>
      <c r="W63" s="366">
        <f>S63+T63</f>
        <v>0</v>
      </c>
      <c r="X63" s="368">
        <f>SUM(S63:U63)</f>
        <v>0</v>
      </c>
      <c r="Y63" s="78" t="s">
        <v>149</v>
      </c>
      <c r="Z63" s="15"/>
    </row>
    <row r="64" spans="2:26" s="372" customFormat="1" ht="14.25" x14ac:dyDescent="0.2">
      <c r="B64" s="15"/>
      <c r="C64" s="15"/>
      <c r="D64" s="15" t="s">
        <v>62</v>
      </c>
      <c r="E64" s="15"/>
      <c r="F64" s="363">
        <v>2000</v>
      </c>
      <c r="G64" s="363" t="s">
        <v>63</v>
      </c>
      <c r="H64" s="15"/>
      <c r="I64" s="272"/>
      <c r="J64" s="15" t="s">
        <v>63</v>
      </c>
      <c r="K64" s="15"/>
      <c r="L64" s="15"/>
      <c r="M64" s="15"/>
      <c r="N64" s="15"/>
      <c r="P64" s="15"/>
      <c r="Q64" s="78" t="s">
        <v>62</v>
      </c>
      <c r="R64" s="78"/>
      <c r="S64" s="366"/>
      <c r="T64" s="366"/>
      <c r="U64" s="366">
        <f>IF(NOT(ISBLANK($I64)),$I64,$F64)*IF(NOT(ISBLANK('Eingabe EF'!$Q49)),'Eingabe EF'!$Q49,'Eingabe EF'!$O49)</f>
        <v>0.54400000000000004</v>
      </c>
      <c r="V64" s="78"/>
      <c r="W64" s="366">
        <f>S64+T64</f>
        <v>0</v>
      </c>
      <c r="X64" s="368">
        <f>SUM(S64:U64)</f>
        <v>0.54400000000000004</v>
      </c>
      <c r="Y64" s="78" t="s">
        <v>149</v>
      </c>
      <c r="Z64" s="15"/>
    </row>
    <row r="65" spans="2:26" x14ac:dyDescent="0.2">
      <c r="B65" s="3"/>
      <c r="C65" s="3"/>
      <c r="D65" s="3"/>
      <c r="E65" s="3"/>
      <c r="F65" s="363"/>
      <c r="G65" s="363"/>
      <c r="H65" s="3"/>
      <c r="I65" s="3"/>
      <c r="J65" s="3"/>
      <c r="K65" s="3"/>
      <c r="L65" s="3"/>
      <c r="M65" s="3"/>
      <c r="N65" s="3"/>
      <c r="P65" s="3"/>
      <c r="Q65" s="3"/>
      <c r="R65" s="3"/>
      <c r="S65" s="81"/>
      <c r="T65" s="81"/>
      <c r="U65" s="81"/>
      <c r="V65" s="15"/>
      <c r="W65" s="79"/>
      <c r="X65" s="81"/>
      <c r="Y65" s="15"/>
      <c r="Z65" s="3"/>
    </row>
    <row r="66" spans="2:26" ht="14.25" x14ac:dyDescent="0.2">
      <c r="B66" s="3"/>
      <c r="C66" s="3"/>
      <c r="D66" s="8" t="s">
        <v>168</v>
      </c>
      <c r="E66" s="3"/>
      <c r="F66" s="363"/>
      <c r="G66" s="363"/>
      <c r="H66" s="3"/>
      <c r="I66" s="3"/>
      <c r="J66" s="3"/>
      <c r="K66" s="3"/>
      <c r="L66" s="3"/>
      <c r="M66" s="3"/>
      <c r="N66" s="3"/>
      <c r="P66" s="3"/>
      <c r="Q66" s="345" t="str">
        <f>D66</f>
        <v>Oberflächenschutzsysteme</v>
      </c>
      <c r="R66" s="118"/>
      <c r="S66" s="346"/>
      <c r="T66" s="346"/>
      <c r="U66" s="346">
        <f>SUM(U67:U69)</f>
        <v>80.47999999999999</v>
      </c>
      <c r="V66" s="363"/>
      <c r="W66" s="346">
        <f>S66+T66</f>
        <v>0</v>
      </c>
      <c r="X66" s="367">
        <f>SUM(S66:U66)</f>
        <v>80.47999999999999</v>
      </c>
      <c r="Y66" s="347" t="s">
        <v>149</v>
      </c>
      <c r="Z66" s="3"/>
    </row>
    <row r="67" spans="2:26" ht="15.75" x14ac:dyDescent="0.2">
      <c r="B67" s="3"/>
      <c r="C67" s="3"/>
      <c r="D67" s="3" t="s">
        <v>169</v>
      </c>
      <c r="E67" s="3"/>
      <c r="F67" s="358">
        <v>0</v>
      </c>
      <c r="G67" s="363"/>
      <c r="H67" s="3"/>
      <c r="I67" s="120"/>
      <c r="J67" s="3" t="s">
        <v>447</v>
      </c>
      <c r="K67" s="385"/>
      <c r="L67" s="3" t="s">
        <v>448</v>
      </c>
      <c r="M67" s="119"/>
      <c r="N67" s="3"/>
      <c r="P67" s="3"/>
      <c r="Q67" s="3" t="str">
        <f>D67</f>
        <v>Hydrophobierung</v>
      </c>
      <c r="R67" s="3"/>
      <c r="S67" s="79"/>
      <c r="T67" s="79"/>
      <c r="U67" s="79">
        <f>IF(NOT(ISBLANK($K67)),$K67/1000*('Eingabe EF'!$Q52),IF(NOT(ISBLANK($I67)),$I67,$F67)*('Eingabe EF'!$Q52)*IF(NOT(ISBLANK($I$12)),$I$12,$F$12))</f>
        <v>0</v>
      </c>
      <c r="V67" s="15"/>
      <c r="W67" s="79">
        <f>S67+T67</f>
        <v>0</v>
      </c>
      <c r="X67" s="81">
        <f>SUM(S67:U67)</f>
        <v>0</v>
      </c>
      <c r="Y67" s="15" t="s">
        <v>148</v>
      </c>
      <c r="Z67" s="3"/>
    </row>
    <row r="68" spans="2:26" ht="15.75" x14ac:dyDescent="0.2">
      <c r="B68" s="3"/>
      <c r="C68" s="3"/>
      <c r="D68" s="3" t="s">
        <v>60</v>
      </c>
      <c r="E68" s="3"/>
      <c r="F68" s="358">
        <v>1E-3</v>
      </c>
      <c r="G68" s="363"/>
      <c r="H68" s="3"/>
      <c r="I68" s="120"/>
      <c r="J68" s="3" t="s">
        <v>447</v>
      </c>
      <c r="K68" s="385"/>
      <c r="L68" s="3" t="s">
        <v>448</v>
      </c>
      <c r="M68" s="119"/>
      <c r="N68" s="3"/>
      <c r="P68" s="3"/>
      <c r="Q68" s="3" t="str">
        <f>D68</f>
        <v>Imprägniermittel  (Aushärtung über Infrarot)</v>
      </c>
      <c r="R68" s="3"/>
      <c r="S68" s="79"/>
      <c r="T68" s="79"/>
      <c r="U68" s="79">
        <f>IF(NOT(ISBLANK($K68)),$K68/1000*IF(NOT(ISBLANK('Eingabe EF'!$Q53)),'Eingabe EF'!$Q53,'Eingabe EF'!$O53),IF(NOT(ISBLANK($I68)),$I68,$F68)*IF(NOT(ISBLANK('Eingabe EF'!$Q53)),'Eingabe EF'!$Q53,'Eingabe EF'!$O53)*IF(NOT(ISBLANK($I$12)),$I$12,$F$12))</f>
        <v>80.47999999999999</v>
      </c>
      <c r="V68" s="15"/>
      <c r="W68" s="79">
        <f>S68+T68</f>
        <v>0</v>
      </c>
      <c r="X68" s="81">
        <f>SUM(S68:U68)</f>
        <v>80.47999999999999</v>
      </c>
      <c r="Y68" s="15" t="s">
        <v>148</v>
      </c>
      <c r="Z68" s="3"/>
    </row>
    <row r="69" spans="2:26" ht="15.75" x14ac:dyDescent="0.2">
      <c r="B69" s="3"/>
      <c r="C69" s="3"/>
      <c r="D69" s="3" t="s">
        <v>170</v>
      </c>
      <c r="E69" s="3"/>
      <c r="F69" s="358">
        <v>0</v>
      </c>
      <c r="G69" s="363"/>
      <c r="H69" s="3"/>
      <c r="I69" s="120"/>
      <c r="J69" s="3" t="s">
        <v>447</v>
      </c>
      <c r="K69" s="385"/>
      <c r="L69" s="3" t="s">
        <v>448</v>
      </c>
      <c r="M69" s="119"/>
      <c r="N69" s="3"/>
      <c r="P69" s="3"/>
      <c r="Q69" s="3" t="str">
        <f>D69</f>
        <v>Beschichtung</v>
      </c>
      <c r="R69" s="3"/>
      <c r="S69" s="79"/>
      <c r="T69" s="79"/>
      <c r="U69" s="79">
        <f>IF(NOT(ISBLANK($K69)),$K69/1000*IF(NOT(ISBLANK('Eingabe EF'!$Q54)),'Eingabe EF'!$Q54,'Eingabe EF'!$Q54),IF(NOT(ISBLANK($I69)),$I69,$F69)*IF(NOT(ISBLANK('Eingabe EF'!$Q54)),'Eingabe EF'!$Q54,'Eingabe EF'!$Q54)*IF(NOT(ISBLANK($I$12)),$I$12,$F$12))</f>
        <v>0</v>
      </c>
      <c r="V69" s="15"/>
      <c r="W69" s="79">
        <f>S69+T69</f>
        <v>0</v>
      </c>
      <c r="X69" s="81">
        <f>SUM(S69:U69)</f>
        <v>0</v>
      </c>
      <c r="Y69" s="15" t="s">
        <v>148</v>
      </c>
      <c r="Z69" s="3"/>
    </row>
    <row r="70" spans="2:26" x14ac:dyDescent="0.2">
      <c r="B70" s="3"/>
      <c r="C70" s="3"/>
      <c r="D70" s="3"/>
      <c r="E70" s="3"/>
      <c r="F70" s="363"/>
      <c r="G70" s="363"/>
      <c r="H70" s="3"/>
      <c r="I70" s="3"/>
      <c r="J70" s="3"/>
      <c r="K70" s="3"/>
      <c r="L70" s="3"/>
      <c r="M70" s="3"/>
      <c r="N70" s="3"/>
      <c r="P70" s="3"/>
      <c r="Q70" s="3"/>
      <c r="R70" s="3"/>
      <c r="S70" s="81"/>
      <c r="T70" s="81"/>
      <c r="U70" s="81"/>
      <c r="V70" s="15"/>
      <c r="W70" s="79"/>
      <c r="X70" s="81"/>
      <c r="Y70" s="15"/>
      <c r="Z70" s="3"/>
    </row>
    <row r="71" spans="2:26" ht="25.5" x14ac:dyDescent="0.2">
      <c r="B71" s="3"/>
      <c r="C71" s="3"/>
      <c r="D71" s="8" t="s">
        <v>171</v>
      </c>
      <c r="E71" s="3"/>
      <c r="F71" s="363"/>
      <c r="G71" s="363"/>
      <c r="H71" s="3"/>
      <c r="I71" s="3"/>
      <c r="J71" s="3"/>
      <c r="K71" s="3"/>
      <c r="L71" s="3"/>
      <c r="M71" s="3"/>
      <c r="N71" s="3"/>
      <c r="P71" s="3"/>
      <c r="Q71" s="357" t="str">
        <f>D71</f>
        <v>Oberflächenbearbeitung (vor/nach Erhärtung)</v>
      </c>
      <c r="R71" s="118"/>
      <c r="S71" s="346"/>
      <c r="T71" s="346"/>
      <c r="U71" s="346">
        <f>SUM(U72:U74)</f>
        <v>60</v>
      </c>
      <c r="V71" s="363"/>
      <c r="W71" s="346">
        <f>S71+T71</f>
        <v>0</v>
      </c>
      <c r="X71" s="367">
        <f>SUM(S71:U71)</f>
        <v>60</v>
      </c>
      <c r="Y71" s="347" t="s">
        <v>149</v>
      </c>
      <c r="Z71" s="3"/>
    </row>
    <row r="72" spans="2:26" ht="15.75" x14ac:dyDescent="0.2">
      <c r="B72" s="3"/>
      <c r="C72" s="3"/>
      <c r="D72" s="3" t="s">
        <v>64</v>
      </c>
      <c r="E72" s="3"/>
      <c r="F72" s="363">
        <v>40</v>
      </c>
      <c r="G72" s="363" t="s">
        <v>46</v>
      </c>
      <c r="H72" s="3"/>
      <c r="I72" s="110"/>
      <c r="J72" s="3" t="s">
        <v>46</v>
      </c>
      <c r="K72" s="3"/>
      <c r="L72" s="3"/>
      <c r="M72" s="3"/>
      <c r="N72" s="3"/>
      <c r="P72" s="3"/>
      <c r="Q72" s="3" t="str">
        <f>D72</f>
        <v>Stahlkugeln (Strahlanlage)</v>
      </c>
      <c r="R72" s="3"/>
      <c r="S72" s="79"/>
      <c r="T72" s="79"/>
      <c r="U72" s="79">
        <f>IF(NOT(ISBLANK($I72)),$I72,$F72)*IF(NOT(ISBLANK('Eingabe EF'!$Q57)),'Eingabe EF'!$Q57,'Eingabe EF'!$O57)</f>
        <v>60</v>
      </c>
      <c r="V72" s="15"/>
      <c r="W72" s="79">
        <f>S72+T72</f>
        <v>0</v>
      </c>
      <c r="X72" s="81">
        <f>SUM(S72:U72)</f>
        <v>60</v>
      </c>
      <c r="Y72" s="15" t="s">
        <v>148</v>
      </c>
      <c r="Z72" s="3"/>
    </row>
    <row r="73" spans="2:26" ht="15.75" x14ac:dyDescent="0.2">
      <c r="B73" s="3"/>
      <c r="C73" s="3"/>
      <c r="D73" s="3" t="s">
        <v>173</v>
      </c>
      <c r="E73" s="3"/>
      <c r="F73" s="363">
        <v>0</v>
      </c>
      <c r="G73" s="363" t="s">
        <v>46</v>
      </c>
      <c r="H73" s="3"/>
      <c r="I73" s="110"/>
      <c r="J73" s="3" t="s">
        <v>46</v>
      </c>
      <c r="K73" s="3"/>
      <c r="L73" s="3"/>
      <c r="M73" s="119"/>
      <c r="N73" s="3"/>
      <c r="P73" s="3"/>
      <c r="Q73" s="3" t="str">
        <f>D73</f>
        <v>Weitere Materialen</v>
      </c>
      <c r="R73" s="3"/>
      <c r="S73" s="79"/>
      <c r="T73" s="79"/>
      <c r="U73" s="79">
        <f>IF(NOT(ISBLANK($I73)),$I73,$F73)*IF(NOT(ISBLANK('Eingabe EF'!$Q58)),'Eingabe EF'!$Q58,0)</f>
        <v>0</v>
      </c>
      <c r="V73" s="15"/>
      <c r="W73" s="79">
        <f>S73+T73</f>
        <v>0</v>
      </c>
      <c r="X73" s="81">
        <f>SUM(S73:U73)</f>
        <v>0</v>
      </c>
      <c r="Y73" s="15" t="s">
        <v>148</v>
      </c>
      <c r="Z73" s="3"/>
    </row>
    <row r="74" spans="2:26" ht="15.75" x14ac:dyDescent="0.2">
      <c r="B74" s="3"/>
      <c r="C74" s="3"/>
      <c r="D74" s="3" t="s">
        <v>172</v>
      </c>
      <c r="E74" s="3"/>
      <c r="F74" s="363">
        <v>0</v>
      </c>
      <c r="G74" s="363" t="s">
        <v>46</v>
      </c>
      <c r="H74" s="3"/>
      <c r="I74" s="110"/>
      <c r="J74" s="3" t="s">
        <v>46</v>
      </c>
      <c r="K74" s="3"/>
      <c r="L74" s="3"/>
      <c r="M74" s="119"/>
      <c r="N74" s="3"/>
      <c r="P74" s="3"/>
      <c r="Q74" s="3" t="str">
        <f>D74</f>
        <v>Oberflächenbearbeitungsarten</v>
      </c>
      <c r="R74" s="3"/>
      <c r="S74" s="79"/>
      <c r="T74" s="79"/>
      <c r="U74" s="79">
        <f>IF(NOT(ISBLANK($I74)),$I74,$F74)*IF(NOT(ISBLANK('Eingabe EF'!$Q59)),'Eingabe EF'!$Q59,0)</f>
        <v>0</v>
      </c>
      <c r="V74" s="15"/>
      <c r="W74" s="79">
        <f>S74+T74</f>
        <v>0</v>
      </c>
      <c r="X74" s="81">
        <f>SUM(S74:U74)</f>
        <v>0</v>
      </c>
      <c r="Y74" s="15" t="s">
        <v>148</v>
      </c>
      <c r="Z74" s="3"/>
    </row>
    <row r="75" spans="2:26" x14ac:dyDescent="0.2">
      <c r="B75" s="3"/>
      <c r="C75" s="3"/>
      <c r="D75" s="3"/>
      <c r="E75" s="3"/>
      <c r="F75" s="363"/>
      <c r="G75" s="363"/>
      <c r="H75" s="3"/>
      <c r="I75" s="3"/>
      <c r="J75" s="3"/>
      <c r="K75" s="3"/>
      <c r="L75" s="3"/>
      <c r="M75" s="3"/>
      <c r="N75" s="3"/>
      <c r="P75" s="3"/>
      <c r="Q75" s="3"/>
      <c r="R75" s="3"/>
      <c r="S75" s="81"/>
      <c r="T75" s="81"/>
      <c r="U75" s="81"/>
      <c r="V75" s="15"/>
      <c r="W75" s="79"/>
      <c r="X75" s="81"/>
      <c r="Y75" s="15"/>
      <c r="Z75" s="3"/>
    </row>
    <row r="76" spans="2:26" ht="14.25" x14ac:dyDescent="0.2">
      <c r="B76" s="3"/>
      <c r="C76" s="3"/>
      <c r="D76" s="3" t="s">
        <v>61</v>
      </c>
      <c r="E76" s="3"/>
      <c r="F76" s="363">
        <v>80</v>
      </c>
      <c r="G76" s="363" t="s">
        <v>46</v>
      </c>
      <c r="H76" s="3"/>
      <c r="I76" s="110"/>
      <c r="J76" s="3" t="s">
        <v>46</v>
      </c>
      <c r="K76" s="3"/>
      <c r="L76" s="3"/>
      <c r="M76" s="3"/>
      <c r="N76" s="3"/>
      <c r="P76" s="3"/>
      <c r="Q76" s="8" t="str">
        <f>D76</f>
        <v>Verpackungsmaterial</v>
      </c>
      <c r="R76" s="8"/>
      <c r="S76" s="366"/>
      <c r="T76" s="366"/>
      <c r="U76" s="366">
        <f>IF(NOT(ISBLANK($I76)),$I76,$F76)*IF(NOT(ISBLANK('Eingabe EF'!$Q61)),'Eingabe EF'!$Q61,'Eingabe EF'!$O61)</f>
        <v>64.48</v>
      </c>
      <c r="V76" s="78"/>
      <c r="W76" s="366">
        <f>S76+T76</f>
        <v>0</v>
      </c>
      <c r="X76" s="368">
        <f>SUM(S76:U76)</f>
        <v>64.48</v>
      </c>
      <c r="Y76" s="78" t="s">
        <v>149</v>
      </c>
      <c r="Z76" s="3"/>
    </row>
    <row r="77" spans="2:26" x14ac:dyDescent="0.2">
      <c r="B77" s="3"/>
      <c r="C77" s="3"/>
      <c r="D77" s="3"/>
      <c r="E77" s="3"/>
      <c r="F77" s="3"/>
      <c r="G77" s="3"/>
      <c r="H77" s="3"/>
      <c r="I77" s="3"/>
      <c r="J77" s="3"/>
      <c r="K77" s="3"/>
      <c r="L77" s="3"/>
      <c r="M77" s="3"/>
      <c r="N77" s="3"/>
      <c r="P77" s="3"/>
      <c r="Q77" s="3"/>
      <c r="R77" s="3"/>
      <c r="S77" s="9"/>
      <c r="T77" s="9"/>
      <c r="U77" s="9"/>
      <c r="V77" s="3"/>
      <c r="W77" s="9"/>
      <c r="X77" s="9"/>
      <c r="Y77" s="3"/>
      <c r="Z77" s="3"/>
    </row>
    <row r="78" spans="2:26" ht="29.25" customHeight="1" x14ac:dyDescent="0.25">
      <c r="B78" s="3"/>
      <c r="C78" s="3"/>
      <c r="D78" s="3"/>
      <c r="E78" s="3"/>
      <c r="F78" s="3"/>
      <c r="G78" s="3"/>
      <c r="H78" s="3"/>
      <c r="I78" s="469" t="str">
        <f>IF((I36+I37+I38+I39+I42+I43+I44++I51+I52+I53+I57+I63)&gt;0,IF((I36+I37+I38+I39+I42+I43+I44+I48+I51+I52+I53+I57+I63)=100%,"","Hinweis, falls Handeingabe vorgenommen wurde: Anteile der eingegebenen Verbrauchswerte der Rohstoffe (Zeile 36-59) ergeben nicht 100 %"),"")</f>
        <v/>
      </c>
      <c r="J78" s="469"/>
      <c r="K78" s="469"/>
      <c r="L78" s="469"/>
      <c r="M78" s="469"/>
      <c r="N78" s="3"/>
      <c r="P78" s="3"/>
      <c r="Q78" s="349" t="s">
        <v>37</v>
      </c>
      <c r="R78" s="350"/>
      <c r="S78" s="351">
        <f>SUM(S16:S77)-S41-S35-S50-S57-S66-S71-S31</f>
        <v>94.932355060000006</v>
      </c>
      <c r="T78" s="351">
        <f>SUM(T16:T77)-T41-T35-T50-T57-T66-T71-T31</f>
        <v>171.9</v>
      </c>
      <c r="U78" s="351">
        <f>SUM(U16:U77)-U41-U35-U50-U57-U66-U71-U31</f>
        <v>5831.5296228095176</v>
      </c>
      <c r="V78" s="349"/>
      <c r="W78" s="351">
        <f>S78+T78</f>
        <v>266.83235506</v>
      </c>
      <c r="X78" s="351">
        <f>SUM(S78:U78)</f>
        <v>6098.3619778695174</v>
      </c>
      <c r="Y78" s="349" t="s">
        <v>149</v>
      </c>
      <c r="Z78" s="8"/>
    </row>
    <row r="79" spans="2:26" ht="15" thickBot="1" x14ac:dyDescent="0.3">
      <c r="B79" s="3"/>
      <c r="C79" s="3"/>
      <c r="D79" s="3"/>
      <c r="E79" s="3"/>
      <c r="F79" s="3"/>
      <c r="G79" s="3"/>
      <c r="H79" s="3"/>
      <c r="I79" s="352"/>
      <c r="J79" s="3"/>
      <c r="K79" s="3"/>
      <c r="L79" s="3"/>
      <c r="M79" s="3"/>
      <c r="N79" s="3"/>
      <c r="P79" s="3"/>
      <c r="Q79" s="353"/>
      <c r="R79" s="353"/>
      <c r="S79" s="354">
        <f>S78/IF(NOT(ISBLANK($I$12)),$I$12,$F$12)</f>
        <v>2.3733088764999999E-3</v>
      </c>
      <c r="T79" s="354">
        <f>T78/IF(NOT(ISBLANK($I$12)),$I$12,$F$12)</f>
        <v>4.2975000000000001E-3</v>
      </c>
      <c r="U79" s="354">
        <f>U78/IF(NOT(ISBLANK($I$12)),$I$12,$F$12)</f>
        <v>0.14578824057023795</v>
      </c>
      <c r="V79" s="355"/>
      <c r="W79" s="354">
        <f>W78/IF(NOT(ISBLANK($I$12)),$I$12,$F$12)</f>
        <v>6.6708088764999996E-3</v>
      </c>
      <c r="X79" s="354">
        <f>X78/IF(NOT(ISBLANK($I$12)),$I$12,$F$12)</f>
        <v>0.15245904944673794</v>
      </c>
      <c r="Y79" s="355" t="s">
        <v>150</v>
      </c>
      <c r="Z79" s="8"/>
    </row>
    <row r="80" spans="2:26" ht="13.5" thickTop="1" x14ac:dyDescent="0.2">
      <c r="B80" s="3" t="str">
        <f>IF(AND($F$16&gt;0,J16&lt;F16),"Bitte den Handeingabewert 'Reduktion' für 'Bilanzjahr +10 Jahre' auch anpassen. Dieser muss dem Werte Ihrer Handeingabe  'Bilanzjahr + 5 Jahre' entsprechen, sollte nur eine Maßnahme im  'Bilanzjahr + 5 Jahre' umgesetzt werden.","")</f>
        <v/>
      </c>
      <c r="C80" s="3"/>
      <c r="D80" s="3"/>
      <c r="E80" s="3"/>
      <c r="F80" s="3"/>
      <c r="G80" s="3"/>
      <c r="H80" s="3"/>
      <c r="I80" s="3"/>
      <c r="J80" s="3"/>
      <c r="K80" s="3"/>
      <c r="L80" s="3"/>
      <c r="M80" s="3"/>
      <c r="N80" s="3"/>
      <c r="P80" s="3"/>
      <c r="Q80" s="3"/>
      <c r="R80" s="3"/>
      <c r="S80" s="3"/>
      <c r="T80" s="3"/>
      <c r="U80" s="3"/>
      <c r="V80" s="3"/>
      <c r="W80" s="3"/>
      <c r="X80" s="3"/>
      <c r="Y80" s="3"/>
      <c r="Z80" s="3"/>
    </row>
    <row r="81" spans="2:26" ht="14.25" x14ac:dyDescent="0.2">
      <c r="B81" s="3"/>
      <c r="C81" s="34"/>
      <c r="D81" s="34" t="s">
        <v>399</v>
      </c>
      <c r="E81" s="34"/>
      <c r="F81" s="34"/>
      <c r="G81" s="34"/>
      <c r="H81" s="34"/>
      <c r="I81" s="34"/>
      <c r="J81" s="34"/>
      <c r="K81" s="3"/>
      <c r="L81" s="3"/>
      <c r="M81" s="3"/>
      <c r="N81" s="3"/>
      <c r="P81" s="3"/>
      <c r="Q81" s="3"/>
      <c r="R81" s="3"/>
      <c r="S81" s="3"/>
      <c r="T81" s="3"/>
      <c r="U81" s="3"/>
      <c r="V81" s="3"/>
      <c r="W81" s="3"/>
      <c r="X81" s="3"/>
      <c r="Y81" s="3"/>
      <c r="Z81" s="3"/>
    </row>
    <row r="82" spans="2:26" ht="14.25" x14ac:dyDescent="0.2">
      <c r="B82" s="3"/>
      <c r="C82" s="3"/>
      <c r="D82" s="3"/>
      <c r="E82" s="3"/>
      <c r="F82" s="3"/>
      <c r="G82" s="3"/>
      <c r="H82" s="3"/>
      <c r="I82" s="3"/>
      <c r="J82" s="3"/>
      <c r="K82" s="3"/>
      <c r="L82" s="3"/>
      <c r="M82" s="3"/>
      <c r="N82" s="3"/>
      <c r="P82" s="3"/>
      <c r="Q82" s="3" t="s">
        <v>157</v>
      </c>
      <c r="R82" s="3"/>
      <c r="S82" s="3"/>
      <c r="T82" s="3"/>
      <c r="U82" s="3"/>
      <c r="V82" s="3"/>
      <c r="W82" s="3"/>
      <c r="X82" s="3"/>
      <c r="Y82" s="3"/>
      <c r="Z82" s="3"/>
    </row>
    <row r="83" spans="2:26" x14ac:dyDescent="0.2">
      <c r="B83"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83" s="3"/>
      <c r="D83" s="3"/>
      <c r="E83" s="3"/>
      <c r="F83" s="3"/>
      <c r="G83" s="3"/>
      <c r="H83" s="3"/>
      <c r="I83" s="3"/>
      <c r="J83" s="3"/>
      <c r="K83" s="3"/>
      <c r="L83" s="3"/>
      <c r="M83" s="3"/>
      <c r="N83" s="3"/>
      <c r="P83" s="3"/>
      <c r="Q83" s="3"/>
      <c r="R83" s="3"/>
      <c r="S83" s="3"/>
      <c r="T83" s="3"/>
      <c r="U83" s="3"/>
      <c r="V83" s="3"/>
      <c r="W83" s="3"/>
      <c r="X83" s="3"/>
      <c r="Y83" s="3"/>
      <c r="Z83" s="3"/>
    </row>
    <row r="84" spans="2:26" x14ac:dyDescent="0.2">
      <c r="B84" s="3"/>
      <c r="C84" s="3"/>
      <c r="D84" s="3"/>
      <c r="E84" s="3"/>
      <c r="F84" s="3"/>
      <c r="G84" s="3"/>
      <c r="H84" s="3"/>
      <c r="I84" s="3"/>
      <c r="J84" s="3"/>
      <c r="K84" s="3"/>
      <c r="L84" s="3"/>
      <c r="M84" s="3"/>
      <c r="N84" s="3"/>
      <c r="P84" s="3"/>
      <c r="Q84" s="3"/>
      <c r="R84" s="3"/>
      <c r="S84" s="3"/>
      <c r="T84" s="3"/>
      <c r="U84" s="3"/>
      <c r="V84" s="3"/>
      <c r="W84" s="3"/>
      <c r="X84" s="3"/>
      <c r="Y84" s="3"/>
      <c r="Z84" s="3"/>
    </row>
    <row r="85" spans="2:26" hidden="1" outlineLevel="1" x14ac:dyDescent="0.2">
      <c r="D85" s="102" t="str">
        <f>IF((OR($I$39&gt;0,K39&gt;0)),"Bitte im Reiter 'Eingabe EF' einen Emissionsfaktor für die Zementsorte für aktuelles Bilanzjahr, Bilanzjahr +5 Jahre  und Bilanzjahr +10 Jahre eintragen!","")</f>
        <v/>
      </c>
    </row>
    <row r="86" spans="2:26" hidden="1" outlineLevel="1" x14ac:dyDescent="0.2">
      <c r="D86" s="102" t="str">
        <f>IF($I$19&gt;0,"Bitte im Reiter 'Eingabe EF' entsprechende Emissionsfaktoren und im Reiter 'Eingabe Preise' entsprechenden Preis für den alternativen Ergieträger Härtekammer für das Bilanzjahr, das 'Bilanzjahr +5 Jahre' und das 'Bilanzjahr +10 Jahre' eintragen!","")</f>
        <v/>
      </c>
      <c r="G86" s="6" t="s">
        <v>400</v>
      </c>
      <c r="I86" s="356">
        <f>IF(NOT(ISBLANK($I36)),$I36,$F36)+IF(NOT(ISBLANK($I37)),$I37,$F37)+IF(NOT(ISBLANK($I38)),$I38,$F38)+IF(NOT(ISBLANK($I39)),$I39,$F39)+IF(NOT(ISBLANK($I42)),$I42,$F42)+IF(NOT(ISBLANK($I43)),$I43,$F43)+IF(NOT(ISBLANK($I44)),$I44,$F44)+IF(NOT(ISBLANK($I48)),$I48,$F48)+IF(NOT(ISBLANK($I51)),$I51,$F51)+IF(NOT(ISBLANK($I52)),$I52,$F52)+IF(NOT(ISBLANK($I53)),$I53,$F53)+IF(NOT(ISBLANK($I57)),$I57,$F57)+IF(NOT(ISBLANK($I63)),$I63,$F63)+IF(NOT(ISBLANK($I67)),$I67,$F67)+IF(NOT(ISBLANK($I68)),$I68,$F68)+IF(NOT(ISBLANK($I69)),$I69,$F69)</f>
        <v>1</v>
      </c>
      <c r="M86" s="6" t="str">
        <f>IF(OR(I86&lt;100%,I86&gt;100%),"Hinweis: Die Summe der Einsatzstoffe muss 100% ergeben.","")</f>
        <v/>
      </c>
    </row>
    <row r="87" spans="2:26" hidden="1" outlineLevel="1" x14ac:dyDescent="0.2">
      <c r="D87" s="102" t="str">
        <f>IF($I$26&gt;0,"Bitte im Reiter 'Eingabe EF' entsprechende Emissionsfaktoren und im Reiter 'Eingabe Preise' entsprechenden Preis für den alternativen Ergieträger fürs restliche Werk für aktuelles Bilanzjahr, Bilanzjahr +5 Jahre und Bilanzjahr +10 Jahre eintragen!","")</f>
        <v/>
      </c>
      <c r="G87" s="6" t="s">
        <v>401</v>
      </c>
      <c r="I87" s="356">
        <f>IF(NOT(ISBLANK($I58)),$I58,$F58)+IF(NOT(ISBLANK($I59)),$I59,$F59)+IF(NOT(ISBLANK($I60)),$I60,$F60)+IF(NOT(ISBLANK($I61)),$I61,$F61)</f>
        <v>0.99999999999999967</v>
      </c>
      <c r="M87" s="6" t="str">
        <f>IF(OR(I87&lt;100%,I87&gt;100%),"Hinweis: Die Summe der Zusatzmittel muss 100% ergeben.","")</f>
        <v/>
      </c>
    </row>
    <row r="88" spans="2:26" hidden="1" outlineLevel="1" x14ac:dyDescent="0.2">
      <c r="D88" s="102" t="str">
        <f>IF(OR($K43&gt;0,$I43&gt;0),"Bitte im Reiter 'Eingabe EF' einen Emissionsfaktor für Brechsand, Splitt für aktuelles Bilanzjahr, Bilanzjahr +5 Jahre und Bilanzjahr + 10 Jahre eintragen!","")</f>
        <v/>
      </c>
    </row>
    <row r="89" spans="2:26" hidden="1" outlineLevel="1" x14ac:dyDescent="0.2">
      <c r="D89" s="102" t="str">
        <f>IF(OR($K44&gt;0,$I44&gt;0),"Bitte im Reiter 'Eingabe EF' einen Emissionsfaktor für Brechsand, Splitt für aktuelles Bilanzjahr, Bilanzjahr +5 Jahre und Bilanzjahr + 10 Jahre eintragen!","")</f>
        <v/>
      </c>
    </row>
    <row r="90" spans="2:26" hidden="1" outlineLevel="1" x14ac:dyDescent="0.2">
      <c r="D90" s="102" t="str">
        <f>IF(OR($I$67&gt;0,$K67),"Bitte im Reiter 'Eingabe EF' einen Emissionsfaktor für Hydrophobierung für aktuelles Bilanzjahr, Bilanzjahr +5 Jahre und Bilanzjahr + 10 Jahre eintragen!","")</f>
        <v/>
      </c>
    </row>
    <row r="91" spans="2:26" hidden="1" outlineLevel="1" x14ac:dyDescent="0.2">
      <c r="D91" s="102" t="str">
        <f>IF(OR($I$69&gt;0,K69&gt;0),"Bitte im Reiter 'Eingabe EF' einen Emissionsfaktor für Beschichtung für aktuelles Bilanzjahr, Bilanzjahr +5 Jahre und Bilanzjahr + 10 Jahre eintragen!","")</f>
        <v/>
      </c>
    </row>
    <row r="92" spans="2:26" hidden="1" outlineLevel="1" x14ac:dyDescent="0.2">
      <c r="D92" s="102" t="str">
        <f>IF($I$73&gt;0,"Bitte im Reiter 'Eingabe EF' einen Emissionsfaktor für 'weitere Materialen' für aktuelles Bilanzjahr, Bilanzjahr +5 Jahre und Bilanzjahr + 10 Jahre eintragen!","")</f>
        <v/>
      </c>
    </row>
    <row r="93" spans="2:26" hidden="1" outlineLevel="1" x14ac:dyDescent="0.2">
      <c r="D93" s="102" t="str">
        <f>IF($I$74&gt;0,"Bitte im Reiter 'Eingabe EF' einen Emissionsfaktor für Oberflächenbearbeitungsarten für aktuelles Bilanzjahr, Bilanzjahr +5 Jahre und Bilanzjahr + 10 Jahre eintragen!","")</f>
        <v/>
      </c>
    </row>
    <row r="94" spans="2:26" hidden="1" collapsed="1" x14ac:dyDescent="0.2">
      <c r="D94" s="6" t="str">
        <f>IF((OR($I$61&gt;0,K61&gt;0)),"Bitte im Reiter 'Eingabe EF' einen Emissionsfaktor für die Hydrophobierer für aktuelles Bilanzjahr, Bilanzjahr +5 Jahre und Bilanzjahr + 10 Jahre eintragen!","")</f>
        <v/>
      </c>
    </row>
    <row r="181" spans="28:28" x14ac:dyDescent="0.2">
      <c r="AB181" s="6" t="s">
        <v>474</v>
      </c>
    </row>
    <row r="184" spans="28:28" x14ac:dyDescent="0.2">
      <c r="AB184" s="6" t="s">
        <v>474</v>
      </c>
    </row>
    <row r="217" spans="29:29" x14ac:dyDescent="0.2">
      <c r="AC217" s="6" t="s">
        <v>470</v>
      </c>
    </row>
    <row r="218" spans="29:29" x14ac:dyDescent="0.2">
      <c r="AC218" s="6" t="s">
        <v>471</v>
      </c>
    </row>
    <row r="220" spans="29:29" x14ac:dyDescent="0.2">
      <c r="AC220" s="6" t="s">
        <v>472</v>
      </c>
    </row>
    <row r="221" spans="29:29" x14ac:dyDescent="0.2">
      <c r="AC221" s="6" t="s">
        <v>473</v>
      </c>
    </row>
  </sheetData>
  <sheetProtection algorithmName="SHA-512" hashValue="0xwG4BcYq9C5pxvf6k99960HMNMDae4viD61myk70YcnWDsCxm5RUW2GSSb5eonKlAdhHbzgkg2+wiITKe5oqA==" saltValue="+mal0P/uxIpdffW78VFeIA==" spinCount="100000" sheet="1" objects="1" scenarios="1" selectLockedCells="1"/>
  <mergeCells count="3">
    <mergeCell ref="F5:M5"/>
    <mergeCell ref="J58:J61"/>
    <mergeCell ref="I78:M78"/>
  </mergeCells>
  <phoneticPr fontId="22" type="noConversion"/>
  <dataValidations count="21">
    <dataValidation allowBlank="1" showInputMessage="1" showErrorMessage="1" prompt="Bitte im Reiter 'Eingabe EF' entsprechende Emissionsfaktoren und im Reiter 'Eingabe Preise' entsprechenden Preis für den alternativen Ergieträger Härtekammer für das Bilanzjahr, das 'Bilanzjahr +5 Jahre' und das 'Bilanzjahr +10 Jahre' eintragen!" sqref="I19" xr:uid="{FFDE90D1-B293-44B3-BCFB-8C82ACB65C8D}"/>
    <dataValidation allowBlank="1" showInputMessage="1" showErrorMessage="1" prompt="Bitte im Reiter 'Eingabe EF' entsprechende Emissionsfaktoren und im Reiter 'Eingabe Preise' entsprechenden Preis für den alternativen Ergieträger fürs restliche Werk für aktuelles Bilanzjahr, Bilanzjahr +5 Jahre und Bilanzjahr +10 Jahre eintragen!" sqref="I26" xr:uid="{9FBF0737-C9FD-4069-8A5B-A3EF515D38FB}"/>
    <dataValidation allowBlank="1" showInputMessage="1" showErrorMessage="1" prompt="Bitte im Reiter 'Eingabe EF' einen Emissionsfaktor für die Zementsorte für aktuelles Bilanzjahr, Bilanzjahr +5 Jahre  und Bilanzjahr +10 Jahre eintragen!" sqref="I39 K39" xr:uid="{FAFF096C-B8A9-4D80-AB3D-F34114A17969}"/>
    <dataValidation allowBlank="1" showInputMessage="1" showErrorMessage="1" prompt="Bitte im Reiter 'Eingabe EF' einen Emissionsfaktor für Brechsand, Splitt für aktuelles Bilanzjahr, Bilanzjahr +5 Jahre und Bilanzjahr + 10 Jahre eintragen!" sqref="I43 K43" xr:uid="{43CDB84C-495A-4D07-BE0D-7E27ECA43C45}"/>
    <dataValidation allowBlank="1" showInputMessage="1" showErrorMessage="1" prompt="Hinweis: Die Summe der Zusatzmittel muss 100% ergeben." sqref="I58:I60" xr:uid="{9A623082-1516-45BC-8166-732C11AEB9BE}"/>
    <dataValidation allowBlank="1" showInputMessage="1" showErrorMessage="1" prompt="Hinweis: Die Summe der Zusatzmittel muss 100% ergeben._x000a__x000a_Bitte im Reiter 'Eingabe EF' einen Emissionsfaktor für die Hydrophobierer für aktuelles Bilanzjahr, Bilanzjahr +5 Jahre und Bilanzjahr + 10 Jahre eintragen!" sqref="I61" xr:uid="{187965FE-9B27-4278-B913-97FF5F8C4D60}"/>
    <dataValidation allowBlank="1" showInputMessage="1" showErrorMessage="1" prompt="Bitte im Reiter 'Eingabe EF' einen Emissionsfaktor für Hydrophobierung für aktuelles Bilanzjahr, Bilanzjahr +5 Jahre und Bilanzjahr + 10 Jahre eintragen!" sqref="I67 K67" xr:uid="{768396C9-97A2-41E1-B405-32292AA17660}"/>
    <dataValidation allowBlank="1" showInputMessage="1" showErrorMessage="1" prompt="Bitte im Reiter 'Eingabe EF' einen Emissionsfaktor für Beschichtung für aktuelles Bilanzjahr, Bilanzjahr +5 Jahre und Bilanzjahr + 10 Jahre eintragen!" sqref="I69 K69" xr:uid="{F5145F88-3E5C-40D3-B790-92E54D03BB8B}"/>
    <dataValidation allowBlank="1" showInputMessage="1" showErrorMessage="1" prompt="Bitte im Reiter 'Eingabe EF' einen Emissionsfaktor für 'weitere Materialen' für aktuelles Bilanzjahr, Bilanzjahr +5 Jahre und Bilanzjahr + 10 Jahre eintragen!" sqref="I73" xr:uid="{E004668C-A924-4820-A86D-6EFD83EDDC80}"/>
    <dataValidation allowBlank="1" showInputMessage="1" showErrorMessage="1" prompt="Bitte im Reiter 'Eingabe EF' einen Emissionsfaktor für Oberflächenbearbeitungsarten für aktuelles Bilanzjahr, Bilanzjahr +5 Jahre und Bilanzjahr + 10 Jahre eintragen!" sqref="I74" xr:uid="{F6270697-8A53-4C3B-AF87-645350BC4201}"/>
    <dataValidation allowBlank="1" showInputMessage="1" showErrorMessage="1" prompt="Bitte im Reiter 'Eingabe EF' einen Emissionsfaktor für die Hydrophobierer für aktuelles Bilanzjahr, Bilanzjahr +5 Jahre und Bilanzjahr + 10 Jahre eintragen!" sqref="K61" xr:uid="{C759B382-20BC-4D86-A38A-7629A10492E2}"/>
    <dataValidation allowBlank="1" showInputMessage="1" showErrorMessage="1" prompt="Bitte im Reiter 'Eingabe EF' einen Emissionsfaktor für &quot;weiterer Zuschlagstoff 1&quot; für aktuelles Bilanzjahr, Bilanzjahr +5 Jahre und Bilanzjahr + 10 Jahre eintragen!" sqref="I45" xr:uid="{B589CEE7-00E4-486E-B586-3A8C36EAC1FE}"/>
    <dataValidation allowBlank="1" showInputMessage="1" showErrorMessage="1" prompt="Bitte im Reiter 'Eingabe EF' einen Emissionsfaktor für &quot;Weiterer Zusatzschlagsstoff 2&quot; für aktuelles Bilanzjahr, Bilanzjahr +5 Jahre und Bilanzjahr + 10 Jahre eintragen!" sqref="I46" xr:uid="{AC55E9BD-6654-416D-B5F7-14C0F01D0DFC}"/>
    <dataValidation allowBlank="1" showInputMessage="1" showErrorMessage="1" prompt="Bitte im Reiter 'Eingabe EF' einen Emissionsfaktor für &quot;RC Material&quot; für aktuelles Bilanzjahr, Bilanzjahr +5 Jahre und Bilanzjahr + 10 Jahre eintragen!" sqref="I44" xr:uid="{06E27552-2D13-41AD-A420-BB74A91B8455}"/>
    <dataValidation allowBlank="1" showInputMessage="1" showErrorMessage="1" prompt="Bitte im Reiter 'Eingabe EF' einen Emissionsfaktor für &quot;weiterer Zusatzstoff 1&quot; für aktuelles Bilanzjahr, Bilanzjahr +5 Jahre und Bilanzjahr + 10 Jahre eintragen!" sqref="I54" xr:uid="{6742B976-AAF4-49A0-AA41-7DF1774DA4CF}"/>
    <dataValidation allowBlank="1" showInputMessage="1" showErrorMessage="1" prompt="Bitte im Reiter 'Eingabe EF' einen Emissionsfaktor für &quot;weiterer Zusatzstoff 2&quot; für aktuelles Bilanzjahr, Bilanzjahr +5 Jahre und Bilanzjahr + 10 Jahre eintragen!" sqref="I55" xr:uid="{9F8F7AB4-FCF1-4D35-956E-2DBC50DB4505}"/>
    <dataValidation allowBlank="1" showInputMessage="1" showErrorMessage="1" prompt="Hinweis: Falls eigener Strom-Emissionsfaktor vorhanden, z. B. Bezug von Grünstrom, in Tabellenblatt &quot;Eingabe EF&quot; den Emissionsfaktor beim Bilanzjahr, Bilanzjahr + 5 Jahre und Bilanzjahr +10 Jahre eingeben." sqref="I18 I24" xr:uid="{BE679905-11A1-4B8D-9F2F-9FF2A1878857}"/>
    <dataValidation allowBlank="1" showInputMessage="1" showErrorMessage="1" prompt="Bitte im Reiter 'Eingabe EF' einen Emissionsfaktor für RC-Material für aktuelles Bilanzjahr, Bilanzjahr +5 Jahre und Bilanzjahr + 10 Jahre eintragen!" sqref="K44" xr:uid="{F27C2007-DB97-4647-8C04-C9E2490AB953}"/>
    <dataValidation allowBlank="1" showInputMessage="1" showErrorMessage="1" prompt="Bitte im Reiter 'Eingabe EF' einen Emissionsfaktor für &quot;Weiterer Zuschlagstoff 1&quot; für aktuelles Bilanzjahr, Bilanzjahr +5 Jahre und Bilanzjahr + 10 Jahre eintragen!" sqref="K45:K46" xr:uid="{39E08396-C4D0-4E19-8A36-4A13F3765BD8}"/>
    <dataValidation allowBlank="1" showInputMessage="1" showErrorMessage="1" prompt="Bitte im Reiter 'Eingabe EF' einen Emissionsfaktor für &quot;Weiterer Zusatzstoff 1&quot; für aktuelles Bilanzjahr, Bilanzjahr +5 Jahre und Bilanzjahr + 10 Jahre eintragen!" sqref="K54" xr:uid="{17EBF4FF-2167-4058-9378-E157FFE9E691}"/>
    <dataValidation allowBlank="1" showInputMessage="1" showErrorMessage="1" prompt="Bitte im Reiter 'Eingabe EF' einen Emissionsfaktor für &quot;Weiterer Zusatzstoff 2&quot; für aktuelles Bilanzjahr, Bilanzjahr +5 Jahre und Bilanzjahr + 10 Jahre eintragen!" sqref="K55" xr:uid="{3B2AE6A6-DAF7-426F-8034-01213565AF03}"/>
  </dataValidations>
  <hyperlinks>
    <hyperlink ref="A1" location="Cockpit!A1" display="zurück zu Cockpit" xr:uid="{D696780A-8170-4BD1-B582-ADA774BB33D7}"/>
  </hyperlinks>
  <printOptions horizontalCentered="1"/>
  <pageMargins left="0.39370078740157483" right="0.39370078740157483" top="0.39370078740157483" bottom="0.59055118110236227" header="0.19685039370078741" footer="0.19685039370078741"/>
  <pageSetup paperSize="9" scale="40" fitToWidth="3" orientation="landscape" r:id="rId1"/>
  <colBreaks count="2" manualBreakCount="2">
    <brk id="14" max="79" man="1"/>
    <brk id="26" max="79" man="1"/>
  </col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7355E-B1E5-4B1B-97B2-A7CAC1262872}">
  <dimension ref="A1:AR313"/>
  <sheetViews>
    <sheetView workbookViewId="0"/>
  </sheetViews>
  <sheetFormatPr baseColWidth="10" defaultColWidth="9" defaultRowHeight="12.75" outlineLevelRow="1" x14ac:dyDescent="0.2"/>
  <cols>
    <col min="1" max="1" width="4.75" style="6" customWidth="1"/>
    <col min="2" max="2" width="2.375" style="6" customWidth="1"/>
    <col min="3" max="3" width="3.5" style="6" customWidth="1"/>
    <col min="4" max="4" width="39.5" style="6" customWidth="1"/>
    <col min="5" max="5" width="9" style="6" customWidth="1"/>
    <col min="6" max="6" width="12.75" style="6" customWidth="1"/>
    <col min="7" max="7" width="10.125" style="6" customWidth="1"/>
    <col min="8" max="8" width="11.375" style="6" customWidth="1"/>
    <col min="9" max="9" width="9" style="6" customWidth="1"/>
    <col min="10" max="10" width="10.5" style="6" customWidth="1"/>
    <col min="11" max="11" width="10.25" style="6" customWidth="1"/>
    <col min="12" max="12" width="12.75" style="6" customWidth="1"/>
    <col min="13" max="13" width="40.75" style="6" customWidth="1"/>
    <col min="14" max="14" width="33.25" style="6" customWidth="1"/>
    <col min="15" max="15" width="2.375" style="6" customWidth="1"/>
    <col min="16" max="16" width="2.75" style="6" customWidth="1"/>
    <col min="17" max="17" width="2.25" style="6" customWidth="1"/>
    <col min="18" max="18" width="9.875" style="6" customWidth="1"/>
    <col min="19" max="19" width="39.5" style="6" customWidth="1"/>
    <col min="20" max="20" width="9" style="6"/>
    <col min="21" max="21" width="10.375" style="6" customWidth="1"/>
    <col min="22" max="22" width="10.125" style="6" customWidth="1"/>
    <col min="23" max="23" width="11.5" style="6" customWidth="1"/>
    <col min="24" max="24" width="9" style="6"/>
    <col min="25" max="25" width="2.375" style="6" customWidth="1"/>
    <col min="26" max="26" width="4.25" style="6" customWidth="1"/>
    <col min="27" max="27" width="10.5" style="6" customWidth="1"/>
    <col min="28" max="28" width="11" style="6" customWidth="1"/>
    <col min="29" max="29" width="40.75" style="6" customWidth="1"/>
    <col min="30" max="31" width="9" style="6"/>
    <col min="32" max="32" width="12" style="6" customWidth="1"/>
    <col min="33" max="33" width="4.875" style="6" customWidth="1"/>
    <col min="34" max="34" width="2.875" style="6" customWidth="1"/>
    <col min="35" max="35" width="4.25" style="6" customWidth="1"/>
    <col min="36" max="36" width="10.375" style="6" customWidth="1"/>
    <col min="37" max="37" width="31.5" style="6" bestFit="1" customWidth="1"/>
    <col min="38" max="38" width="9" style="6"/>
    <col min="39" max="39" width="11.75" style="6" bestFit="1" customWidth="1"/>
    <col min="40" max="40" width="10" style="6" bestFit="1" customWidth="1"/>
    <col min="41" max="41" width="9" style="6"/>
    <col min="42" max="42" width="9" style="6" customWidth="1"/>
    <col min="43" max="16384" width="9" style="6"/>
  </cols>
  <sheetData>
    <row r="1" spans="1:44" x14ac:dyDescent="0.2">
      <c r="A1" s="428" t="s">
        <v>467</v>
      </c>
      <c r="B1" s="418"/>
      <c r="AH1" s="2"/>
    </row>
    <row r="2" spans="1:44" x14ac:dyDescent="0.2">
      <c r="B2" s="3"/>
      <c r="C2" s="89"/>
      <c r="D2" s="89"/>
      <c r="E2" s="89"/>
      <c r="F2" s="89"/>
      <c r="G2" s="89"/>
      <c r="H2" s="89"/>
      <c r="I2" s="89"/>
      <c r="J2" s="89"/>
      <c r="K2" s="89"/>
      <c r="L2" s="89"/>
      <c r="M2" s="3"/>
      <c r="N2" s="3"/>
      <c r="O2" s="3"/>
      <c r="P2" s="2"/>
      <c r="Q2" s="3"/>
      <c r="R2" s="3"/>
      <c r="S2" s="14"/>
      <c r="T2" s="3"/>
      <c r="U2" s="3"/>
      <c r="V2" s="3"/>
      <c r="W2" s="3"/>
      <c r="X2" s="3"/>
      <c r="Y2" s="2"/>
      <c r="Z2" s="3"/>
      <c r="AA2" s="3"/>
      <c r="AB2" s="3"/>
      <c r="AC2" s="3"/>
      <c r="AD2" s="3"/>
      <c r="AE2" s="3"/>
      <c r="AF2" s="3"/>
      <c r="AG2" s="3"/>
      <c r="AH2" s="2"/>
      <c r="AI2" s="3"/>
      <c r="AJ2" s="3"/>
      <c r="AK2" s="3"/>
      <c r="AL2" s="3"/>
      <c r="AM2" s="3"/>
      <c r="AN2" s="3"/>
      <c r="AO2" s="3"/>
      <c r="AP2" s="3"/>
      <c r="AQ2" s="3"/>
      <c r="AR2" s="3"/>
    </row>
    <row r="3" spans="1:44" ht="18" x14ac:dyDescent="0.25">
      <c r="B3" s="3"/>
      <c r="C3" s="89"/>
      <c r="D3" s="90" t="s">
        <v>259</v>
      </c>
      <c r="E3" s="89"/>
      <c r="F3" s="89"/>
      <c r="G3" s="89"/>
      <c r="H3" s="89"/>
      <c r="I3" s="89"/>
      <c r="J3" s="89"/>
      <c r="K3" s="89"/>
      <c r="L3" s="89"/>
      <c r="M3" s="3"/>
      <c r="N3" s="3"/>
      <c r="O3" s="3"/>
      <c r="P3" s="2"/>
      <c r="Q3" s="3"/>
      <c r="R3" s="96" t="s">
        <v>260</v>
      </c>
      <c r="S3" s="14"/>
      <c r="T3" s="3"/>
      <c r="U3" s="3"/>
      <c r="V3" s="3"/>
      <c r="W3" s="3"/>
      <c r="X3" s="3"/>
      <c r="Y3" s="2"/>
      <c r="Z3" s="3"/>
      <c r="AA3" s="96" t="s">
        <v>260</v>
      </c>
      <c r="AB3" s="3"/>
      <c r="AC3" s="3"/>
      <c r="AD3" s="3"/>
      <c r="AE3" s="3"/>
      <c r="AF3" s="3"/>
      <c r="AG3" s="3"/>
      <c r="AH3" s="2"/>
      <c r="AI3" s="3"/>
      <c r="AJ3" s="96" t="s">
        <v>260</v>
      </c>
      <c r="AK3" s="3"/>
      <c r="AL3" s="3"/>
      <c r="AM3" s="3"/>
      <c r="AN3" s="3"/>
      <c r="AO3" s="3"/>
      <c r="AP3" s="3"/>
      <c r="AQ3" s="3"/>
      <c r="AR3" s="3"/>
    </row>
    <row r="4" spans="1:44" x14ac:dyDescent="0.2">
      <c r="B4" s="3"/>
      <c r="C4" s="89"/>
      <c r="D4" s="3"/>
      <c r="E4" s="3"/>
      <c r="F4" s="3"/>
      <c r="G4" s="3"/>
      <c r="H4" s="3"/>
      <c r="I4" s="3"/>
      <c r="J4" s="3"/>
      <c r="K4" s="3"/>
      <c r="L4" s="3"/>
      <c r="M4" s="3"/>
      <c r="N4" s="3"/>
      <c r="O4" s="3"/>
      <c r="P4" s="2"/>
      <c r="Q4" s="3"/>
      <c r="R4" s="3"/>
      <c r="S4" s="14"/>
      <c r="T4" s="3"/>
      <c r="U4" s="3"/>
      <c r="V4" s="111"/>
      <c r="W4" s="3"/>
      <c r="X4" s="3"/>
      <c r="Y4" s="2"/>
      <c r="Z4" s="3"/>
      <c r="AA4" s="3"/>
      <c r="AB4" s="3"/>
      <c r="AC4" s="3"/>
      <c r="AD4" s="3"/>
      <c r="AE4" s="3"/>
      <c r="AF4" s="3"/>
      <c r="AG4" s="3"/>
      <c r="AH4" s="2"/>
      <c r="AI4" s="3"/>
      <c r="AJ4" s="3"/>
      <c r="AK4" s="3"/>
      <c r="AL4" s="3"/>
      <c r="AM4" s="3"/>
      <c r="AN4" s="3"/>
      <c r="AO4" s="3"/>
      <c r="AP4" s="3"/>
      <c r="AQ4" s="3"/>
      <c r="AR4" s="3"/>
    </row>
    <row r="5" spans="1:44" ht="15" x14ac:dyDescent="0.25">
      <c r="B5" s="3"/>
      <c r="C5" s="89"/>
      <c r="D5" s="103" t="s">
        <v>294</v>
      </c>
      <c r="E5" s="103"/>
      <c r="F5" s="103"/>
      <c r="G5" s="103"/>
      <c r="H5" s="103"/>
      <c r="I5" s="103"/>
      <c r="J5" s="103"/>
      <c r="K5" s="103"/>
      <c r="L5" s="103"/>
      <c r="M5" s="3"/>
      <c r="N5" s="3"/>
      <c r="O5" s="3"/>
      <c r="P5" s="2"/>
      <c r="Q5" s="3"/>
      <c r="R5" s="91" t="s">
        <v>237</v>
      </c>
      <c r="S5" s="3"/>
      <c r="T5" s="3"/>
      <c r="U5" s="3"/>
      <c r="V5" s="3"/>
      <c r="W5" s="3"/>
      <c r="X5" s="3"/>
      <c r="Y5" s="2"/>
      <c r="Z5" s="3"/>
      <c r="AA5" s="91" t="s">
        <v>105</v>
      </c>
      <c r="AB5" s="3"/>
      <c r="AC5" s="3"/>
      <c r="AD5" s="3"/>
      <c r="AE5" s="3"/>
      <c r="AF5" s="3"/>
      <c r="AG5" s="3"/>
      <c r="AH5" s="2"/>
      <c r="AI5" s="3"/>
      <c r="AJ5" s="386" t="s">
        <v>79</v>
      </c>
      <c r="AK5" s="3"/>
      <c r="AL5" s="3"/>
      <c r="AM5" s="3"/>
      <c r="AN5" s="3"/>
      <c r="AO5" s="3"/>
      <c r="AP5" s="3"/>
      <c r="AQ5" s="3"/>
      <c r="AR5" s="3"/>
    </row>
    <row r="6" spans="1:44" ht="123.75" customHeight="1" x14ac:dyDescent="0.2">
      <c r="B6" s="3"/>
      <c r="C6" s="93"/>
      <c r="D6" s="481" t="s">
        <v>446</v>
      </c>
      <c r="E6" s="481"/>
      <c r="F6" s="481"/>
      <c r="G6" s="481"/>
      <c r="H6" s="481"/>
      <c r="I6" s="481"/>
      <c r="J6" s="481"/>
      <c r="K6" s="481"/>
      <c r="L6" s="481"/>
      <c r="M6" s="3"/>
      <c r="N6" s="3"/>
      <c r="O6" s="3"/>
      <c r="P6" s="2"/>
      <c r="Q6" s="3"/>
      <c r="R6" s="3"/>
      <c r="S6" s="14"/>
      <c r="T6" s="3"/>
      <c r="U6" s="3"/>
      <c r="V6" s="3"/>
      <c r="W6" s="3"/>
      <c r="X6" s="3"/>
      <c r="Y6" s="2"/>
      <c r="Z6" s="3"/>
      <c r="AA6" s="3"/>
      <c r="AB6" s="3"/>
      <c r="AC6" s="3"/>
      <c r="AD6" s="3"/>
      <c r="AE6" s="3"/>
      <c r="AF6" s="3"/>
      <c r="AG6" s="3"/>
      <c r="AH6" s="2"/>
      <c r="AI6" s="3"/>
      <c r="AJ6" s="3"/>
      <c r="AK6" s="3"/>
      <c r="AL6" s="3"/>
      <c r="AM6" s="3"/>
      <c r="AN6" s="3"/>
      <c r="AO6" s="3"/>
      <c r="AP6" s="3"/>
      <c r="AQ6" s="3"/>
      <c r="AR6" s="3"/>
    </row>
    <row r="7" spans="1:44" x14ac:dyDescent="0.2">
      <c r="B7" s="3"/>
      <c r="C7" s="89"/>
      <c r="D7" s="89"/>
      <c r="E7" s="89"/>
      <c r="F7" s="89"/>
      <c r="G7" s="89"/>
      <c r="H7" s="89"/>
      <c r="I7" s="89"/>
      <c r="J7" s="89"/>
      <c r="K7" s="89"/>
      <c r="L7" s="89"/>
      <c r="M7" s="3"/>
      <c r="N7" s="3"/>
      <c r="O7" s="3"/>
      <c r="P7" s="2"/>
      <c r="Q7" s="3"/>
      <c r="R7" s="3"/>
      <c r="S7" s="3"/>
      <c r="T7" s="3"/>
      <c r="U7" s="3"/>
      <c r="V7" s="3"/>
      <c r="W7" s="3"/>
      <c r="X7" s="3"/>
      <c r="Y7" s="2"/>
      <c r="Z7" s="3"/>
      <c r="AA7" s="3"/>
      <c r="AB7" s="3"/>
      <c r="AC7" s="3"/>
      <c r="AD7" s="3"/>
      <c r="AE7" s="3"/>
      <c r="AF7" s="3"/>
      <c r="AG7" s="3"/>
      <c r="AH7" s="2"/>
      <c r="AI7" s="3"/>
      <c r="AJ7" s="3"/>
      <c r="AK7" s="3"/>
      <c r="AL7" s="3"/>
      <c r="AM7" s="3"/>
      <c r="AN7" s="3"/>
      <c r="AO7" s="3"/>
      <c r="AP7" s="3"/>
      <c r="AQ7" s="3"/>
      <c r="AR7" s="3"/>
    </row>
    <row r="8" spans="1:44" x14ac:dyDescent="0.2">
      <c r="P8" s="2"/>
      <c r="Q8" s="3"/>
      <c r="R8" s="3"/>
      <c r="S8" s="3"/>
      <c r="T8" s="3"/>
      <c r="U8" s="3"/>
      <c r="V8" s="3"/>
      <c r="W8" s="3"/>
      <c r="X8" s="3"/>
      <c r="Y8" s="2"/>
      <c r="Z8" s="3"/>
      <c r="AA8" s="3"/>
      <c r="AB8" s="3"/>
      <c r="AC8" s="3"/>
      <c r="AD8" s="3"/>
      <c r="AE8" s="3"/>
      <c r="AF8" s="3"/>
      <c r="AG8" s="3"/>
      <c r="AH8" s="2"/>
      <c r="AI8" s="3"/>
      <c r="AJ8" s="3"/>
      <c r="AK8" s="3"/>
      <c r="AL8" s="3"/>
      <c r="AM8" s="3"/>
      <c r="AN8" s="3"/>
      <c r="AO8" s="3"/>
      <c r="AP8" s="3"/>
      <c r="AQ8" s="3"/>
      <c r="AR8" s="3"/>
    </row>
    <row r="9" spans="1:44" x14ac:dyDescent="0.2">
      <c r="B9" s="3"/>
      <c r="C9" s="3"/>
      <c r="D9" s="3"/>
      <c r="E9" s="3"/>
      <c r="F9" s="3"/>
      <c r="G9" s="3"/>
      <c r="H9" s="3"/>
      <c r="I9" s="3"/>
      <c r="J9" s="3"/>
      <c r="K9" s="3"/>
      <c r="L9" s="3"/>
      <c r="M9" s="3"/>
      <c r="N9" s="3"/>
      <c r="O9" s="3"/>
      <c r="P9" s="2"/>
      <c r="Q9" s="3"/>
      <c r="R9" s="3"/>
      <c r="S9" s="3"/>
      <c r="T9" s="3"/>
      <c r="U9" s="3"/>
      <c r="V9" s="3"/>
      <c r="W9" s="3"/>
      <c r="X9" s="3"/>
      <c r="Y9" s="2"/>
      <c r="Z9" s="3"/>
      <c r="AA9" s="3"/>
      <c r="AB9" s="3"/>
      <c r="AC9" s="3"/>
      <c r="AD9" s="3"/>
      <c r="AE9" s="3"/>
      <c r="AF9" s="3"/>
      <c r="AG9" s="3"/>
      <c r="AH9" s="2"/>
      <c r="AI9" s="3"/>
      <c r="AJ9" s="3"/>
      <c r="AK9" s="3"/>
      <c r="AL9" s="3"/>
      <c r="AM9" s="3"/>
      <c r="AN9" s="3"/>
      <c r="AO9" s="3"/>
      <c r="AP9" s="3"/>
      <c r="AQ9" s="3"/>
      <c r="AR9" s="3"/>
    </row>
    <row r="10" spans="1:44" x14ac:dyDescent="0.2">
      <c r="B10" s="3"/>
      <c r="C10" s="3"/>
      <c r="D10" s="3"/>
      <c r="E10" s="3"/>
      <c r="F10" s="3"/>
      <c r="G10" s="3"/>
      <c r="H10" s="3"/>
      <c r="I10" s="3"/>
      <c r="J10" s="3"/>
      <c r="K10" s="3"/>
      <c r="L10" s="3"/>
      <c r="M10" s="3"/>
      <c r="N10" s="3"/>
      <c r="O10" s="3"/>
      <c r="P10" s="2"/>
      <c r="Q10" s="3"/>
      <c r="R10" s="3"/>
      <c r="S10" s="3"/>
      <c r="T10" s="3"/>
      <c r="U10" s="3"/>
      <c r="V10" s="3"/>
      <c r="W10" s="3"/>
      <c r="X10" s="3"/>
      <c r="Y10" s="2"/>
      <c r="Z10" s="3"/>
      <c r="AA10" s="3"/>
      <c r="AB10" s="3"/>
      <c r="AC10" s="3"/>
      <c r="AD10" s="3"/>
      <c r="AE10" s="3"/>
      <c r="AF10" s="3"/>
      <c r="AG10" s="3"/>
      <c r="AH10" s="2"/>
      <c r="AI10" s="3"/>
      <c r="AJ10" s="3"/>
      <c r="AK10" s="3"/>
      <c r="AL10" s="3"/>
      <c r="AM10" s="3"/>
      <c r="AN10" s="3"/>
      <c r="AO10" s="3"/>
      <c r="AP10" s="3"/>
      <c r="AQ10" s="3"/>
      <c r="AR10" s="3"/>
    </row>
    <row r="11" spans="1:44" ht="18" x14ac:dyDescent="0.25">
      <c r="B11" s="3"/>
      <c r="C11" s="3"/>
      <c r="D11" s="85" t="s">
        <v>425</v>
      </c>
      <c r="E11" s="94"/>
      <c r="F11" s="95"/>
      <c r="G11" s="7"/>
      <c r="H11" s="7"/>
      <c r="I11" s="7"/>
      <c r="J11" s="7"/>
      <c r="K11" s="7"/>
      <c r="L11" s="3"/>
      <c r="M11" s="3"/>
      <c r="N11" s="3"/>
      <c r="O11" s="3"/>
      <c r="P11" s="2"/>
      <c r="Q11" s="3"/>
      <c r="R11" s="3"/>
      <c r="S11" s="3"/>
      <c r="T11" s="3"/>
      <c r="U11" s="3"/>
      <c r="V11" s="3"/>
      <c r="W11" s="3"/>
      <c r="X11" s="3"/>
      <c r="Y11" s="2"/>
      <c r="Z11" s="3"/>
      <c r="AA11" s="3"/>
      <c r="AB11" s="3"/>
      <c r="AC11" s="3"/>
      <c r="AD11" s="3"/>
      <c r="AE11" s="3"/>
      <c r="AF11" s="3"/>
      <c r="AG11" s="3"/>
      <c r="AH11" s="2"/>
      <c r="AI11" s="3"/>
      <c r="AJ11" s="3"/>
      <c r="AK11" s="3"/>
      <c r="AL11" s="3"/>
      <c r="AM11" s="3"/>
      <c r="AN11" s="3"/>
      <c r="AO11" s="3"/>
      <c r="AP11" s="3"/>
      <c r="AQ11" s="3"/>
      <c r="AR11" s="3"/>
    </row>
    <row r="12" spans="1:44" ht="14.25" x14ac:dyDescent="0.2">
      <c r="B12" s="3"/>
      <c r="C12" s="3"/>
      <c r="D12" s="3"/>
      <c r="E12" s="3"/>
      <c r="F12" s="3"/>
      <c r="G12" s="3"/>
      <c r="H12" s="7"/>
      <c r="I12" s="7"/>
      <c r="J12" s="7"/>
      <c r="K12" s="7"/>
      <c r="L12" s="3"/>
      <c r="M12" s="3"/>
      <c r="N12" s="3"/>
      <c r="O12" s="3"/>
      <c r="P12" s="2"/>
      <c r="Q12" s="3"/>
      <c r="R12" s="3"/>
      <c r="S12" s="3"/>
      <c r="T12" s="3"/>
      <c r="U12" s="3"/>
      <c r="V12" s="3"/>
      <c r="W12" s="3"/>
      <c r="X12" s="3"/>
      <c r="Y12" s="2"/>
      <c r="Z12" s="3"/>
      <c r="AA12" s="3"/>
      <c r="AB12" s="3"/>
      <c r="AC12" s="3"/>
      <c r="AD12" s="3"/>
      <c r="AE12" s="3"/>
      <c r="AF12" s="3"/>
      <c r="AG12" s="3"/>
      <c r="AH12" s="2"/>
      <c r="AI12" s="3"/>
      <c r="AJ12" s="3"/>
      <c r="AK12" s="3"/>
      <c r="AL12" s="3"/>
      <c r="AM12" s="3"/>
      <c r="AN12" s="3"/>
      <c r="AO12" s="3"/>
      <c r="AP12" s="3"/>
      <c r="AQ12" s="3"/>
      <c r="AR12" s="3"/>
    </row>
    <row r="13" spans="1:44" x14ac:dyDescent="0.2">
      <c r="B13" s="3"/>
      <c r="C13" s="3"/>
      <c r="D13" s="8"/>
      <c r="E13" s="482">
        <f>'Referenz Plattenfertiger'!D9+5</f>
        <v>5</v>
      </c>
      <c r="F13" s="482"/>
      <c r="G13" s="482"/>
      <c r="H13" s="13"/>
      <c r="I13" s="482">
        <f>E13+5</f>
        <v>10</v>
      </c>
      <c r="J13" s="482"/>
      <c r="K13" s="482"/>
      <c r="L13" s="8"/>
      <c r="M13" s="379" t="s">
        <v>255</v>
      </c>
      <c r="N13" s="3"/>
      <c r="O13" s="3"/>
      <c r="P13" s="2"/>
      <c r="Q13" s="3"/>
      <c r="R13" s="3"/>
      <c r="S13" s="3"/>
      <c r="T13" s="3"/>
      <c r="U13" s="3"/>
      <c r="V13" s="3"/>
      <c r="W13" s="3"/>
      <c r="X13" s="3"/>
      <c r="Y13" s="2"/>
      <c r="Z13" s="3"/>
      <c r="AA13" s="3"/>
      <c r="AB13" s="3"/>
      <c r="AC13" s="3"/>
      <c r="AD13" s="3"/>
      <c r="AE13" s="3"/>
      <c r="AF13" s="3"/>
      <c r="AG13" s="3"/>
      <c r="AH13" s="2"/>
      <c r="AI13" s="3"/>
      <c r="AJ13" s="3"/>
      <c r="AK13" s="3"/>
      <c r="AL13" s="3"/>
      <c r="AM13" s="3"/>
      <c r="AN13" s="3"/>
      <c r="AO13" s="3"/>
      <c r="AP13" s="3"/>
      <c r="AQ13" s="3"/>
      <c r="AR13" s="3"/>
    </row>
    <row r="14" spans="1:44" x14ac:dyDescent="0.2">
      <c r="B14" s="3"/>
      <c r="C14" s="3"/>
      <c r="D14" s="8"/>
      <c r="E14" s="101" t="s">
        <v>75</v>
      </c>
      <c r="F14" s="101"/>
      <c r="G14" s="101" t="s">
        <v>72</v>
      </c>
      <c r="H14" s="13"/>
      <c r="I14" s="101" t="s">
        <v>75</v>
      </c>
      <c r="J14" s="101"/>
      <c r="K14" s="101" t="s">
        <v>72</v>
      </c>
      <c r="L14" s="8"/>
      <c r="M14" s="486" t="s">
        <v>424</v>
      </c>
      <c r="N14" s="3"/>
      <c r="O14" s="3"/>
      <c r="P14" s="2"/>
      <c r="Q14" s="3"/>
      <c r="R14" s="3"/>
      <c r="S14" s="3"/>
      <c r="T14" s="3"/>
      <c r="U14" s="3"/>
      <c r="V14" s="3"/>
      <c r="W14" s="3"/>
      <c r="X14" s="3"/>
      <c r="Y14" s="2"/>
      <c r="Z14" s="3"/>
      <c r="AA14" s="3"/>
      <c r="AB14" s="3"/>
      <c r="AC14" s="3"/>
      <c r="AD14" s="3"/>
      <c r="AE14" s="3"/>
      <c r="AF14" s="3"/>
      <c r="AG14" s="3"/>
      <c r="AH14" s="2"/>
      <c r="AI14" s="3"/>
      <c r="AJ14" s="3"/>
      <c r="AK14" s="3"/>
      <c r="AL14" s="3"/>
      <c r="AM14" s="3"/>
      <c r="AN14" s="3"/>
      <c r="AO14" s="3"/>
      <c r="AP14" s="3"/>
      <c r="AQ14" s="3"/>
      <c r="AR14" s="3"/>
    </row>
    <row r="15" spans="1:44" x14ac:dyDescent="0.2">
      <c r="B15" s="3"/>
      <c r="C15" s="3"/>
      <c r="D15" s="3"/>
      <c r="E15" s="3"/>
      <c r="F15" s="3"/>
      <c r="G15" s="3"/>
      <c r="H15" s="3"/>
      <c r="I15" s="3"/>
      <c r="J15" s="3"/>
      <c r="K15" s="3"/>
      <c r="L15" s="3"/>
      <c r="M15" s="486"/>
      <c r="N15" s="3"/>
      <c r="O15" s="3"/>
      <c r="P15" s="2"/>
      <c r="Q15" s="3"/>
      <c r="R15" s="3"/>
      <c r="S15" s="3"/>
      <c r="T15" s="3"/>
      <c r="U15" s="3"/>
      <c r="V15" s="3"/>
      <c r="W15" s="3"/>
      <c r="X15" s="3"/>
      <c r="Y15" s="2"/>
      <c r="Z15" s="3"/>
      <c r="AA15" s="3"/>
      <c r="AB15" s="3"/>
      <c r="AC15" s="3"/>
      <c r="AD15" s="3"/>
      <c r="AE15" s="3"/>
      <c r="AF15" s="3"/>
      <c r="AG15" s="3"/>
      <c r="AH15" s="2"/>
      <c r="AI15" s="3"/>
      <c r="AJ15" s="3"/>
      <c r="AK15" s="3"/>
      <c r="AL15" s="3"/>
      <c r="AM15" s="3"/>
      <c r="AN15" s="3"/>
      <c r="AO15" s="3"/>
      <c r="AP15" s="3"/>
      <c r="AQ15" s="3"/>
      <c r="AR15" s="3"/>
    </row>
    <row r="16" spans="1:44" ht="25.5" x14ac:dyDescent="0.2">
      <c r="B16" s="3"/>
      <c r="C16" s="3"/>
      <c r="D16" s="11" t="s">
        <v>419</v>
      </c>
      <c r="E16" s="3"/>
      <c r="F16" s="3"/>
      <c r="G16" s="3"/>
      <c r="H16" s="3"/>
      <c r="I16" s="3"/>
      <c r="J16" s="3"/>
      <c r="K16" s="3"/>
      <c r="L16" s="3"/>
      <c r="M16" s="3"/>
      <c r="N16" s="3"/>
      <c r="O16" s="3"/>
      <c r="P16" s="2"/>
      <c r="Q16" s="3"/>
      <c r="R16" s="3"/>
      <c r="S16" s="3"/>
      <c r="T16" s="3"/>
      <c r="U16" s="3"/>
      <c r="V16" s="3"/>
      <c r="W16" s="3"/>
      <c r="X16" s="3"/>
      <c r="Y16" s="2"/>
      <c r="Z16" s="3"/>
      <c r="AA16" s="3"/>
      <c r="AB16" s="3"/>
      <c r="AC16" s="3"/>
      <c r="AD16" s="3"/>
      <c r="AE16" s="3"/>
      <c r="AF16" s="3"/>
      <c r="AG16" s="3"/>
      <c r="AH16" s="2"/>
      <c r="AI16" s="3"/>
      <c r="AJ16" s="3"/>
      <c r="AK16" s="3"/>
      <c r="AL16" s="3"/>
      <c r="AM16" s="3"/>
      <c r="AN16" s="3"/>
      <c r="AO16" s="3"/>
      <c r="AP16" s="3"/>
      <c r="AQ16" s="3"/>
      <c r="AR16" s="3"/>
    </row>
    <row r="17" spans="2:44" x14ac:dyDescent="0.2">
      <c r="B17" s="3"/>
      <c r="C17" s="3"/>
      <c r="D17" s="116" t="s">
        <v>164</v>
      </c>
      <c r="E17" s="79">
        <v>0</v>
      </c>
      <c r="F17" s="15" t="s">
        <v>89</v>
      </c>
      <c r="G17" s="113"/>
      <c r="H17" s="15" t="s">
        <v>89</v>
      </c>
      <c r="I17" s="79">
        <v>0</v>
      </c>
      <c r="J17" s="15" t="s">
        <v>89</v>
      </c>
      <c r="K17" s="113"/>
      <c r="L17" s="15" t="s">
        <v>89</v>
      </c>
      <c r="M17" s="113"/>
      <c r="N17" s="3"/>
      <c r="O17" s="3"/>
      <c r="P17" s="2"/>
      <c r="Q17" s="3"/>
      <c r="R17" s="3"/>
      <c r="S17" s="3"/>
      <c r="T17" s="3"/>
      <c r="U17" s="3"/>
      <c r="V17" s="3"/>
      <c r="W17" s="3"/>
      <c r="X17" s="3"/>
      <c r="Y17" s="2"/>
      <c r="Z17" s="3"/>
      <c r="AA17" s="3"/>
      <c r="AB17" s="3"/>
      <c r="AC17" s="3"/>
      <c r="AD17" s="3"/>
      <c r="AE17" s="3"/>
      <c r="AF17" s="3"/>
      <c r="AG17" s="3"/>
      <c r="AH17" s="2"/>
      <c r="AI17" s="3"/>
      <c r="AJ17" s="3"/>
      <c r="AK17" s="3"/>
      <c r="AL17" s="3"/>
      <c r="AM17" s="3"/>
      <c r="AN17" s="3"/>
      <c r="AO17" s="3"/>
      <c r="AP17" s="3"/>
      <c r="AQ17" s="3"/>
      <c r="AR17" s="3"/>
    </row>
    <row r="18" spans="2:44" x14ac:dyDescent="0.2">
      <c r="B18" s="3"/>
      <c r="C18" s="3"/>
      <c r="D18" s="116" t="s">
        <v>165</v>
      </c>
      <c r="E18" s="79">
        <v>0</v>
      </c>
      <c r="F18" s="15" t="s">
        <v>89</v>
      </c>
      <c r="G18" s="113"/>
      <c r="H18" s="15" t="s">
        <v>89</v>
      </c>
      <c r="I18" s="79">
        <v>5</v>
      </c>
      <c r="J18" s="15" t="s">
        <v>89</v>
      </c>
      <c r="K18" s="113"/>
      <c r="L18" s="15" t="s">
        <v>89</v>
      </c>
      <c r="M18" s="113"/>
      <c r="N18" s="3"/>
      <c r="O18" s="3"/>
      <c r="P18" s="2"/>
      <c r="Q18" s="3"/>
      <c r="R18" s="3"/>
      <c r="S18" s="3"/>
      <c r="T18" s="3"/>
      <c r="U18" s="3"/>
      <c r="V18" s="3"/>
      <c r="W18" s="3"/>
      <c r="X18" s="3"/>
      <c r="Y18" s="2"/>
      <c r="Z18" s="3"/>
      <c r="AA18" s="3"/>
      <c r="AB18" s="3"/>
      <c r="AC18" s="3"/>
      <c r="AD18" s="3"/>
      <c r="AE18" s="3"/>
      <c r="AF18" s="3"/>
      <c r="AG18" s="3"/>
      <c r="AH18" s="2"/>
      <c r="AI18" s="3"/>
      <c r="AJ18" s="3"/>
      <c r="AK18" s="3"/>
      <c r="AL18" s="3"/>
      <c r="AM18" s="3"/>
      <c r="AN18" s="3"/>
      <c r="AO18" s="3"/>
      <c r="AP18" s="3"/>
      <c r="AQ18" s="3"/>
      <c r="AR18" s="3"/>
    </row>
    <row r="19" spans="2:44" x14ac:dyDescent="0.2">
      <c r="B19" s="3"/>
      <c r="C19" s="3"/>
      <c r="D19" s="116" t="s">
        <v>166</v>
      </c>
      <c r="E19" s="79">
        <v>0</v>
      </c>
      <c r="F19" s="15" t="s">
        <v>89</v>
      </c>
      <c r="G19" s="113"/>
      <c r="H19" s="15" t="s">
        <v>89</v>
      </c>
      <c r="I19" s="79">
        <v>0</v>
      </c>
      <c r="J19" s="15" t="s">
        <v>89</v>
      </c>
      <c r="K19" s="113"/>
      <c r="L19" s="15" t="s">
        <v>89</v>
      </c>
      <c r="M19" s="113"/>
      <c r="N19" s="3"/>
      <c r="O19" s="3"/>
      <c r="P19" s="2"/>
      <c r="Q19" s="3"/>
      <c r="R19" s="3"/>
      <c r="S19" s="3"/>
      <c r="T19" s="3"/>
      <c r="U19" s="3"/>
      <c r="V19" s="3"/>
      <c r="W19" s="3"/>
      <c r="X19" s="3"/>
      <c r="Y19" s="2"/>
      <c r="Z19" s="3"/>
      <c r="AA19" s="3"/>
      <c r="AB19" s="3"/>
      <c r="AC19" s="3"/>
      <c r="AD19" s="3"/>
      <c r="AE19" s="3"/>
      <c r="AF19" s="3"/>
      <c r="AG19" s="3"/>
      <c r="AH19" s="2"/>
      <c r="AI19" s="3"/>
      <c r="AJ19" s="3"/>
      <c r="AK19" s="3"/>
      <c r="AL19" s="3"/>
      <c r="AM19" s="3"/>
      <c r="AN19" s="3"/>
      <c r="AO19" s="3"/>
      <c r="AP19" s="3"/>
      <c r="AQ19" s="3"/>
      <c r="AR19" s="3"/>
    </row>
    <row r="20" spans="2:44" ht="14.25" x14ac:dyDescent="0.2">
      <c r="B20" s="3"/>
      <c r="C20" s="458" t="s">
        <v>280</v>
      </c>
      <c r="D20" s="116" t="str">
        <f>'Referenz Plattenfertiger'!D45</f>
        <v>Weiterer Zuschlagstoff 1</v>
      </c>
      <c r="E20" s="79">
        <v>0</v>
      </c>
      <c r="F20" s="15" t="s">
        <v>89</v>
      </c>
      <c r="G20" s="113"/>
      <c r="H20" s="15" t="s">
        <v>89</v>
      </c>
      <c r="I20" s="79">
        <v>0</v>
      </c>
      <c r="J20" s="15" t="s">
        <v>89</v>
      </c>
      <c r="K20" s="113"/>
      <c r="L20" s="15" t="s">
        <v>89</v>
      </c>
      <c r="M20" s="113"/>
      <c r="N20" s="3"/>
      <c r="O20" s="3"/>
      <c r="P20" s="2"/>
      <c r="Q20" s="3"/>
      <c r="R20" s="3"/>
      <c r="S20" s="3"/>
      <c r="T20" s="3"/>
      <c r="U20" s="3"/>
      <c r="V20" s="3"/>
      <c r="W20" s="3"/>
      <c r="X20" s="3"/>
      <c r="Y20" s="2"/>
      <c r="Z20" s="3"/>
      <c r="AA20" s="3"/>
      <c r="AB20" s="3"/>
      <c r="AC20" s="3"/>
      <c r="AD20" s="3"/>
      <c r="AE20" s="3"/>
      <c r="AF20" s="3"/>
      <c r="AG20" s="3"/>
      <c r="AH20" s="2"/>
      <c r="AI20" s="3"/>
      <c r="AJ20" s="3"/>
      <c r="AK20" s="3"/>
      <c r="AL20" s="3"/>
      <c r="AM20" s="3"/>
      <c r="AN20" s="3"/>
      <c r="AO20" s="3"/>
      <c r="AP20" s="3"/>
      <c r="AQ20" s="3"/>
      <c r="AR20" s="3"/>
    </row>
    <row r="21" spans="2:44" ht="14.25" x14ac:dyDescent="0.2">
      <c r="B21" s="3"/>
      <c r="C21" s="458" t="s">
        <v>280</v>
      </c>
      <c r="D21" s="116" t="str">
        <f>'Referenz Plattenfertiger'!D46</f>
        <v>Weiterer Zuschlagstoff 2</v>
      </c>
      <c r="E21" s="79">
        <v>0</v>
      </c>
      <c r="F21" s="15" t="s">
        <v>89</v>
      </c>
      <c r="G21" s="113"/>
      <c r="H21" s="15" t="s">
        <v>89</v>
      </c>
      <c r="I21" s="79">
        <v>0</v>
      </c>
      <c r="J21" s="15" t="s">
        <v>89</v>
      </c>
      <c r="K21" s="113"/>
      <c r="L21" s="15" t="s">
        <v>89</v>
      </c>
      <c r="M21" s="113"/>
      <c r="N21" s="3"/>
      <c r="O21" s="3"/>
      <c r="P21" s="2"/>
      <c r="Q21" s="3"/>
      <c r="R21" s="3"/>
      <c r="S21" s="3"/>
      <c r="T21" s="3"/>
      <c r="U21" s="3"/>
      <c r="V21" s="3"/>
      <c r="W21" s="3"/>
      <c r="X21" s="3"/>
      <c r="Y21" s="2"/>
      <c r="Z21" s="3"/>
      <c r="AA21" s="3"/>
      <c r="AB21" s="3"/>
      <c r="AC21" s="3"/>
      <c r="AD21" s="3"/>
      <c r="AE21" s="3"/>
      <c r="AF21" s="3"/>
      <c r="AG21" s="3"/>
      <c r="AH21" s="2"/>
      <c r="AI21" s="3"/>
      <c r="AJ21" s="3"/>
      <c r="AK21" s="3"/>
      <c r="AL21" s="3"/>
      <c r="AM21" s="3"/>
      <c r="AN21" s="3"/>
      <c r="AO21" s="3"/>
      <c r="AP21" s="3"/>
      <c r="AQ21" s="3"/>
      <c r="AR21" s="3"/>
    </row>
    <row r="22" spans="2:44" x14ac:dyDescent="0.2">
      <c r="B22" s="3"/>
      <c r="C22" s="3"/>
      <c r="D22" s="116"/>
      <c r="E22" s="79"/>
      <c r="F22" s="79"/>
      <c r="G22" s="79"/>
      <c r="H22" s="79"/>
      <c r="I22" s="79"/>
      <c r="J22" s="79"/>
      <c r="K22" s="79"/>
      <c r="L22" s="15"/>
      <c r="M22" s="3"/>
      <c r="N22" s="3"/>
      <c r="O22" s="3"/>
      <c r="P22" s="2"/>
      <c r="Q22" s="3"/>
      <c r="R22" s="3"/>
      <c r="S22" s="3"/>
      <c r="T22" s="3"/>
      <c r="U22" s="3"/>
      <c r="V22" s="3"/>
      <c r="W22" s="3"/>
      <c r="X22" s="3"/>
      <c r="Y22" s="2"/>
      <c r="Z22" s="3"/>
      <c r="AA22" s="3"/>
      <c r="AB22" s="3"/>
      <c r="AC22" s="3"/>
      <c r="AD22" s="3"/>
      <c r="AE22" s="3"/>
      <c r="AF22" s="3"/>
      <c r="AG22" s="3"/>
      <c r="AH22" s="2"/>
      <c r="AI22" s="3"/>
      <c r="AJ22" s="3"/>
      <c r="AK22" s="3"/>
      <c r="AL22" s="3"/>
      <c r="AM22" s="3"/>
      <c r="AN22" s="3"/>
      <c r="AO22" s="3"/>
      <c r="AP22" s="3"/>
      <c r="AQ22" s="3"/>
      <c r="AR22" s="3"/>
    </row>
    <row r="23" spans="2:44" ht="14.25" x14ac:dyDescent="0.2">
      <c r="B23" s="3"/>
      <c r="C23" s="3"/>
      <c r="D23" s="8" t="s">
        <v>516</v>
      </c>
      <c r="E23" s="79"/>
      <c r="F23" s="15"/>
      <c r="G23" s="15"/>
      <c r="H23" s="15"/>
      <c r="I23" s="15"/>
      <c r="J23" s="15"/>
      <c r="K23" s="15"/>
      <c r="L23" s="15"/>
      <c r="M23" s="3"/>
      <c r="N23" s="3"/>
      <c r="O23" s="3"/>
      <c r="P23" s="2"/>
      <c r="Q23" s="3"/>
      <c r="R23" s="3"/>
      <c r="S23" s="3"/>
      <c r="T23" s="3"/>
      <c r="U23" s="3"/>
      <c r="V23" s="3"/>
      <c r="W23" s="3"/>
      <c r="X23" s="3"/>
      <c r="Y23" s="2"/>
      <c r="Z23" s="3"/>
      <c r="AA23" s="3"/>
      <c r="AB23" s="3"/>
      <c r="AC23" s="3"/>
      <c r="AD23" s="3"/>
      <c r="AE23" s="3"/>
      <c r="AF23" s="3"/>
      <c r="AG23" s="3"/>
      <c r="AH23" s="2"/>
      <c r="AI23" s="3"/>
      <c r="AJ23" s="3"/>
      <c r="AK23" s="3"/>
      <c r="AL23" s="3"/>
      <c r="AM23" s="3"/>
      <c r="AN23" s="3"/>
      <c r="AO23" s="3"/>
      <c r="AP23" s="3"/>
      <c r="AQ23" s="3"/>
      <c r="AR23" s="3"/>
    </row>
    <row r="24" spans="2:44" x14ac:dyDescent="0.2">
      <c r="B24" s="3"/>
      <c r="C24" s="3"/>
      <c r="D24" s="116" t="s">
        <v>253</v>
      </c>
      <c r="E24" s="79">
        <v>0</v>
      </c>
      <c r="F24" s="15" t="s">
        <v>46</v>
      </c>
      <c r="G24" s="272"/>
      <c r="H24" s="15" t="s">
        <v>46</v>
      </c>
      <c r="I24" s="79">
        <v>0</v>
      </c>
      <c r="J24" s="15" t="s">
        <v>46</v>
      </c>
      <c r="K24" s="272"/>
      <c r="L24" s="15" t="s">
        <v>46</v>
      </c>
      <c r="M24" s="113"/>
      <c r="N24" s="3"/>
      <c r="O24" s="3"/>
      <c r="P24" s="2"/>
      <c r="Q24" s="3"/>
      <c r="R24" s="3"/>
      <c r="S24" s="3"/>
      <c r="T24" s="3"/>
      <c r="U24" s="3"/>
      <c r="V24" s="3"/>
      <c r="W24" s="3"/>
      <c r="X24" s="3"/>
      <c r="Y24" s="2"/>
      <c r="Z24" s="3"/>
      <c r="AA24" s="3"/>
      <c r="AB24" s="3"/>
      <c r="AC24" s="3"/>
      <c r="AD24" s="3"/>
      <c r="AE24" s="3"/>
      <c r="AF24" s="3"/>
      <c r="AG24" s="3"/>
      <c r="AH24" s="2"/>
      <c r="AI24" s="3"/>
      <c r="AJ24" s="3"/>
      <c r="AK24" s="3"/>
      <c r="AL24" s="3"/>
      <c r="AM24" s="3"/>
      <c r="AN24" s="3"/>
      <c r="AO24" s="3"/>
      <c r="AP24" s="3"/>
      <c r="AQ24" s="3"/>
      <c r="AR24" s="3"/>
    </row>
    <row r="25" spans="2:44" x14ac:dyDescent="0.2">
      <c r="B25" s="3"/>
      <c r="C25" s="3"/>
      <c r="D25" s="116" t="s">
        <v>254</v>
      </c>
      <c r="E25" s="79">
        <v>0</v>
      </c>
      <c r="F25" s="15" t="s">
        <v>46</v>
      </c>
      <c r="G25" s="272"/>
      <c r="H25" s="15" t="s">
        <v>46</v>
      </c>
      <c r="I25" s="79">
        <v>0</v>
      </c>
      <c r="J25" s="15" t="s">
        <v>46</v>
      </c>
      <c r="K25" s="272"/>
      <c r="L25" s="15" t="s">
        <v>46</v>
      </c>
      <c r="M25" s="113"/>
      <c r="N25" s="3"/>
      <c r="O25" s="3"/>
      <c r="P25" s="2"/>
      <c r="Q25" s="3"/>
      <c r="R25" s="3"/>
      <c r="S25" s="3"/>
      <c r="T25" s="3"/>
      <c r="U25" s="3"/>
      <c r="V25" s="3"/>
      <c r="W25" s="3"/>
      <c r="X25" s="3"/>
      <c r="Y25" s="2"/>
      <c r="Z25" s="3"/>
      <c r="AA25" s="3"/>
      <c r="AB25" s="3"/>
      <c r="AC25" s="3"/>
      <c r="AD25" s="3"/>
      <c r="AE25" s="3"/>
      <c r="AF25" s="3"/>
      <c r="AG25" s="3"/>
      <c r="AH25" s="2"/>
      <c r="AI25" s="3"/>
      <c r="AJ25" s="3"/>
      <c r="AK25" s="3"/>
      <c r="AL25" s="3"/>
      <c r="AM25" s="3"/>
      <c r="AN25" s="3"/>
      <c r="AO25" s="3"/>
      <c r="AP25" s="3"/>
      <c r="AQ25" s="3"/>
      <c r="AR25" s="3"/>
    </row>
    <row r="26" spans="2:44" ht="14.25" x14ac:dyDescent="0.2">
      <c r="B26" s="3"/>
      <c r="C26" s="3"/>
      <c r="D26" s="116" t="s">
        <v>517</v>
      </c>
      <c r="E26" s="79">
        <v>0</v>
      </c>
      <c r="F26" s="79" t="s">
        <v>46</v>
      </c>
      <c r="G26" s="272"/>
      <c r="H26" s="15" t="s">
        <v>46</v>
      </c>
      <c r="I26" s="79">
        <v>0</v>
      </c>
      <c r="J26" s="15" t="s">
        <v>46</v>
      </c>
      <c r="K26" s="272"/>
      <c r="L26" s="15" t="s">
        <v>46</v>
      </c>
      <c r="M26" s="113"/>
      <c r="N26" s="3"/>
      <c r="O26" s="3"/>
      <c r="P26" s="2"/>
      <c r="Q26" s="3"/>
      <c r="R26" s="3"/>
      <c r="S26" s="3"/>
      <c r="T26" s="3"/>
      <c r="U26" s="3"/>
      <c r="V26" s="3"/>
      <c r="W26" s="3"/>
      <c r="X26" s="3"/>
      <c r="Y26" s="2"/>
      <c r="Z26" s="3"/>
      <c r="AA26" s="3"/>
      <c r="AB26" s="3"/>
      <c r="AC26" s="3"/>
      <c r="AD26" s="3"/>
      <c r="AE26" s="3"/>
      <c r="AF26" s="3"/>
      <c r="AG26" s="3"/>
      <c r="AH26" s="2"/>
      <c r="AI26" s="3"/>
      <c r="AJ26" s="3"/>
      <c r="AK26" s="3"/>
      <c r="AL26" s="3"/>
      <c r="AM26" s="3"/>
      <c r="AN26" s="3"/>
      <c r="AO26" s="3"/>
      <c r="AP26" s="3"/>
      <c r="AQ26" s="3"/>
      <c r="AR26" s="3"/>
    </row>
    <row r="27" spans="2:44" x14ac:dyDescent="0.2">
      <c r="B27" s="3"/>
      <c r="C27" s="3"/>
      <c r="D27" s="3"/>
      <c r="E27" s="3"/>
      <c r="F27" s="3"/>
      <c r="G27" s="3"/>
      <c r="H27" s="3"/>
      <c r="I27" s="3"/>
      <c r="J27" s="3"/>
      <c r="K27" s="3"/>
      <c r="L27" s="3"/>
      <c r="M27" s="3"/>
      <c r="N27" s="3"/>
      <c r="O27" s="3"/>
      <c r="P27" s="2"/>
      <c r="Q27" s="3"/>
      <c r="R27" s="3"/>
      <c r="S27" s="3"/>
      <c r="T27" s="3"/>
      <c r="U27" s="3"/>
      <c r="V27" s="3"/>
      <c r="W27" s="3"/>
      <c r="X27" s="3"/>
      <c r="Y27" s="2"/>
      <c r="Z27" s="3"/>
      <c r="AA27" s="3"/>
      <c r="AB27" s="3"/>
      <c r="AC27" s="3"/>
      <c r="AD27" s="3"/>
      <c r="AE27" s="3"/>
      <c r="AF27" s="3"/>
      <c r="AG27" s="3"/>
      <c r="AH27" s="2"/>
      <c r="AI27" s="3"/>
      <c r="AJ27" s="3"/>
      <c r="AK27" s="3"/>
      <c r="AL27" s="3"/>
      <c r="AM27" s="3"/>
      <c r="AN27" s="3"/>
      <c r="AO27" s="3"/>
      <c r="AP27" s="3"/>
      <c r="AQ27" s="3"/>
      <c r="AR27" s="3"/>
    </row>
    <row r="28" spans="2:44" ht="15.75" x14ac:dyDescent="0.2">
      <c r="B28" s="3"/>
      <c r="C28" s="3"/>
      <c r="D28" s="116" t="s">
        <v>244</v>
      </c>
      <c r="E28" s="289" t="s">
        <v>107</v>
      </c>
      <c r="F28" s="15"/>
      <c r="G28" s="292"/>
      <c r="H28" s="15" t="s">
        <v>289</v>
      </c>
      <c r="I28" s="289" t="s">
        <v>107</v>
      </c>
      <c r="J28" s="15"/>
      <c r="K28" s="292"/>
      <c r="L28" s="15" t="s">
        <v>289</v>
      </c>
      <c r="M28" s="113"/>
      <c r="N28" s="3"/>
      <c r="O28" s="3"/>
      <c r="P28" s="2"/>
      <c r="Q28" s="3"/>
      <c r="R28" s="3"/>
      <c r="S28" s="3"/>
      <c r="T28" s="3"/>
      <c r="U28" s="3"/>
      <c r="V28" s="3"/>
      <c r="W28" s="3"/>
      <c r="X28" s="3"/>
      <c r="Y28" s="2"/>
      <c r="Z28" s="3"/>
      <c r="AA28" s="3"/>
      <c r="AB28" s="3"/>
      <c r="AC28" s="3"/>
      <c r="AD28" s="3"/>
      <c r="AE28" s="3"/>
      <c r="AF28" s="3"/>
      <c r="AG28" s="3"/>
      <c r="AH28" s="2"/>
      <c r="AI28" s="3"/>
      <c r="AJ28" s="3"/>
      <c r="AK28" s="3"/>
      <c r="AL28" s="3"/>
      <c r="AM28" s="3"/>
      <c r="AN28" s="3"/>
      <c r="AO28" s="3"/>
      <c r="AP28" s="3"/>
      <c r="AQ28" s="3"/>
      <c r="AR28" s="3"/>
    </row>
    <row r="29" spans="2:44" ht="15.75" x14ac:dyDescent="0.2">
      <c r="B29" s="3"/>
      <c r="C29" s="3"/>
      <c r="D29" s="116" t="s">
        <v>245</v>
      </c>
      <c r="E29" s="289" t="s">
        <v>107</v>
      </c>
      <c r="F29" s="15"/>
      <c r="G29" s="292"/>
      <c r="H29" s="15" t="s">
        <v>289</v>
      </c>
      <c r="I29" s="289" t="s">
        <v>107</v>
      </c>
      <c r="J29" s="15"/>
      <c r="K29" s="292"/>
      <c r="L29" s="15" t="s">
        <v>289</v>
      </c>
      <c r="M29" s="113"/>
      <c r="N29" s="3"/>
      <c r="O29" s="3"/>
      <c r="P29" s="2"/>
      <c r="Q29" s="3"/>
      <c r="R29" s="3"/>
      <c r="S29" s="3"/>
      <c r="T29" s="3"/>
      <c r="U29" s="3"/>
      <c r="V29" s="3"/>
      <c r="W29" s="3"/>
      <c r="X29" s="3"/>
      <c r="Y29" s="2"/>
      <c r="Z29" s="3"/>
      <c r="AA29" s="3"/>
      <c r="AB29" s="3"/>
      <c r="AC29" s="3"/>
      <c r="AD29" s="3"/>
      <c r="AE29" s="3"/>
      <c r="AF29" s="3"/>
      <c r="AG29" s="3"/>
      <c r="AH29" s="2"/>
      <c r="AI29" s="3"/>
      <c r="AJ29" s="3"/>
      <c r="AK29" s="3"/>
      <c r="AL29" s="3"/>
      <c r="AM29" s="3"/>
      <c r="AN29" s="3"/>
      <c r="AO29" s="3"/>
      <c r="AP29" s="3"/>
      <c r="AQ29" s="3"/>
      <c r="AR29" s="3"/>
    </row>
    <row r="30" spans="2:44" ht="15.75" x14ac:dyDescent="0.2">
      <c r="B30" s="3"/>
      <c r="C30" s="3"/>
      <c r="D30" s="116" t="s">
        <v>411</v>
      </c>
      <c r="E30" s="294">
        <v>3.1900000000000001E-3</v>
      </c>
      <c r="F30" s="15" t="s">
        <v>297</v>
      </c>
      <c r="G30" s="292"/>
      <c r="H30" s="15" t="s">
        <v>297</v>
      </c>
      <c r="I30" s="294">
        <v>3.1900000000000001E-3</v>
      </c>
      <c r="J30" s="15" t="s">
        <v>297</v>
      </c>
      <c r="K30" s="292"/>
      <c r="L30" s="15" t="s">
        <v>297</v>
      </c>
      <c r="M30" s="113"/>
      <c r="N30" s="3"/>
      <c r="O30" s="3"/>
      <c r="P30" s="2"/>
      <c r="Q30" s="3"/>
      <c r="R30" s="3"/>
      <c r="S30" s="3"/>
      <c r="T30" s="3"/>
      <c r="U30" s="3"/>
      <c r="V30" s="3"/>
      <c r="W30" s="3"/>
      <c r="X30" s="3"/>
      <c r="Y30" s="2"/>
      <c r="Z30" s="3"/>
      <c r="AA30" s="3"/>
      <c r="AB30" s="3"/>
      <c r="AC30" s="3"/>
      <c r="AD30" s="3"/>
      <c r="AE30" s="3"/>
      <c r="AF30" s="3"/>
      <c r="AG30" s="3"/>
      <c r="AH30" s="2"/>
      <c r="AI30" s="3"/>
      <c r="AJ30" s="3"/>
      <c r="AK30" s="3"/>
      <c r="AL30" s="3"/>
      <c r="AM30" s="3"/>
      <c r="AN30" s="3"/>
      <c r="AO30" s="3"/>
      <c r="AP30" s="3"/>
      <c r="AQ30" s="3"/>
      <c r="AR30" s="3"/>
    </row>
    <row r="31" spans="2:44" x14ac:dyDescent="0.2">
      <c r="B31" s="3"/>
      <c r="C31" s="3"/>
      <c r="D31" s="11"/>
      <c r="E31" s="79"/>
      <c r="F31" s="79"/>
      <c r="G31" s="79"/>
      <c r="H31" s="79"/>
      <c r="I31" s="79"/>
      <c r="J31" s="79"/>
      <c r="K31" s="79"/>
      <c r="L31" s="15"/>
      <c r="M31" s="3"/>
      <c r="N31" s="3"/>
      <c r="O31" s="3"/>
      <c r="P31" s="2"/>
      <c r="Q31" s="3"/>
      <c r="R31" s="3"/>
      <c r="S31" s="3"/>
      <c r="T31" s="3"/>
      <c r="U31" s="3"/>
      <c r="V31" s="3"/>
      <c r="W31" s="3"/>
      <c r="X31" s="3"/>
      <c r="Y31" s="2"/>
      <c r="Z31" s="3"/>
      <c r="AA31" s="3"/>
      <c r="AB31" s="3"/>
      <c r="AC31" s="3"/>
      <c r="AD31" s="3"/>
      <c r="AE31" s="3"/>
      <c r="AF31" s="3"/>
      <c r="AG31" s="3"/>
      <c r="AH31" s="2"/>
      <c r="AI31" s="3"/>
      <c r="AJ31" s="3"/>
      <c r="AK31" s="3"/>
      <c r="AL31" s="3"/>
      <c r="AM31" s="3"/>
      <c r="AN31" s="3"/>
      <c r="AO31" s="3"/>
      <c r="AP31" s="3"/>
      <c r="AQ31" s="3"/>
      <c r="AR31" s="3"/>
    </row>
    <row r="32" spans="2:44" x14ac:dyDescent="0.2">
      <c r="B32" s="3"/>
      <c r="C32" s="8"/>
      <c r="D32" s="8"/>
      <c r="E32" s="80"/>
      <c r="F32" s="15"/>
      <c r="G32" s="15"/>
      <c r="H32" s="15"/>
      <c r="I32" s="80"/>
      <c r="J32" s="15"/>
      <c r="K32" s="15"/>
      <c r="L32" s="3"/>
      <c r="M32" s="3"/>
      <c r="N32" s="3"/>
      <c r="O32" s="3"/>
      <c r="P32" s="2"/>
      <c r="Q32" s="3"/>
      <c r="R32" s="3"/>
      <c r="S32" s="3"/>
      <c r="T32" s="3"/>
      <c r="U32" s="3"/>
      <c r="V32" s="3"/>
      <c r="W32" s="3"/>
      <c r="X32" s="3"/>
      <c r="Y32" s="2"/>
      <c r="Z32" s="3"/>
      <c r="AA32" s="3"/>
      <c r="AB32" s="3"/>
      <c r="AC32" s="3"/>
      <c r="AD32" s="3"/>
      <c r="AE32" s="3"/>
      <c r="AF32" s="3"/>
      <c r="AG32" s="3"/>
      <c r="AH32" s="2"/>
      <c r="AI32" s="3"/>
      <c r="AJ32" s="3"/>
      <c r="AK32" s="3"/>
      <c r="AL32" s="3"/>
      <c r="AM32" s="3"/>
      <c r="AN32" s="3"/>
      <c r="AO32" s="3"/>
      <c r="AP32" s="3"/>
      <c r="AQ32" s="3"/>
      <c r="AR32" s="3"/>
    </row>
    <row r="33" spans="2:44" ht="14.25" x14ac:dyDescent="0.2">
      <c r="B33" s="3"/>
      <c r="C33" s="3"/>
      <c r="D33" s="12" t="s">
        <v>513</v>
      </c>
      <c r="E33" s="293">
        <v>0</v>
      </c>
      <c r="F33" s="15" t="s">
        <v>95</v>
      </c>
      <c r="G33" s="272"/>
      <c r="H33" s="15" t="s">
        <v>95</v>
      </c>
      <c r="I33" s="293">
        <v>0</v>
      </c>
      <c r="J33" s="15" t="s">
        <v>95</v>
      </c>
      <c r="K33" s="272"/>
      <c r="L33" s="3" t="s">
        <v>95</v>
      </c>
      <c r="M33" s="3"/>
      <c r="N33" s="3"/>
      <c r="O33" s="3"/>
      <c r="P33" s="2"/>
      <c r="Q33" s="3"/>
      <c r="R33" s="3"/>
      <c r="S33" s="3"/>
      <c r="T33" s="3"/>
      <c r="U33" s="3"/>
      <c r="V33" s="3"/>
      <c r="W33" s="3"/>
      <c r="X33" s="3"/>
      <c r="Y33" s="2"/>
      <c r="Z33" s="3"/>
      <c r="AA33" s="3"/>
      <c r="AB33" s="3"/>
      <c r="AC33" s="3"/>
      <c r="AD33" s="3"/>
      <c r="AE33" s="3"/>
      <c r="AF33" s="3"/>
      <c r="AG33" s="3"/>
      <c r="AH33" s="2"/>
      <c r="AI33" s="3"/>
      <c r="AJ33" s="3"/>
      <c r="AK33" s="3"/>
      <c r="AL33" s="3"/>
      <c r="AM33" s="3"/>
      <c r="AN33" s="3"/>
      <c r="AO33" s="3"/>
      <c r="AP33" s="3"/>
      <c r="AQ33" s="3"/>
      <c r="AR33" s="3"/>
    </row>
    <row r="34" spans="2:44" ht="14.25" x14ac:dyDescent="0.2">
      <c r="B34" s="3"/>
      <c r="C34" s="3"/>
      <c r="D34" s="78" t="s">
        <v>514</v>
      </c>
      <c r="E34" s="79">
        <v>0</v>
      </c>
      <c r="F34" s="15" t="s">
        <v>96</v>
      </c>
      <c r="G34" s="272"/>
      <c r="H34" s="15" t="s">
        <v>96</v>
      </c>
      <c r="I34" s="79">
        <v>0</v>
      </c>
      <c r="J34" s="15" t="s">
        <v>96</v>
      </c>
      <c r="K34" s="272"/>
      <c r="L34" s="3" t="s">
        <v>96</v>
      </c>
      <c r="M34" s="3"/>
      <c r="N34" s="3"/>
      <c r="O34" s="3"/>
      <c r="P34" s="2"/>
      <c r="Q34" s="3"/>
      <c r="R34" s="3"/>
      <c r="S34" s="3"/>
      <c r="T34" s="3"/>
      <c r="U34" s="3"/>
      <c r="V34" s="3"/>
      <c r="W34" s="3"/>
      <c r="X34" s="3"/>
      <c r="Y34" s="2"/>
      <c r="Z34" s="3"/>
      <c r="AA34" s="3"/>
      <c r="AB34" s="3"/>
      <c r="AC34" s="3"/>
      <c r="AD34" s="3"/>
      <c r="AE34" s="3"/>
      <c r="AF34" s="3"/>
      <c r="AG34" s="3"/>
      <c r="AH34" s="2"/>
      <c r="AI34" s="3"/>
      <c r="AJ34" s="3"/>
      <c r="AK34" s="3"/>
      <c r="AL34" s="3"/>
      <c r="AM34" s="3"/>
      <c r="AN34" s="3"/>
      <c r="AO34" s="3"/>
      <c r="AP34" s="3"/>
      <c r="AQ34" s="3"/>
      <c r="AR34" s="3"/>
    </row>
    <row r="35" spans="2:44" ht="14.25" x14ac:dyDescent="0.2">
      <c r="B35" s="3"/>
      <c r="C35" s="3"/>
      <c r="D35" s="78" t="s">
        <v>515</v>
      </c>
      <c r="E35" s="79">
        <v>0</v>
      </c>
      <c r="F35" s="15" t="s">
        <v>95</v>
      </c>
      <c r="G35" s="272"/>
      <c r="H35" s="15" t="s">
        <v>95</v>
      </c>
      <c r="I35" s="79">
        <v>0</v>
      </c>
      <c r="J35" s="15" t="s">
        <v>95</v>
      </c>
      <c r="K35" s="272"/>
      <c r="L35" s="3" t="s">
        <v>95</v>
      </c>
      <c r="M35" s="3"/>
      <c r="N35" s="3"/>
      <c r="O35" s="3"/>
      <c r="P35" s="2"/>
      <c r="Q35" s="3"/>
      <c r="R35" s="3"/>
      <c r="S35" s="3"/>
      <c r="T35" s="3"/>
      <c r="U35" s="3"/>
      <c r="V35" s="3"/>
      <c r="W35" s="3"/>
      <c r="X35" s="3"/>
      <c r="Y35" s="2"/>
      <c r="Z35" s="3"/>
      <c r="AA35" s="3"/>
      <c r="AB35" s="3"/>
      <c r="AC35" s="3"/>
      <c r="AD35" s="3"/>
      <c r="AE35" s="3"/>
      <c r="AF35" s="3"/>
      <c r="AG35" s="3"/>
      <c r="AH35" s="2"/>
      <c r="AI35" s="3"/>
      <c r="AJ35" s="3"/>
      <c r="AK35" s="3"/>
      <c r="AL35" s="3"/>
      <c r="AM35" s="3"/>
      <c r="AN35" s="3"/>
      <c r="AO35" s="3"/>
      <c r="AP35" s="3"/>
      <c r="AQ35" s="3"/>
      <c r="AR35" s="3"/>
    </row>
    <row r="36" spans="2:44" x14ac:dyDescent="0.2">
      <c r="B36" s="3"/>
      <c r="C36" s="3"/>
      <c r="D36" s="78"/>
      <c r="E36" s="78"/>
      <c r="F36" s="78"/>
      <c r="G36" s="78"/>
      <c r="H36" s="78"/>
      <c r="I36" s="78"/>
      <c r="J36" s="78"/>
      <c r="K36" s="78"/>
      <c r="L36" s="78"/>
      <c r="M36" s="3"/>
      <c r="N36" s="3"/>
      <c r="O36" s="3"/>
      <c r="P36" s="2"/>
      <c r="Q36" s="3"/>
      <c r="R36" s="3"/>
      <c r="S36" s="3"/>
      <c r="T36" s="3"/>
      <c r="U36" s="3"/>
      <c r="V36" s="3"/>
      <c r="W36" s="3"/>
      <c r="X36" s="3"/>
      <c r="Y36" s="2"/>
      <c r="Z36" s="3"/>
      <c r="AA36" s="3"/>
      <c r="AB36" s="3"/>
      <c r="AC36" s="3"/>
      <c r="AD36" s="3"/>
      <c r="AE36" s="3"/>
      <c r="AF36" s="3"/>
      <c r="AG36" s="3"/>
      <c r="AH36" s="2"/>
      <c r="AI36" s="3"/>
      <c r="AJ36" s="3"/>
      <c r="AK36" s="3"/>
      <c r="AL36" s="3"/>
      <c r="AM36" s="3"/>
      <c r="AN36" s="3"/>
      <c r="AO36" s="3"/>
      <c r="AP36" s="3"/>
      <c r="AQ36" s="3"/>
      <c r="AR36" s="3"/>
    </row>
    <row r="37" spans="2:44" x14ac:dyDescent="0.2">
      <c r="B37" s="3"/>
      <c r="C37" s="3"/>
      <c r="D37" s="78"/>
      <c r="E37" s="15"/>
      <c r="F37" s="15"/>
      <c r="G37" s="15"/>
      <c r="H37" s="15"/>
      <c r="I37" s="15"/>
      <c r="J37" s="15"/>
      <c r="K37" s="15"/>
      <c r="L37" s="15"/>
      <c r="M37" s="3"/>
      <c r="N37" s="3"/>
      <c r="O37" s="3"/>
      <c r="P37" s="2"/>
      <c r="Q37" s="3"/>
      <c r="R37" s="3"/>
      <c r="S37" s="3"/>
      <c r="T37" s="3"/>
      <c r="U37" s="3"/>
      <c r="V37" s="3"/>
      <c r="W37" s="3"/>
      <c r="X37" s="3"/>
      <c r="Y37" s="2"/>
      <c r="Z37" s="3"/>
      <c r="AA37" s="3"/>
      <c r="AB37" s="3"/>
      <c r="AC37" s="3"/>
      <c r="AD37" s="3"/>
      <c r="AE37" s="3"/>
      <c r="AF37" s="3"/>
      <c r="AG37" s="3"/>
      <c r="AH37" s="2"/>
      <c r="AI37" s="3"/>
      <c r="AJ37" s="3"/>
      <c r="AK37" s="3"/>
      <c r="AL37" s="3"/>
      <c r="AM37" s="3"/>
      <c r="AN37" s="3"/>
      <c r="AO37" s="3"/>
      <c r="AP37" s="3"/>
      <c r="AQ37" s="3"/>
      <c r="AR37" s="3"/>
    </row>
    <row r="38" spans="2:44" x14ac:dyDescent="0.2">
      <c r="B38" s="3"/>
      <c r="C38" s="3"/>
      <c r="D38" s="78" t="s">
        <v>23</v>
      </c>
      <c r="E38" s="79">
        <v>10</v>
      </c>
      <c r="F38" s="15" t="s">
        <v>88</v>
      </c>
      <c r="G38" s="113"/>
      <c r="H38" s="15" t="s">
        <v>88</v>
      </c>
      <c r="I38" s="79">
        <v>10</v>
      </c>
      <c r="J38" s="15" t="s">
        <v>88</v>
      </c>
      <c r="K38" s="113"/>
      <c r="L38" s="15" t="s">
        <v>88</v>
      </c>
      <c r="M38" s="3"/>
      <c r="N38" s="3"/>
      <c r="O38" s="3"/>
      <c r="P38" s="2"/>
      <c r="Q38" s="3"/>
      <c r="R38" s="3"/>
      <c r="S38" s="3"/>
      <c r="T38" s="3"/>
      <c r="U38" s="3"/>
      <c r="V38" s="3"/>
      <c r="W38" s="3"/>
      <c r="X38" s="3"/>
      <c r="Y38" s="2"/>
      <c r="Z38" s="3"/>
      <c r="AA38" s="3"/>
      <c r="AB38" s="3"/>
      <c r="AC38" s="3"/>
      <c r="AD38" s="3"/>
      <c r="AE38" s="3"/>
      <c r="AF38" s="3"/>
      <c r="AG38" s="3"/>
      <c r="AH38" s="2"/>
      <c r="AI38" s="3"/>
      <c r="AJ38" s="3"/>
      <c r="AK38" s="3"/>
      <c r="AL38" s="3"/>
      <c r="AM38" s="3"/>
      <c r="AN38" s="3"/>
      <c r="AO38" s="3"/>
      <c r="AP38" s="3"/>
      <c r="AQ38" s="3"/>
      <c r="AR38" s="3"/>
    </row>
    <row r="39" spans="2:44" ht="18" x14ac:dyDescent="0.25">
      <c r="B39" s="3"/>
      <c r="C39" s="3"/>
      <c r="D39" s="78" t="s">
        <v>24</v>
      </c>
      <c r="E39" s="81">
        <v>8</v>
      </c>
      <c r="F39" s="15" t="s">
        <v>89</v>
      </c>
      <c r="G39" s="273"/>
      <c r="H39" s="15" t="s">
        <v>89</v>
      </c>
      <c r="I39" s="81">
        <v>8</v>
      </c>
      <c r="J39" s="15" t="s">
        <v>89</v>
      </c>
      <c r="K39" s="273"/>
      <c r="L39" s="15" t="s">
        <v>89</v>
      </c>
      <c r="M39" s="3"/>
      <c r="N39" s="3"/>
      <c r="O39" s="3"/>
      <c r="P39" s="2"/>
      <c r="Q39" s="3"/>
      <c r="R39" s="96"/>
      <c r="S39" s="61"/>
      <c r="T39" s="3"/>
      <c r="U39" s="3"/>
      <c r="V39" s="3"/>
      <c r="W39" s="3"/>
      <c r="X39" s="3"/>
      <c r="Y39" s="2"/>
      <c r="Z39" s="3"/>
      <c r="AA39" s="3"/>
      <c r="AB39" s="3"/>
      <c r="AC39" s="3"/>
      <c r="AD39" s="3"/>
      <c r="AE39" s="3"/>
      <c r="AF39" s="3"/>
      <c r="AG39" s="3"/>
      <c r="AH39" s="2"/>
      <c r="AI39" s="3"/>
      <c r="AJ39" s="3"/>
      <c r="AK39" s="3"/>
      <c r="AL39" s="3"/>
      <c r="AM39" s="3"/>
      <c r="AN39" s="3"/>
      <c r="AO39" s="3"/>
      <c r="AP39" s="84"/>
      <c r="AQ39" s="84"/>
      <c r="AR39" s="3"/>
    </row>
    <row r="40" spans="2:44" x14ac:dyDescent="0.2">
      <c r="B40" s="3"/>
      <c r="C40" s="3"/>
      <c r="D40" s="15"/>
      <c r="E40" s="81"/>
      <c r="F40" s="15"/>
      <c r="G40" s="15"/>
      <c r="H40" s="15"/>
      <c r="I40" s="80"/>
      <c r="J40" s="15"/>
      <c r="K40" s="15"/>
      <c r="L40" s="3"/>
      <c r="M40" s="3"/>
      <c r="N40" s="3"/>
      <c r="O40" s="3"/>
      <c r="P40" s="2"/>
      <c r="Q40" s="3"/>
      <c r="R40" s="3"/>
      <c r="S40" s="3"/>
      <c r="T40" s="3"/>
      <c r="U40" s="3"/>
      <c r="V40" s="3"/>
      <c r="W40" s="3"/>
      <c r="X40" s="3"/>
      <c r="Y40" s="2"/>
      <c r="Z40" s="3"/>
      <c r="AA40" s="3"/>
      <c r="AB40" s="3"/>
      <c r="AC40" s="3"/>
      <c r="AD40" s="3"/>
      <c r="AE40" s="3"/>
      <c r="AF40" s="3"/>
      <c r="AG40" s="3"/>
      <c r="AH40" s="2"/>
      <c r="AI40" s="3"/>
      <c r="AJ40" s="3"/>
      <c r="AK40" s="3"/>
      <c r="AL40" s="3"/>
      <c r="AM40" s="3"/>
      <c r="AN40" s="3"/>
      <c r="AO40" s="3"/>
      <c r="AP40" s="83"/>
      <c r="AQ40" s="83"/>
      <c r="AR40" s="3"/>
    </row>
    <row r="41" spans="2:44" x14ac:dyDescent="0.2">
      <c r="B41" s="3"/>
      <c r="C41" s="3"/>
      <c r="D41" s="15"/>
      <c r="E41" s="81"/>
      <c r="F41" s="15"/>
      <c r="G41" s="15"/>
      <c r="H41" s="15"/>
      <c r="I41" s="80"/>
      <c r="J41" s="15"/>
      <c r="K41" s="15"/>
      <c r="L41" s="3"/>
      <c r="M41" s="3"/>
      <c r="N41" s="3"/>
      <c r="O41" s="3"/>
      <c r="P41" s="2"/>
      <c r="Q41" s="3"/>
      <c r="R41" s="3"/>
      <c r="S41" s="3"/>
      <c r="T41" s="3"/>
      <c r="U41" s="3"/>
      <c r="V41" s="3"/>
      <c r="W41" s="3"/>
      <c r="X41" s="3"/>
      <c r="Y41" s="2"/>
      <c r="Z41" s="3"/>
      <c r="AA41" s="3"/>
      <c r="AB41" s="3"/>
      <c r="AC41" s="3"/>
      <c r="AD41" s="3"/>
      <c r="AE41" s="3"/>
      <c r="AF41" s="3"/>
      <c r="AG41" s="3"/>
      <c r="AH41" s="2"/>
      <c r="AI41" s="3"/>
      <c r="AJ41" s="3"/>
      <c r="AK41" s="3"/>
      <c r="AL41" s="3"/>
      <c r="AM41" s="3"/>
      <c r="AN41" s="3"/>
      <c r="AO41" s="3"/>
      <c r="AP41" s="83"/>
      <c r="AQ41" s="83"/>
      <c r="AR41" s="3"/>
    </row>
    <row r="42" spans="2:44" ht="24" customHeight="1" x14ac:dyDescent="0.25">
      <c r="B42" s="3"/>
      <c r="C42" s="290" t="s">
        <v>280</v>
      </c>
      <c r="D42" s="487" t="s">
        <v>279</v>
      </c>
      <c r="E42" s="487"/>
      <c r="F42" s="487"/>
      <c r="G42" s="487"/>
      <c r="H42" s="487"/>
      <c r="I42" s="487"/>
      <c r="J42" s="487"/>
      <c r="K42" s="487"/>
      <c r="L42" s="487"/>
      <c r="M42" s="3"/>
      <c r="N42" s="3"/>
      <c r="O42" s="3"/>
      <c r="P42" s="2"/>
      <c r="Q42" s="3"/>
      <c r="R42" s="3"/>
      <c r="S42" s="23" t="s">
        <v>178</v>
      </c>
      <c r="T42" s="24"/>
      <c r="U42" s="24"/>
      <c r="V42" s="24"/>
      <c r="W42" s="24"/>
      <c r="X42" s="3"/>
      <c r="Y42" s="2"/>
      <c r="Z42" s="3"/>
      <c r="AA42" s="3"/>
      <c r="AB42" s="23" t="s">
        <v>180</v>
      </c>
      <c r="AC42" s="24"/>
      <c r="AD42" s="24"/>
      <c r="AE42" s="24"/>
      <c r="AF42" s="24"/>
      <c r="AG42" s="3"/>
      <c r="AH42" s="2"/>
      <c r="AI42" s="3"/>
      <c r="AJ42" s="3"/>
      <c r="AK42" s="23" t="s">
        <v>185</v>
      </c>
      <c r="AL42" s="24"/>
      <c r="AM42" s="24"/>
      <c r="AN42" s="24"/>
      <c r="AO42" s="3"/>
      <c r="AP42" s="83"/>
      <c r="AQ42" s="83"/>
      <c r="AR42" s="3"/>
    </row>
    <row r="43" spans="2:44" ht="26.25" customHeight="1" x14ac:dyDescent="0.25">
      <c r="B43" s="3"/>
      <c r="C43" s="290" t="s">
        <v>281</v>
      </c>
      <c r="D43" s="488" t="s">
        <v>285</v>
      </c>
      <c r="E43" s="488"/>
      <c r="F43" s="488"/>
      <c r="G43" s="488"/>
      <c r="H43" s="488"/>
      <c r="I43" s="488"/>
      <c r="J43" s="488"/>
      <c r="K43" s="488"/>
      <c r="L43" s="488"/>
      <c r="M43" s="3"/>
      <c r="N43" s="3"/>
      <c r="O43" s="3"/>
      <c r="P43" s="2"/>
      <c r="Q43" s="3"/>
      <c r="R43" s="484" t="s">
        <v>131</v>
      </c>
      <c r="S43" s="34"/>
      <c r="T43" s="45">
        <f>'Referenz Plattenfertiger'!D9</f>
        <v>0</v>
      </c>
      <c r="U43" s="46">
        <f>T43+5</f>
        <v>5</v>
      </c>
      <c r="V43" s="46">
        <f>T43+10</f>
        <v>10</v>
      </c>
      <c r="W43" s="34"/>
      <c r="X43" s="3"/>
      <c r="Y43" s="2"/>
      <c r="Z43" s="3"/>
      <c r="AA43" s="3"/>
      <c r="AB43" s="34"/>
      <c r="AC43" s="45">
        <f>T$43</f>
        <v>0</v>
      </c>
      <c r="AD43" s="45">
        <f>U$43</f>
        <v>5</v>
      </c>
      <c r="AE43" s="45">
        <f>V$43</f>
        <v>10</v>
      </c>
      <c r="AF43" s="34"/>
      <c r="AG43" s="3"/>
      <c r="AH43" s="2"/>
      <c r="AI43" s="3"/>
      <c r="AJ43" s="484" t="s">
        <v>131</v>
      </c>
      <c r="AK43" s="34"/>
      <c r="AL43" s="45">
        <f>AC$43</f>
        <v>0</v>
      </c>
      <c r="AM43" s="45">
        <f>AD$43</f>
        <v>5</v>
      </c>
      <c r="AN43" s="45">
        <f>AE$43</f>
        <v>10</v>
      </c>
      <c r="AO43" s="3"/>
      <c r="AP43" s="83"/>
      <c r="AQ43" s="83"/>
      <c r="AR43" s="62"/>
    </row>
    <row r="44" spans="2:44" x14ac:dyDescent="0.2">
      <c r="B44" s="3"/>
      <c r="C44" s="290" t="s">
        <v>282</v>
      </c>
      <c r="D44" s="490" t="s">
        <v>301</v>
      </c>
      <c r="E44" s="490"/>
      <c r="F44" s="490"/>
      <c r="G44" s="490"/>
      <c r="H44" s="490"/>
      <c r="I44" s="490"/>
      <c r="J44" s="490"/>
      <c r="K44" s="490"/>
      <c r="L44" s="490"/>
      <c r="M44" s="3"/>
      <c r="N44" s="3"/>
      <c r="O44" s="3"/>
      <c r="P44" s="2"/>
      <c r="Q44" s="3"/>
      <c r="R44" s="484"/>
      <c r="S44" s="24"/>
      <c r="T44" s="47" t="s">
        <v>81</v>
      </c>
      <c r="U44" s="48"/>
      <c r="V44" s="48"/>
      <c r="W44" s="24"/>
      <c r="X44" s="3"/>
      <c r="Y44" s="2"/>
      <c r="Z44" s="3"/>
      <c r="AA44" s="3"/>
      <c r="AB44" s="24"/>
      <c r="AC44" s="47" t="s">
        <v>81</v>
      </c>
      <c r="AD44" s="48"/>
      <c r="AE44" s="48"/>
      <c r="AF44" s="24"/>
      <c r="AG44" s="3"/>
      <c r="AH44" s="2"/>
      <c r="AI44" s="3"/>
      <c r="AJ44" s="484"/>
      <c r="AK44" s="24"/>
      <c r="AL44" s="47" t="s">
        <v>81</v>
      </c>
      <c r="AM44" s="48"/>
      <c r="AN44" s="48"/>
      <c r="AO44" s="3"/>
      <c r="AP44" s="83"/>
      <c r="AQ44" s="83"/>
      <c r="AR44" s="62"/>
    </row>
    <row r="45" spans="2:44" ht="15.75" x14ac:dyDescent="0.3">
      <c r="B45" s="3"/>
      <c r="C45" s="290" t="s">
        <v>283</v>
      </c>
      <c r="D45" s="490" t="s">
        <v>288</v>
      </c>
      <c r="E45" s="490"/>
      <c r="F45" s="490"/>
      <c r="G45" s="490"/>
      <c r="H45" s="490"/>
      <c r="I45" s="490"/>
      <c r="J45" s="490"/>
      <c r="K45" s="490"/>
      <c r="L45" s="490"/>
      <c r="M45" s="3"/>
      <c r="N45" s="3"/>
      <c r="O45" s="3"/>
      <c r="P45" s="2"/>
      <c r="Q45" s="3"/>
      <c r="R45" s="3"/>
      <c r="S45" s="29" t="str">
        <f>R123</f>
        <v>Energieträger gesamt</v>
      </c>
      <c r="T45" s="26">
        <f>SUM('Referenz Plattenfertiger'!U16:U29)</f>
        <v>41.281733459999998</v>
      </c>
      <c r="U45" s="26">
        <f>W123</f>
        <v>34.39057387091087</v>
      </c>
      <c r="V45" s="26">
        <f>W207</f>
        <v>25.105144641628776</v>
      </c>
      <c r="W45" s="25" t="s">
        <v>148</v>
      </c>
      <c r="X45" s="3"/>
      <c r="Y45" s="2"/>
      <c r="Z45" s="3"/>
      <c r="AA45" s="3"/>
      <c r="AB45" s="29" t="s">
        <v>104</v>
      </c>
      <c r="AC45" s="26">
        <f>'Referenz Plattenfertiger'!S78</f>
        <v>94.932355060000006</v>
      </c>
      <c r="AD45" s="26">
        <f>U191</f>
        <v>94.932355060000006</v>
      </c>
      <c r="AE45" s="26">
        <f>U275</f>
        <v>94.932355060000006</v>
      </c>
      <c r="AF45" s="25" t="s">
        <v>148</v>
      </c>
      <c r="AG45" s="3"/>
      <c r="AH45" s="2"/>
      <c r="AI45" s="3"/>
      <c r="AJ45" s="3"/>
      <c r="AK45" s="56" t="s">
        <v>144</v>
      </c>
      <c r="AL45" s="57">
        <f>SUM(AL46:AL52)</f>
        <v>109669</v>
      </c>
      <c r="AM45" s="57">
        <f t="shared" ref="AM45:AN45" si="0">SUM(AM46:AM52)</f>
        <v>109669</v>
      </c>
      <c r="AN45" s="57">
        <f t="shared" si="0"/>
        <v>109669</v>
      </c>
      <c r="AO45" s="3"/>
      <c r="AP45" s="112"/>
      <c r="AQ45" s="112"/>
      <c r="AR45" s="62"/>
    </row>
    <row r="46" spans="2:44" ht="15.75" x14ac:dyDescent="0.3">
      <c r="B46" s="3"/>
      <c r="C46" s="290" t="s">
        <v>284</v>
      </c>
      <c r="D46" s="291" t="s">
        <v>286</v>
      </c>
      <c r="E46" s="291"/>
      <c r="F46" s="291"/>
      <c r="G46" s="291"/>
      <c r="H46" s="291"/>
      <c r="I46" s="291"/>
      <c r="J46" s="291"/>
      <c r="K46" s="291"/>
      <c r="L46" s="291"/>
      <c r="M46" s="3"/>
      <c r="N46" s="3"/>
      <c r="O46" s="3"/>
      <c r="P46" s="2"/>
      <c r="Q46" s="3"/>
      <c r="R46" s="3"/>
      <c r="S46" s="8" t="str">
        <f>R139</f>
        <v>Transport gesamt</v>
      </c>
      <c r="T46" s="9">
        <f>'Referenz Plattenfertiger'!U32+'Referenz Plattenfertiger'!U33</f>
        <v>469.15642799999995</v>
      </c>
      <c r="U46" s="9">
        <f>W139</f>
        <v>469.15642799999995</v>
      </c>
      <c r="V46" s="9">
        <f>W223</f>
        <v>469.15642799999995</v>
      </c>
      <c r="W46" s="3" t="s">
        <v>148</v>
      </c>
      <c r="X46" s="3"/>
      <c r="Y46" s="2"/>
      <c r="Z46" s="3"/>
      <c r="AA46" s="3"/>
      <c r="AB46" s="8" t="s">
        <v>26</v>
      </c>
      <c r="AC46" s="9">
        <f>'Referenz Plattenfertiger'!T78</f>
        <v>171.9</v>
      </c>
      <c r="AD46" s="9">
        <f>V191</f>
        <v>124.8924470887134</v>
      </c>
      <c r="AE46" s="9">
        <f>V275</f>
        <v>61.552554846110553</v>
      </c>
      <c r="AF46" s="3" t="s">
        <v>148</v>
      </c>
      <c r="AG46" s="3"/>
      <c r="AH46" s="2"/>
      <c r="AI46" s="3"/>
      <c r="AJ46" s="3"/>
      <c r="AK46" s="31" t="s">
        <v>29</v>
      </c>
      <c r="AL46" s="51">
        <f>'Referenz Plattenfertiger'!AD16</f>
        <v>14335</v>
      </c>
      <c r="AM46" s="51">
        <f>AJ124+AJ129</f>
        <v>14335</v>
      </c>
      <c r="AN46" s="51">
        <f>AJ203+AJ208</f>
        <v>14335</v>
      </c>
      <c r="AO46" s="3"/>
      <c r="AP46" s="112"/>
      <c r="AQ46" s="112"/>
      <c r="AR46" s="62"/>
    </row>
    <row r="47" spans="2:44" ht="15.75" x14ac:dyDescent="0.3">
      <c r="B47" s="3"/>
      <c r="C47" s="290" t="s">
        <v>302</v>
      </c>
      <c r="D47" s="291" t="s">
        <v>287</v>
      </c>
      <c r="E47" s="291"/>
      <c r="F47" s="291"/>
      <c r="G47" s="291"/>
      <c r="H47" s="291"/>
      <c r="I47" s="291"/>
      <c r="J47" s="291"/>
      <c r="K47" s="291"/>
      <c r="L47" s="291"/>
      <c r="M47" s="3"/>
      <c r="N47" s="3"/>
      <c r="O47" s="3"/>
      <c r="P47" s="2"/>
      <c r="Q47" s="3"/>
      <c r="R47" s="3"/>
      <c r="S47" s="29" t="str">
        <f>R143</f>
        <v>Zement</v>
      </c>
      <c r="T47" s="26">
        <f>'Referenz Plattenfertiger'!U35</f>
        <v>4548.5439999999999</v>
      </c>
      <c r="U47" s="26">
        <f>W143</f>
        <v>4548.5439999999999</v>
      </c>
      <c r="V47" s="26">
        <f>W227</f>
        <v>4548.5439999999999</v>
      </c>
      <c r="W47" s="25" t="s">
        <v>148</v>
      </c>
      <c r="X47" s="3"/>
      <c r="Y47" s="2"/>
      <c r="Z47" s="3"/>
      <c r="AA47" s="3"/>
      <c r="AB47" s="29" t="s">
        <v>27</v>
      </c>
      <c r="AC47" s="26">
        <f>'Referenz Plattenfertiger'!U78</f>
        <v>5831.5296228095176</v>
      </c>
      <c r="AD47" s="26">
        <f>W191</f>
        <v>5744.3194232204278</v>
      </c>
      <c r="AE47" s="26">
        <f>W275</f>
        <v>5735.0339939911482</v>
      </c>
      <c r="AF47" s="25" t="s">
        <v>148</v>
      </c>
      <c r="AG47" s="3"/>
      <c r="AH47" s="2"/>
      <c r="AI47" s="3"/>
      <c r="AJ47" s="3"/>
      <c r="AK47" s="31" t="s">
        <v>30</v>
      </c>
      <c r="AL47" s="51">
        <f>'Referenz Plattenfertiger'!AD17</f>
        <v>2760</v>
      </c>
      <c r="AM47" s="51">
        <f>AJ125+AJ130</f>
        <v>2760</v>
      </c>
      <c r="AN47" s="51">
        <f>AJ204+AJ209</f>
        <v>2760</v>
      </c>
      <c r="AO47" s="3"/>
      <c r="AP47" s="112"/>
      <c r="AQ47" s="112"/>
      <c r="AR47" s="62"/>
    </row>
    <row r="48" spans="2:44" ht="16.5" thickBot="1" x14ac:dyDescent="0.35">
      <c r="B48" s="3"/>
      <c r="C48" s="3"/>
      <c r="D48" s="15"/>
      <c r="E48" s="10"/>
      <c r="F48" s="3"/>
      <c r="G48" s="3"/>
      <c r="H48" s="3"/>
      <c r="I48" s="16"/>
      <c r="J48" s="3"/>
      <c r="K48" s="3"/>
      <c r="L48" s="3"/>
      <c r="M48" s="3"/>
      <c r="N48" s="3"/>
      <c r="O48" s="3"/>
      <c r="P48" s="2"/>
      <c r="Q48" s="3"/>
      <c r="R48" s="3"/>
      <c r="S48" s="8" t="str">
        <f>R149</f>
        <v>Gesteinskörnungen (Zuschlagsstoffe)</v>
      </c>
      <c r="T48" s="9">
        <f>'Referenz Plattenfertiger'!U41</f>
        <v>129.59200000000001</v>
      </c>
      <c r="U48" s="9">
        <f>W149</f>
        <v>129.59200000000001</v>
      </c>
      <c r="V48" s="9">
        <f>W233</f>
        <v>129.59200000000001</v>
      </c>
      <c r="W48" s="3" t="s">
        <v>148</v>
      </c>
      <c r="X48" s="3"/>
      <c r="Y48" s="2"/>
      <c r="Z48" s="3"/>
      <c r="AA48" s="3"/>
      <c r="AB48" s="27" t="s">
        <v>67</v>
      </c>
      <c r="AC48" s="28">
        <f>SUM(AC45:AC47)</f>
        <v>6098.3619778695174</v>
      </c>
      <c r="AD48" s="28">
        <f t="shared" ref="AD48:AE48" si="1">SUM(AD45:AD47)</f>
        <v>5964.1442253691412</v>
      </c>
      <c r="AE48" s="28">
        <f t="shared" si="1"/>
        <v>5891.5189038972585</v>
      </c>
      <c r="AF48" s="27" t="s">
        <v>149</v>
      </c>
      <c r="AG48" s="3"/>
      <c r="AH48" s="2"/>
      <c r="AI48" s="3"/>
      <c r="AJ48" s="3"/>
      <c r="AK48" s="31" t="s">
        <v>31</v>
      </c>
      <c r="AL48" s="51">
        <f>'Referenz Plattenfertiger'!AD18</f>
        <v>77400</v>
      </c>
      <c r="AM48" s="51">
        <f>AJ126+AJ132</f>
        <v>77400</v>
      </c>
      <c r="AN48" s="51">
        <f>AJ205+AJ211</f>
        <v>77400</v>
      </c>
      <c r="AO48" s="3"/>
      <c r="AP48" s="112"/>
      <c r="AQ48" s="112"/>
      <c r="AR48" s="62"/>
    </row>
    <row r="49" spans="1:44" ht="16.5" thickTop="1" x14ac:dyDescent="0.3">
      <c r="A49" s="2"/>
      <c r="B49" s="2"/>
      <c r="C49" s="2"/>
      <c r="D49" s="2"/>
      <c r="E49" s="2"/>
      <c r="F49" s="2"/>
      <c r="G49" s="2"/>
      <c r="H49" s="2"/>
      <c r="I49" s="2"/>
      <c r="J49" s="2"/>
      <c r="K49" s="2"/>
      <c r="L49" s="2"/>
      <c r="M49" s="2"/>
      <c r="N49" s="2"/>
      <c r="O49" s="2"/>
      <c r="Q49" s="3"/>
      <c r="R49" s="3"/>
      <c r="S49" s="29" t="str">
        <f>S156</f>
        <v>Farben</v>
      </c>
      <c r="T49" s="26">
        <f>'Referenz Plattenfertiger'!U48</f>
        <v>208</v>
      </c>
      <c r="U49" s="26">
        <f>W156</f>
        <v>208</v>
      </c>
      <c r="V49" s="26">
        <f>W240</f>
        <v>208</v>
      </c>
      <c r="W49" s="25" t="s">
        <v>148</v>
      </c>
      <c r="X49" s="3"/>
      <c r="Y49" s="2"/>
      <c r="Z49" s="3"/>
      <c r="AA49" s="3"/>
      <c r="AB49" s="3"/>
      <c r="AC49" s="3"/>
      <c r="AD49" s="3"/>
      <c r="AE49" s="3"/>
      <c r="AF49" s="3"/>
      <c r="AG49" s="3"/>
      <c r="AH49" s="2"/>
      <c r="AI49" s="3"/>
      <c r="AJ49" s="3"/>
      <c r="AK49" s="31" t="s">
        <v>111</v>
      </c>
      <c r="AL49" s="51">
        <f>'Referenz Plattenfertiger'!AD19</f>
        <v>0</v>
      </c>
      <c r="AM49" s="51">
        <f>AJ133</f>
        <v>0</v>
      </c>
      <c r="AN49" s="51">
        <f>AJ212</f>
        <v>0</v>
      </c>
      <c r="AO49" s="3"/>
      <c r="AP49" s="112"/>
      <c r="AQ49" s="112"/>
      <c r="AR49" s="62"/>
    </row>
    <row r="50" spans="1:44" ht="15.75" x14ac:dyDescent="0.3">
      <c r="A50" s="2"/>
      <c r="B50" s="2"/>
      <c r="C50" s="2"/>
      <c r="D50" s="2"/>
      <c r="E50" s="2"/>
      <c r="F50" s="2"/>
      <c r="G50" s="2"/>
      <c r="H50" s="2"/>
      <c r="I50" s="2"/>
      <c r="J50" s="2"/>
      <c r="K50" s="2"/>
      <c r="L50" s="2"/>
      <c r="M50" s="2"/>
      <c r="N50" s="2"/>
      <c r="O50" s="2"/>
      <c r="Q50" s="3"/>
      <c r="R50" s="3"/>
      <c r="S50" s="8" t="str">
        <f>R158</f>
        <v>Zusatzstoffe (Füllstoffe)</v>
      </c>
      <c r="T50" s="9">
        <f>'Referenz Plattenfertiger'!U50</f>
        <v>81.003999999999991</v>
      </c>
      <c r="U50" s="9">
        <f>W158</f>
        <v>81.003999999999991</v>
      </c>
      <c r="V50" s="9">
        <f>W242</f>
        <v>81.003999999999991</v>
      </c>
      <c r="W50" s="3" t="s">
        <v>148</v>
      </c>
      <c r="X50" s="3"/>
      <c r="Y50" s="2"/>
      <c r="Z50" s="3"/>
      <c r="AA50" s="3"/>
      <c r="AB50" s="3"/>
      <c r="AC50" s="3"/>
      <c r="AD50" s="3"/>
      <c r="AE50" s="3"/>
      <c r="AF50" s="3"/>
      <c r="AG50" s="3"/>
      <c r="AH50" s="2"/>
      <c r="AI50" s="3"/>
      <c r="AJ50" s="3"/>
      <c r="AK50" s="31" t="s">
        <v>112</v>
      </c>
      <c r="AL50" s="51">
        <f>'Referenz Plattenfertiger'!AD20</f>
        <v>0</v>
      </c>
      <c r="AM50" s="51">
        <f>AJ127</f>
        <v>0</v>
      </c>
      <c r="AN50" s="51">
        <f>AJ206</f>
        <v>0</v>
      </c>
      <c r="AO50" s="3"/>
      <c r="AP50" s="112"/>
      <c r="AQ50" s="112"/>
      <c r="AR50" s="62"/>
    </row>
    <row r="51" spans="1:44" ht="15.75" x14ac:dyDescent="0.3">
      <c r="A51" s="2"/>
      <c r="B51" s="2"/>
      <c r="C51" s="2"/>
      <c r="D51" s="2"/>
      <c r="E51" s="2"/>
      <c r="F51" s="2"/>
      <c r="G51" s="2"/>
      <c r="H51" s="2"/>
      <c r="I51" s="2"/>
      <c r="J51" s="2"/>
      <c r="K51" s="2"/>
      <c r="L51" s="2"/>
      <c r="M51" s="2"/>
      <c r="N51" s="2"/>
      <c r="O51" s="2"/>
      <c r="Q51" s="3"/>
      <c r="R51" s="3"/>
      <c r="S51" s="29" t="str">
        <f>R165</f>
        <v>Zusatzmittel</v>
      </c>
      <c r="T51" s="26">
        <f>'Referenz Plattenfertiger'!U57</f>
        <v>148.44746134951595</v>
      </c>
      <c r="U51" s="26">
        <f>W165</f>
        <v>148.44746134951595</v>
      </c>
      <c r="V51" s="26">
        <f>W249</f>
        <v>148.44746134951595</v>
      </c>
      <c r="W51" s="25" t="s">
        <v>148</v>
      </c>
      <c r="X51" s="3"/>
      <c r="Y51" s="2"/>
      <c r="Z51" s="3"/>
      <c r="AA51" s="3"/>
      <c r="AB51" s="23" t="s">
        <v>238</v>
      </c>
      <c r="AC51" s="24"/>
      <c r="AD51" s="24"/>
      <c r="AE51" s="24"/>
      <c r="AF51" s="24"/>
      <c r="AG51" s="3"/>
      <c r="AH51" s="2"/>
      <c r="AI51" s="3"/>
      <c r="AJ51" s="3"/>
      <c r="AK51" s="31" t="s">
        <v>113</v>
      </c>
      <c r="AL51" s="51">
        <f>'Referenz Plattenfertiger'!AD21</f>
        <v>0</v>
      </c>
      <c r="AM51" s="51">
        <f>AJ134</f>
        <v>0</v>
      </c>
      <c r="AN51" s="51">
        <f>AJ213</f>
        <v>0</v>
      </c>
      <c r="AO51" s="3"/>
      <c r="AP51" s="112"/>
      <c r="AQ51" s="112"/>
      <c r="AR51" s="62"/>
    </row>
    <row r="52" spans="1:44" ht="15.75" x14ac:dyDescent="0.3">
      <c r="A52" s="2"/>
      <c r="B52" s="2"/>
      <c r="C52" s="2"/>
      <c r="D52" s="2"/>
      <c r="E52" s="2"/>
      <c r="F52" s="2"/>
      <c r="G52" s="2"/>
      <c r="H52" s="2"/>
      <c r="I52" s="2"/>
      <c r="J52" s="2"/>
      <c r="K52" s="2"/>
      <c r="L52" s="2"/>
      <c r="M52" s="2"/>
      <c r="N52" s="2"/>
      <c r="O52" s="2"/>
      <c r="Q52" s="3"/>
      <c r="R52" s="3"/>
      <c r="S52" s="8" t="str">
        <f>R171</f>
        <v>Ersatzstoffe &amp; Recyclingmaterial</v>
      </c>
      <c r="T52" s="9">
        <v>0</v>
      </c>
      <c r="U52" s="9">
        <f>W171</f>
        <v>0</v>
      </c>
      <c r="V52" s="9">
        <f>W255</f>
        <v>0</v>
      </c>
      <c r="W52" s="3" t="s">
        <v>148</v>
      </c>
      <c r="X52" s="3"/>
      <c r="Y52" s="2"/>
      <c r="Z52" s="3"/>
      <c r="AA52" s="483" t="s">
        <v>131</v>
      </c>
      <c r="AB52" s="45"/>
      <c r="AC52" s="45">
        <f>T$43</f>
        <v>0</v>
      </c>
      <c r="AD52" s="45">
        <f>U$43</f>
        <v>5</v>
      </c>
      <c r="AE52" s="45">
        <f>V$43</f>
        <v>10</v>
      </c>
      <c r="AF52" s="34"/>
      <c r="AG52" s="3"/>
      <c r="AH52" s="2"/>
      <c r="AI52" s="3"/>
      <c r="AJ52" s="3"/>
      <c r="AK52" s="50" t="s">
        <v>32</v>
      </c>
      <c r="AL52" s="52">
        <f>'Referenz Plattenfertiger'!AD22</f>
        <v>15174.000000000002</v>
      </c>
      <c r="AM52" s="53">
        <f>AJ136+AJ137</f>
        <v>15174.000000000002</v>
      </c>
      <c r="AN52" s="53">
        <f>AJ215+AJ216</f>
        <v>15174.000000000002</v>
      </c>
      <c r="AO52" s="3"/>
      <c r="AP52" s="112"/>
      <c r="AQ52" s="112"/>
      <c r="AR52" s="62"/>
    </row>
    <row r="53" spans="1:44" ht="15.75" x14ac:dyDescent="0.3">
      <c r="A53" s="2"/>
      <c r="B53" s="2"/>
      <c r="C53" s="2"/>
      <c r="D53" s="2"/>
      <c r="E53" s="2"/>
      <c r="F53" s="2"/>
      <c r="G53" s="2"/>
      <c r="H53" s="2"/>
      <c r="I53" s="2"/>
      <c r="J53" s="2"/>
      <c r="K53" s="2"/>
      <c r="L53" s="2"/>
      <c r="M53" s="2"/>
      <c r="N53" s="2"/>
      <c r="O53" s="2"/>
      <c r="Q53" s="3"/>
      <c r="R53" s="3"/>
      <c r="S53" s="29" t="s">
        <v>179</v>
      </c>
      <c r="T53" s="26">
        <f>'Referenz Plattenfertiger'!U63+'Referenz Plattenfertiger'!U64</f>
        <v>0.54400000000000004</v>
      </c>
      <c r="U53" s="26">
        <f>W176+W177</f>
        <v>0.54400000000000004</v>
      </c>
      <c r="V53" s="26">
        <f>W260+W261</f>
        <v>0.54400000000000004</v>
      </c>
      <c r="W53" s="25" t="s">
        <v>148</v>
      </c>
      <c r="X53" s="3"/>
      <c r="Y53" s="2"/>
      <c r="Z53" s="3"/>
      <c r="AA53" s="483"/>
      <c r="AB53" s="24"/>
      <c r="AC53" s="47" t="s">
        <v>81</v>
      </c>
      <c r="AD53" s="48"/>
      <c r="AE53" s="48"/>
      <c r="AF53" s="24"/>
      <c r="AG53" s="3"/>
      <c r="AH53" s="2"/>
      <c r="AI53" s="3"/>
      <c r="AJ53" s="3"/>
      <c r="AK53" s="8" t="s">
        <v>28</v>
      </c>
      <c r="AL53" s="54">
        <v>0</v>
      </c>
      <c r="AM53" s="54">
        <f>AJ140</f>
        <v>0</v>
      </c>
      <c r="AN53" s="54">
        <f>AJ219</f>
        <v>0</v>
      </c>
      <c r="AO53" s="3"/>
      <c r="AP53" s="112"/>
      <c r="AQ53" s="112"/>
      <c r="AR53" s="62"/>
    </row>
    <row r="54" spans="1:44" ht="15.75" x14ac:dyDescent="0.3">
      <c r="A54" s="2"/>
      <c r="B54" s="2"/>
      <c r="C54" s="2"/>
      <c r="D54" s="2"/>
      <c r="E54" s="2"/>
      <c r="F54" s="2"/>
      <c r="G54" s="2"/>
      <c r="H54" s="2"/>
      <c r="I54" s="2"/>
      <c r="J54" s="2"/>
      <c r="K54" s="2"/>
      <c r="L54" s="2"/>
      <c r="M54" s="2"/>
      <c r="N54" s="2"/>
      <c r="O54" s="2"/>
      <c r="Q54" s="3"/>
      <c r="R54" s="3"/>
      <c r="S54" s="8" t="str">
        <f>R179</f>
        <v>Oberflächenschutzsysteme</v>
      </c>
      <c r="T54" s="9">
        <f>'Referenz Plattenfertiger'!U66</f>
        <v>80.47999999999999</v>
      </c>
      <c r="U54" s="9">
        <f>W179</f>
        <v>0.16095999999999999</v>
      </c>
      <c r="V54" s="9">
        <f>W263</f>
        <v>0.16095999999999999</v>
      </c>
      <c r="W54" s="3" t="s">
        <v>148</v>
      </c>
      <c r="X54" s="3"/>
      <c r="Y54" s="2"/>
      <c r="Z54" s="3"/>
      <c r="AA54" s="3"/>
      <c r="AB54" s="29" t="s">
        <v>29</v>
      </c>
      <c r="AC54" s="32">
        <f>'Referenz Plattenfertiger'!$W$16+'Referenz Plattenfertiger'!W21</f>
        <v>43.0426</v>
      </c>
      <c r="AD54" s="32">
        <f>Z125+Z130</f>
        <v>43.0426</v>
      </c>
      <c r="AE54" s="32">
        <f>Z209+Z214</f>
        <v>43.0426</v>
      </c>
      <c r="AF54" s="25" t="s">
        <v>148</v>
      </c>
      <c r="AG54" s="3"/>
      <c r="AH54" s="2"/>
      <c r="AI54" s="3"/>
      <c r="AJ54" s="3"/>
      <c r="AK54" s="8" t="s">
        <v>139</v>
      </c>
      <c r="AL54" s="54">
        <v>0</v>
      </c>
      <c r="AM54" s="54">
        <f>AJ141</f>
        <v>0</v>
      </c>
      <c r="AN54" s="54">
        <f>AJ220</f>
        <v>0</v>
      </c>
      <c r="AO54" s="3"/>
      <c r="AP54" s="112"/>
      <c r="AQ54" s="112"/>
      <c r="AR54" s="62"/>
    </row>
    <row r="55" spans="1:44" ht="15.75" x14ac:dyDescent="0.3">
      <c r="A55" s="2"/>
      <c r="B55" s="2"/>
      <c r="C55" s="2"/>
      <c r="D55" s="2"/>
      <c r="E55" s="2"/>
      <c r="F55" s="2"/>
      <c r="G55" s="2"/>
      <c r="H55" s="2"/>
      <c r="I55" s="2"/>
      <c r="J55" s="2"/>
      <c r="K55" s="2"/>
      <c r="L55" s="2"/>
      <c r="M55" s="2"/>
      <c r="N55" s="2"/>
      <c r="O55" s="2"/>
      <c r="Q55" s="3"/>
      <c r="R55" s="3"/>
      <c r="S55" s="29" t="str">
        <f>R184</f>
        <v>Oberflächenbearbeitung (vor/nach Erhärtung)</v>
      </c>
      <c r="T55" s="26">
        <f>'Referenz Plattenfertiger'!U71</f>
        <v>60</v>
      </c>
      <c r="U55" s="26">
        <f>W184</f>
        <v>60</v>
      </c>
      <c r="V55" s="26">
        <f>W268</f>
        <v>60</v>
      </c>
      <c r="W55" s="25" t="s">
        <v>148</v>
      </c>
      <c r="X55" s="3"/>
      <c r="Y55" s="2"/>
      <c r="Z55" s="3"/>
      <c r="AA55" s="3"/>
      <c r="AB55" s="8" t="s">
        <v>30</v>
      </c>
      <c r="AC55" s="10">
        <f>'Referenz Plattenfertiger'!$W$17+'Referenz Plattenfertiger'!W22</f>
        <v>16.005600000000001</v>
      </c>
      <c r="AD55" s="10">
        <f>Z126+Z131</f>
        <v>16.005600000000001</v>
      </c>
      <c r="AE55" s="10">
        <f>Z210+Z215</f>
        <v>16.005600000000001</v>
      </c>
      <c r="AF55" s="3" t="s">
        <v>148</v>
      </c>
      <c r="AG55" s="3"/>
      <c r="AH55" s="2"/>
      <c r="AI55" s="3"/>
      <c r="AJ55" s="3"/>
      <c r="AK55" s="58" t="s">
        <v>146</v>
      </c>
      <c r="AL55" s="60">
        <v>0</v>
      </c>
      <c r="AM55" s="60">
        <f>AJ142</f>
        <v>0</v>
      </c>
      <c r="AN55" s="60">
        <f>AJ221</f>
        <v>0</v>
      </c>
      <c r="AO55" s="3"/>
      <c r="AP55" s="112"/>
      <c r="AQ55" s="112"/>
      <c r="AR55" s="62"/>
    </row>
    <row r="56" spans="1:44" ht="15.75" x14ac:dyDescent="0.3">
      <c r="A56" s="2"/>
      <c r="B56" s="2"/>
      <c r="C56" s="2"/>
      <c r="D56" s="2"/>
      <c r="E56" s="2"/>
      <c r="F56" s="2"/>
      <c r="G56" s="2"/>
      <c r="H56" s="2"/>
      <c r="I56" s="2"/>
      <c r="J56" s="2"/>
      <c r="K56" s="2"/>
      <c r="L56" s="2"/>
      <c r="M56" s="2"/>
      <c r="N56" s="2"/>
      <c r="O56" s="2"/>
      <c r="Q56" s="3"/>
      <c r="R56" s="3"/>
      <c r="S56" s="8" t="str">
        <f>S189</f>
        <v>Verpackungsmaterial</v>
      </c>
      <c r="T56" s="9">
        <f>'Referenz Plattenfertiger'!U76</f>
        <v>64.48</v>
      </c>
      <c r="U56" s="9">
        <f>W189</f>
        <v>64.48</v>
      </c>
      <c r="V56" s="9">
        <f>W273</f>
        <v>64.48</v>
      </c>
      <c r="W56" s="3" t="s">
        <v>148</v>
      </c>
      <c r="X56" s="3"/>
      <c r="Y56" s="2"/>
      <c r="Z56" s="3"/>
      <c r="AA56" s="3"/>
      <c r="AB56" s="29" t="s">
        <v>31</v>
      </c>
      <c r="AC56" s="32">
        <f>'Referenz Plattenfertiger'!$W$18+'Referenz Plattenfertiger'!T24</f>
        <v>171.9</v>
      </c>
      <c r="AD56" s="32">
        <f>Z127+Z133</f>
        <v>124.8924470887134</v>
      </c>
      <c r="AE56" s="32">
        <f>Z211+Z217</f>
        <v>61.552554846110553</v>
      </c>
      <c r="AF56" s="25" t="s">
        <v>148</v>
      </c>
      <c r="AG56" s="3"/>
      <c r="AH56" s="2"/>
      <c r="AI56" s="3"/>
      <c r="AJ56" s="3"/>
      <c r="AK56" s="56" t="s">
        <v>140</v>
      </c>
      <c r="AL56" s="57">
        <f>SUM(AL57:AL59)</f>
        <v>152459.04944673795</v>
      </c>
      <c r="AM56" s="57">
        <f t="shared" ref="AM56:AN56" si="2">SUM(AM57:AM59)</f>
        <v>268386.49014161137</v>
      </c>
      <c r="AN56" s="57">
        <f t="shared" si="2"/>
        <v>471321.51231178071</v>
      </c>
      <c r="AO56" s="3"/>
      <c r="AP56" s="112"/>
      <c r="AQ56" s="112"/>
      <c r="AR56" s="62"/>
    </row>
    <row r="57" spans="1:44" ht="16.5" thickBot="1" x14ac:dyDescent="0.35">
      <c r="A57" s="2"/>
      <c r="B57" s="2"/>
      <c r="C57" s="2"/>
      <c r="D57" s="2"/>
      <c r="E57" s="2"/>
      <c r="F57" s="2"/>
      <c r="G57" s="2"/>
      <c r="H57" s="2"/>
      <c r="I57" s="2"/>
      <c r="J57" s="2"/>
      <c r="K57" s="2"/>
      <c r="L57" s="2"/>
      <c r="M57" s="2"/>
      <c r="N57" s="2"/>
      <c r="O57" s="2"/>
      <c r="Q57" s="3"/>
      <c r="R57" s="3"/>
      <c r="S57" s="27" t="s">
        <v>67</v>
      </c>
      <c r="T57" s="28">
        <f>SUM(T45:T56)</f>
        <v>5831.529622809514</v>
      </c>
      <c r="U57" s="28">
        <f>SUM(U45:U56)</f>
        <v>5744.319423220426</v>
      </c>
      <c r="V57" s="28">
        <f>SUM(V45:V56)</f>
        <v>5735.0339939911437</v>
      </c>
      <c r="W57" s="27" t="s">
        <v>149</v>
      </c>
      <c r="X57" s="3"/>
      <c r="Y57" s="2"/>
      <c r="Z57" s="3"/>
      <c r="AA57" s="3"/>
      <c r="AB57" s="8" t="s">
        <v>115</v>
      </c>
      <c r="AC57" s="10">
        <f>'Referenz Plattenfertiger'!$W$19</f>
        <v>0</v>
      </c>
      <c r="AD57" s="10">
        <f>Z128</f>
        <v>0</v>
      </c>
      <c r="AE57" s="10">
        <f>Z212</f>
        <v>0</v>
      </c>
      <c r="AF57" s="3" t="s">
        <v>148</v>
      </c>
      <c r="AG57" s="3"/>
      <c r="AH57" s="2"/>
      <c r="AI57" s="3"/>
      <c r="AJ57" s="3"/>
      <c r="AK57" s="31" t="s">
        <v>141</v>
      </c>
      <c r="AL57" s="51">
        <f>'Referenz Plattenfertiger'!AD26</f>
        <v>2373.3088765000002</v>
      </c>
      <c r="AM57" s="51">
        <f>AJ145</f>
        <v>4271.9559777000004</v>
      </c>
      <c r="AN57" s="51">
        <f>AJ224</f>
        <v>7594.5884048000007</v>
      </c>
      <c r="AO57" s="3"/>
      <c r="AP57" s="112"/>
      <c r="AQ57" s="112"/>
      <c r="AR57" s="62"/>
    </row>
    <row r="58" spans="1:44" ht="16.5" thickTop="1" x14ac:dyDescent="0.3">
      <c r="A58" s="2"/>
      <c r="B58" s="2"/>
      <c r="C58" s="2"/>
      <c r="D58" s="2"/>
      <c r="E58" s="2"/>
      <c r="F58" s="2"/>
      <c r="G58" s="2"/>
      <c r="H58" s="2"/>
      <c r="I58" s="2"/>
      <c r="J58" s="2"/>
      <c r="K58" s="2"/>
      <c r="L58" s="2"/>
      <c r="M58" s="2"/>
      <c r="N58" s="2"/>
      <c r="O58" s="2"/>
      <c r="Q58" s="3"/>
      <c r="R58" s="3"/>
      <c r="S58" s="3"/>
      <c r="T58" s="3"/>
      <c r="U58" s="3"/>
      <c r="V58" s="3"/>
      <c r="W58" s="3"/>
      <c r="X58" s="3"/>
      <c r="Y58" s="2"/>
      <c r="Z58" s="3"/>
      <c r="AA58" s="3"/>
      <c r="AB58" s="29" t="s">
        <v>111</v>
      </c>
      <c r="AC58" s="32">
        <f>'Referenz Plattenfertiger'!$W$25</f>
        <v>0</v>
      </c>
      <c r="AD58" s="32">
        <f>Z134</f>
        <v>0</v>
      </c>
      <c r="AE58" s="32">
        <f>Z218</f>
        <v>0</v>
      </c>
      <c r="AF58" s="25" t="s">
        <v>148</v>
      </c>
      <c r="AG58" s="3"/>
      <c r="AH58" s="2"/>
      <c r="AI58" s="3"/>
      <c r="AJ58" s="3"/>
      <c r="AK58" s="31" t="s">
        <v>142</v>
      </c>
      <c r="AL58" s="51">
        <f>'Referenz Plattenfertiger'!AD27</f>
        <v>4297.5</v>
      </c>
      <c r="AM58" s="51">
        <f>AJ146</f>
        <v>5620.160118992103</v>
      </c>
      <c r="AN58" s="51">
        <f>AJ225</f>
        <v>4924.2043876888438</v>
      </c>
      <c r="AO58" s="3"/>
      <c r="AP58" s="112"/>
      <c r="AQ58" s="112"/>
      <c r="AR58" s="62"/>
    </row>
    <row r="59" spans="1:44" ht="15.75" x14ac:dyDescent="0.3">
      <c r="A59" s="2"/>
      <c r="B59" s="2"/>
      <c r="C59" s="2"/>
      <c r="D59" s="2"/>
      <c r="E59" s="2"/>
      <c r="F59" s="2"/>
      <c r="G59" s="2"/>
      <c r="H59" s="2"/>
      <c r="I59" s="2"/>
      <c r="J59" s="2"/>
      <c r="K59" s="2"/>
      <c r="L59" s="2"/>
      <c r="M59" s="2"/>
      <c r="N59" s="2"/>
      <c r="O59" s="2"/>
      <c r="Q59" s="3"/>
      <c r="R59" s="3"/>
      <c r="S59" s="3"/>
      <c r="T59" s="3"/>
      <c r="U59" s="3"/>
      <c r="V59" s="3"/>
      <c r="W59" s="3"/>
      <c r="X59" s="3"/>
      <c r="Y59" s="2"/>
      <c r="Z59" s="3"/>
      <c r="AA59" s="3"/>
      <c r="AB59" s="8" t="s">
        <v>116</v>
      </c>
      <c r="AC59" s="10">
        <f>'Referenz Plattenfertiger'!$W$26</f>
        <v>0</v>
      </c>
      <c r="AD59" s="10">
        <f>Z135</f>
        <v>0</v>
      </c>
      <c r="AE59" s="10">
        <f>Z219</f>
        <v>0</v>
      </c>
      <c r="AF59" s="3" t="s">
        <v>148</v>
      </c>
      <c r="AG59" s="3"/>
      <c r="AH59" s="2"/>
      <c r="AI59" s="3"/>
      <c r="AJ59" s="3"/>
      <c r="AK59" s="31" t="s">
        <v>143</v>
      </c>
      <c r="AL59" s="51">
        <f>'Referenz Plattenfertiger'!AD28</f>
        <v>145788.24057023795</v>
      </c>
      <c r="AM59" s="51">
        <f>AJ147</f>
        <v>258494.37404491924</v>
      </c>
      <c r="AN59" s="51">
        <f>AJ226</f>
        <v>458802.71951929189</v>
      </c>
      <c r="AO59" s="3"/>
      <c r="AP59" s="112"/>
      <c r="AQ59" s="112"/>
      <c r="AR59" s="62"/>
    </row>
    <row r="60" spans="1:44" ht="16.5" thickBot="1" x14ac:dyDescent="0.35">
      <c r="A60" s="2"/>
      <c r="B60" s="2"/>
      <c r="C60" s="2"/>
      <c r="D60" s="2"/>
      <c r="E60" s="2"/>
      <c r="F60" s="2"/>
      <c r="G60" s="2"/>
      <c r="H60" s="2"/>
      <c r="I60" s="2"/>
      <c r="J60" s="2"/>
      <c r="K60" s="2"/>
      <c r="L60" s="2"/>
      <c r="M60" s="2"/>
      <c r="N60" s="2"/>
      <c r="O60" s="2"/>
      <c r="Q60" s="3"/>
      <c r="R60" s="3"/>
      <c r="S60" s="3"/>
      <c r="T60" s="3"/>
      <c r="U60" s="3"/>
      <c r="V60" s="3"/>
      <c r="W60" s="3"/>
      <c r="X60" s="3"/>
      <c r="Y60" s="2"/>
      <c r="Z60" s="3"/>
      <c r="AA60" s="3"/>
      <c r="AB60" s="29" t="s">
        <v>32</v>
      </c>
      <c r="AC60" s="32">
        <f>'Referenz Plattenfertiger'!$W$28+'Referenz Plattenfertiger'!$W$29</f>
        <v>35.884155059999998</v>
      </c>
      <c r="AD60" s="32">
        <f>Z137+Z138</f>
        <v>35.884155059999998</v>
      </c>
      <c r="AE60" s="32">
        <f>Z221+Z222</f>
        <v>35.884155059999998</v>
      </c>
      <c r="AF60" s="25" t="s">
        <v>148</v>
      </c>
      <c r="AG60" s="3"/>
      <c r="AH60" s="2"/>
      <c r="AI60" s="3"/>
      <c r="AJ60" s="3"/>
      <c r="AK60" s="27" t="s">
        <v>67</v>
      </c>
      <c r="AL60" s="55">
        <f>AL56+AL55+AL54+AL53+AL45</f>
        <v>262128.04944673795</v>
      </c>
      <c r="AM60" s="55">
        <f t="shared" ref="AM60:AN60" si="3">AM56+AM55+AM54+AM53+AM45</f>
        <v>378055.49014161137</v>
      </c>
      <c r="AN60" s="55">
        <f t="shared" si="3"/>
        <v>580990.51231178071</v>
      </c>
      <c r="AO60" s="3"/>
      <c r="AP60" s="112"/>
      <c r="AQ60" s="112"/>
      <c r="AR60" s="62"/>
    </row>
    <row r="61" spans="1:44" ht="15.75" thickTop="1" thickBot="1" x14ac:dyDescent="0.3">
      <c r="A61" s="2"/>
      <c r="B61" s="2"/>
      <c r="C61" s="2"/>
      <c r="D61" s="2"/>
      <c r="E61" s="2"/>
      <c r="F61" s="2"/>
      <c r="G61" s="2"/>
      <c r="H61" s="2"/>
      <c r="I61" s="2"/>
      <c r="J61" s="2"/>
      <c r="K61" s="2"/>
      <c r="L61" s="2"/>
      <c r="M61" s="2"/>
      <c r="N61" s="2"/>
      <c r="O61" s="2"/>
      <c r="Q61" s="3"/>
      <c r="R61" s="3"/>
      <c r="S61" s="3"/>
      <c r="T61" s="3"/>
      <c r="U61" s="3"/>
      <c r="V61" s="3"/>
      <c r="W61" s="3"/>
      <c r="X61" s="3"/>
      <c r="Y61" s="2"/>
      <c r="Z61" s="3"/>
      <c r="AA61" s="3"/>
      <c r="AB61" s="27" t="s">
        <v>67</v>
      </c>
      <c r="AC61" s="33">
        <f>SUM(AC54:AC60)</f>
        <v>266.83235506</v>
      </c>
      <c r="AD61" s="33">
        <f>SUM(AD54:AD60)</f>
        <v>219.82480214871339</v>
      </c>
      <c r="AE61" s="33">
        <f>SUM(AE54:AE60)</f>
        <v>156.48490990611054</v>
      </c>
      <c r="AF61" s="27" t="s">
        <v>149</v>
      </c>
      <c r="AG61" s="3"/>
      <c r="AH61" s="2"/>
      <c r="AI61" s="3"/>
      <c r="AJ61" s="3"/>
      <c r="AK61" s="3"/>
      <c r="AL61" s="3"/>
      <c r="AM61" s="3"/>
      <c r="AN61" s="3"/>
      <c r="AO61" s="3"/>
      <c r="AP61" s="62"/>
      <c r="AQ61" s="62"/>
      <c r="AR61" s="62"/>
    </row>
    <row r="62" spans="1:44" ht="17.25" thickTop="1" thickBot="1" x14ac:dyDescent="0.35">
      <c r="A62" s="2"/>
      <c r="B62" s="2"/>
      <c r="C62" s="2"/>
      <c r="D62" s="2"/>
      <c r="E62" s="2"/>
      <c r="F62" s="2"/>
      <c r="G62" s="2"/>
      <c r="H62" s="2"/>
      <c r="I62" s="2"/>
      <c r="J62" s="2"/>
      <c r="K62" s="2"/>
      <c r="L62" s="2"/>
      <c r="M62" s="2"/>
      <c r="N62" s="2"/>
      <c r="O62" s="2"/>
      <c r="Q62" s="3"/>
      <c r="R62" s="3"/>
      <c r="S62" s="3"/>
      <c r="T62" s="3"/>
      <c r="U62" s="3"/>
      <c r="V62" s="3"/>
      <c r="W62" s="3"/>
      <c r="X62" s="3"/>
      <c r="Y62" s="2"/>
      <c r="Z62" s="3"/>
      <c r="AA62" s="3"/>
      <c r="AB62" s="3"/>
      <c r="AC62" s="3"/>
      <c r="AD62" s="3"/>
      <c r="AE62" s="3"/>
      <c r="AF62" s="3"/>
      <c r="AG62" s="3"/>
      <c r="AH62" s="2"/>
      <c r="AI62" s="3"/>
      <c r="AJ62" s="3"/>
      <c r="AK62" s="104" t="s">
        <v>196</v>
      </c>
      <c r="AL62" s="105">
        <f>AL60-AL59</f>
        <v>116339.8088765</v>
      </c>
      <c r="AM62" s="105">
        <f>AM60-AM59</f>
        <v>119561.11609669213</v>
      </c>
      <c r="AN62" s="105">
        <f>AN60-AN59</f>
        <v>122187.79279248882</v>
      </c>
      <c r="AO62" s="3"/>
      <c r="AP62" s="3"/>
      <c r="AQ62" s="3"/>
      <c r="AR62" s="3"/>
    </row>
    <row r="63" spans="1:44" ht="16.5" thickBot="1" x14ac:dyDescent="0.35">
      <c r="A63" s="2"/>
      <c r="B63" s="2"/>
      <c r="C63" s="2"/>
      <c r="D63" s="2"/>
      <c r="E63" s="2"/>
      <c r="F63" s="2"/>
      <c r="G63" s="2"/>
      <c r="H63" s="2"/>
      <c r="I63" s="2"/>
      <c r="J63" s="2"/>
      <c r="K63" s="2"/>
      <c r="L63" s="2"/>
      <c r="M63" s="2"/>
      <c r="N63" s="2"/>
      <c r="O63" s="2"/>
      <c r="Q63" s="3"/>
      <c r="R63" s="3"/>
      <c r="S63" s="3"/>
      <c r="T63" s="3"/>
      <c r="U63" s="3"/>
      <c r="V63" s="3"/>
      <c r="W63" s="3"/>
      <c r="X63" s="3"/>
      <c r="Y63" s="2"/>
      <c r="Z63" s="3"/>
      <c r="AA63" s="3"/>
      <c r="AB63" s="3"/>
      <c r="AC63" s="3"/>
      <c r="AD63" s="3"/>
      <c r="AE63" s="3"/>
      <c r="AF63" s="3"/>
      <c r="AG63" s="3"/>
      <c r="AH63" s="2"/>
      <c r="AI63" s="3"/>
      <c r="AJ63" s="3"/>
      <c r="AK63" s="106" t="s">
        <v>145</v>
      </c>
      <c r="AL63" s="107">
        <f>AL60-AL56</f>
        <v>109669</v>
      </c>
      <c r="AM63" s="107">
        <f>AM60-AM56</f>
        <v>109669</v>
      </c>
      <c r="AN63" s="107">
        <f>AN60-AN56</f>
        <v>109669</v>
      </c>
      <c r="AO63" s="3"/>
      <c r="AP63" s="3"/>
      <c r="AQ63" s="3"/>
      <c r="AR63" s="3"/>
    </row>
    <row r="64" spans="1:44" x14ac:dyDescent="0.2">
      <c r="A64" s="2"/>
      <c r="B64" s="2"/>
      <c r="C64" s="2"/>
      <c r="D64" s="2"/>
      <c r="E64" s="2"/>
      <c r="F64" s="2"/>
      <c r="G64" s="2"/>
      <c r="H64" s="2"/>
      <c r="I64" s="2"/>
      <c r="J64" s="2"/>
      <c r="K64" s="2"/>
      <c r="L64" s="2"/>
      <c r="M64" s="2"/>
      <c r="N64" s="2"/>
      <c r="O64" s="2"/>
      <c r="Q64" s="3"/>
      <c r="R64" s="3"/>
      <c r="S64" s="3"/>
      <c r="T64" s="3"/>
      <c r="U64" s="3"/>
      <c r="V64" s="3"/>
      <c r="W64" s="3"/>
      <c r="X64" s="3"/>
      <c r="Y64" s="2"/>
      <c r="Z64" s="3"/>
      <c r="AA64" s="3"/>
      <c r="AB64" s="3"/>
      <c r="AC64" s="3"/>
      <c r="AD64" s="3"/>
      <c r="AE64" s="3"/>
      <c r="AF64" s="3"/>
      <c r="AG64" s="3"/>
      <c r="AH64" s="2"/>
      <c r="AI64" s="3"/>
      <c r="AJ64" s="3"/>
      <c r="AK64" s="3"/>
      <c r="AL64" s="3"/>
      <c r="AM64" s="3"/>
      <c r="AN64" s="3"/>
      <c r="AO64" s="3"/>
      <c r="AP64" s="3"/>
      <c r="AQ64" s="3"/>
      <c r="AR64" s="3"/>
    </row>
    <row r="65" spans="1:44" x14ac:dyDescent="0.2">
      <c r="A65" s="2"/>
      <c r="B65" s="2"/>
      <c r="C65" s="2"/>
      <c r="D65" s="2"/>
      <c r="E65" s="2"/>
      <c r="F65" s="2"/>
      <c r="G65" s="2"/>
      <c r="H65" s="2"/>
      <c r="I65" s="2"/>
      <c r="J65" s="2"/>
      <c r="K65" s="2"/>
      <c r="L65" s="2"/>
      <c r="M65" s="2"/>
      <c r="N65" s="2"/>
      <c r="O65" s="2"/>
      <c r="Q65" s="3"/>
      <c r="R65" s="3"/>
      <c r="S65" s="3"/>
      <c r="T65" s="3"/>
      <c r="U65" s="3"/>
      <c r="V65" s="3"/>
      <c r="W65" s="3"/>
      <c r="X65" s="3"/>
      <c r="Y65" s="2"/>
      <c r="Z65" s="3"/>
      <c r="AA65" s="3"/>
      <c r="AB65" s="3"/>
      <c r="AC65" s="3"/>
      <c r="AD65" s="3"/>
      <c r="AE65" s="3"/>
      <c r="AF65" s="3"/>
      <c r="AG65" s="3"/>
      <c r="AH65" s="2"/>
      <c r="AI65" s="3"/>
      <c r="AJ65" s="3"/>
      <c r="AK65" s="3"/>
      <c r="AL65" s="3"/>
      <c r="AM65" s="3"/>
      <c r="AN65" s="3"/>
      <c r="AO65" s="3"/>
      <c r="AP65" s="3"/>
      <c r="AQ65" s="3"/>
      <c r="AR65" s="3"/>
    </row>
    <row r="66" spans="1:44" x14ac:dyDescent="0.2">
      <c r="A66" s="2"/>
      <c r="B66" s="2"/>
      <c r="C66" s="2"/>
      <c r="D66" s="2"/>
      <c r="E66" s="2"/>
      <c r="F66" s="2"/>
      <c r="G66" s="2"/>
      <c r="H66" s="2"/>
      <c r="I66" s="2"/>
      <c r="J66" s="2"/>
      <c r="K66" s="2"/>
      <c r="L66" s="2"/>
      <c r="M66" s="2"/>
      <c r="N66" s="2"/>
      <c r="O66" s="2"/>
      <c r="Q66" s="3"/>
      <c r="R66" s="3"/>
      <c r="S66" s="3"/>
      <c r="T66" s="3"/>
      <c r="U66" s="3"/>
      <c r="V66" s="3"/>
      <c r="W66" s="3"/>
      <c r="X66" s="3"/>
      <c r="Y66" s="2"/>
      <c r="Z66" s="3"/>
      <c r="AA66" s="3"/>
      <c r="AB66" s="8"/>
      <c r="AC66" s="82"/>
      <c r="AD66" s="82"/>
      <c r="AE66" s="82"/>
      <c r="AF66" s="8"/>
      <c r="AG66" s="3"/>
      <c r="AH66" s="2"/>
      <c r="AI66" s="3"/>
      <c r="AJ66" s="3"/>
      <c r="AK66" s="3"/>
      <c r="AL66" s="3"/>
      <c r="AM66" s="3"/>
      <c r="AN66" s="3"/>
      <c r="AO66" s="3"/>
      <c r="AP66" s="3"/>
      <c r="AQ66" s="3"/>
      <c r="AR66" s="3"/>
    </row>
    <row r="67" spans="1:44" x14ac:dyDescent="0.2">
      <c r="A67" s="2"/>
      <c r="B67" s="2"/>
      <c r="C67" s="2"/>
      <c r="D67" s="2"/>
      <c r="E67" s="2"/>
      <c r="F67" s="2"/>
      <c r="G67" s="2"/>
      <c r="H67" s="2"/>
      <c r="I67" s="2"/>
      <c r="J67" s="2"/>
      <c r="K67" s="2"/>
      <c r="L67" s="2"/>
      <c r="M67" s="2"/>
      <c r="N67" s="2"/>
      <c r="O67" s="2"/>
      <c r="Q67" s="3"/>
      <c r="R67" s="3"/>
      <c r="S67" s="3"/>
      <c r="T67" s="3"/>
      <c r="U67" s="3"/>
      <c r="V67" s="3"/>
      <c r="W67" s="3"/>
      <c r="X67" s="3"/>
      <c r="Y67" s="2"/>
      <c r="Z67" s="3"/>
      <c r="AA67" s="3"/>
      <c r="AB67" s="8"/>
      <c r="AC67" s="82"/>
      <c r="AD67" s="82"/>
      <c r="AE67" s="82"/>
      <c r="AF67" s="8"/>
      <c r="AG67" s="3"/>
      <c r="AH67" s="2"/>
      <c r="AI67" s="3"/>
      <c r="AJ67" s="3"/>
      <c r="AK67" s="3"/>
      <c r="AL67" s="3"/>
      <c r="AM67" s="3"/>
      <c r="AN67" s="3"/>
      <c r="AO67" s="3"/>
      <c r="AP67" s="3"/>
      <c r="AQ67" s="3"/>
      <c r="AR67" s="3"/>
    </row>
    <row r="68" spans="1:44" ht="15" x14ac:dyDescent="0.25">
      <c r="A68" s="2"/>
      <c r="B68" s="2"/>
      <c r="C68" s="2"/>
      <c r="D68" s="2"/>
      <c r="E68" s="2"/>
      <c r="F68" s="2"/>
      <c r="G68" s="2"/>
      <c r="H68" s="2"/>
      <c r="I68" s="2"/>
      <c r="J68" s="2"/>
      <c r="K68" s="2"/>
      <c r="L68" s="2"/>
      <c r="M68" s="2"/>
      <c r="N68" s="2"/>
      <c r="O68" s="2"/>
      <c r="Q68" s="3"/>
      <c r="R68" s="3"/>
      <c r="S68" s="3"/>
      <c r="T68" s="3"/>
      <c r="U68" s="3"/>
      <c r="V68" s="3"/>
      <c r="W68" s="3"/>
      <c r="X68" s="3"/>
      <c r="Y68" s="2"/>
      <c r="Z68" s="3"/>
      <c r="AA68" s="3"/>
      <c r="AB68" s="23" t="s">
        <v>194</v>
      </c>
      <c r="AC68" s="3"/>
      <c r="AD68" s="3"/>
      <c r="AE68" s="3"/>
      <c r="AF68" s="3"/>
      <c r="AG68" s="3"/>
      <c r="AH68" s="2"/>
      <c r="AI68" s="3"/>
      <c r="AJ68" s="3"/>
      <c r="AK68" s="3"/>
      <c r="AL68" s="3"/>
      <c r="AM68" s="3"/>
      <c r="AN68" s="3"/>
      <c r="AO68" s="3"/>
      <c r="AP68" s="3"/>
      <c r="AQ68" s="3"/>
      <c r="AR68" s="3"/>
    </row>
    <row r="69" spans="1:44" ht="15" x14ac:dyDescent="0.25">
      <c r="A69" s="2"/>
      <c r="B69" s="2"/>
      <c r="C69" s="2"/>
      <c r="D69" s="2"/>
      <c r="E69" s="2"/>
      <c r="F69" s="2"/>
      <c r="G69" s="2"/>
      <c r="H69" s="2"/>
      <c r="I69" s="2"/>
      <c r="J69" s="2"/>
      <c r="K69" s="2"/>
      <c r="L69" s="2"/>
      <c r="M69" s="2"/>
      <c r="N69" s="2"/>
      <c r="O69" s="2"/>
      <c r="Q69" s="3"/>
      <c r="R69" s="3"/>
      <c r="S69" s="3"/>
      <c r="T69" s="3"/>
      <c r="U69" s="3"/>
      <c r="V69" s="3"/>
      <c r="W69" s="3"/>
      <c r="X69" s="3"/>
      <c r="Y69" s="2"/>
      <c r="Z69" s="3"/>
      <c r="AA69" s="3"/>
      <c r="AB69" s="34"/>
      <c r="AC69" s="45">
        <f>T$43</f>
        <v>0</v>
      </c>
      <c r="AD69" s="45">
        <f>U$43</f>
        <v>5</v>
      </c>
      <c r="AE69" s="45">
        <f>V$43</f>
        <v>10</v>
      </c>
      <c r="AF69" s="34"/>
      <c r="AG69" s="3"/>
      <c r="AH69" s="2"/>
      <c r="AI69" s="3"/>
      <c r="AJ69" s="3"/>
      <c r="AK69" s="3"/>
      <c r="AL69" s="3"/>
      <c r="AM69" s="3"/>
      <c r="AN69" s="3"/>
      <c r="AO69" s="3"/>
      <c r="AP69" s="3"/>
      <c r="AQ69" s="3"/>
      <c r="AR69" s="3"/>
    </row>
    <row r="70" spans="1:44" x14ac:dyDescent="0.2">
      <c r="A70" s="2"/>
      <c r="B70" s="2"/>
      <c r="C70" s="2"/>
      <c r="D70" s="2"/>
      <c r="E70" s="2"/>
      <c r="F70" s="2"/>
      <c r="G70" s="2"/>
      <c r="H70" s="2"/>
      <c r="I70" s="2"/>
      <c r="J70" s="2"/>
      <c r="K70" s="2"/>
      <c r="L70" s="2"/>
      <c r="M70" s="2"/>
      <c r="N70" s="2"/>
      <c r="O70" s="2"/>
      <c r="Q70" s="3"/>
      <c r="R70" s="3"/>
      <c r="S70" s="3"/>
      <c r="T70" s="3"/>
      <c r="U70" s="3"/>
      <c r="V70" s="3"/>
      <c r="W70" s="3"/>
      <c r="X70" s="3"/>
      <c r="Y70" s="2"/>
      <c r="Z70" s="3"/>
      <c r="AA70" s="3"/>
      <c r="AB70" s="24"/>
      <c r="AC70" s="47" t="s">
        <v>81</v>
      </c>
      <c r="AD70" s="48"/>
      <c r="AE70" s="48"/>
      <c r="AF70" s="24"/>
      <c r="AG70" s="3"/>
      <c r="AH70" s="2"/>
      <c r="AI70" s="3"/>
      <c r="AJ70" s="3"/>
      <c r="AK70" s="3"/>
      <c r="AL70" s="3"/>
      <c r="AM70" s="3"/>
      <c r="AN70" s="3"/>
      <c r="AO70" s="3"/>
      <c r="AP70" s="3"/>
      <c r="AQ70" s="3"/>
      <c r="AR70" s="3"/>
    </row>
    <row r="71" spans="1:44" ht="15.75" x14ac:dyDescent="0.3">
      <c r="A71" s="2"/>
      <c r="B71" s="2"/>
      <c r="C71" s="2"/>
      <c r="D71" s="2"/>
      <c r="E71" s="2"/>
      <c r="F71" s="2"/>
      <c r="G71" s="2"/>
      <c r="H71" s="2"/>
      <c r="I71" s="2"/>
      <c r="J71" s="2"/>
      <c r="K71" s="2"/>
      <c r="L71" s="2"/>
      <c r="M71" s="2"/>
      <c r="N71" s="2"/>
      <c r="O71" s="2"/>
      <c r="Q71" s="3"/>
      <c r="R71" s="3"/>
      <c r="S71" s="3"/>
      <c r="T71" s="3"/>
      <c r="U71" s="3"/>
      <c r="V71" s="3"/>
      <c r="W71" s="3"/>
      <c r="X71" s="3"/>
      <c r="Y71" s="2"/>
      <c r="Z71" s="3"/>
      <c r="AA71" s="3"/>
      <c r="AB71" s="29" t="s">
        <v>104</v>
      </c>
      <c r="AC71" s="97">
        <f>AC45/IF(NOT(ISBLANK('Referenz Plattenfertiger'!$I$12)),'Referenz Plattenfertiger'!$I$12,'Referenz Plattenfertiger'!$F$12)</f>
        <v>2.3733088764999999E-3</v>
      </c>
      <c r="AD71" s="97">
        <f>AD45/IF(NOT(ISBLANK('Referenz Plattenfertiger'!$I$12)),'Referenz Plattenfertiger'!$I$12,'Referenz Plattenfertiger'!$F$12)</f>
        <v>2.3733088764999999E-3</v>
      </c>
      <c r="AE71" s="97">
        <f>AE45/IF(NOT(ISBLANK('Referenz Plattenfertiger'!$I$12)),'Referenz Plattenfertiger'!$I$12,'Referenz Plattenfertiger'!$F$12)</f>
        <v>2.3733088764999999E-3</v>
      </c>
      <c r="AF71" s="25" t="s">
        <v>193</v>
      </c>
      <c r="AG71" s="3"/>
      <c r="AH71" s="2"/>
      <c r="AI71" s="3"/>
      <c r="AJ71" s="3"/>
      <c r="AK71" s="3"/>
      <c r="AL71" s="3"/>
      <c r="AM71" s="3"/>
      <c r="AN71" s="3"/>
      <c r="AO71" s="3"/>
      <c r="AP71" s="3"/>
      <c r="AQ71" s="3"/>
      <c r="AR71" s="3"/>
    </row>
    <row r="72" spans="1:44" ht="15.75" x14ac:dyDescent="0.3">
      <c r="A72" s="2"/>
      <c r="B72" s="2"/>
      <c r="C72" s="2"/>
      <c r="D72" s="2"/>
      <c r="E72" s="2"/>
      <c r="F72" s="2"/>
      <c r="G72" s="2"/>
      <c r="H72" s="2"/>
      <c r="I72" s="2"/>
      <c r="J72" s="2"/>
      <c r="K72" s="2"/>
      <c r="L72" s="2"/>
      <c r="M72" s="2"/>
      <c r="N72" s="2"/>
      <c r="O72" s="2"/>
      <c r="Q72" s="3"/>
      <c r="R72" s="3"/>
      <c r="S72" s="3"/>
      <c r="T72" s="3"/>
      <c r="U72" s="3"/>
      <c r="V72" s="3"/>
      <c r="W72" s="3"/>
      <c r="X72" s="3"/>
      <c r="Y72" s="2"/>
      <c r="Z72" s="3"/>
      <c r="AA72" s="3"/>
      <c r="AB72" s="8" t="s">
        <v>26</v>
      </c>
      <c r="AC72" s="98">
        <f>AC46/IF(NOT(ISBLANK('Referenz Plattenfertiger'!$I$12)),'Referenz Plattenfertiger'!$I$12,'Referenz Plattenfertiger'!$F$12)</f>
        <v>4.2975000000000001E-3</v>
      </c>
      <c r="AD72" s="98">
        <f>AD46/IF(NOT(ISBLANK('Referenz Plattenfertiger'!$I$12)),'Referenz Plattenfertiger'!$I$12,'Referenz Plattenfertiger'!$F$12)</f>
        <v>3.122311177217835E-3</v>
      </c>
      <c r="AE72" s="98">
        <f>AE46/IF(NOT(ISBLANK('Referenz Plattenfertiger'!$I$12)),'Referenz Plattenfertiger'!$I$12,'Referenz Plattenfertiger'!$F$12)</f>
        <v>1.5388138711527638E-3</v>
      </c>
      <c r="AF72" s="3" t="s">
        <v>193</v>
      </c>
      <c r="AG72" s="3"/>
      <c r="AH72" s="2"/>
      <c r="AI72" s="3"/>
      <c r="AJ72" s="3"/>
      <c r="AK72" s="3"/>
      <c r="AL72" s="3"/>
      <c r="AM72" s="3"/>
      <c r="AN72" s="3"/>
      <c r="AO72" s="3"/>
      <c r="AP72" s="3"/>
      <c r="AQ72" s="3"/>
      <c r="AR72" s="3"/>
    </row>
    <row r="73" spans="1:44" ht="15.75" x14ac:dyDescent="0.3">
      <c r="A73" s="2"/>
      <c r="B73" s="2"/>
      <c r="C73" s="2"/>
      <c r="D73" s="2"/>
      <c r="E73" s="2"/>
      <c r="F73" s="2"/>
      <c r="G73" s="2"/>
      <c r="H73" s="2"/>
      <c r="I73" s="2"/>
      <c r="J73" s="2"/>
      <c r="K73" s="2"/>
      <c r="L73" s="2"/>
      <c r="M73" s="2"/>
      <c r="N73" s="2"/>
      <c r="O73" s="2"/>
      <c r="Q73" s="3"/>
      <c r="R73" s="3"/>
      <c r="S73" s="3"/>
      <c r="T73" s="3"/>
      <c r="U73" s="3"/>
      <c r="V73" s="3"/>
      <c r="W73" s="3"/>
      <c r="X73" s="3"/>
      <c r="Y73" s="2"/>
      <c r="Z73" s="3"/>
      <c r="AA73" s="3"/>
      <c r="AB73" s="29" t="s">
        <v>27</v>
      </c>
      <c r="AC73" s="97">
        <f>AC47/IF(NOT(ISBLANK('Referenz Plattenfertiger'!$I$12)),'Referenz Plattenfertiger'!$I$12,'Referenz Plattenfertiger'!$F$12)</f>
        <v>0.14578824057023795</v>
      </c>
      <c r="AD73" s="97">
        <f>AD47/IF(NOT(ISBLANK('Referenz Plattenfertiger'!$I$12)),'Referenz Plattenfertiger'!$I$12,'Referenz Plattenfertiger'!$F$12)</f>
        <v>0.14360798558051069</v>
      </c>
      <c r="AE73" s="97">
        <f>AE47/IF(NOT(ISBLANK('Referenz Plattenfertiger'!$I$12)),'Referenz Plattenfertiger'!$I$12,'Referenz Plattenfertiger'!$F$12)</f>
        <v>0.14337584984977872</v>
      </c>
      <c r="AF73" s="25" t="s">
        <v>193</v>
      </c>
      <c r="AG73" s="3"/>
      <c r="AH73" s="2"/>
      <c r="AI73" s="3"/>
      <c r="AJ73" s="3"/>
      <c r="AK73" s="3"/>
      <c r="AL73" s="3"/>
      <c r="AM73" s="3"/>
      <c r="AN73" s="3"/>
      <c r="AO73" s="3"/>
      <c r="AP73" s="3"/>
      <c r="AQ73" s="3"/>
      <c r="AR73" s="3"/>
    </row>
    <row r="74" spans="1:44" ht="15" thickBot="1" x14ac:dyDescent="0.3">
      <c r="A74" s="2"/>
      <c r="B74" s="2"/>
      <c r="C74" s="2"/>
      <c r="D74" s="2"/>
      <c r="E74" s="2"/>
      <c r="F74" s="2"/>
      <c r="G74" s="2"/>
      <c r="H74" s="2"/>
      <c r="I74" s="2"/>
      <c r="J74" s="2"/>
      <c r="K74" s="2"/>
      <c r="L74" s="2"/>
      <c r="M74" s="2"/>
      <c r="N74" s="2"/>
      <c r="O74" s="2"/>
      <c r="Q74" s="3"/>
      <c r="R74" s="3"/>
      <c r="S74" s="3"/>
      <c r="T74" s="3"/>
      <c r="U74" s="3"/>
      <c r="V74" s="3"/>
      <c r="W74" s="3"/>
      <c r="X74" s="3"/>
      <c r="Y74" s="2"/>
      <c r="Z74" s="3"/>
      <c r="AA74" s="3"/>
      <c r="AB74" s="27" t="s">
        <v>67</v>
      </c>
      <c r="AC74" s="99">
        <f>AC48/IF(NOT(ISBLANK('Referenz Plattenfertiger'!$I$12)),'Referenz Plattenfertiger'!$I$12,'Referenz Plattenfertiger'!$F$12)</f>
        <v>0.15245904944673794</v>
      </c>
      <c r="AD74" s="99">
        <f>AD48/IF(NOT(ISBLANK('Referenz Plattenfertiger'!$I$12)),'Referenz Plattenfertiger'!$I$12,'Referenz Plattenfertiger'!$F$12)</f>
        <v>0.14910360563422853</v>
      </c>
      <c r="AE74" s="99">
        <f>AE48/IF(NOT(ISBLANK('Referenz Plattenfertiger'!$I$12)),'Referenz Plattenfertiger'!$I$12,'Referenz Plattenfertiger'!$F$12)</f>
        <v>0.14728797259743145</v>
      </c>
      <c r="AF74" s="27" t="s">
        <v>195</v>
      </c>
      <c r="AG74" s="3"/>
      <c r="AH74" s="2"/>
      <c r="AI74" s="3"/>
      <c r="AJ74" s="3"/>
      <c r="AK74" s="3"/>
      <c r="AL74" s="3"/>
      <c r="AM74" s="3"/>
      <c r="AN74" s="3"/>
      <c r="AO74" s="3"/>
      <c r="AP74" s="3"/>
      <c r="AQ74" s="3"/>
      <c r="AR74" s="3"/>
    </row>
    <row r="75" spans="1:44" ht="13.5" thickTop="1" x14ac:dyDescent="0.2">
      <c r="A75" s="2"/>
      <c r="B75" s="2"/>
      <c r="C75" s="2"/>
      <c r="D75" s="2"/>
      <c r="E75" s="2"/>
      <c r="F75" s="2"/>
      <c r="G75" s="2"/>
      <c r="H75" s="2"/>
      <c r="I75" s="2"/>
      <c r="J75" s="2"/>
      <c r="K75" s="2"/>
      <c r="L75" s="2"/>
      <c r="M75" s="2"/>
      <c r="N75" s="2"/>
      <c r="O75" s="2"/>
      <c r="Q75" s="3"/>
      <c r="R75" s="3"/>
      <c r="S75" s="3"/>
      <c r="T75" s="3"/>
      <c r="U75" s="3"/>
      <c r="V75" s="3"/>
      <c r="W75" s="3"/>
      <c r="X75" s="3"/>
      <c r="Y75" s="2"/>
      <c r="Z75" s="3"/>
      <c r="AA75" s="3"/>
      <c r="AB75" s="3"/>
      <c r="AC75" s="3"/>
      <c r="AD75" s="3"/>
      <c r="AE75" s="3"/>
      <c r="AF75" s="3"/>
      <c r="AG75" s="3"/>
      <c r="AH75" s="2"/>
      <c r="AI75" s="3"/>
      <c r="AJ75" s="3"/>
      <c r="AK75" s="3"/>
      <c r="AL75" s="3"/>
      <c r="AM75" s="3"/>
      <c r="AN75" s="3"/>
      <c r="AO75" s="3"/>
      <c r="AP75" s="3"/>
      <c r="AQ75" s="3"/>
      <c r="AR75" s="3"/>
    </row>
    <row r="76" spans="1:44" x14ac:dyDescent="0.2">
      <c r="A76" s="2"/>
      <c r="B76" s="2"/>
      <c r="C76" s="2"/>
      <c r="D76" s="2"/>
      <c r="E76" s="2"/>
      <c r="F76" s="2"/>
      <c r="G76" s="2"/>
      <c r="H76" s="2"/>
      <c r="I76" s="2"/>
      <c r="J76" s="2"/>
      <c r="K76" s="2"/>
      <c r="L76" s="2"/>
      <c r="M76" s="2"/>
      <c r="N76" s="2"/>
      <c r="O76" s="2"/>
      <c r="Q76" s="3"/>
      <c r="R76" s="3"/>
      <c r="S76" s="3"/>
      <c r="T76" s="3"/>
      <c r="U76" s="3"/>
      <c r="V76" s="3"/>
      <c r="W76" s="3"/>
      <c r="X76" s="3"/>
      <c r="Y76" s="2"/>
      <c r="Z76" s="3"/>
      <c r="AA76" s="3"/>
      <c r="AB76" s="3"/>
      <c r="AC76" s="3"/>
      <c r="AD76" s="3"/>
      <c r="AE76" s="3"/>
      <c r="AF76" s="3"/>
      <c r="AG76" s="3"/>
      <c r="AH76" s="2"/>
      <c r="AI76" s="3"/>
      <c r="AJ76" s="3"/>
      <c r="AK76" s="3"/>
      <c r="AL76" s="3"/>
      <c r="AM76" s="3"/>
      <c r="AN76" s="3"/>
      <c r="AO76" s="3"/>
      <c r="AP76" s="3"/>
      <c r="AQ76" s="3"/>
      <c r="AR76" s="3"/>
    </row>
    <row r="77" spans="1:44" x14ac:dyDescent="0.2">
      <c r="A77" s="2"/>
      <c r="B77" s="2"/>
      <c r="C77" s="2"/>
      <c r="D77" s="2"/>
      <c r="E77" s="2"/>
      <c r="F77" s="2"/>
      <c r="G77" s="2"/>
      <c r="H77" s="2"/>
      <c r="I77" s="2"/>
      <c r="J77" s="2"/>
      <c r="K77" s="2"/>
      <c r="L77" s="2"/>
      <c r="M77" s="2"/>
      <c r="N77" s="2"/>
      <c r="O77" s="2"/>
      <c r="Q77" s="3"/>
      <c r="R77" s="3"/>
      <c r="S77" s="3"/>
      <c r="T77" s="3"/>
      <c r="U77" s="3"/>
      <c r="V77" s="3"/>
      <c r="W77" s="3"/>
      <c r="X77" s="3"/>
      <c r="Y77" s="2"/>
      <c r="Z77" s="3"/>
      <c r="AA77" s="3"/>
      <c r="AB77" s="3"/>
      <c r="AC77" s="3"/>
      <c r="AD77" s="3"/>
      <c r="AE77" s="3"/>
      <c r="AF77" s="3"/>
      <c r="AG77" s="3"/>
      <c r="AH77" s="2"/>
      <c r="AI77" s="3"/>
      <c r="AJ77" s="3"/>
      <c r="AK77" s="3"/>
      <c r="AL77" s="3"/>
      <c r="AM77" s="3"/>
      <c r="AN77" s="3"/>
      <c r="AO77" s="3"/>
      <c r="AP77" s="3"/>
      <c r="AQ77" s="3"/>
      <c r="AR77" s="3"/>
    </row>
    <row r="78" spans="1:44" hidden="1" x14ac:dyDescent="0.2">
      <c r="B78" s="6" t="str">
        <f>IF(AND($F$16&gt;0,J16&lt;F16),"Bitte den Handeingabewert 'Reduktion' für 'Bilanzjahr +10 Jahre' auch anpassen. Dieser muss dem Werte Ihrer Handeingabe  'Bilanzjahr + 5 Jahre' entsprechen, sollte nur eine Maßnahme im  'Bilanzjahr + 5 Jahre' umgesetzt werden.","")</f>
        <v/>
      </c>
    </row>
    <row r="79" spans="1:44" hidden="1" x14ac:dyDescent="0.2"/>
    <row r="80" spans="1:44" hidden="1" outlineLevel="1" x14ac:dyDescent="0.2">
      <c r="B80" s="6" t="str">
        <f>IF(OR((AND(G17&gt;0,G17&gt;K17)),(AND(G18&gt;0,G18&gt;K18)),(AND(G19&gt;0,G19&gt;K19)),(AND(G22&gt;0,G22&gt;K22))),"Hinweis: Bitte den Handeingabewert 'Reduktion' für 'Bilanzjahr +10 Jahre' auch anpassen. Dieser muss dem Werte Ihrer Handeingabe 'Bilanzjahr +5 Jahre' entsprechen, sollte nur eine Maßnahme in 'Bilanzjahr +5 Jahre' umgesetzt werden.","")</f>
        <v/>
      </c>
      <c r="Q80" s="3"/>
      <c r="R80" s="3"/>
      <c r="S80" s="3"/>
      <c r="T80" s="3"/>
      <c r="U80" s="3"/>
      <c r="V80" s="3"/>
      <c r="W80" s="3"/>
      <c r="X80" s="3"/>
      <c r="Y80" s="3"/>
      <c r="Z80" s="3"/>
      <c r="AA80" s="3"/>
      <c r="AB80" s="3"/>
      <c r="AC80" s="3"/>
      <c r="AD80" s="3"/>
      <c r="AE80" s="3"/>
      <c r="AF80" s="3"/>
      <c r="AG80" s="3"/>
      <c r="AH80" s="3"/>
      <c r="AI80" s="3"/>
      <c r="AJ80" s="3"/>
      <c r="AK80" s="3"/>
      <c r="AL80" s="3"/>
      <c r="AM80" s="3"/>
      <c r="AN80" s="3"/>
      <c r="AO80" s="3"/>
      <c r="AP80" s="3"/>
    </row>
    <row r="81" spans="2:42" ht="15.75" hidden="1" outlineLevel="1" x14ac:dyDescent="0.25">
      <c r="B81" s="6" t="str">
        <f>IF(AND(G25&gt;0,K25&lt;G25),"Bitte den Handeingabewert 'Umstellung Dieselstapler' für 'Bilanzjahr +10 Jahre' und ggf. 'Bilanzjahr +5 Jahre' auch anpassen. Diese Werte dürfen nicht größer Ihrer Handeingabe 'Anzahl Dieselstapler im Werk' sein. Ansonsten ist die Berechnung fehlerhaft.","")</f>
        <v/>
      </c>
      <c r="Q81" s="3"/>
      <c r="R81" s="3"/>
      <c r="S81" s="61" t="s">
        <v>130</v>
      </c>
      <c r="T81" s="3"/>
      <c r="U81" s="3"/>
      <c r="V81" s="3"/>
      <c r="W81" s="3"/>
      <c r="X81" s="3"/>
      <c r="Y81" s="3"/>
      <c r="Z81" s="3"/>
      <c r="AA81" s="3"/>
      <c r="AB81" s="61" t="s">
        <v>130</v>
      </c>
      <c r="AC81" s="3"/>
      <c r="AD81" s="3"/>
      <c r="AE81" s="3"/>
      <c r="AF81" s="3"/>
      <c r="AG81" s="3"/>
      <c r="AH81" s="3"/>
      <c r="AI81" s="3"/>
      <c r="AJ81" s="61" t="s">
        <v>130</v>
      </c>
      <c r="AK81" s="24"/>
      <c r="AL81" s="24"/>
      <c r="AM81" s="24"/>
      <c r="AN81" s="24"/>
      <c r="AO81" s="3"/>
      <c r="AP81" s="3"/>
    </row>
    <row r="82" spans="2:42" ht="15" hidden="1" outlineLevel="1" x14ac:dyDescent="0.25">
      <c r="Q82" s="3"/>
      <c r="R82" s="3"/>
      <c r="S82" s="35"/>
      <c r="T82" s="35"/>
      <c r="U82" s="35"/>
      <c r="V82" s="35"/>
      <c r="W82" s="34"/>
      <c r="X82" s="3"/>
      <c r="Y82" s="3"/>
      <c r="Z82" s="3"/>
      <c r="AA82" s="3"/>
      <c r="AB82" s="35" t="s">
        <v>239</v>
      </c>
      <c r="AC82" s="45">
        <f>AC69</f>
        <v>0</v>
      </c>
      <c r="AD82" s="45">
        <f t="shared" ref="AD82:AE82" si="4">AD69</f>
        <v>5</v>
      </c>
      <c r="AE82" s="45">
        <f t="shared" si="4"/>
        <v>10</v>
      </c>
      <c r="AF82" s="45"/>
      <c r="AG82" s="3"/>
      <c r="AH82" s="3"/>
      <c r="AI82" s="3"/>
      <c r="AJ82" s="3"/>
      <c r="AK82" s="45"/>
      <c r="AL82" s="46">
        <f>AC82</f>
        <v>0</v>
      </c>
      <c r="AM82" s="46">
        <f t="shared" ref="AM82:AN82" si="5">AD82</f>
        <v>5</v>
      </c>
      <c r="AN82" s="46">
        <f t="shared" si="5"/>
        <v>10</v>
      </c>
      <c r="AO82" s="3"/>
      <c r="AP82" s="3"/>
    </row>
    <row r="83" spans="2:42" hidden="1" outlineLevel="1" x14ac:dyDescent="0.2">
      <c r="Q83" s="3"/>
      <c r="R83" s="3"/>
      <c r="S83" s="24"/>
      <c r="T83" s="59" t="s">
        <v>81</v>
      </c>
      <c r="U83" s="58"/>
      <c r="V83" s="58"/>
      <c r="W83" s="24"/>
      <c r="X83" s="3"/>
      <c r="Y83" s="3"/>
      <c r="Z83" s="3"/>
      <c r="AA83" s="3"/>
      <c r="AB83" s="24"/>
      <c r="AC83" s="59" t="s">
        <v>81</v>
      </c>
      <c r="AD83" s="58"/>
      <c r="AE83" s="58"/>
      <c r="AF83" s="24"/>
      <c r="AG83" s="3"/>
      <c r="AH83" s="3"/>
      <c r="AI83" s="3"/>
      <c r="AJ83" s="3"/>
      <c r="AK83" s="24"/>
      <c r="AL83" s="49" t="s">
        <v>81</v>
      </c>
      <c r="AM83" s="49"/>
      <c r="AN83" s="58"/>
      <c r="AO83" s="3"/>
      <c r="AP83" s="3"/>
    </row>
    <row r="84" spans="2:42" ht="15.75" hidden="1" outlineLevel="1" x14ac:dyDescent="0.3">
      <c r="Q84" s="3"/>
      <c r="R84" s="3"/>
      <c r="S84" s="3" t="str">
        <f t="shared" ref="S84:S90" si="6">IF($X84,AB54,"")</f>
        <v>Erdgas</v>
      </c>
      <c r="T84" s="10">
        <f t="shared" ref="T84:V90" si="7">IF($X84,AC54,NA())</f>
        <v>43.0426</v>
      </c>
      <c r="U84" s="10">
        <f t="shared" si="7"/>
        <v>43.0426</v>
      </c>
      <c r="V84" s="10">
        <f t="shared" si="7"/>
        <v>43.0426</v>
      </c>
      <c r="W84" s="3" t="s">
        <v>148</v>
      </c>
      <c r="X84" s="3" t="b">
        <v>1</v>
      </c>
      <c r="Y84" s="3"/>
      <c r="Z84" s="3"/>
      <c r="AA84" s="3"/>
      <c r="AB84" s="3" t="str">
        <f t="shared" ref="AB84:AB95" si="8">IF($AG84,S45,"")</f>
        <v>Energieträger gesamt</v>
      </c>
      <c r="AC84" s="9">
        <f t="shared" ref="AC84:AC95" si="9">IF($AG84,T45,NA())</f>
        <v>41.281733459999998</v>
      </c>
      <c r="AD84" s="9">
        <f t="shared" ref="AD84:AD95" si="10">IF($AG84,U45,NA())</f>
        <v>34.39057387091087</v>
      </c>
      <c r="AE84" s="9">
        <f t="shared" ref="AE84:AE95" si="11">IF($AG84,V45,NA())</f>
        <v>25.105144641628776</v>
      </c>
      <c r="AF84" s="3" t="s">
        <v>148</v>
      </c>
      <c r="AG84" s="374" t="b">
        <v>1</v>
      </c>
      <c r="AH84" s="374"/>
      <c r="AI84" s="3"/>
      <c r="AJ84" s="3"/>
      <c r="AK84" s="56" t="s">
        <v>144</v>
      </c>
      <c r="AL84" s="57">
        <f>SUM(AL85:AL91)</f>
        <v>109669</v>
      </c>
      <c r="AM84" s="57">
        <f t="shared" ref="AM84:AN84" si="12">SUM(AM85:AM91)</f>
        <v>109669</v>
      </c>
      <c r="AN84" s="57">
        <f t="shared" si="12"/>
        <v>109669</v>
      </c>
      <c r="AO84" s="3"/>
      <c r="AP84" s="3"/>
    </row>
    <row r="85" spans="2:42" ht="15.75" hidden="1" outlineLevel="1" x14ac:dyDescent="0.3">
      <c r="Q85" s="3"/>
      <c r="R85" s="3"/>
      <c r="S85" s="3" t="str">
        <f t="shared" si="6"/>
        <v>Heizöl</v>
      </c>
      <c r="T85" s="10">
        <f t="shared" si="7"/>
        <v>16.005600000000001</v>
      </c>
      <c r="U85" s="10">
        <f t="shared" si="7"/>
        <v>16.005600000000001</v>
      </c>
      <c r="V85" s="10">
        <f t="shared" si="7"/>
        <v>16.005600000000001</v>
      </c>
      <c r="W85" s="3" t="s">
        <v>148</v>
      </c>
      <c r="X85" s="3" t="b">
        <v>1</v>
      </c>
      <c r="Y85" s="3"/>
      <c r="Z85" s="3"/>
      <c r="AA85" s="3"/>
      <c r="AB85" s="3" t="str">
        <f t="shared" si="8"/>
        <v>Transport gesamt</v>
      </c>
      <c r="AC85" s="9">
        <f t="shared" si="9"/>
        <v>469.15642799999995</v>
      </c>
      <c r="AD85" s="9">
        <f t="shared" si="10"/>
        <v>469.15642799999995</v>
      </c>
      <c r="AE85" s="9">
        <f t="shared" si="11"/>
        <v>469.15642799999995</v>
      </c>
      <c r="AF85" s="3" t="s">
        <v>148</v>
      </c>
      <c r="AG85" s="374" t="b">
        <v>1</v>
      </c>
      <c r="AH85" s="374"/>
      <c r="AI85" s="3"/>
      <c r="AJ85" s="3"/>
      <c r="AK85" s="31" t="s">
        <v>29</v>
      </c>
      <c r="AL85" s="51">
        <f>AL46</f>
        <v>14335</v>
      </c>
      <c r="AM85" s="51">
        <f t="shared" ref="AM85:AN85" si="13">AM46</f>
        <v>14335</v>
      </c>
      <c r="AN85" s="51">
        <f t="shared" si="13"/>
        <v>14335</v>
      </c>
      <c r="AO85" s="3"/>
      <c r="AP85" s="3"/>
    </row>
    <row r="86" spans="2:42" ht="15.75" hidden="1" outlineLevel="1" x14ac:dyDescent="0.3">
      <c r="Q86" s="3"/>
      <c r="R86" s="3"/>
      <c r="S86" s="3" t="str">
        <f t="shared" si="6"/>
        <v>Strom</v>
      </c>
      <c r="T86" s="10">
        <f t="shared" si="7"/>
        <v>171.9</v>
      </c>
      <c r="U86" s="10">
        <f t="shared" si="7"/>
        <v>124.8924470887134</v>
      </c>
      <c r="V86" s="10">
        <f t="shared" si="7"/>
        <v>61.552554846110553</v>
      </c>
      <c r="W86" s="3" t="s">
        <v>148</v>
      </c>
      <c r="X86" s="3" t="b">
        <v>1</v>
      </c>
      <c r="Y86" s="3"/>
      <c r="Z86" s="3"/>
      <c r="AA86" s="3"/>
      <c r="AB86" s="3" t="str">
        <f t="shared" si="8"/>
        <v>Zement</v>
      </c>
      <c r="AC86" s="9">
        <f t="shared" si="9"/>
        <v>4548.5439999999999</v>
      </c>
      <c r="AD86" s="9">
        <f t="shared" si="10"/>
        <v>4548.5439999999999</v>
      </c>
      <c r="AE86" s="9">
        <f t="shared" si="11"/>
        <v>4548.5439999999999</v>
      </c>
      <c r="AF86" s="3" t="s">
        <v>148</v>
      </c>
      <c r="AG86" s="374" t="b">
        <v>1</v>
      </c>
      <c r="AH86" s="374"/>
      <c r="AI86" s="3"/>
      <c r="AJ86" s="3"/>
      <c r="AK86" s="31" t="s">
        <v>30</v>
      </c>
      <c r="AL86" s="51">
        <f t="shared" ref="AL86:AN91" si="14">AL47</f>
        <v>2760</v>
      </c>
      <c r="AM86" s="51">
        <f t="shared" si="14"/>
        <v>2760</v>
      </c>
      <c r="AN86" s="51">
        <f t="shared" si="14"/>
        <v>2760</v>
      </c>
      <c r="AO86" s="3"/>
      <c r="AP86" s="3"/>
    </row>
    <row r="87" spans="2:42" ht="15.75" hidden="1" outlineLevel="1" x14ac:dyDescent="0.3">
      <c r="Q87" s="3"/>
      <c r="R87" s="3"/>
      <c r="S87" s="3" t="str">
        <f t="shared" si="6"/>
        <v/>
      </c>
      <c r="T87" s="10" t="e">
        <f t="shared" si="7"/>
        <v>#N/A</v>
      </c>
      <c r="U87" s="10" t="e">
        <f t="shared" si="7"/>
        <v>#N/A</v>
      </c>
      <c r="V87" s="10" t="e">
        <f t="shared" si="7"/>
        <v>#N/A</v>
      </c>
      <c r="W87" s="3" t="s">
        <v>148</v>
      </c>
      <c r="X87" s="3" t="b">
        <v>0</v>
      </c>
      <c r="Y87" s="3"/>
      <c r="Z87" s="3"/>
      <c r="AA87" s="3"/>
      <c r="AB87" s="3" t="str">
        <f t="shared" si="8"/>
        <v>Gesteinskörnungen (Zuschlagsstoffe)</v>
      </c>
      <c r="AC87" s="9">
        <f t="shared" si="9"/>
        <v>129.59200000000001</v>
      </c>
      <c r="AD87" s="9">
        <f t="shared" si="10"/>
        <v>129.59200000000001</v>
      </c>
      <c r="AE87" s="9">
        <f t="shared" si="11"/>
        <v>129.59200000000001</v>
      </c>
      <c r="AF87" s="3" t="s">
        <v>148</v>
      </c>
      <c r="AG87" s="374" t="b">
        <v>1</v>
      </c>
      <c r="AH87" s="374"/>
      <c r="AI87" s="3"/>
      <c r="AJ87" s="3"/>
      <c r="AK87" s="31" t="s">
        <v>31</v>
      </c>
      <c r="AL87" s="51">
        <f t="shared" si="14"/>
        <v>77400</v>
      </c>
      <c r="AM87" s="51">
        <f t="shared" si="14"/>
        <v>77400</v>
      </c>
      <c r="AN87" s="51">
        <f t="shared" si="14"/>
        <v>77400</v>
      </c>
      <c r="AO87" s="3"/>
      <c r="AP87" s="3"/>
    </row>
    <row r="88" spans="2:42" ht="15.75" hidden="1" outlineLevel="1" x14ac:dyDescent="0.3">
      <c r="Q88" s="3"/>
      <c r="R88" s="3"/>
      <c r="S88" s="3" t="str">
        <f t="shared" si="6"/>
        <v/>
      </c>
      <c r="T88" s="10" t="e">
        <f t="shared" si="7"/>
        <v>#N/A</v>
      </c>
      <c r="U88" s="10" t="e">
        <f t="shared" si="7"/>
        <v>#N/A</v>
      </c>
      <c r="V88" s="10" t="e">
        <f t="shared" si="7"/>
        <v>#N/A</v>
      </c>
      <c r="W88" s="3" t="s">
        <v>148</v>
      </c>
      <c r="X88" s="3" t="b">
        <v>0</v>
      </c>
      <c r="Y88" s="3"/>
      <c r="Z88" s="3"/>
      <c r="AA88" s="3"/>
      <c r="AB88" s="3" t="str">
        <f t="shared" si="8"/>
        <v>Farben</v>
      </c>
      <c r="AC88" s="9">
        <f t="shared" si="9"/>
        <v>208</v>
      </c>
      <c r="AD88" s="9">
        <f t="shared" si="10"/>
        <v>208</v>
      </c>
      <c r="AE88" s="9">
        <f t="shared" si="11"/>
        <v>208</v>
      </c>
      <c r="AF88" s="3" t="s">
        <v>148</v>
      </c>
      <c r="AG88" s="374" t="b">
        <v>1</v>
      </c>
      <c r="AH88" s="374"/>
      <c r="AI88" s="3"/>
      <c r="AJ88" s="3"/>
      <c r="AK88" s="31" t="s">
        <v>111</v>
      </c>
      <c r="AL88" s="51">
        <f t="shared" si="14"/>
        <v>0</v>
      </c>
      <c r="AM88" s="51">
        <f t="shared" si="14"/>
        <v>0</v>
      </c>
      <c r="AN88" s="51">
        <f t="shared" si="14"/>
        <v>0</v>
      </c>
      <c r="AO88" s="3"/>
      <c r="AP88" s="3"/>
    </row>
    <row r="89" spans="2:42" ht="15.75" hidden="1" outlineLevel="1" x14ac:dyDescent="0.3">
      <c r="Q89" s="3"/>
      <c r="R89" s="3"/>
      <c r="S89" s="3" t="str">
        <f t="shared" si="6"/>
        <v/>
      </c>
      <c r="T89" s="10" t="e">
        <f t="shared" si="7"/>
        <v>#N/A</v>
      </c>
      <c r="U89" s="10" t="e">
        <f t="shared" si="7"/>
        <v>#N/A</v>
      </c>
      <c r="V89" s="10" t="e">
        <f t="shared" si="7"/>
        <v>#N/A</v>
      </c>
      <c r="W89" s="3" t="s">
        <v>148</v>
      </c>
      <c r="X89" s="3" t="b">
        <v>0</v>
      </c>
      <c r="Y89" s="3"/>
      <c r="Z89" s="3"/>
      <c r="AA89" s="3"/>
      <c r="AB89" s="3" t="str">
        <f t="shared" si="8"/>
        <v>Zusatzstoffe (Füllstoffe)</v>
      </c>
      <c r="AC89" s="9">
        <f t="shared" si="9"/>
        <v>81.003999999999991</v>
      </c>
      <c r="AD89" s="9">
        <f t="shared" si="10"/>
        <v>81.003999999999991</v>
      </c>
      <c r="AE89" s="9">
        <f t="shared" si="11"/>
        <v>81.003999999999991</v>
      </c>
      <c r="AF89" s="3" t="s">
        <v>148</v>
      </c>
      <c r="AG89" s="374" t="b">
        <v>1</v>
      </c>
      <c r="AH89" s="374"/>
      <c r="AI89" s="3"/>
      <c r="AJ89" s="3"/>
      <c r="AK89" s="31" t="s">
        <v>112</v>
      </c>
      <c r="AL89" s="51">
        <f t="shared" si="14"/>
        <v>0</v>
      </c>
      <c r="AM89" s="51">
        <f t="shared" si="14"/>
        <v>0</v>
      </c>
      <c r="AN89" s="51">
        <f t="shared" si="14"/>
        <v>0</v>
      </c>
      <c r="AO89" s="3"/>
      <c r="AP89" s="3"/>
    </row>
    <row r="90" spans="2:42" ht="15.75" hidden="1" outlineLevel="1" x14ac:dyDescent="0.3">
      <c r="Q90" s="3"/>
      <c r="R90" s="3"/>
      <c r="S90" s="3" t="str">
        <f t="shared" si="6"/>
        <v>Diesel</v>
      </c>
      <c r="T90" s="10">
        <f t="shared" si="7"/>
        <v>35.884155059999998</v>
      </c>
      <c r="U90" s="10">
        <f t="shared" si="7"/>
        <v>35.884155059999998</v>
      </c>
      <c r="V90" s="10">
        <f t="shared" si="7"/>
        <v>35.884155059999998</v>
      </c>
      <c r="W90" s="3" t="s">
        <v>148</v>
      </c>
      <c r="X90" s="3" t="b">
        <v>1</v>
      </c>
      <c r="Y90" s="3"/>
      <c r="Z90" s="3"/>
      <c r="AA90" s="3"/>
      <c r="AB90" s="3" t="str">
        <f t="shared" si="8"/>
        <v>Zusatzmittel</v>
      </c>
      <c r="AC90" s="9">
        <f t="shared" si="9"/>
        <v>148.44746134951595</v>
      </c>
      <c r="AD90" s="9">
        <f t="shared" si="10"/>
        <v>148.44746134951595</v>
      </c>
      <c r="AE90" s="9">
        <f t="shared" si="11"/>
        <v>148.44746134951595</v>
      </c>
      <c r="AF90" s="3" t="s">
        <v>148</v>
      </c>
      <c r="AG90" s="374" t="b">
        <v>1</v>
      </c>
      <c r="AH90" s="374"/>
      <c r="AI90" s="3"/>
      <c r="AJ90" s="3"/>
      <c r="AK90" s="31" t="s">
        <v>113</v>
      </c>
      <c r="AL90" s="51">
        <f t="shared" si="14"/>
        <v>0</v>
      </c>
      <c r="AM90" s="51">
        <f t="shared" si="14"/>
        <v>0</v>
      </c>
      <c r="AN90" s="51">
        <f t="shared" si="14"/>
        <v>0</v>
      </c>
      <c r="AO90" s="3"/>
      <c r="AP90" s="3"/>
    </row>
    <row r="91" spans="2:42" ht="16.5" hidden="1" outlineLevel="1" thickBot="1" x14ac:dyDescent="0.35">
      <c r="Q91" s="3"/>
      <c r="R91" s="3"/>
      <c r="S91" s="27" t="s">
        <v>67</v>
      </c>
      <c r="T91" s="33">
        <f>SUMIF($X$84:$X$90,TRUE,T84:T90)</f>
        <v>266.83235506</v>
      </c>
      <c r="U91" s="33">
        <f>SUMIF($X$84:$X$90,TRUE,U84:U90)</f>
        <v>219.82480214871339</v>
      </c>
      <c r="V91" s="33">
        <f>SUMIF($X$84:$X$90,TRUE,V84:V90)</f>
        <v>156.48490990611054</v>
      </c>
      <c r="W91" s="27" t="s">
        <v>149</v>
      </c>
      <c r="X91" s="3"/>
      <c r="Y91" s="3"/>
      <c r="Z91" s="3"/>
      <c r="AA91" s="3"/>
      <c r="AB91" s="3" t="str">
        <f t="shared" si="8"/>
        <v>Ersatzstoffe &amp; Recyclingmaterial</v>
      </c>
      <c r="AC91" s="9">
        <f t="shared" si="9"/>
        <v>0</v>
      </c>
      <c r="AD91" s="9">
        <f t="shared" si="10"/>
        <v>0</v>
      </c>
      <c r="AE91" s="9">
        <f t="shared" si="11"/>
        <v>0</v>
      </c>
      <c r="AF91" s="3" t="s">
        <v>148</v>
      </c>
      <c r="AG91" s="374" t="b">
        <v>1</v>
      </c>
      <c r="AH91" s="374"/>
      <c r="AI91" s="3"/>
      <c r="AJ91" s="3"/>
      <c r="AK91" s="50" t="s">
        <v>32</v>
      </c>
      <c r="AL91" s="52">
        <f t="shared" si="14"/>
        <v>15174.000000000002</v>
      </c>
      <c r="AM91" s="53">
        <f t="shared" si="14"/>
        <v>15174.000000000002</v>
      </c>
      <c r="AN91" s="53">
        <f t="shared" si="14"/>
        <v>15174.000000000002</v>
      </c>
      <c r="AO91" s="3"/>
      <c r="AP91" s="3"/>
    </row>
    <row r="92" spans="2:42" ht="16.5" hidden="1" outlineLevel="1" thickTop="1" x14ac:dyDescent="0.3">
      <c r="Q92" s="3"/>
      <c r="R92" s="3"/>
      <c r="S92" s="3"/>
      <c r="T92" s="3"/>
      <c r="U92" s="3"/>
      <c r="V92" s="3"/>
      <c r="W92" s="3"/>
      <c r="X92" s="3"/>
      <c r="Y92" s="3"/>
      <c r="Z92" s="3"/>
      <c r="AA92" s="3"/>
      <c r="AB92" s="3" t="str">
        <f t="shared" si="8"/>
        <v>Wasser &amp; Abwasser</v>
      </c>
      <c r="AC92" s="9">
        <f t="shared" si="9"/>
        <v>0.54400000000000004</v>
      </c>
      <c r="AD92" s="9">
        <f t="shared" si="10"/>
        <v>0.54400000000000004</v>
      </c>
      <c r="AE92" s="9">
        <f t="shared" si="11"/>
        <v>0.54400000000000004</v>
      </c>
      <c r="AF92" s="3" t="s">
        <v>148</v>
      </c>
      <c r="AG92" s="374" t="b">
        <v>1</v>
      </c>
      <c r="AH92" s="374"/>
      <c r="AI92" s="3"/>
      <c r="AJ92" s="3"/>
      <c r="AK92" s="8" t="str">
        <f>IF(AO92,"CAPEX","")</f>
        <v>CAPEX</v>
      </c>
      <c r="AL92" s="54">
        <f>IF($AO92,AL53,NA())</f>
        <v>0</v>
      </c>
      <c r="AM92" s="54">
        <f t="shared" ref="AM92:AN94" si="15">IF($AO92,AM53,NA())</f>
        <v>0</v>
      </c>
      <c r="AN92" s="54">
        <f t="shared" si="15"/>
        <v>0</v>
      </c>
      <c r="AO92" s="374" t="b">
        <v>1</v>
      </c>
      <c r="AP92" s="3"/>
    </row>
    <row r="93" spans="2:42" ht="15.75" hidden="1" outlineLevel="1" x14ac:dyDescent="0.3">
      <c r="Q93" s="3"/>
      <c r="R93" s="3"/>
      <c r="S93" s="3"/>
      <c r="T93" s="3"/>
      <c r="U93" s="3"/>
      <c r="V93" s="3"/>
      <c r="W93" s="3"/>
      <c r="X93" s="3"/>
      <c r="Y93" s="3"/>
      <c r="Z93" s="3"/>
      <c r="AA93" s="3"/>
      <c r="AB93" s="3" t="str">
        <f t="shared" si="8"/>
        <v>Oberflächenschutzsysteme</v>
      </c>
      <c r="AC93" s="9">
        <f t="shared" si="9"/>
        <v>80.47999999999999</v>
      </c>
      <c r="AD93" s="9">
        <f t="shared" si="10"/>
        <v>0.16095999999999999</v>
      </c>
      <c r="AE93" s="9">
        <f t="shared" si="11"/>
        <v>0.16095999999999999</v>
      </c>
      <c r="AF93" s="3" t="s">
        <v>148</v>
      </c>
      <c r="AG93" s="374" t="b">
        <v>1</v>
      </c>
      <c r="AH93" s="374"/>
      <c r="AI93" s="3"/>
      <c r="AJ93" s="3"/>
      <c r="AK93" s="8" t="str">
        <f>IF(AO93,"Zusätzliche jährliche Kosten","")</f>
        <v>Zusätzliche jährliche Kosten</v>
      </c>
      <c r="AL93" s="54">
        <f>IF($AO93,AL54,NA())</f>
        <v>0</v>
      </c>
      <c r="AM93" s="54">
        <f t="shared" si="15"/>
        <v>0</v>
      </c>
      <c r="AN93" s="54">
        <f t="shared" si="15"/>
        <v>0</v>
      </c>
      <c r="AO93" s="374" t="b">
        <v>1</v>
      </c>
      <c r="AP93" s="3"/>
    </row>
    <row r="94" spans="2:42" ht="15.75" hidden="1" outlineLevel="1" x14ac:dyDescent="0.3">
      <c r="Q94" s="3"/>
      <c r="R94" s="3"/>
      <c r="S94" s="3"/>
      <c r="T94" s="3"/>
      <c r="U94" s="3"/>
      <c r="V94" s="3"/>
      <c r="W94" s="3"/>
      <c r="X94" s="3"/>
      <c r="Y94" s="3"/>
      <c r="Z94" s="3"/>
      <c r="AA94" s="3"/>
      <c r="AB94" s="3" t="str">
        <f t="shared" si="8"/>
        <v>Oberflächenbearbeitung (vor/nach Erhärtung)</v>
      </c>
      <c r="AC94" s="9">
        <f t="shared" si="9"/>
        <v>60</v>
      </c>
      <c r="AD94" s="9">
        <f t="shared" si="10"/>
        <v>60</v>
      </c>
      <c r="AE94" s="9">
        <f t="shared" si="11"/>
        <v>60</v>
      </c>
      <c r="AF94" s="3" t="s">
        <v>148</v>
      </c>
      <c r="AG94" s="374" t="b">
        <v>1</v>
      </c>
      <c r="AH94" s="374"/>
      <c r="AI94" s="3"/>
      <c r="AJ94" s="3"/>
      <c r="AK94" s="58" t="str">
        <f>IF(AO94,"Einmalige Kosten","")</f>
        <v>Einmalige Kosten</v>
      </c>
      <c r="AL94" s="54">
        <f>IF($AO94,AL55,NA())</f>
        <v>0</v>
      </c>
      <c r="AM94" s="54">
        <f t="shared" si="15"/>
        <v>0</v>
      </c>
      <c r="AN94" s="54">
        <f t="shared" si="15"/>
        <v>0</v>
      </c>
      <c r="AO94" s="374" t="b">
        <v>1</v>
      </c>
      <c r="AP94" s="3"/>
    </row>
    <row r="95" spans="2:42" ht="15.75" hidden="1" outlineLevel="1" x14ac:dyDescent="0.3">
      <c r="Q95" s="3"/>
      <c r="R95" s="3"/>
      <c r="S95" s="3"/>
      <c r="T95" s="3"/>
      <c r="U95" s="3"/>
      <c r="V95" s="3"/>
      <c r="W95" s="3"/>
      <c r="X95" s="3"/>
      <c r="Y95" s="3"/>
      <c r="Z95" s="3"/>
      <c r="AA95" s="3"/>
      <c r="AB95" s="3" t="str">
        <f t="shared" si="8"/>
        <v>Verpackungsmaterial</v>
      </c>
      <c r="AC95" s="9">
        <f t="shared" si="9"/>
        <v>64.48</v>
      </c>
      <c r="AD95" s="9">
        <f t="shared" si="10"/>
        <v>64.48</v>
      </c>
      <c r="AE95" s="9">
        <f t="shared" si="11"/>
        <v>64.48</v>
      </c>
      <c r="AF95" s="3" t="s">
        <v>148</v>
      </c>
      <c r="AG95" s="374" t="b">
        <v>1</v>
      </c>
      <c r="AH95" s="374"/>
      <c r="AI95" s="3"/>
      <c r="AJ95" s="3"/>
      <c r="AK95" s="56" t="str">
        <f>IF(AO95,"CO2-Kosten","")</f>
        <v>CO2-Kosten</v>
      </c>
      <c r="AL95" s="57">
        <f>IF($AO$95,SUMIF($AO$96:$AO$98,TRUE,AL96:AL98),NA())</f>
        <v>152459.04944673795</v>
      </c>
      <c r="AM95" s="57">
        <f>IF($AO$95,SUMIF($AO$96:$AO$98,TRUE,AM96:AM98),NA())</f>
        <v>268386.49014161137</v>
      </c>
      <c r="AN95" s="57">
        <f>IF($AO$95,SUMIF($AO$96:$AO$98,TRUE,AN96:AN98),NA())</f>
        <v>471321.51231178071</v>
      </c>
      <c r="AO95" s="374" t="b">
        <v>1</v>
      </c>
      <c r="AP95" s="3"/>
    </row>
    <row r="96" spans="2:42" ht="16.5" hidden="1" outlineLevel="1" thickBot="1" x14ac:dyDescent="0.35">
      <c r="Q96" s="3"/>
      <c r="R96" s="3"/>
      <c r="S96" s="3"/>
      <c r="T96" s="3"/>
      <c r="U96" s="3"/>
      <c r="V96" s="3"/>
      <c r="W96" s="3"/>
      <c r="X96" s="3"/>
      <c r="Y96" s="3"/>
      <c r="Z96" s="3"/>
      <c r="AA96" s="3"/>
      <c r="AB96" s="27" t="s">
        <v>67</v>
      </c>
      <c r="AC96" s="28">
        <f>SUMIF($AG$84:$AG$95,TRUE,AC84:AC95)</f>
        <v>5831.529622809514</v>
      </c>
      <c r="AD96" s="28">
        <f>SUMIF($AG$84:$AG$95,TRUE,AD84:AD95)</f>
        <v>5744.319423220426</v>
      </c>
      <c r="AE96" s="28">
        <f>SUMIF($AG$84:$AG$95,TRUE,AE84:AE95)</f>
        <v>5735.0339939911437</v>
      </c>
      <c r="AF96" s="27" t="s">
        <v>149</v>
      </c>
      <c r="AG96" s="3"/>
      <c r="AH96" s="3"/>
      <c r="AI96" s="3"/>
      <c r="AJ96" s="3"/>
      <c r="AK96" s="31" t="s">
        <v>141</v>
      </c>
      <c r="AL96" s="51">
        <f>IF($AO96,AL57,NA())</f>
        <v>2373.3088765000002</v>
      </c>
      <c r="AM96" s="51">
        <f t="shared" ref="AM96:AN96" si="16">IF($AO96,AM57,NA())</f>
        <v>4271.9559777000004</v>
      </c>
      <c r="AN96" s="51">
        <f t="shared" si="16"/>
        <v>7594.5884048000007</v>
      </c>
      <c r="AO96" s="374" t="b">
        <v>1</v>
      </c>
      <c r="AP96" s="3"/>
    </row>
    <row r="97" spans="2:42" ht="16.5" hidden="1" outlineLevel="1" thickTop="1" x14ac:dyDescent="0.3">
      <c r="Q97" s="3"/>
      <c r="R97" s="3"/>
      <c r="S97" s="3"/>
      <c r="T97" s="3"/>
      <c r="U97" s="3"/>
      <c r="V97" s="3"/>
      <c r="W97" s="3"/>
      <c r="X97" s="3"/>
      <c r="Y97" s="3"/>
      <c r="Z97" s="3"/>
      <c r="AA97" s="3"/>
      <c r="AB97" s="3"/>
      <c r="AC97" s="3"/>
      <c r="AD97" s="3"/>
      <c r="AE97" s="3"/>
      <c r="AF97" s="3"/>
      <c r="AG97" s="3"/>
      <c r="AH97" s="3"/>
      <c r="AI97" s="3"/>
      <c r="AJ97" s="3"/>
      <c r="AK97" s="31" t="s">
        <v>142</v>
      </c>
      <c r="AL97" s="51">
        <f t="shared" ref="AL97:AN98" si="17">IF($AO97,AL58,NA())</f>
        <v>4297.5</v>
      </c>
      <c r="AM97" s="51">
        <f t="shared" si="17"/>
        <v>5620.160118992103</v>
      </c>
      <c r="AN97" s="51">
        <f t="shared" si="17"/>
        <v>4924.2043876888438</v>
      </c>
      <c r="AO97" s="374" t="b">
        <v>1</v>
      </c>
      <c r="AP97" s="3"/>
    </row>
    <row r="98" spans="2:42" ht="15.75" hidden="1" outlineLevel="1" x14ac:dyDescent="0.3">
      <c r="Q98" s="3"/>
      <c r="R98" s="3"/>
      <c r="S98" s="3"/>
      <c r="T98" s="3"/>
      <c r="U98" s="3"/>
      <c r="V98" s="3"/>
      <c r="W98" s="3"/>
      <c r="X98" s="3"/>
      <c r="Y98" s="3"/>
      <c r="Z98" s="3"/>
      <c r="AA98" s="3"/>
      <c r="AB98" s="3"/>
      <c r="AC98" s="3"/>
      <c r="AD98" s="3"/>
      <c r="AE98" s="3"/>
      <c r="AF98" s="3"/>
      <c r="AG98" s="3"/>
      <c r="AH98" s="3"/>
      <c r="AI98" s="3"/>
      <c r="AJ98" s="3"/>
      <c r="AK98" s="31" t="s">
        <v>143</v>
      </c>
      <c r="AL98" s="51">
        <f t="shared" si="17"/>
        <v>145788.24057023795</v>
      </c>
      <c r="AM98" s="51">
        <f t="shared" si="17"/>
        <v>258494.37404491924</v>
      </c>
      <c r="AN98" s="51">
        <f t="shared" si="17"/>
        <v>458802.71951929189</v>
      </c>
      <c r="AO98" s="374" t="b">
        <v>1</v>
      </c>
      <c r="AP98" s="3"/>
    </row>
    <row r="99" spans="2:42" ht="13.5" hidden="1" outlineLevel="1" thickBot="1" x14ac:dyDescent="0.25">
      <c r="Q99" s="3" t="str">
        <f>IF($G$16&gt;0,"Bitte den Handeingabewert 'Umstellung Dieselstapler' für 'Bilanzjahr +10 Jahre' und ggf. 'Bilanzjahr +5 Jahre' auch anpassen. Diese Werte dürfen nicht größer Ihrer Handeingabe 'Anzahl Dieselstapler im Werk' sein. Ansonsten ist die Berechnung fehlerhaft.","")</f>
        <v/>
      </c>
      <c r="R99" s="3"/>
      <c r="S99" s="3"/>
      <c r="T99" s="3"/>
      <c r="U99" s="3"/>
      <c r="V99" s="3"/>
      <c r="W99" s="3"/>
      <c r="X99" s="3"/>
      <c r="Y99" s="3"/>
      <c r="Z99" s="3"/>
      <c r="AA99" s="3"/>
      <c r="AB99" s="3"/>
      <c r="AC99" s="3"/>
      <c r="AD99" s="3"/>
      <c r="AE99" s="3"/>
      <c r="AF99" s="3"/>
      <c r="AG99" s="3"/>
      <c r="AH99" s="3"/>
      <c r="AI99" s="3"/>
      <c r="AJ99" s="3"/>
      <c r="AK99" s="27" t="s">
        <v>67</v>
      </c>
      <c r="AL99" s="55">
        <f>IF($AO$95,AL95,0)+IF($AO$94,AL94,0)+IF($AO$93,AL93,0)+IF($AO$92,AL92,0)+AL84</f>
        <v>262128.04944673795</v>
      </c>
      <c r="AM99" s="55">
        <f t="shared" ref="AM99:AN99" si="18">IF($AO$95,AM95,0)+IF($AO$94,AM94,0)+IF($AO$93,AM93,0)+IF($AO$92,AM92,0)+AM84</f>
        <v>378055.49014161137</v>
      </c>
      <c r="AN99" s="55">
        <f t="shared" si="18"/>
        <v>580990.51231178071</v>
      </c>
      <c r="AO99" s="3"/>
      <c r="AP99" s="3"/>
    </row>
    <row r="100" spans="2:42" ht="13.5" hidden="1" outlineLevel="1" thickTop="1" x14ac:dyDescent="0.2">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row>
    <row r="101" spans="2:42" hidden="1" outlineLevel="1" x14ac:dyDescent="0.2">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row>
    <row r="102" spans="2:42" hidden="1" outlineLevel="1" x14ac:dyDescent="0.2">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row>
    <row r="103" spans="2:42" hidden="1" outlineLevel="1" x14ac:dyDescent="0.2">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row>
    <row r="104" spans="2:42" hidden="1" outlineLevel="1" x14ac:dyDescent="0.2">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row>
    <row r="105" spans="2:42" hidden="1" outlineLevel="1" x14ac:dyDescent="0.2">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row>
    <row r="106" spans="2:42" hidden="1" outlineLevel="1" x14ac:dyDescent="0.2">
      <c r="Q106" s="3"/>
      <c r="R106" s="3"/>
      <c r="T106" s="3"/>
      <c r="U106" s="3"/>
      <c r="V106" s="3"/>
      <c r="W106" s="3"/>
      <c r="X106" s="3"/>
      <c r="Y106" s="3"/>
      <c r="Z106" s="3"/>
      <c r="AA106" s="3"/>
      <c r="AB106" s="3"/>
      <c r="AC106" s="3"/>
      <c r="AD106" s="3"/>
      <c r="AE106" s="3"/>
      <c r="AF106" s="3"/>
      <c r="AG106" s="3"/>
      <c r="AH106" s="3"/>
      <c r="AI106" s="3"/>
      <c r="AJ106" s="3"/>
      <c r="AK106" s="3"/>
      <c r="AL106" s="3"/>
      <c r="AM106" s="3"/>
      <c r="AN106" s="3"/>
      <c r="AO106" s="3"/>
      <c r="AP106" s="3"/>
    </row>
    <row r="107" spans="2:42" hidden="1" outlineLevel="1" x14ac:dyDescent="0.2">
      <c r="Q107" s="3"/>
      <c r="R107" s="3"/>
      <c r="T107" s="3"/>
      <c r="U107" s="3"/>
      <c r="V107" s="3"/>
      <c r="W107" s="3"/>
      <c r="X107" s="3"/>
      <c r="Y107" s="3"/>
      <c r="Z107" s="3"/>
      <c r="AA107" s="3"/>
      <c r="AB107" s="3"/>
      <c r="AC107" s="3"/>
      <c r="AD107" s="3"/>
      <c r="AE107" s="3"/>
      <c r="AF107" s="3"/>
      <c r="AG107" s="3"/>
      <c r="AH107" s="3"/>
      <c r="AI107" s="3"/>
      <c r="AJ107" s="3"/>
      <c r="AK107" s="3"/>
      <c r="AL107" s="3"/>
      <c r="AM107" s="3"/>
      <c r="AN107" s="3"/>
      <c r="AO107" s="3"/>
      <c r="AP107" s="3"/>
    </row>
    <row r="108" spans="2:42" hidden="1" outlineLevel="1" x14ac:dyDescent="0.2"/>
    <row r="109" spans="2:42" hidden="1" outlineLevel="1" x14ac:dyDescent="0.2">
      <c r="B109" s="6" t="str">
        <f>IF(AND($G$16&gt;0,K16&lt;G16),"Bitte den Handeingabewert 'selbsterzeugte Strommenge' für 'Bilanzjahr +10 Jahre' auch anpassen. Dieser muss dem Werte Ihrer Handeingabe 'Bilanzjahr +5 Jahre' entsprechen, sollte nur eine Maßnahme in 'Bilanzjahr +5 Jahre' umgesetzt werden.","")</f>
        <v/>
      </c>
    </row>
    <row r="110" spans="2:42" ht="15.75" hidden="1" outlineLevel="1" x14ac:dyDescent="0.25">
      <c r="Q110" s="22"/>
      <c r="R110" s="22" t="s">
        <v>103</v>
      </c>
      <c r="S110" s="17"/>
      <c r="T110" s="17"/>
      <c r="U110" s="17"/>
      <c r="V110" s="17"/>
      <c r="W110" s="17"/>
      <c r="X110" s="17"/>
      <c r="Y110" s="17"/>
      <c r="Z110" s="17"/>
      <c r="AA110" s="17"/>
      <c r="AB110" s="17"/>
      <c r="AD110" s="22" t="s">
        <v>106</v>
      </c>
      <c r="AE110" s="17"/>
      <c r="AF110" s="17"/>
      <c r="AG110" s="17"/>
      <c r="AH110" s="17"/>
      <c r="AI110" s="17"/>
      <c r="AJ110" s="17"/>
      <c r="AK110" s="17"/>
    </row>
    <row r="111" spans="2:42" ht="15" hidden="1" outlineLevel="1" x14ac:dyDescent="0.25">
      <c r="Q111" s="64"/>
      <c r="R111" s="64">
        <f>E13</f>
        <v>5</v>
      </c>
      <c r="S111" s="17" t="s">
        <v>240</v>
      </c>
      <c r="T111" s="17"/>
      <c r="U111" s="17"/>
      <c r="V111" s="17"/>
      <c r="W111" s="17"/>
      <c r="X111" s="17"/>
      <c r="Y111" s="17"/>
      <c r="Z111" s="17"/>
      <c r="AA111" s="17"/>
      <c r="AB111" s="17"/>
      <c r="AD111" s="64">
        <f>R111</f>
        <v>5</v>
      </c>
      <c r="AE111" s="17"/>
      <c r="AF111" s="17"/>
      <c r="AG111" s="17"/>
      <c r="AH111" s="17"/>
      <c r="AI111" s="17"/>
      <c r="AJ111" s="17"/>
      <c r="AK111" s="17"/>
    </row>
    <row r="112" spans="2:42" hidden="1" outlineLevel="1" x14ac:dyDescent="0.2">
      <c r="Q112" s="274"/>
      <c r="R112" s="17"/>
      <c r="S112" s="17" t="s">
        <v>164</v>
      </c>
      <c r="T112" s="287">
        <f>(1-(IF(NOT(ISBLANK($G17)),$G17/100,$E17/100)))</f>
        <v>1</v>
      </c>
      <c r="U112" s="17"/>
      <c r="V112" s="17"/>
      <c r="W112" s="17"/>
      <c r="X112" s="17"/>
      <c r="Y112" s="17"/>
      <c r="Z112" s="17"/>
      <c r="AA112" s="17"/>
      <c r="AB112" s="17"/>
      <c r="AD112" s="21"/>
      <c r="AE112" s="17"/>
      <c r="AF112" s="17"/>
      <c r="AG112" s="17"/>
      <c r="AH112" s="17"/>
      <c r="AI112" s="17"/>
      <c r="AJ112" s="17"/>
      <c r="AK112" s="17"/>
    </row>
    <row r="113" spans="2:37" hidden="1" outlineLevel="1" x14ac:dyDescent="0.2">
      <c r="Q113" s="274"/>
      <c r="R113" s="17"/>
      <c r="S113" s="17" t="s">
        <v>165</v>
      </c>
      <c r="T113" s="287">
        <f>(1-(IF(NOT(ISBLANK($G18)),$G18/100,$E18/100)))</f>
        <v>1</v>
      </c>
      <c r="U113" s="17"/>
      <c r="V113" s="17"/>
      <c r="W113" s="17"/>
      <c r="X113" s="17"/>
      <c r="Y113" s="17"/>
      <c r="Z113" s="17"/>
      <c r="AA113" s="17"/>
      <c r="AB113" s="17"/>
      <c r="AD113" s="21"/>
      <c r="AE113" s="17"/>
      <c r="AF113" s="17"/>
      <c r="AG113" s="17"/>
      <c r="AH113" s="17"/>
      <c r="AI113" s="17"/>
      <c r="AJ113" s="17"/>
      <c r="AK113" s="17"/>
    </row>
    <row r="114" spans="2:37" hidden="1" outlineLevel="1" x14ac:dyDescent="0.2">
      <c r="Q114" s="274"/>
      <c r="R114" s="17"/>
      <c r="S114" s="17" t="s">
        <v>166</v>
      </c>
      <c r="T114" s="287">
        <f>(1-(IF(NOT(ISBLANK($G19)),$G19/100,$E19/100)))</f>
        <v>1</v>
      </c>
      <c r="U114" s="17"/>
      <c r="V114" s="17"/>
      <c r="W114" s="17"/>
      <c r="X114" s="17"/>
      <c r="Y114" s="17"/>
      <c r="Z114" s="17"/>
      <c r="AA114" s="17"/>
      <c r="AB114" s="17"/>
      <c r="AD114" s="21"/>
      <c r="AE114" s="17"/>
      <c r="AF114" s="17"/>
      <c r="AG114" s="17"/>
      <c r="AH114" s="17"/>
      <c r="AI114" s="17"/>
      <c r="AJ114" s="17"/>
      <c r="AK114" s="17"/>
    </row>
    <row r="115" spans="2:37" hidden="1" outlineLevel="1" x14ac:dyDescent="0.2">
      <c r="B115" s="6" t="str">
        <f>IF(AND($G$23&gt;0,K23&lt;G23),"Bitte den Handeingabewert 'Reduktion' für 'Bilanzjahr +10 Jahre' auch anpassen. Dieser muss dem Werte Ihrer Handeingabe 'Bilanzjahr +5 Jahre' entsprechen, sollte nur eine Maßnahme in 'Bilanzjahr +5 Jahre' umgesetzt werden.","")</f>
        <v/>
      </c>
      <c r="Q115" s="274"/>
      <c r="R115" s="17"/>
      <c r="S115" s="17" t="str">
        <f>D20</f>
        <v>Weiterer Zuschlagstoff 1</v>
      </c>
      <c r="T115" s="287">
        <f t="shared" ref="T115:T116" si="19">(1-(IF(NOT(ISBLANK($G20)),$G20/100,$E20/100)))</f>
        <v>1</v>
      </c>
      <c r="U115" s="17"/>
      <c r="V115" s="17"/>
      <c r="W115" s="17"/>
      <c r="X115" s="17"/>
      <c r="Y115" s="17"/>
      <c r="Z115" s="17"/>
      <c r="AA115" s="17"/>
      <c r="AB115" s="17"/>
      <c r="AD115" s="21"/>
      <c r="AE115" s="17"/>
      <c r="AF115" s="17"/>
      <c r="AG115" s="17"/>
      <c r="AH115" s="17"/>
      <c r="AI115" s="17"/>
      <c r="AJ115" s="17"/>
      <c r="AK115" s="17"/>
    </row>
    <row r="116" spans="2:37" hidden="1" outlineLevel="1" x14ac:dyDescent="0.2">
      <c r="Q116" s="274"/>
      <c r="R116" s="17"/>
      <c r="S116" s="17"/>
      <c r="T116" s="287">
        <f t="shared" si="19"/>
        <v>1</v>
      </c>
      <c r="U116" s="17"/>
      <c r="V116" s="17"/>
      <c r="W116" s="17"/>
      <c r="X116" s="17"/>
      <c r="Y116" s="17"/>
      <c r="Z116" s="17"/>
      <c r="AA116" s="17"/>
      <c r="AB116" s="17"/>
      <c r="AD116" s="21"/>
      <c r="AE116" s="17"/>
      <c r="AF116" s="17"/>
      <c r="AG116" s="17"/>
      <c r="AH116" s="17"/>
      <c r="AI116" s="17"/>
      <c r="AJ116" s="17"/>
      <c r="AK116" s="17"/>
    </row>
    <row r="117" spans="2:37" hidden="1" outlineLevel="1" x14ac:dyDescent="0.2">
      <c r="Q117" s="274"/>
      <c r="R117" s="17"/>
      <c r="S117" s="17"/>
      <c r="T117" s="17"/>
      <c r="U117" s="17"/>
      <c r="V117" s="17"/>
      <c r="W117" s="17"/>
      <c r="X117" s="17"/>
      <c r="Y117" s="17"/>
      <c r="Z117" s="17"/>
      <c r="AA117" s="17"/>
      <c r="AB117" s="17"/>
      <c r="AD117" s="21"/>
      <c r="AE117" s="17"/>
      <c r="AF117" s="17"/>
      <c r="AG117" s="17"/>
      <c r="AH117" s="17"/>
      <c r="AI117" s="17"/>
      <c r="AJ117" s="17"/>
      <c r="AK117" s="17"/>
    </row>
    <row r="118" spans="2:37" hidden="1" outlineLevel="1" x14ac:dyDescent="0.2">
      <c r="B118" s="6" t="str">
        <f>IF(AND($G$25&gt;0,K25&lt;G25),"Bitte den Handeingabewert 'Umstellung Dieselstapler' für 'Bilanzjahr +10 Jahre' und ggf. 'Bilanzjahr +5 Jahre' auch anpassen. Diese Werte dürfen nicht größer Ihrer Handeingabe 'Anzahl Dieselstapler im Werk' sein. Ansonsten ist die Berechnung fehlerhaft.","")</f>
        <v/>
      </c>
      <c r="Q118" s="274"/>
      <c r="R118" s="17"/>
      <c r="S118" s="17" t="s">
        <v>298</v>
      </c>
      <c r="T118" s="295">
        <f>((1-T112)*IF(NOT(ISBLANK('Referenz Plattenfertiger'!$I42)),'Referenz Plattenfertiger'!$I42,'Referenz Plattenfertiger'!$F42)+(1-T113)*IF(NOT(ISBLANK('Referenz Plattenfertiger'!$I43)),'Referenz Plattenfertiger'!$I43,'Referenz Plattenfertiger'!$F43)+(1-T114)*IF(NOT(ISBLANK('Referenz Plattenfertiger'!$I44)),'Referenz Plattenfertiger'!$I44,'Referenz Plattenfertiger'!$F44))*IF(NOT(ISBLANK('Referenz Plattenfertiger'!$I$12)),'Referenz Plattenfertiger'!$I$12,'Referenz Plattenfertiger'!$F$12)</f>
        <v>0</v>
      </c>
      <c r="U118" s="17" t="s">
        <v>46</v>
      </c>
      <c r="V118" s="17"/>
      <c r="W118" s="17"/>
      <c r="X118" s="17"/>
      <c r="Y118" s="17"/>
      <c r="Z118" s="17"/>
      <c r="AA118" s="17"/>
      <c r="AB118" s="17"/>
      <c r="AD118" s="21"/>
      <c r="AE118" s="17"/>
      <c r="AF118" s="17"/>
      <c r="AG118" s="17"/>
      <c r="AH118" s="17"/>
      <c r="AI118" s="17"/>
      <c r="AJ118" s="17"/>
      <c r="AK118" s="17"/>
    </row>
    <row r="119" spans="2:37" hidden="1" outlineLevel="1" x14ac:dyDescent="0.2">
      <c r="Q119" s="274"/>
      <c r="R119" s="17"/>
      <c r="S119" s="17"/>
      <c r="T119" s="17"/>
      <c r="U119" s="17"/>
      <c r="V119" s="17"/>
      <c r="W119" s="17"/>
      <c r="X119" s="17"/>
      <c r="Y119" s="17"/>
      <c r="Z119" s="17"/>
      <c r="AA119" s="17"/>
      <c r="AB119" s="17"/>
      <c r="AD119" s="17"/>
      <c r="AE119" s="17"/>
      <c r="AF119" s="17"/>
      <c r="AG119" s="17"/>
      <c r="AH119" s="17"/>
      <c r="AI119" s="17"/>
      <c r="AJ119" s="17"/>
      <c r="AK119" s="17"/>
    </row>
    <row r="120" spans="2:37" hidden="1" outlineLevel="1" x14ac:dyDescent="0.2">
      <c r="Q120" s="17"/>
      <c r="R120" s="17"/>
      <c r="S120" s="17"/>
      <c r="T120" s="17"/>
      <c r="U120" s="20"/>
      <c r="V120" s="20"/>
      <c r="W120" s="20"/>
      <c r="X120" s="17"/>
      <c r="Y120" s="17"/>
      <c r="Z120" s="17"/>
      <c r="AA120" s="17"/>
      <c r="AB120" s="17"/>
      <c r="AD120" s="17"/>
      <c r="AE120" s="17"/>
      <c r="AF120" s="17"/>
      <c r="AG120" s="17"/>
      <c r="AH120" s="17"/>
      <c r="AI120" s="17"/>
      <c r="AJ120" s="17"/>
      <c r="AK120" s="17"/>
    </row>
    <row r="121" spans="2:37" hidden="1" outlineLevel="1" x14ac:dyDescent="0.2">
      <c r="Q121" s="17"/>
      <c r="R121" s="17"/>
      <c r="S121" s="17"/>
      <c r="T121" s="17"/>
      <c r="U121" s="20"/>
      <c r="V121" s="20"/>
      <c r="W121" s="20"/>
      <c r="X121" s="17"/>
      <c r="Y121" s="17"/>
      <c r="Z121" s="17"/>
      <c r="AA121" s="17"/>
      <c r="AB121" s="17"/>
      <c r="AD121" s="17"/>
      <c r="AE121" s="17"/>
      <c r="AF121" s="17"/>
      <c r="AG121" s="18"/>
      <c r="AH121" s="18"/>
      <c r="AI121" s="18"/>
      <c r="AJ121" s="18"/>
      <c r="AK121" s="18"/>
    </row>
    <row r="122" spans="2:37" ht="63.75" hidden="1" outlineLevel="1" x14ac:dyDescent="0.2">
      <c r="B122" s="6" t="str">
        <f>IF(OR((AND(F17&gt;0,F17&gt;J17)),(AND(F18&gt;0,F18&gt;J18)),(AND(F19&gt;0,F19&gt;J19)),(AND(F22&gt;0,F22&gt;J22))),"Hinweis: Bitte den Handeingabewert 'Reduktion' für 'Bilanzjahr +10 Jahre' auch anpassen. Dieser muss dem Werte Ihrer Handeingabe 'Bilanzjahr +5 Jahre' entsprechen, sollte nur eine Maßnahme in 'Bilanzjahr +5 Jahre' umgesetzt werden.","")</f>
        <v/>
      </c>
      <c r="Q122" s="17"/>
      <c r="R122" s="17"/>
      <c r="S122" s="17"/>
      <c r="T122" s="17"/>
      <c r="U122" s="36" t="s">
        <v>25</v>
      </c>
      <c r="V122" s="36" t="s">
        <v>77</v>
      </c>
      <c r="W122" s="36" t="s">
        <v>27</v>
      </c>
      <c r="X122" s="17"/>
      <c r="Y122" s="17"/>
      <c r="Z122" s="39" t="s">
        <v>100</v>
      </c>
      <c r="AA122" s="40" t="s">
        <v>37</v>
      </c>
      <c r="AB122" s="17"/>
      <c r="AD122" s="17"/>
      <c r="AE122" s="17"/>
      <c r="AF122" s="17"/>
      <c r="AG122" s="18"/>
      <c r="AH122" s="18"/>
      <c r="AI122" s="18"/>
      <c r="AJ122" s="18"/>
      <c r="AK122" s="18"/>
    </row>
    <row r="123" spans="2:37" ht="14.25" hidden="1" outlineLevel="1" x14ac:dyDescent="0.25">
      <c r="Q123" s="76"/>
      <c r="R123" s="76" t="s">
        <v>176</v>
      </c>
      <c r="S123" s="76"/>
      <c r="T123" s="76"/>
      <c r="U123" s="77">
        <f>SUM(U125:U138)</f>
        <v>94.932355060000006</v>
      </c>
      <c r="V123" s="77">
        <f t="shared" ref="V123:W123" si="20">SUM(V125:V138)</f>
        <v>124.8924470887134</v>
      </c>
      <c r="W123" s="77">
        <f t="shared" si="20"/>
        <v>34.39057387091087</v>
      </c>
      <c r="X123" s="76"/>
      <c r="Y123" s="76"/>
      <c r="Z123" s="77">
        <f>U123+V123</f>
        <v>219.82480214871339</v>
      </c>
      <c r="AA123" s="77">
        <f>SUM(U123:W123)</f>
        <v>254.21537601962427</v>
      </c>
      <c r="AB123" s="76" t="s">
        <v>183</v>
      </c>
      <c r="AD123" s="17" t="s">
        <v>132</v>
      </c>
      <c r="AE123" s="17"/>
      <c r="AF123" s="17"/>
      <c r="AG123" s="18"/>
      <c r="AH123" s="18"/>
      <c r="AI123" s="18"/>
      <c r="AJ123" s="18"/>
      <c r="AK123" s="18"/>
    </row>
    <row r="124" spans="2:37" hidden="1" outlineLevel="1" x14ac:dyDescent="0.2">
      <c r="Q124" s="17"/>
      <c r="R124" s="17" t="s">
        <v>132</v>
      </c>
      <c r="S124" s="17"/>
      <c r="T124" s="17"/>
      <c r="U124" s="17"/>
      <c r="V124" s="17"/>
      <c r="W124" s="17"/>
      <c r="X124" s="17"/>
      <c r="Y124" s="17"/>
      <c r="Z124" s="17"/>
      <c r="AA124" s="17"/>
      <c r="AB124" s="17"/>
      <c r="AD124" s="274"/>
      <c r="AE124" s="17" t="s">
        <v>114</v>
      </c>
      <c r="AF124" s="17"/>
      <c r="AG124" s="19"/>
      <c r="AH124" s="19"/>
      <c r="AI124" s="20"/>
      <c r="AJ124" s="41">
        <f>IF(NOT(ISBLANK('Referenz Plattenfertiger'!$I16)),'Referenz Plattenfertiger'!$I16,'Referenz Plattenfertiger'!$F16)/1000*IF(NOT(ISBLANK('Eingabe Preise'!$K10)),'Eingabe Preise'!$K10,'Eingabe Preise'!$I10)</f>
        <v>11468</v>
      </c>
      <c r="AK124" s="20" t="s">
        <v>96</v>
      </c>
    </row>
    <row r="125" spans="2:37" ht="15.75" hidden="1" outlineLevel="1" x14ac:dyDescent="0.3">
      <c r="Q125" s="274"/>
      <c r="R125" s="17"/>
      <c r="S125" s="17" t="s">
        <v>114</v>
      </c>
      <c r="T125" s="17"/>
      <c r="U125" s="37">
        <f>IF(NOT(ISBLANK('Referenz Plattenfertiger'!$I16)),'Referenz Plattenfertiger'!$I16,'Referenz Plattenfertiger'!$F16)*IF(NOT(ISBLANK('Eingabe EF'!$AA9)),'Eingabe EF'!$AA9,'Eingabe EF'!$Y9)</f>
        <v>34.434080000000002</v>
      </c>
      <c r="V125" s="37">
        <f>IF(NOT(ISBLANK('Referenz Plattenfertiger'!$I16)),'Referenz Plattenfertiger'!$I16,'Referenz Plattenfertiger'!$F16)*IF(NOT(ISBLANK('Eingabe EF'!$AE9)),'Eingabe EF'!$AE9,'Eingabe EF'!$AC9)</f>
        <v>0</v>
      </c>
      <c r="W125" s="37">
        <f>IF(NOT(ISBLANK('Referenz Plattenfertiger'!$I16)),'Referenz Plattenfertiger'!$I16,'Referenz Plattenfertiger'!$F16)*IF(NOT(ISBLANK('Eingabe EF'!$AI9)),'Eingabe EF'!$AI9,'Eingabe EF'!$AG9)</f>
        <v>5.8938000000000006</v>
      </c>
      <c r="X125" s="17"/>
      <c r="Y125" s="17"/>
      <c r="Z125" s="37">
        <f>U125+V125</f>
        <v>34.434080000000002</v>
      </c>
      <c r="AA125" s="37">
        <f>SUM(U125:W125)</f>
        <v>40.32788</v>
      </c>
      <c r="AB125" s="17" t="s">
        <v>184</v>
      </c>
      <c r="AD125" s="274"/>
      <c r="AE125" s="17" t="s">
        <v>151</v>
      </c>
      <c r="AF125" s="17"/>
      <c r="AG125" s="20"/>
      <c r="AH125" s="20"/>
      <c r="AI125" s="20"/>
      <c r="AJ125" s="41">
        <f>IF(NOT(ISBLANK('Referenz Plattenfertiger'!$I17)),'Referenz Plattenfertiger'!$I17,'Referenz Plattenfertiger'!$F17)/1000*IF(NOT(ISBLANK('Eingabe Preise'!$K11)),'Eingabe Preise'!$K11,'Eingabe Preise'!$I11)</f>
        <v>1104</v>
      </c>
      <c r="AK125" s="20" t="s">
        <v>96</v>
      </c>
    </row>
    <row r="126" spans="2:37" ht="15.75" hidden="1" outlineLevel="1" x14ac:dyDescent="0.3">
      <c r="B126" s="102" t="str">
        <f>IF(OR((AND(G17&gt;0,G17&gt;K17)),(AND(G18&gt;0,G18&gt;K18)),(AND(G19&gt;0,G19&gt;K19))),"Hinweis: Bitte den Handeingabewert 'Anteiliger Einsatz' für 'Bilanzjahr +10 Jahre' auch anpassen. Dieser muss dem Werte Ihrer Handeingabe 'Bilanzjahr +5 Jahre' entsprechen, sollte nur eine Maßnahme in 'Bilanzjahr +5 Jahre' umgesetzt werden.","")</f>
        <v/>
      </c>
      <c r="Q126" s="274"/>
      <c r="R126" s="17"/>
      <c r="S126" s="17" t="s">
        <v>151</v>
      </c>
      <c r="T126" s="17"/>
      <c r="U126" s="37">
        <f>IF(NOT(ISBLANK('Referenz Plattenfertiger'!$I17)),'Referenz Plattenfertiger'!$I17,'Referenz Plattenfertiger'!$F17)*IF(NOT(ISBLANK('Eingabe EF'!$AA10)),'Eingabe EF'!$AA10,'Eingabe EF'!$Y10)</f>
        <v>6.4022399999999999</v>
      </c>
      <c r="V126" s="37">
        <f>IF(NOT(ISBLANK('Referenz Plattenfertiger'!$I17)),'Referenz Plattenfertiger'!$I17,'Referenz Plattenfertiger'!$F17)*IF(NOT(ISBLANK('Eingabe EF'!$AE10)),'Eingabe EF'!$AE10,'Eingabe EF'!$AC10)</f>
        <v>0</v>
      </c>
      <c r="W126" s="37">
        <f>IF(NOT(ISBLANK('Referenz Plattenfertiger'!$I17)),'Referenz Plattenfertiger'!$I17,'Referenz Plattenfertiger'!$F17)*IF(NOT(ISBLANK('Eingabe EF'!$AI10)),'Eingabe EF'!$AI10,'Eingabe EF'!$AG10)</f>
        <v>0.949824</v>
      </c>
      <c r="X126" s="17"/>
      <c r="Y126" s="17"/>
      <c r="Z126" s="37">
        <f>U126+V126</f>
        <v>6.4022399999999999</v>
      </c>
      <c r="AA126" s="37">
        <f>SUM(U126:W126)</f>
        <v>7.3520640000000004</v>
      </c>
      <c r="AB126" s="17" t="s">
        <v>184</v>
      </c>
      <c r="AD126" s="274"/>
      <c r="AE126" s="17" t="s">
        <v>152</v>
      </c>
      <c r="AF126" s="17"/>
      <c r="AG126" s="20"/>
      <c r="AH126" s="20"/>
      <c r="AI126" s="20"/>
      <c r="AJ126" s="41">
        <f>IF(NOT(ISBLANK('Referenz Plattenfertiger'!$I18)),'Referenz Plattenfertiger'!$I18,'Referenz Plattenfertiger'!$F18)/1000*IF(NOT(ISBLANK('Eingabe Preise'!$K12)),'Eingabe Preise'!$K12,'Eingabe Preise'!$I12)</f>
        <v>7740</v>
      </c>
      <c r="AK126" s="20" t="s">
        <v>96</v>
      </c>
    </row>
    <row r="127" spans="2:37" ht="15.75" hidden="1" outlineLevel="1" x14ac:dyDescent="0.3">
      <c r="B127" s="102" t="str">
        <f>IF(OR(G24&gt;0,G25&gt;0,G26&gt;0,K24&gt;0,K25&gt;0,K26&gt;0),"Hinweis: Bitte den Handeingabewert 'Emissionsfaktor' für Ersatzstoff 1 und / oder Ersatzstoff 2 eintragen.","")</f>
        <v/>
      </c>
      <c r="Q127" s="274"/>
      <c r="R127" s="17"/>
      <c r="S127" s="17" t="s">
        <v>152</v>
      </c>
      <c r="T127" s="17"/>
      <c r="U127" s="37">
        <f>IF(NOT(ISBLANK('Referenz Plattenfertiger'!$I18)),'Referenz Plattenfertiger'!$I18,'Referenz Plattenfertiger'!$F18)*IF(NOT(ISBLANK('Eingabe EF'!$AA11)),'Eingabe EF'!$AA11,'Eingabe EF'!$Y11)</f>
        <v>0</v>
      </c>
      <c r="V127" s="37">
        <f>IF(NOT(ISBLANK('Referenz Plattenfertiger'!$I18)),'Referenz Plattenfertiger'!$I18,'Referenz Plattenfertiger'!$F18)*IF(NOT(ISBLANK('Eingabe EF'!$AE11)),'Eingabe EF'!$AE11,'Eingabe EF'!$AC11)</f>
        <v>12.48924470887134</v>
      </c>
      <c r="W127" s="37">
        <f>IF(NOT(ISBLANK('Referenz Plattenfertiger'!$I18)),'Referenz Plattenfertiger'!$I18,'Referenz Plattenfertiger'!$F18)*IF(NOT(ISBLANK('Eingabe EF'!$AI11)),'Eingabe EF'!$AI11,'Eingabe EF'!$AG11)</f>
        <v>1.8308840410910865</v>
      </c>
      <c r="X127" s="17"/>
      <c r="Y127" s="17"/>
      <c r="Z127" s="37">
        <f>U127+V127</f>
        <v>12.48924470887134</v>
      </c>
      <c r="AA127" s="37">
        <f>SUM(U127:W127)</f>
        <v>14.320128749962427</v>
      </c>
      <c r="AB127" s="17" t="s">
        <v>184</v>
      </c>
      <c r="AD127" s="274"/>
      <c r="AE127" s="17" t="s">
        <v>115</v>
      </c>
      <c r="AF127" s="17"/>
      <c r="AG127" s="20"/>
      <c r="AH127" s="20"/>
      <c r="AI127" s="20"/>
      <c r="AJ127" s="41">
        <f>IF(NOT(ISBLANK('Referenz Plattenfertiger'!$I19)),'Referenz Plattenfertiger'!$I19,'Referenz Plattenfertiger'!$F19)/1000*IF(NOT(ISBLANK('Eingabe Preise'!$K16)),'Eingabe Preise'!$K16,0)</f>
        <v>0</v>
      </c>
      <c r="AK127" s="20" t="s">
        <v>96</v>
      </c>
    </row>
    <row r="128" spans="2:37" ht="15.75" hidden="1" outlineLevel="1" x14ac:dyDescent="0.3">
      <c r="Q128" s="274"/>
      <c r="R128" s="17"/>
      <c r="S128" s="17" t="s">
        <v>115</v>
      </c>
      <c r="T128" s="17"/>
      <c r="U128" s="43">
        <f>IF(NOT(ISBLANK('Referenz Plattenfertiger'!$I19)),'Referenz Plattenfertiger'!$I19,'Referenz Plattenfertiger'!$F19)*IF(NOT(ISBLANK('Eingabe EF'!$AA12)),'Eingabe EF'!$AA12,0)</f>
        <v>0</v>
      </c>
      <c r="V128" s="43">
        <f>IF(NOT(ISBLANK('Referenz Plattenfertiger'!$I19)),'Referenz Plattenfertiger'!$I19,'Referenz Plattenfertiger'!$F19)*IF(NOT(ISBLANK('Eingabe EF'!$AE12)),'Eingabe EF'!$AE12,0)</f>
        <v>0</v>
      </c>
      <c r="W128" s="43">
        <f>IF(NOT(ISBLANK('Referenz Plattenfertiger'!$I19)),'Referenz Plattenfertiger'!$I19,'Referenz Plattenfertiger'!$F19)*IF(NOT(ISBLANK('Eingabe EF'!$AI12)),'Eingabe EF'!$AI12,0)</f>
        <v>0</v>
      </c>
      <c r="X128" s="17"/>
      <c r="Y128" s="17"/>
      <c r="Z128" s="37">
        <f>U128+V128</f>
        <v>0</v>
      </c>
      <c r="AA128" s="37">
        <f>SUM(U128:W128)</f>
        <v>0</v>
      </c>
      <c r="AB128" s="17" t="s">
        <v>184</v>
      </c>
      <c r="AD128" s="17" t="s">
        <v>133</v>
      </c>
      <c r="AE128" s="17"/>
      <c r="AF128" s="17"/>
      <c r="AG128" s="20"/>
      <c r="AH128" s="20"/>
      <c r="AI128" s="20"/>
      <c r="AJ128" s="20"/>
      <c r="AK128" s="20"/>
    </row>
    <row r="129" spans="17:44" hidden="1" outlineLevel="1" x14ac:dyDescent="0.2">
      <c r="Q129" s="17"/>
      <c r="R129" s="17" t="s">
        <v>133</v>
      </c>
      <c r="S129" s="17"/>
      <c r="T129" s="17"/>
      <c r="U129" s="20"/>
      <c r="V129" s="20"/>
      <c r="W129" s="20"/>
      <c r="X129" s="17"/>
      <c r="Y129" s="17"/>
      <c r="Z129" s="17"/>
      <c r="AA129" s="17"/>
      <c r="AB129" s="17"/>
      <c r="AC129" s="42"/>
      <c r="AD129" s="17"/>
      <c r="AE129" s="17" t="s">
        <v>29</v>
      </c>
      <c r="AF129" s="17"/>
      <c r="AG129" s="20"/>
      <c r="AH129" s="20"/>
      <c r="AI129" s="20"/>
      <c r="AJ129" s="41">
        <f>IF(NOT(ISBLANK('Referenz Plattenfertiger'!$I21)),'Referenz Plattenfertiger'!$I21,'Referenz Plattenfertiger'!$F21)/1000*IF(NOT(ISBLANK('Eingabe Preise'!$K10)),'Eingabe Preise'!$K10,'Eingabe Preise'!$I10)</f>
        <v>2867</v>
      </c>
      <c r="AK129" s="20" t="s">
        <v>96</v>
      </c>
    </row>
    <row r="130" spans="17:44" ht="15.75" hidden="1" outlineLevel="1" x14ac:dyDescent="0.3">
      <c r="Q130" s="17"/>
      <c r="R130" s="17"/>
      <c r="S130" s="17" t="s">
        <v>29</v>
      </c>
      <c r="T130" s="17"/>
      <c r="U130" s="37">
        <f>IF(NOT(ISBLANK('Referenz Plattenfertiger'!$I21)),'Referenz Plattenfertiger'!$I21,'Referenz Plattenfertiger'!$F21)*IF(NOT(ISBLANK('Eingabe EF'!$AA9)),'Eingabe EF'!$AA9,'Eingabe EF'!$Y9)</f>
        <v>8.6085200000000004</v>
      </c>
      <c r="V130" s="37">
        <f>IF(NOT(ISBLANK('Referenz Plattenfertiger'!$I21)),'Referenz Plattenfertiger'!$I21,'Referenz Plattenfertiger'!$F21)*IF(NOT(ISBLANK('Eingabe EF'!$AE9)),'Eingabe EF'!$AE9,'Eingabe EF'!$AC9)</f>
        <v>0</v>
      </c>
      <c r="W130" s="37">
        <f>IF(NOT(ISBLANK('Referenz Plattenfertiger'!$I21)),'Referenz Plattenfertiger'!$I21,'Referenz Plattenfertiger'!$F21)*IF(NOT(ISBLANK('Eingabe EF'!$AG9)),'Eingabe EF'!$AG9,'Eingabe EF'!$AIC9)</f>
        <v>1.4734500000000001</v>
      </c>
      <c r="X130" s="17"/>
      <c r="Y130" s="17"/>
      <c r="Z130" s="37">
        <f t="shared" ref="Z130:Z131" si="21">U130+V130</f>
        <v>8.6085200000000004</v>
      </c>
      <c r="AA130" s="37">
        <f t="shared" ref="AA130:AA141" si="22">SUM(U130:W130)</f>
        <v>10.08197</v>
      </c>
      <c r="AB130" s="17" t="s">
        <v>184</v>
      </c>
      <c r="AC130" s="42"/>
      <c r="AD130" s="17"/>
      <c r="AE130" s="17" t="s">
        <v>30</v>
      </c>
      <c r="AF130" s="17"/>
      <c r="AG130" s="20"/>
      <c r="AH130" s="20"/>
      <c r="AI130" s="20"/>
      <c r="AJ130" s="41">
        <f>IF(NOT(ISBLANK('Referenz Plattenfertiger'!$I22)),'Referenz Plattenfertiger'!$I22,'Referenz Plattenfertiger'!$F22)/1000*IF(NOT(ISBLANK('Eingabe Preise'!$K11)),'Eingabe Preise'!$K11,'Eingabe Preise'!$I11)</f>
        <v>1656</v>
      </c>
      <c r="AK130" s="20" t="s">
        <v>96</v>
      </c>
    </row>
    <row r="131" spans="17:44" ht="15.75" hidden="1" outlineLevel="1" x14ac:dyDescent="0.3">
      <c r="Q131" s="17"/>
      <c r="R131" s="17"/>
      <c r="S131" s="17" t="s">
        <v>30</v>
      </c>
      <c r="T131" s="17"/>
      <c r="U131" s="37">
        <f>IF(NOT(ISBLANK('Referenz Plattenfertiger'!$I22)),'Referenz Plattenfertiger'!$I22,'Referenz Plattenfertiger'!$F22)*IF(NOT(ISBLANK('Eingabe EF'!$AA10)),'Eingabe EF'!$AA10,'Eingabe EF'!$Y10)</f>
        <v>9.6033600000000003</v>
      </c>
      <c r="V131" s="37">
        <f>IF(NOT(ISBLANK('Referenz Plattenfertiger'!$I22)),'Referenz Plattenfertiger'!$I22,'Referenz Plattenfertiger'!$F22)*IF(NOT(ISBLANK('Eingabe EF'!$AE10)),'Eingabe EF'!$AE10,'Eingabe EF'!$AC10)</f>
        <v>0</v>
      </c>
      <c r="W131" s="37">
        <f>IF(NOT(ISBLANK('Referenz Plattenfertiger'!$I22)),'Referenz Plattenfertiger'!$I22,'Referenz Plattenfertiger'!$F22)*IF(NOT(ISBLANK('Eingabe EF'!$AG10)),'Eingabe EF'!$AG10,'Eingabe EF'!$AIC10)</f>
        <v>1.424736</v>
      </c>
      <c r="X131" s="17"/>
      <c r="Y131" s="17"/>
      <c r="Z131" s="37">
        <f t="shared" si="21"/>
        <v>9.6033600000000003</v>
      </c>
      <c r="AA131" s="37">
        <f t="shared" si="22"/>
        <v>11.028096</v>
      </c>
      <c r="AB131" s="17" t="s">
        <v>184</v>
      </c>
      <c r="AD131" s="17" t="s">
        <v>134</v>
      </c>
      <c r="AE131" s="17"/>
      <c r="AF131" s="17"/>
      <c r="AG131" s="20"/>
      <c r="AH131" s="20"/>
      <c r="AI131" s="20"/>
      <c r="AJ131" s="20"/>
      <c r="AK131" s="20"/>
    </row>
    <row r="132" spans="17:44" hidden="1" outlineLevel="1" x14ac:dyDescent="0.2">
      <c r="Q132" s="17"/>
      <c r="R132" s="17" t="s">
        <v>134</v>
      </c>
      <c r="S132" s="17"/>
      <c r="T132" s="17"/>
      <c r="U132" s="20"/>
      <c r="V132" s="20"/>
      <c r="W132" s="20"/>
      <c r="X132" s="17"/>
      <c r="Y132" s="17"/>
      <c r="Z132" s="17"/>
      <c r="AA132" s="17"/>
      <c r="AB132" s="17"/>
      <c r="AC132" s="42"/>
      <c r="AD132" s="17"/>
      <c r="AE132" s="17" t="s">
        <v>153</v>
      </c>
      <c r="AF132" s="17"/>
      <c r="AG132" s="20"/>
      <c r="AH132" s="20"/>
      <c r="AI132" s="20"/>
      <c r="AJ132" s="41">
        <f>IF(NOT(ISBLANK('Referenz Plattenfertiger'!$I24)),'Referenz Plattenfertiger'!$I24,'Referenz Plattenfertiger'!$F24)/1000*IF(NOT(ISBLANK('Eingabe Preise'!$K12)),'Eingabe Preise'!$K12,'Eingabe Preise'!$I12)</f>
        <v>69660</v>
      </c>
      <c r="AK132" s="20" t="s">
        <v>96</v>
      </c>
    </row>
    <row r="133" spans="17:44" ht="15.75" hidden="1" outlineLevel="1" x14ac:dyDescent="0.3">
      <c r="Q133" s="17"/>
      <c r="R133" s="17"/>
      <c r="S133" s="17" t="s">
        <v>136</v>
      </c>
      <c r="T133" s="17"/>
      <c r="U133" s="37">
        <f>IF(NOT(ISBLANK('Referenz Plattenfertiger'!$I24)),'Referenz Plattenfertiger'!$I24,'Referenz Plattenfertiger'!$F24)*IF(NOT(ISBLANK('Eingabe EF'!$AA11)),'Eingabe EF'!$AA11,'Eingabe EF'!$Y11)</f>
        <v>0</v>
      </c>
      <c r="V133" s="37">
        <f>IF(NOT(ISBLANK('Referenz Plattenfertiger'!$I24)),'Referenz Plattenfertiger'!$I24,'Referenz Plattenfertiger'!$F24)*IF(NOT(ISBLANK('Eingabe EF'!$AE11)),'Eingabe EF'!$AE11,'Eingabe EF'!$AC11)</f>
        <v>112.40320237984206</v>
      </c>
      <c r="W133" s="37">
        <f>IF(NOT(ISBLANK('Referenz Plattenfertiger'!$I24)),'Referenz Plattenfertiger'!$I24,'Referenz Plattenfertiger'!$F24)*IF(NOT(ISBLANK('Eingabe EF'!$AI11)),'Eingabe EF'!$AI11,'Eingabe EF'!$AG11)</f>
        <v>16.477956369819779</v>
      </c>
      <c r="X133" s="17"/>
      <c r="Y133" s="17"/>
      <c r="Z133" s="37">
        <f t="shared" ref="Z133:Z141" si="23">U133+V133</f>
        <v>112.40320237984206</v>
      </c>
      <c r="AA133" s="37">
        <f t="shared" si="22"/>
        <v>128.88115874966184</v>
      </c>
      <c r="AB133" s="17" t="s">
        <v>184</v>
      </c>
      <c r="AC133" s="42"/>
      <c r="AD133" s="17"/>
      <c r="AE133" s="17" t="s">
        <v>111</v>
      </c>
      <c r="AF133" s="17"/>
      <c r="AG133" s="20"/>
      <c r="AH133" s="20"/>
      <c r="AI133" s="20"/>
      <c r="AJ133" s="41">
        <f>IF(NOT(ISBLANK('Referenz Plattenfertiger'!$I25)),'Referenz Plattenfertiger'!$I25,'Referenz Plattenfertiger'!$F25)/1000*IF(NOT(ISBLANK('Eingabe Preise'!$K13)),'Eingabe Preise'!$K13,'Eingabe Preise'!$I13)</f>
        <v>0</v>
      </c>
      <c r="AK133" s="20" t="s">
        <v>96</v>
      </c>
    </row>
    <row r="134" spans="17:44" ht="15.75" hidden="1" outlineLevel="1" x14ac:dyDescent="0.3">
      <c r="Q134" s="17"/>
      <c r="R134" s="17"/>
      <c r="S134" s="17" t="s">
        <v>111</v>
      </c>
      <c r="T134" s="17"/>
      <c r="U134" s="37">
        <f>IF(NOT(ISBLANK('Referenz Plattenfertiger'!$I25)),'Referenz Plattenfertiger'!$I25,'Referenz Plattenfertiger'!$F25)*IF(NOT(ISBLANK('Eingabe EF'!$AA13)),'Eingabe EF'!$AA13,'Eingabe EF'!$Y13)</f>
        <v>0</v>
      </c>
      <c r="V134" s="37">
        <f>IF(NOT(ISBLANK('Referenz Plattenfertiger'!$I25)),'Referenz Plattenfertiger'!$I25,'Referenz Plattenfertiger'!$F25)*IF(NOT(ISBLANK('Eingabe EF'!$AE13)),'Eingabe EF'!$AE13,'Eingabe EF'!$AC13)</f>
        <v>0</v>
      </c>
      <c r="W134" s="37">
        <f>IF(NOT(ISBLANK('Referenz Plattenfertiger'!$I25)),'Referenz Plattenfertiger'!$I25,'Referenz Plattenfertiger'!$F25)*IF(NOT(ISBLANK('Eingabe EF'!$AI13)),'Eingabe EF'!$AI13,'Eingabe EF'!$AG13)</f>
        <v>0</v>
      </c>
      <c r="X134" s="17"/>
      <c r="Y134" s="17"/>
      <c r="Z134" s="37">
        <f t="shared" si="23"/>
        <v>0</v>
      </c>
      <c r="AA134" s="37">
        <f t="shared" si="22"/>
        <v>0</v>
      </c>
      <c r="AB134" s="17" t="s">
        <v>184</v>
      </c>
      <c r="AC134" s="42"/>
      <c r="AD134" s="17"/>
      <c r="AE134" s="17" t="s">
        <v>135</v>
      </c>
      <c r="AF134" s="17"/>
      <c r="AG134" s="30"/>
      <c r="AH134" s="30"/>
      <c r="AI134" s="17"/>
      <c r="AJ134" s="41">
        <f>IF(NOT(ISBLANK('Referenz Plattenfertiger'!$I26)),'Referenz Plattenfertiger'!$I26,'Referenz Plattenfertiger'!$F26)/1000*IF(NOT(ISBLANK('Eingabe Preise'!$K17)),'Eingabe Preise'!$K17,0)</f>
        <v>0</v>
      </c>
      <c r="AK134" s="20" t="s">
        <v>96</v>
      </c>
    </row>
    <row r="135" spans="17:44" ht="15.75" hidden="1" outlineLevel="1" x14ac:dyDescent="0.3">
      <c r="Q135" s="17"/>
      <c r="R135" s="17"/>
      <c r="S135" s="17" t="s">
        <v>135</v>
      </c>
      <c r="T135" s="17"/>
      <c r="U135" s="37">
        <f>IF(NOT(ISBLANK('Referenz Plattenfertiger'!$I26)),'Referenz Plattenfertiger'!$I26,'Referenz Plattenfertiger'!$F26)*IF(NOT(ISBLANK('Eingabe EF'!$AA14)),'Eingabe EF'!$AA14,0)</f>
        <v>0</v>
      </c>
      <c r="V135" s="37">
        <f>IF(NOT(ISBLANK('Referenz Plattenfertiger'!$I26)),'Referenz Plattenfertiger'!$I26,'Referenz Plattenfertiger'!$F26)*IF(NOT(ISBLANK('Eingabe EF'!$AE14)),'Eingabe EF'!$AE14,0)</f>
        <v>0</v>
      </c>
      <c r="W135" s="37">
        <f>IF(NOT(ISBLANK('Referenz Plattenfertiger'!$I26)),'Referenz Plattenfertiger'!$I26,'Referenz Plattenfertiger'!$F26)*IF(NOT(ISBLANK('Eingabe EF'!$AI14)),'Eingabe EF'!$AI14,0)</f>
        <v>0</v>
      </c>
      <c r="X135" s="17"/>
      <c r="Y135" s="17"/>
      <c r="Z135" s="37">
        <f t="shared" si="23"/>
        <v>0</v>
      </c>
      <c r="AA135" s="37">
        <f t="shared" si="22"/>
        <v>0</v>
      </c>
      <c r="AB135" s="17" t="s">
        <v>184</v>
      </c>
      <c r="AD135" s="17"/>
      <c r="AE135" s="17"/>
      <c r="AF135" s="17"/>
      <c r="AG135" s="30"/>
      <c r="AH135" s="30"/>
      <c r="AI135" s="17"/>
      <c r="AJ135" s="17"/>
      <c r="AK135" s="17"/>
    </row>
    <row r="136" spans="17:44" hidden="1" outlineLevel="1" x14ac:dyDescent="0.2">
      <c r="Q136" s="17"/>
      <c r="R136" s="17"/>
      <c r="S136" s="17"/>
      <c r="T136" s="17"/>
      <c r="U136" s="20"/>
      <c r="V136" s="20"/>
      <c r="W136" s="20"/>
      <c r="X136" s="17"/>
      <c r="Y136" s="17"/>
      <c r="Z136" s="17"/>
      <c r="AA136" s="17"/>
      <c r="AB136" s="17"/>
      <c r="AC136" s="42"/>
      <c r="AD136" s="17"/>
      <c r="AE136" s="17" t="s">
        <v>32</v>
      </c>
      <c r="AF136" s="17" t="s">
        <v>408</v>
      </c>
      <c r="AG136" s="30"/>
      <c r="AH136" s="30"/>
      <c r="AI136" s="17"/>
      <c r="AJ136" s="41">
        <f>IF(NOT(ISBLANK('Referenz Plattenfertiger'!$I28)),'Referenz Plattenfertiger'!$I28,'Referenz Plattenfertiger'!$F28)*IF(NOT(ISBLANK('Eingabe Preise'!$K14)),'Eingabe Preise'!$K14,'Eingabe Preise'!$I14)</f>
        <v>12364.000000000002</v>
      </c>
      <c r="AK136" s="20" t="s">
        <v>96</v>
      </c>
    </row>
    <row r="137" spans="17:44" ht="15.75" hidden="1" outlineLevel="1" x14ac:dyDescent="0.3">
      <c r="Q137" s="17"/>
      <c r="R137" s="17" t="s">
        <v>408</v>
      </c>
      <c r="S137" s="17" t="s">
        <v>32</v>
      </c>
      <c r="T137" s="17"/>
      <c r="U137" s="37">
        <f>IF(NOT(ISBLANK('Referenz Plattenfertiger'!$I28)),'Referenz Plattenfertiger'!$I28,'Referenz Plattenfertiger'!$F28)*IF(NOT(ISBLANK('Eingabe EF'!$AA15)),'Eingabe EF'!$AA15,'Eingabe EF'!$Y15)</f>
        <v>29.238941159999996</v>
      </c>
      <c r="V137" s="37">
        <f>IF(NOT(ISBLANK('Referenz Plattenfertiger'!$I28)),'Referenz Plattenfertiger'!$I28,'Referenz Plattenfertiger'!$F28)*IF(NOT(ISBLANK('Eingabe EF'!$AE15)),'Eingabe EF'!$AE15,'Eingabe EF'!$AC15)</f>
        <v>0</v>
      </c>
      <c r="W137" s="37">
        <f>IF(NOT(ISBLANK('Referenz Plattenfertiger'!$I28)),'Referenz Plattenfertiger'!$I28,'Referenz Plattenfertiger'!$F28)*IF(NOT(ISBLANK('Eingabe EF'!$AI15)),'Eingabe EF'!$AI15,'Eingabe EF'!$AG15)</f>
        <v>5.1658635600000009</v>
      </c>
      <c r="X137" s="17"/>
      <c r="Y137" s="17"/>
      <c r="Z137" s="37">
        <f t="shared" si="23"/>
        <v>29.238941159999996</v>
      </c>
      <c r="AA137" s="37">
        <f t="shared" si="22"/>
        <v>34.404804719999994</v>
      </c>
      <c r="AB137" s="17" t="s">
        <v>184</v>
      </c>
      <c r="AC137" s="42"/>
      <c r="AD137" s="17"/>
      <c r="AE137" s="17" t="s">
        <v>32</v>
      </c>
      <c r="AF137" s="17" t="s">
        <v>70</v>
      </c>
      <c r="AG137" s="30"/>
      <c r="AH137" s="30"/>
      <c r="AI137" s="17"/>
      <c r="AJ137" s="41">
        <f>IF(NOT(ISBLANK('Referenz Plattenfertiger'!$I29)),'Referenz Plattenfertiger'!$I29,'Referenz Plattenfertiger'!$F29)*IF(NOT(ISBLANK('Eingabe Preise'!$K14)),'Eingabe Preise'!$K14,'Eingabe Preise'!$I14)</f>
        <v>2810.0000000000005</v>
      </c>
      <c r="AK137" s="20" t="s">
        <v>96</v>
      </c>
    </row>
    <row r="138" spans="17:44" ht="15.75" hidden="1" outlineLevel="1" x14ac:dyDescent="0.3">
      <c r="Q138" s="17"/>
      <c r="R138" s="17" t="s">
        <v>70</v>
      </c>
      <c r="S138" s="17" t="s">
        <v>32</v>
      </c>
      <c r="T138" s="17"/>
      <c r="U138" s="37">
        <f>IF(NOT(ISBLANK('Referenz Plattenfertiger'!$I29)),'Referenz Plattenfertiger'!$I29,'Referenz Plattenfertiger'!$F29)*IF(NOT(ISBLANK('Eingabe EF'!$AA15)),'Eingabe EF'!$AA15,'Eingabe EF'!$Y15)</f>
        <v>6.645213899999999</v>
      </c>
      <c r="V138" s="37">
        <f>IF(NOT(ISBLANK('Referenz Plattenfertiger'!$I29)),'Referenz Plattenfertiger'!$I29,'Referenz Plattenfertiger'!$F29)*IF(NOT(ISBLANK('Eingabe EF'!$AE15)),'Eingabe EF'!$AE15,'Eingabe EF'!$AC15)</f>
        <v>0</v>
      </c>
      <c r="W138" s="37">
        <f>IF(NOT(ISBLANK('Referenz Plattenfertiger'!$I29)),'Referenz Plattenfertiger'!$I29,'Referenz Plattenfertiger'!$F29)*IF(NOT(ISBLANK('Eingabe EF'!$AI15)),'Eingabe EF'!$AI15,'Eingabe EF'!$AG15)</f>
        <v>1.1740599000000003</v>
      </c>
      <c r="X138" s="17"/>
      <c r="Y138" s="17"/>
      <c r="Z138" s="37">
        <f t="shared" si="23"/>
        <v>6.645213899999999</v>
      </c>
      <c r="AA138" s="37">
        <f t="shared" si="22"/>
        <v>7.8192737999999995</v>
      </c>
      <c r="AB138" s="17" t="s">
        <v>184</v>
      </c>
      <c r="AC138" s="72"/>
      <c r="AD138" s="21"/>
      <c r="AE138" s="21"/>
      <c r="AF138" s="21"/>
      <c r="AG138" s="73"/>
      <c r="AH138" s="73"/>
      <c r="AI138" s="21"/>
      <c r="AJ138" s="21"/>
      <c r="AK138" s="21"/>
      <c r="AM138" s="72"/>
      <c r="AN138" s="72"/>
      <c r="AO138" s="72"/>
      <c r="AP138" s="72"/>
      <c r="AQ138" s="72"/>
      <c r="AR138" s="72"/>
    </row>
    <row r="139" spans="17:44" ht="14.25" hidden="1" outlineLevel="1" x14ac:dyDescent="0.25">
      <c r="Q139" s="69"/>
      <c r="R139" s="69" t="s">
        <v>175</v>
      </c>
      <c r="S139" s="69"/>
      <c r="T139" s="69"/>
      <c r="U139" s="71"/>
      <c r="V139" s="71"/>
      <c r="W139" s="71">
        <f t="shared" ref="W139" si="24">W140+W141</f>
        <v>469.15642799999995</v>
      </c>
      <c r="X139" s="69"/>
      <c r="Y139" s="69"/>
      <c r="Z139" s="71">
        <f t="shared" si="23"/>
        <v>0</v>
      </c>
      <c r="AA139" s="71">
        <f t="shared" si="22"/>
        <v>469.15642799999995</v>
      </c>
      <c r="AB139" s="76" t="s">
        <v>183</v>
      </c>
      <c r="AC139" s="42"/>
      <c r="AD139" s="17"/>
      <c r="AE139" s="17"/>
      <c r="AF139" s="17"/>
      <c r="AG139" s="30"/>
      <c r="AH139" s="30"/>
      <c r="AI139" s="17"/>
      <c r="AJ139" s="17"/>
      <c r="AK139" s="17"/>
    </row>
    <row r="140" spans="17:44" ht="15.75" hidden="1" outlineLevel="1" x14ac:dyDescent="0.3">
      <c r="Q140" s="17"/>
      <c r="R140" s="17"/>
      <c r="S140" s="17" t="s">
        <v>43</v>
      </c>
      <c r="T140" s="17"/>
      <c r="U140" s="37"/>
      <c r="V140" s="37"/>
      <c r="W140" s="37">
        <f>IF(NOT(ISBLANK('Referenz Plattenfertiger'!$I32)),'Referenz Plattenfertiger'!$I32,'Referenz Plattenfertiger'!$F32)*IF(NOT(ISBLANK('Eingabe EF'!$AI17)),'Eingabe EF'!$AI17,'Eingabe EF'!$AG17)</f>
        <v>109.4698332</v>
      </c>
      <c r="X140" s="17"/>
      <c r="Y140" s="17"/>
      <c r="Z140" s="37">
        <f t="shared" si="23"/>
        <v>0</v>
      </c>
      <c r="AA140" s="37">
        <f t="shared" si="22"/>
        <v>109.4698332</v>
      </c>
      <c r="AB140" s="17" t="s">
        <v>184</v>
      </c>
      <c r="AC140" s="42"/>
      <c r="AD140" s="17"/>
      <c r="AE140" s="17" t="s">
        <v>28</v>
      </c>
      <c r="AF140" s="17"/>
      <c r="AG140" s="30"/>
      <c r="AH140" s="30"/>
      <c r="AI140" s="17"/>
      <c r="AJ140" s="41">
        <f>IF(NOT(ISBLANK($G$33)),$G$33,$E$33)/IF(NOT(ISBLANK($G$38)),$G$38,$E$38)+IF(NOT(ISBLANK($G$33)),$G$33,$E$33)*(IF(NOT(ISBLANK($G$39)),$G$39,$E$39)/100)</f>
        <v>0</v>
      </c>
      <c r="AK140" s="20" t="s">
        <v>96</v>
      </c>
    </row>
    <row r="141" spans="17:44" ht="15.75" hidden="1" outlineLevel="1" x14ac:dyDescent="0.3">
      <c r="Q141" s="17"/>
      <c r="R141" s="17"/>
      <c r="S141" s="17" t="s">
        <v>44</v>
      </c>
      <c r="T141" s="17"/>
      <c r="U141" s="37"/>
      <c r="V141" s="37"/>
      <c r="W141" s="37">
        <f>IF(NOT(ISBLANK('Referenz Plattenfertiger'!$I33)),'Referenz Plattenfertiger'!$I33,'Referenz Plattenfertiger'!$F33)*IF(NOT(ISBLANK('Eingabe EF'!$AI18)),'Eingabe EF'!$AI18,'Eingabe EF'!$AG18)</f>
        <v>359.68659479999997</v>
      </c>
      <c r="X141" s="17"/>
      <c r="Y141" s="17"/>
      <c r="Z141" s="37">
        <f t="shared" si="23"/>
        <v>0</v>
      </c>
      <c r="AA141" s="37">
        <f t="shared" si="22"/>
        <v>359.68659479999997</v>
      </c>
      <c r="AB141" s="17" t="s">
        <v>184</v>
      </c>
      <c r="AD141" s="17"/>
      <c r="AE141" s="44" t="s">
        <v>139</v>
      </c>
      <c r="AF141" s="17"/>
      <c r="AG141" s="30"/>
      <c r="AH141" s="30"/>
      <c r="AI141" s="17"/>
      <c r="AJ141" s="41">
        <f>IF(NOT(ISBLANK($G$34)),$G$34,$E$34)</f>
        <v>0</v>
      </c>
      <c r="AK141" s="20" t="s">
        <v>96</v>
      </c>
    </row>
    <row r="142" spans="17:44" hidden="1" outlineLevel="1" x14ac:dyDescent="0.2">
      <c r="Q142" s="17"/>
      <c r="R142" s="17"/>
      <c r="S142" s="17"/>
      <c r="T142" s="17"/>
      <c r="U142" s="20"/>
      <c r="V142" s="20"/>
      <c r="W142" s="20"/>
      <c r="X142" s="17"/>
      <c r="Y142" s="17"/>
      <c r="Z142" s="20"/>
      <c r="AA142" s="20"/>
      <c r="AB142" s="17"/>
      <c r="AD142" s="17"/>
      <c r="AE142" s="44" t="s">
        <v>146</v>
      </c>
      <c r="AF142" s="17"/>
      <c r="AG142" s="30"/>
      <c r="AH142" s="30"/>
      <c r="AI142" s="17"/>
      <c r="AJ142" s="41">
        <f>IF(NOT(ISBLANK($G$35)),$G$35,$E$35)/IF(NOT(ISBLANK($G$38)),$G$38,$E$38)+IF(NOT(ISBLANK($G$35)),$G$35,$E$35)*(IF(NOT(ISBLANK($G$39)),$G$39,$E$39)/100)</f>
        <v>0</v>
      </c>
      <c r="AK142" s="20" t="s">
        <v>96</v>
      </c>
    </row>
    <row r="143" spans="17:44" ht="14.25" hidden="1" outlineLevel="1" x14ac:dyDescent="0.25">
      <c r="Q143" s="69"/>
      <c r="R143" s="69" t="s">
        <v>66</v>
      </c>
      <c r="S143" s="70"/>
      <c r="T143" s="70"/>
      <c r="U143" s="71"/>
      <c r="V143" s="71"/>
      <c r="W143" s="71">
        <f>SUM(W144:W147)</f>
        <v>4548.5439999999999</v>
      </c>
      <c r="X143" s="70"/>
      <c r="Y143" s="70"/>
      <c r="Z143" s="71">
        <f t="shared" ref="Z143:Z147" si="25">U143+V143</f>
        <v>0</v>
      </c>
      <c r="AA143" s="71">
        <f t="shared" ref="AA143:AA146" si="26">SUM(U143:W143)</f>
        <v>4548.5439999999999</v>
      </c>
      <c r="AB143" s="76" t="s">
        <v>183</v>
      </c>
      <c r="AC143" s="42"/>
      <c r="AD143" s="17"/>
      <c r="AE143" s="17"/>
      <c r="AF143" s="17"/>
      <c r="AG143" s="17"/>
      <c r="AH143" s="17"/>
      <c r="AI143" s="17"/>
      <c r="AJ143" s="17"/>
      <c r="AK143" s="17"/>
    </row>
    <row r="144" spans="17:44" ht="15.75" hidden="1" outlineLevel="1" x14ac:dyDescent="0.3">
      <c r="Q144" s="274"/>
      <c r="R144" s="17"/>
      <c r="S144" s="17" t="s">
        <v>45</v>
      </c>
      <c r="T144" s="17"/>
      <c r="U144" s="37"/>
      <c r="V144" s="37"/>
      <c r="W144" s="37">
        <f>'M1 Härtekammern'!T134</f>
        <v>1210.3</v>
      </c>
      <c r="X144" s="17"/>
      <c r="Y144" s="17"/>
      <c r="Z144" s="37">
        <f t="shared" si="25"/>
        <v>0</v>
      </c>
      <c r="AA144" s="37">
        <f t="shared" si="26"/>
        <v>1210.3</v>
      </c>
      <c r="AB144" s="17" t="s">
        <v>184</v>
      </c>
      <c r="AC144" s="42"/>
      <c r="AD144" s="17"/>
      <c r="AE144" s="17"/>
      <c r="AF144" s="17"/>
      <c r="AG144" s="17"/>
      <c r="AH144" s="17"/>
      <c r="AI144" s="17"/>
      <c r="AJ144" s="17"/>
      <c r="AK144" s="17"/>
    </row>
    <row r="145" spans="17:37" ht="15.75" hidden="1" outlineLevel="1" x14ac:dyDescent="0.3">
      <c r="Q145" s="274"/>
      <c r="R145" s="17"/>
      <c r="S145" s="17" t="s">
        <v>47</v>
      </c>
      <c r="T145" s="17"/>
      <c r="U145" s="37"/>
      <c r="V145" s="37"/>
      <c r="W145" s="37">
        <f>'M1 Härtekammern'!T135</f>
        <v>2415.5039999999999</v>
      </c>
      <c r="X145" s="17"/>
      <c r="Y145" s="17"/>
      <c r="Z145" s="37">
        <f t="shared" si="25"/>
        <v>0</v>
      </c>
      <c r="AA145" s="37">
        <f t="shared" si="26"/>
        <v>2415.5039999999999</v>
      </c>
      <c r="AB145" s="17" t="s">
        <v>184</v>
      </c>
      <c r="AC145" s="42"/>
      <c r="AD145" s="17"/>
      <c r="AE145" s="17" t="s">
        <v>186</v>
      </c>
      <c r="AF145" s="17"/>
      <c r="AG145" s="30"/>
      <c r="AH145" s="30"/>
      <c r="AI145" s="17"/>
      <c r="AJ145" s="41">
        <f>U191*IF(NOT(ISBLANK('Eingabe Preise'!$K21)),'Eingabe Preise'!$K21,'Eingabe Preise'!$I21)</f>
        <v>4271.9559777000004</v>
      </c>
      <c r="AK145" s="20" t="s">
        <v>96</v>
      </c>
    </row>
    <row r="146" spans="17:37" ht="15.75" hidden="1" outlineLevel="1" x14ac:dyDescent="0.3">
      <c r="Q146" s="274"/>
      <c r="R146" s="17"/>
      <c r="S146" s="17" t="s">
        <v>48</v>
      </c>
      <c r="T146" s="17"/>
      <c r="U146" s="37"/>
      <c r="V146" s="37"/>
      <c r="W146" s="37">
        <f>'M1 Härtekammern'!T136</f>
        <v>922.7399999999999</v>
      </c>
      <c r="X146" s="17"/>
      <c r="Y146" s="17"/>
      <c r="Z146" s="37">
        <f t="shared" si="25"/>
        <v>0</v>
      </c>
      <c r="AA146" s="37">
        <f t="shared" si="26"/>
        <v>922.7399999999999</v>
      </c>
      <c r="AB146" s="17" t="s">
        <v>184</v>
      </c>
      <c r="AC146" s="42"/>
      <c r="AD146" s="17"/>
      <c r="AE146" s="17" t="s">
        <v>187</v>
      </c>
      <c r="AF146" s="17"/>
      <c r="AG146" s="30"/>
      <c r="AH146" s="30"/>
      <c r="AI146" s="17"/>
      <c r="AJ146" s="41">
        <f>V191*IF(NOT(ISBLANK('Eingabe Preise'!$K22)),'Eingabe Preise'!$K22,'Eingabe Preise'!$I22)</f>
        <v>5620.160118992103</v>
      </c>
      <c r="AK146" s="20" t="s">
        <v>96</v>
      </c>
    </row>
    <row r="147" spans="17:37" ht="15.75" hidden="1" outlineLevel="1" x14ac:dyDescent="0.3">
      <c r="Q147" s="274"/>
      <c r="R147" s="17"/>
      <c r="S147" s="17" t="s">
        <v>147</v>
      </c>
      <c r="T147" s="17"/>
      <c r="U147" s="37"/>
      <c r="V147" s="37"/>
      <c r="W147" s="37">
        <f>'M1 Härtekammern'!T137</f>
        <v>0</v>
      </c>
      <c r="X147" s="17"/>
      <c r="Y147" s="17"/>
      <c r="Z147" s="37">
        <f t="shared" si="25"/>
        <v>0</v>
      </c>
      <c r="AA147" s="37">
        <f t="shared" ref="AA147" si="27">SUM(U147:W147)</f>
        <v>0</v>
      </c>
      <c r="AB147" s="17" t="s">
        <v>184</v>
      </c>
      <c r="AC147" s="42"/>
      <c r="AD147" s="17"/>
      <c r="AE147" s="17" t="s">
        <v>188</v>
      </c>
      <c r="AF147" s="17"/>
      <c r="AG147" s="30"/>
      <c r="AH147" s="30"/>
      <c r="AI147" s="17"/>
      <c r="AJ147" s="41">
        <f>W191*IF(NOT(ISBLANK('Eingabe Preise'!$K23)),'Eingabe Preise'!$K23,'Eingabe Preise'!$I23)</f>
        <v>258494.37404491924</v>
      </c>
      <c r="AK147" s="20" t="s">
        <v>96</v>
      </c>
    </row>
    <row r="148" spans="17:37" hidden="1" outlineLevel="1" x14ac:dyDescent="0.2">
      <c r="Q148" s="17"/>
      <c r="R148" s="17"/>
      <c r="S148" s="17"/>
      <c r="T148" s="17"/>
      <c r="U148" s="20"/>
      <c r="V148" s="20"/>
      <c r="W148" s="20"/>
      <c r="X148" s="17"/>
      <c r="Y148" s="17"/>
      <c r="Z148" s="17"/>
      <c r="AA148" s="20"/>
      <c r="AB148" s="20"/>
      <c r="AC148" s="42"/>
      <c r="AD148" s="17"/>
      <c r="AE148" s="17"/>
      <c r="AF148" s="17"/>
      <c r="AG148" s="30"/>
      <c r="AH148" s="30"/>
      <c r="AI148" s="17"/>
      <c r="AJ148" s="66"/>
      <c r="AK148" s="17"/>
    </row>
    <row r="149" spans="17:37" ht="14.25" hidden="1" outlineLevel="1" x14ac:dyDescent="0.25">
      <c r="Q149" s="69"/>
      <c r="R149" s="69" t="s">
        <v>163</v>
      </c>
      <c r="S149" s="70"/>
      <c r="T149" s="70"/>
      <c r="U149" s="71"/>
      <c r="V149" s="71"/>
      <c r="W149" s="71">
        <f>SUM(W150:W154)</f>
        <v>129.59200000000001</v>
      </c>
      <c r="X149" s="70"/>
      <c r="Y149" s="70"/>
      <c r="Z149" s="71">
        <f t="shared" ref="Z149" si="28">U149+V149</f>
        <v>0</v>
      </c>
      <c r="AA149" s="71">
        <f>SUM(U149:W149)</f>
        <v>129.59200000000001</v>
      </c>
      <c r="AB149" s="76" t="s">
        <v>183</v>
      </c>
      <c r="AC149" s="42"/>
      <c r="AD149" s="17"/>
      <c r="AE149" s="17"/>
      <c r="AF149" s="17"/>
      <c r="AG149" s="30"/>
      <c r="AH149" s="30"/>
      <c r="AI149" s="17"/>
      <c r="AJ149" s="17"/>
      <c r="AK149" s="17"/>
    </row>
    <row r="150" spans="17:37" ht="15.75" hidden="1" outlineLevel="1" x14ac:dyDescent="0.3">
      <c r="Q150" s="17"/>
      <c r="R150" s="17"/>
      <c r="S150" s="17" t="s">
        <v>164</v>
      </c>
      <c r="T150" s="17"/>
      <c r="U150" s="37"/>
      <c r="V150" s="37"/>
      <c r="W150" s="450">
        <f>'M1 Härtekammern'!T140*T112</f>
        <v>129.59200000000001</v>
      </c>
      <c r="X150" s="17"/>
      <c r="Y150" s="17"/>
      <c r="Z150" s="37">
        <f>U150+V150</f>
        <v>0</v>
      </c>
      <c r="AA150" s="37">
        <f>SUM(U150:W150)</f>
        <v>129.59200000000001</v>
      </c>
      <c r="AB150" s="17" t="s">
        <v>184</v>
      </c>
      <c r="AC150" s="42"/>
      <c r="AD150" s="17"/>
      <c r="AE150" s="17"/>
      <c r="AF150" s="17"/>
      <c r="AG150" s="30"/>
      <c r="AH150" s="30"/>
      <c r="AI150" s="17"/>
      <c r="AJ150" s="66"/>
      <c r="AK150" s="17"/>
    </row>
    <row r="151" spans="17:37" ht="15.75" hidden="1" outlineLevel="1" x14ac:dyDescent="0.3">
      <c r="Q151" s="17"/>
      <c r="R151" s="17"/>
      <c r="S151" s="17" t="s">
        <v>165</v>
      </c>
      <c r="T151" s="17"/>
      <c r="U151" s="37"/>
      <c r="V151" s="37"/>
      <c r="W151" s="450">
        <f>'M1 Härtekammern'!T141*T113</f>
        <v>0</v>
      </c>
      <c r="X151" s="17"/>
      <c r="Y151" s="17"/>
      <c r="Z151" s="37">
        <f t="shared" ref="Z151:Z152" si="29">U151+V151</f>
        <v>0</v>
      </c>
      <c r="AA151" s="37">
        <f t="shared" ref="AA151:AA152" si="30">SUM(U151:W151)</f>
        <v>0</v>
      </c>
      <c r="AB151" s="17" t="s">
        <v>184</v>
      </c>
      <c r="AC151" s="42"/>
      <c r="AD151" s="42"/>
      <c r="AE151" s="42"/>
      <c r="AF151" s="42"/>
      <c r="AG151" s="42"/>
      <c r="AH151" s="42"/>
      <c r="AI151" s="42"/>
      <c r="AJ151" s="42"/>
    </row>
    <row r="152" spans="17:37" ht="15.75" hidden="1" outlineLevel="1" x14ac:dyDescent="0.3">
      <c r="Q152" s="17"/>
      <c r="R152" s="17"/>
      <c r="S152" s="17" t="s">
        <v>166</v>
      </c>
      <c r="T152" s="17"/>
      <c r="U152" s="37"/>
      <c r="V152" s="37"/>
      <c r="W152" s="450">
        <f>'M1 Härtekammern'!T142*T114</f>
        <v>0</v>
      </c>
      <c r="X152" s="17"/>
      <c r="Y152" s="17"/>
      <c r="Z152" s="37">
        <f t="shared" si="29"/>
        <v>0</v>
      </c>
      <c r="AA152" s="37">
        <f t="shared" si="30"/>
        <v>0</v>
      </c>
      <c r="AB152" s="17" t="s">
        <v>184</v>
      </c>
      <c r="AC152" s="42"/>
      <c r="AD152" s="42"/>
      <c r="AE152" s="42"/>
      <c r="AF152" s="42"/>
      <c r="AG152" s="42"/>
      <c r="AH152" s="42"/>
      <c r="AI152" s="42"/>
      <c r="AJ152" s="42"/>
    </row>
    <row r="153" spans="17:37" ht="15.75" hidden="1" outlineLevel="1" x14ac:dyDescent="0.3">
      <c r="Q153" s="17"/>
      <c r="R153" s="17"/>
      <c r="S153" s="17" t="str">
        <f>'M1 Härtekammern'!P143</f>
        <v>Weiterer Zuschlagstoff 1</v>
      </c>
      <c r="T153" s="17"/>
      <c r="U153" s="37"/>
      <c r="V153" s="37"/>
      <c r="W153" s="450">
        <f>'M1 Härtekammern'!T143*T115</f>
        <v>0</v>
      </c>
      <c r="X153" s="17"/>
      <c r="Y153" s="17"/>
      <c r="Z153" s="37">
        <f t="shared" ref="Z153:Z154" si="31">U153+V153</f>
        <v>0</v>
      </c>
      <c r="AA153" s="37">
        <f t="shared" ref="AA153:AA154" si="32">SUM(U153:W153)</f>
        <v>0</v>
      </c>
      <c r="AB153" s="17" t="s">
        <v>184</v>
      </c>
      <c r="AC153" s="42"/>
      <c r="AD153" s="42"/>
      <c r="AE153" s="42"/>
      <c r="AF153" s="42"/>
      <c r="AG153" s="42"/>
      <c r="AH153" s="42"/>
      <c r="AI153" s="42"/>
      <c r="AJ153" s="42"/>
    </row>
    <row r="154" spans="17:37" ht="15.75" hidden="1" outlineLevel="1" x14ac:dyDescent="0.3">
      <c r="Q154" s="17"/>
      <c r="R154" s="17"/>
      <c r="S154" s="17" t="str">
        <f>'M1 Härtekammern'!P144</f>
        <v>Weiterer Zuschlagstoff 2</v>
      </c>
      <c r="T154" s="17"/>
      <c r="U154" s="37"/>
      <c r="V154" s="37"/>
      <c r="W154" s="450">
        <f>'M1 Härtekammern'!T144*T116</f>
        <v>0</v>
      </c>
      <c r="X154" s="17"/>
      <c r="Y154" s="17"/>
      <c r="Z154" s="37">
        <f t="shared" si="31"/>
        <v>0</v>
      </c>
      <c r="AA154" s="37">
        <f t="shared" si="32"/>
        <v>0</v>
      </c>
      <c r="AB154" s="17" t="s">
        <v>184</v>
      </c>
      <c r="AC154" s="42"/>
      <c r="AD154" s="42"/>
      <c r="AE154" s="42"/>
      <c r="AF154" s="42"/>
      <c r="AG154" s="42"/>
      <c r="AH154" s="42"/>
      <c r="AI154" s="42"/>
      <c r="AJ154" s="42"/>
    </row>
    <row r="155" spans="17:37" hidden="1" outlineLevel="1" x14ac:dyDescent="0.2">
      <c r="Q155" s="17"/>
      <c r="R155" s="17"/>
      <c r="S155" s="17"/>
      <c r="T155" s="17"/>
      <c r="U155" s="20"/>
      <c r="V155" s="20"/>
      <c r="W155" s="20"/>
      <c r="X155" s="17"/>
      <c r="Y155" s="17"/>
      <c r="Z155" s="17"/>
      <c r="AA155" s="20"/>
      <c r="AB155" s="20"/>
      <c r="AC155" s="42"/>
      <c r="AD155" s="42"/>
      <c r="AE155" s="42"/>
      <c r="AF155" s="42"/>
      <c r="AG155" s="42"/>
      <c r="AH155" s="42"/>
      <c r="AI155" s="42"/>
      <c r="AJ155" s="42"/>
    </row>
    <row r="156" spans="17:37" ht="14.25" hidden="1" outlineLevel="1" x14ac:dyDescent="0.25">
      <c r="Q156" s="17"/>
      <c r="R156" s="17"/>
      <c r="S156" s="21" t="s">
        <v>55</v>
      </c>
      <c r="T156" s="21"/>
      <c r="U156" s="74"/>
      <c r="V156" s="74"/>
      <c r="W156" s="74">
        <f>'M1 Härtekammern'!T146</f>
        <v>208</v>
      </c>
      <c r="X156" s="21"/>
      <c r="Y156" s="21"/>
      <c r="Z156" s="74">
        <f>U156+V156</f>
        <v>0</v>
      </c>
      <c r="AA156" s="74">
        <f t="shared" ref="AA156" si="33">SUM(U156:W156)</f>
        <v>208</v>
      </c>
      <c r="AB156" s="21" t="s">
        <v>183</v>
      </c>
      <c r="AC156" s="42"/>
      <c r="AD156" s="42"/>
      <c r="AE156" s="42"/>
      <c r="AF156" s="42"/>
      <c r="AG156" s="42"/>
      <c r="AH156" s="42"/>
      <c r="AI156" s="42"/>
      <c r="AJ156" s="42"/>
    </row>
    <row r="157" spans="17:37" hidden="1" outlineLevel="1" x14ac:dyDescent="0.2">
      <c r="Q157" s="17"/>
      <c r="R157" s="17"/>
      <c r="S157" s="17"/>
      <c r="T157" s="17"/>
      <c r="U157" s="20"/>
      <c r="V157" s="20"/>
      <c r="W157" s="20"/>
      <c r="X157" s="17"/>
      <c r="Y157" s="17"/>
      <c r="Z157" s="17"/>
      <c r="AA157" s="20"/>
      <c r="AB157" s="20"/>
      <c r="AC157" s="42"/>
      <c r="AD157" s="42"/>
      <c r="AE157" s="42"/>
      <c r="AF157" s="42"/>
      <c r="AG157" s="42"/>
      <c r="AH157" s="42"/>
      <c r="AI157" s="42"/>
      <c r="AJ157" s="42"/>
    </row>
    <row r="158" spans="17:37" ht="14.25" hidden="1" outlineLevel="1" x14ac:dyDescent="0.25">
      <c r="Q158" s="69"/>
      <c r="R158" s="69" t="s">
        <v>167</v>
      </c>
      <c r="S158" s="70"/>
      <c r="T158" s="70"/>
      <c r="U158" s="71"/>
      <c r="V158" s="71"/>
      <c r="W158" s="71">
        <f>SUM(W159:W163)</f>
        <v>81.003999999999991</v>
      </c>
      <c r="X158" s="70"/>
      <c r="Y158" s="70"/>
      <c r="Z158" s="71">
        <f t="shared" ref="Z158" si="34">U158+V158</f>
        <v>0</v>
      </c>
      <c r="AA158" s="71">
        <f t="shared" ref="AA158" si="35">SUM(U158:W158)</f>
        <v>81.003999999999991</v>
      </c>
      <c r="AB158" s="76" t="s">
        <v>183</v>
      </c>
      <c r="AC158" s="42"/>
      <c r="AD158" s="42"/>
      <c r="AE158" s="42"/>
      <c r="AF158" s="42"/>
      <c r="AG158" s="42"/>
      <c r="AH158" s="42"/>
      <c r="AI158" s="42"/>
      <c r="AJ158" s="42"/>
    </row>
    <row r="159" spans="17:37" ht="15.75" hidden="1" outlineLevel="1" x14ac:dyDescent="0.3">
      <c r="Q159" s="17"/>
      <c r="R159" s="17"/>
      <c r="S159" s="17" t="s">
        <v>57</v>
      </c>
      <c r="T159" s="17"/>
      <c r="U159" s="37"/>
      <c r="V159" s="37"/>
      <c r="W159" s="37">
        <f>'M1 Härtekammern'!T149</f>
        <v>0</v>
      </c>
      <c r="X159" s="17"/>
      <c r="Y159" s="17"/>
      <c r="Z159" s="37">
        <f>U159+V159</f>
        <v>0</v>
      </c>
      <c r="AA159" s="37">
        <f>SUM(U159:W159)</f>
        <v>0</v>
      </c>
      <c r="AB159" s="17" t="s">
        <v>184</v>
      </c>
      <c r="AC159" s="42"/>
      <c r="AD159" s="42"/>
      <c r="AE159" s="42"/>
      <c r="AF159" s="42"/>
      <c r="AG159" s="42"/>
      <c r="AH159" s="42"/>
      <c r="AI159" s="42"/>
      <c r="AJ159" s="42"/>
    </row>
    <row r="160" spans="17:37" ht="15.75" hidden="1" outlineLevel="1" x14ac:dyDescent="0.3">
      <c r="Q160" s="274"/>
      <c r="R160" s="17"/>
      <c r="S160" s="17" t="s">
        <v>58</v>
      </c>
      <c r="T160" s="17"/>
      <c r="U160" s="37"/>
      <c r="V160" s="37"/>
      <c r="W160" s="37">
        <f>'M1 Härtekammern'!T150</f>
        <v>8.6840000000000011</v>
      </c>
      <c r="X160" s="17"/>
      <c r="Y160" s="17"/>
      <c r="Z160" s="37">
        <f>U160+V160</f>
        <v>0</v>
      </c>
      <c r="AA160" s="37">
        <f>SUM(U160:W160)</f>
        <v>8.6840000000000011</v>
      </c>
      <c r="AB160" s="17" t="s">
        <v>184</v>
      </c>
      <c r="AC160" s="42"/>
      <c r="AD160" s="42"/>
      <c r="AE160" s="42"/>
      <c r="AF160" s="42"/>
      <c r="AG160" s="42"/>
      <c r="AH160" s="42"/>
      <c r="AI160" s="42"/>
      <c r="AJ160" s="42"/>
    </row>
    <row r="161" spans="17:36" ht="15.75" hidden="1" outlineLevel="1" x14ac:dyDescent="0.3">
      <c r="Q161" s="274"/>
      <c r="R161" s="17"/>
      <c r="S161" s="17" t="s">
        <v>59</v>
      </c>
      <c r="T161" s="17"/>
      <c r="U161" s="37"/>
      <c r="V161" s="37"/>
      <c r="W161" s="37">
        <f>'M1 Härtekammern'!T151</f>
        <v>72.319999999999993</v>
      </c>
      <c r="X161" s="17"/>
      <c r="Y161" s="17"/>
      <c r="Z161" s="37">
        <f>U161+V161</f>
        <v>0</v>
      </c>
      <c r="AA161" s="37">
        <f>SUM(U161:W161)</f>
        <v>72.319999999999993</v>
      </c>
      <c r="AB161" s="17" t="s">
        <v>184</v>
      </c>
      <c r="AC161" s="42"/>
      <c r="AD161" s="42"/>
      <c r="AE161" s="42"/>
      <c r="AF161" s="42"/>
      <c r="AG161" s="42"/>
      <c r="AH161" s="42"/>
      <c r="AI161" s="42"/>
      <c r="AJ161" s="42"/>
    </row>
    <row r="162" spans="17:36" ht="15.75" hidden="1" outlineLevel="1" x14ac:dyDescent="0.3">
      <c r="Q162" s="274"/>
      <c r="R162" s="17"/>
      <c r="S162" s="17" t="str">
        <f>'M1 Härtekammern'!P152</f>
        <v>Weiterer Zusatzstoff 1</v>
      </c>
      <c r="T162" s="17"/>
      <c r="U162" s="37"/>
      <c r="V162" s="37"/>
      <c r="W162" s="37">
        <f>'M1 Härtekammern'!T152</f>
        <v>0</v>
      </c>
      <c r="X162" s="17"/>
      <c r="Y162" s="17"/>
      <c r="Z162" s="37">
        <f t="shared" ref="Z162:Z163" si="36">U162+V162</f>
        <v>0</v>
      </c>
      <c r="AA162" s="37">
        <f t="shared" ref="AA162:AA163" si="37">SUM(U162:W162)</f>
        <v>0</v>
      </c>
      <c r="AB162" s="17" t="s">
        <v>184</v>
      </c>
      <c r="AC162" s="42"/>
      <c r="AD162" s="42"/>
      <c r="AE162" s="42"/>
      <c r="AF162" s="42"/>
      <c r="AG162" s="42"/>
      <c r="AH162" s="42"/>
      <c r="AI162" s="42"/>
      <c r="AJ162" s="42"/>
    </row>
    <row r="163" spans="17:36" ht="15.75" hidden="1" outlineLevel="1" x14ac:dyDescent="0.3">
      <c r="Q163" s="274"/>
      <c r="R163" s="17"/>
      <c r="S163" s="17" t="str">
        <f>'M1 Härtekammern'!P153</f>
        <v>Weiterer Zusatzstoff 2</v>
      </c>
      <c r="T163" s="17"/>
      <c r="U163" s="37"/>
      <c r="V163" s="37"/>
      <c r="W163" s="37">
        <f>'M1 Härtekammern'!T153</f>
        <v>0</v>
      </c>
      <c r="X163" s="17"/>
      <c r="Y163" s="17"/>
      <c r="Z163" s="37">
        <f t="shared" si="36"/>
        <v>0</v>
      </c>
      <c r="AA163" s="37">
        <f t="shared" si="37"/>
        <v>0</v>
      </c>
      <c r="AB163" s="17" t="s">
        <v>184</v>
      </c>
      <c r="AC163" s="42"/>
      <c r="AD163" s="42"/>
      <c r="AE163" s="42"/>
      <c r="AF163" s="42"/>
      <c r="AG163" s="42"/>
      <c r="AH163" s="42"/>
      <c r="AI163" s="42"/>
      <c r="AJ163" s="42"/>
    </row>
    <row r="164" spans="17:36" hidden="1" outlineLevel="1" x14ac:dyDescent="0.2">
      <c r="Q164" s="17"/>
      <c r="R164" s="17"/>
      <c r="S164" s="17"/>
      <c r="T164" s="17"/>
      <c r="U164" s="20"/>
      <c r="V164" s="20"/>
      <c r="W164" s="20"/>
      <c r="X164" s="17"/>
      <c r="Y164" s="17"/>
      <c r="Z164" s="17"/>
      <c r="AA164" s="20"/>
      <c r="AB164" s="20"/>
      <c r="AC164" s="42"/>
      <c r="AD164" s="42"/>
      <c r="AE164" s="42"/>
      <c r="AF164" s="42"/>
      <c r="AG164" s="42"/>
      <c r="AH164" s="42"/>
      <c r="AI164" s="42"/>
      <c r="AJ164" s="42"/>
    </row>
    <row r="165" spans="17:36" ht="14.25" hidden="1" outlineLevel="1" x14ac:dyDescent="0.25">
      <c r="Q165" s="69"/>
      <c r="R165" s="69" t="s">
        <v>49</v>
      </c>
      <c r="S165" s="70"/>
      <c r="T165" s="70"/>
      <c r="U165" s="71"/>
      <c r="V165" s="71"/>
      <c r="W165" s="71">
        <f>SUM(W166:W169)</f>
        <v>148.44746134951595</v>
      </c>
      <c r="X165" s="70"/>
      <c r="Y165" s="70"/>
      <c r="Z165" s="71">
        <f t="shared" ref="Z165:Z169" si="38">U165+V165</f>
        <v>0</v>
      </c>
      <c r="AA165" s="71">
        <f t="shared" ref="AA165" si="39">SUM(U165:W165)</f>
        <v>148.44746134951595</v>
      </c>
      <c r="AB165" s="76" t="s">
        <v>183</v>
      </c>
      <c r="AC165" s="42"/>
      <c r="AD165" s="42"/>
      <c r="AE165" s="42"/>
      <c r="AF165" s="42"/>
      <c r="AG165" s="42"/>
      <c r="AH165" s="42"/>
      <c r="AI165" s="42"/>
      <c r="AJ165" s="42"/>
    </row>
    <row r="166" spans="17:36" ht="15.75" hidden="1" outlineLevel="1" x14ac:dyDescent="0.3">
      <c r="Q166" s="17"/>
      <c r="R166" s="17"/>
      <c r="S166" s="17" t="s">
        <v>50</v>
      </c>
      <c r="T166" s="17"/>
      <c r="U166" s="37"/>
      <c r="V166" s="37"/>
      <c r="W166" s="37">
        <f>'M1 Härtekammern'!T156</f>
        <v>47.997919375812742</v>
      </c>
      <c r="X166" s="17"/>
      <c r="Y166" s="17"/>
      <c r="Z166" s="37">
        <f t="shared" si="38"/>
        <v>0</v>
      </c>
      <c r="AA166" s="37">
        <f t="shared" ref="AA166:AA169" si="40">SUM(U166:W166)</f>
        <v>47.997919375812742</v>
      </c>
      <c r="AB166" s="17" t="s">
        <v>184</v>
      </c>
      <c r="AC166" s="42"/>
      <c r="AD166" s="42"/>
      <c r="AE166" s="42"/>
      <c r="AF166" s="42"/>
      <c r="AG166" s="42"/>
      <c r="AH166" s="42"/>
      <c r="AI166" s="42"/>
      <c r="AJ166" s="42"/>
    </row>
    <row r="167" spans="17:36" ht="15.75" hidden="1" outlineLevel="1" x14ac:dyDescent="0.3">
      <c r="Q167" s="17"/>
      <c r="R167" s="17"/>
      <c r="S167" s="17" t="s">
        <v>52</v>
      </c>
      <c r="T167" s="17"/>
      <c r="U167" s="37"/>
      <c r="V167" s="37"/>
      <c r="W167" s="37">
        <f>'M1 Härtekammern'!T157</f>
        <v>5.7797543707556596</v>
      </c>
      <c r="X167" s="17"/>
      <c r="Y167" s="17"/>
      <c r="Z167" s="37">
        <f t="shared" si="38"/>
        <v>0</v>
      </c>
      <c r="AA167" s="37">
        <f t="shared" si="40"/>
        <v>5.7797543707556596</v>
      </c>
      <c r="AB167" s="17" t="s">
        <v>184</v>
      </c>
      <c r="AC167" s="42"/>
      <c r="AD167" s="42"/>
      <c r="AE167" s="42"/>
      <c r="AF167" s="42"/>
      <c r="AG167" s="42"/>
      <c r="AH167" s="42"/>
      <c r="AI167" s="42"/>
      <c r="AJ167" s="42"/>
    </row>
    <row r="168" spans="17:36" ht="15.75" hidden="1" outlineLevel="1" x14ac:dyDescent="0.3">
      <c r="Q168" s="17"/>
      <c r="R168" s="17"/>
      <c r="S168" s="17" t="s">
        <v>53</v>
      </c>
      <c r="T168" s="17"/>
      <c r="U168" s="37"/>
      <c r="V168" s="37"/>
      <c r="W168" s="37">
        <f>'M1 Härtekammern'!T158</f>
        <v>1.4217598612917211E-2</v>
      </c>
      <c r="X168" s="17"/>
      <c r="Y168" s="17"/>
      <c r="Z168" s="37">
        <f t="shared" si="38"/>
        <v>0</v>
      </c>
      <c r="AA168" s="37">
        <f t="shared" si="40"/>
        <v>1.4217598612917211E-2</v>
      </c>
      <c r="AB168" s="17" t="s">
        <v>184</v>
      </c>
      <c r="AC168" s="42"/>
      <c r="AD168" s="42"/>
      <c r="AE168" s="42"/>
      <c r="AF168" s="42"/>
      <c r="AG168" s="42"/>
      <c r="AH168" s="42"/>
      <c r="AI168" s="42"/>
      <c r="AJ168" s="42"/>
    </row>
    <row r="169" spans="17:36" ht="15.75" hidden="1" outlineLevel="1" x14ac:dyDescent="0.3">
      <c r="Q169" s="17"/>
      <c r="R169" s="17"/>
      <c r="S169" s="17" t="s">
        <v>54</v>
      </c>
      <c r="T169" s="17"/>
      <c r="U169" s="37"/>
      <c r="V169" s="37"/>
      <c r="W169" s="37">
        <f>'M1 Härtekammern'!T159</f>
        <v>94.655570004334635</v>
      </c>
      <c r="X169" s="17"/>
      <c r="Y169" s="17"/>
      <c r="Z169" s="37">
        <f t="shared" si="38"/>
        <v>0</v>
      </c>
      <c r="AA169" s="37">
        <f t="shared" si="40"/>
        <v>94.655570004334635</v>
      </c>
      <c r="AB169" s="17" t="s">
        <v>184</v>
      </c>
      <c r="AC169" s="42"/>
      <c r="AD169" s="42"/>
      <c r="AE169" s="42"/>
      <c r="AF169" s="42"/>
      <c r="AG169" s="42"/>
      <c r="AH169" s="42"/>
      <c r="AI169" s="42"/>
      <c r="AJ169" s="42"/>
    </row>
    <row r="170" spans="17:36" hidden="1" outlineLevel="1" x14ac:dyDescent="0.2">
      <c r="Q170" s="17"/>
      <c r="R170" s="17"/>
      <c r="S170" s="17"/>
      <c r="T170" s="17"/>
      <c r="U170" s="20"/>
      <c r="V170" s="20"/>
      <c r="W170" s="20"/>
      <c r="X170" s="17"/>
      <c r="Y170" s="17"/>
      <c r="Z170" s="20"/>
      <c r="AA170" s="20"/>
      <c r="AB170" s="17"/>
      <c r="AC170" s="42"/>
      <c r="AD170" s="42"/>
      <c r="AE170" s="42"/>
      <c r="AF170" s="42"/>
      <c r="AG170" s="42"/>
      <c r="AH170" s="42"/>
      <c r="AI170" s="42"/>
      <c r="AJ170" s="42"/>
    </row>
    <row r="171" spans="17:36" ht="14.25" hidden="1" outlineLevel="1" x14ac:dyDescent="0.25">
      <c r="Q171" s="69"/>
      <c r="R171" s="69" t="s">
        <v>299</v>
      </c>
      <c r="S171" s="70"/>
      <c r="T171" s="70"/>
      <c r="U171" s="71"/>
      <c r="V171" s="71"/>
      <c r="W171" s="71">
        <f>SUM(W172:W174)</f>
        <v>0</v>
      </c>
      <c r="X171" s="70"/>
      <c r="Y171" s="70"/>
      <c r="Z171" s="71">
        <f>U171+V171</f>
        <v>0</v>
      </c>
      <c r="AA171" s="71">
        <f t="shared" ref="AA171" si="41">SUM(U171:W171)</f>
        <v>0</v>
      </c>
      <c r="AB171" s="76" t="s">
        <v>183</v>
      </c>
      <c r="AC171" s="42"/>
      <c r="AD171" s="42"/>
      <c r="AE171" s="42"/>
      <c r="AF171" s="42"/>
      <c r="AG171" s="42"/>
      <c r="AH171" s="42"/>
      <c r="AI171" s="42"/>
      <c r="AJ171" s="42"/>
    </row>
    <row r="172" spans="17:36" ht="15.75" hidden="1" outlineLevel="1" x14ac:dyDescent="0.3">
      <c r="Q172" s="274"/>
      <c r="R172" s="17"/>
      <c r="S172" s="17" t="s">
        <v>242</v>
      </c>
      <c r="T172" s="17"/>
      <c r="U172" s="37"/>
      <c r="V172" s="37"/>
      <c r="W172" s="450">
        <f>IF(NOT(ISBLANK(G24)),G24,E24)*IF(NOT(ISBLANK(G28)),G28,0)</f>
        <v>0</v>
      </c>
      <c r="X172" s="17"/>
      <c r="Y172" s="17"/>
      <c r="Z172" s="37">
        <f t="shared" ref="Z172:Z174" si="42">U172+V172</f>
        <v>0</v>
      </c>
      <c r="AA172" s="37">
        <f t="shared" ref="AA172:AA174" si="43">SUM(U172:W172)</f>
        <v>0</v>
      </c>
      <c r="AB172" s="17" t="s">
        <v>184</v>
      </c>
      <c r="AC172" s="42"/>
      <c r="AD172" s="42"/>
      <c r="AE172" s="42"/>
      <c r="AF172" s="42"/>
      <c r="AG172" s="42"/>
      <c r="AH172" s="42"/>
      <c r="AI172" s="42"/>
      <c r="AJ172" s="42"/>
    </row>
    <row r="173" spans="17:36" ht="15.75" hidden="1" outlineLevel="1" x14ac:dyDescent="0.3">
      <c r="Q173" s="274"/>
      <c r="R173" s="17"/>
      <c r="S173" s="17" t="s">
        <v>243</v>
      </c>
      <c r="T173" s="17"/>
      <c r="U173" s="37"/>
      <c r="V173" s="37"/>
      <c r="W173" s="450">
        <f>IF(NOT(ISBLANK(G25)),G25,E25)*IF(NOT(ISBLANK(G29)),G29,0)</f>
        <v>0</v>
      </c>
      <c r="X173" s="17"/>
      <c r="Y173" s="17"/>
      <c r="Z173" s="37">
        <f t="shared" si="42"/>
        <v>0</v>
      </c>
      <c r="AA173" s="37">
        <f t="shared" si="43"/>
        <v>0</v>
      </c>
      <c r="AB173" s="17" t="s">
        <v>184</v>
      </c>
      <c r="AC173" s="42"/>
      <c r="AD173" s="42"/>
      <c r="AE173" s="42"/>
      <c r="AF173" s="42"/>
      <c r="AG173" s="42"/>
      <c r="AH173" s="42"/>
      <c r="AI173" s="42"/>
      <c r="AJ173" s="42"/>
    </row>
    <row r="174" spans="17:36" ht="15.75" hidden="1" outlineLevel="1" x14ac:dyDescent="0.3">
      <c r="Q174" s="274"/>
      <c r="R174" s="17"/>
      <c r="S174" s="17" t="s">
        <v>300</v>
      </c>
      <c r="T174" s="17"/>
      <c r="U174" s="37"/>
      <c r="V174" s="37"/>
      <c r="W174" s="450">
        <f>IF(NOT(ISBLANK($G$26)),$G$26,$E$26)*IF(NOT(ISBLANK($G$30)),$G$30,$E$30)</f>
        <v>0</v>
      </c>
      <c r="X174" s="17"/>
      <c r="Y174" s="17"/>
      <c r="Z174" s="37">
        <f t="shared" si="42"/>
        <v>0</v>
      </c>
      <c r="AA174" s="37">
        <f t="shared" si="43"/>
        <v>0</v>
      </c>
      <c r="AB174" s="17" t="s">
        <v>184</v>
      </c>
      <c r="AC174" s="42"/>
      <c r="AD174" s="42"/>
      <c r="AE174" s="42"/>
      <c r="AF174" s="42"/>
      <c r="AG174" s="42"/>
      <c r="AH174" s="42"/>
      <c r="AI174" s="42"/>
      <c r="AJ174" s="42"/>
    </row>
    <row r="175" spans="17:36" hidden="1" outlineLevel="1" x14ac:dyDescent="0.2">
      <c r="Q175" s="17"/>
      <c r="R175" s="17"/>
      <c r="S175" s="17"/>
      <c r="T175" s="17"/>
      <c r="U175" s="20"/>
      <c r="V175" s="20"/>
      <c r="W175" s="20"/>
      <c r="X175" s="17"/>
      <c r="Y175" s="17"/>
      <c r="Z175" s="20"/>
      <c r="AA175" s="20"/>
      <c r="AB175" s="17"/>
      <c r="AC175" s="42"/>
      <c r="AD175" s="42"/>
      <c r="AE175" s="42"/>
      <c r="AF175" s="42"/>
      <c r="AG175" s="42"/>
      <c r="AH175" s="42"/>
      <c r="AI175" s="42"/>
      <c r="AJ175" s="42"/>
    </row>
    <row r="176" spans="17:36" ht="14.25" hidden="1" outlineLevel="1" x14ac:dyDescent="0.25">
      <c r="Q176" s="17"/>
      <c r="R176" s="17"/>
      <c r="S176" s="21" t="s">
        <v>99</v>
      </c>
      <c r="T176" s="21"/>
      <c r="U176" s="74"/>
      <c r="V176" s="74"/>
      <c r="W176" s="74">
        <f>'M1 Härtekammern'!T161</f>
        <v>0</v>
      </c>
      <c r="X176" s="21"/>
      <c r="Y176" s="21"/>
      <c r="Z176" s="74">
        <f>U176+V176</f>
        <v>0</v>
      </c>
      <c r="AA176" s="74">
        <f>SUM(U176:W176)</f>
        <v>0</v>
      </c>
      <c r="AB176" s="21" t="s">
        <v>183</v>
      </c>
      <c r="AC176" s="42"/>
      <c r="AD176" s="42"/>
      <c r="AE176" s="42"/>
      <c r="AF176" s="42"/>
      <c r="AG176" s="42"/>
      <c r="AH176" s="42"/>
      <c r="AI176" s="42"/>
      <c r="AJ176" s="42"/>
    </row>
    <row r="177" spans="17:44" ht="14.25" hidden="1" outlineLevel="1" x14ac:dyDescent="0.25">
      <c r="Q177" s="17"/>
      <c r="R177" s="17"/>
      <c r="S177" s="21" t="s">
        <v>62</v>
      </c>
      <c r="T177" s="21"/>
      <c r="U177" s="74"/>
      <c r="V177" s="74"/>
      <c r="W177" s="74">
        <f>'M1 Härtekammern'!T162</f>
        <v>0.54400000000000004</v>
      </c>
      <c r="X177" s="21"/>
      <c r="Y177" s="21"/>
      <c r="Z177" s="74">
        <f>U177+V177</f>
        <v>0</v>
      </c>
      <c r="AA177" s="74">
        <f>SUM(U177:W177)</f>
        <v>0.54400000000000004</v>
      </c>
      <c r="AB177" s="21" t="s">
        <v>183</v>
      </c>
      <c r="AC177" s="42"/>
      <c r="AD177" s="42"/>
      <c r="AE177" s="42"/>
      <c r="AF177" s="42"/>
      <c r="AG177" s="42"/>
      <c r="AH177" s="42"/>
      <c r="AI177" s="42"/>
      <c r="AJ177" s="42"/>
    </row>
    <row r="178" spans="17:44" hidden="1" outlineLevel="1" x14ac:dyDescent="0.2">
      <c r="Q178" s="17"/>
      <c r="R178" s="17"/>
      <c r="S178" s="17"/>
      <c r="T178" s="17"/>
      <c r="U178" s="20"/>
      <c r="V178" s="20"/>
      <c r="W178" s="20"/>
      <c r="X178" s="17"/>
      <c r="Y178" s="17"/>
      <c r="Z178" s="20"/>
      <c r="AA178" s="20"/>
      <c r="AB178" s="17"/>
      <c r="AC178" s="42"/>
      <c r="AD178" s="42"/>
      <c r="AE178" s="42"/>
      <c r="AF178" s="42"/>
      <c r="AG178" s="42"/>
      <c r="AH178" s="42"/>
      <c r="AI178" s="42"/>
      <c r="AJ178" s="42"/>
    </row>
    <row r="179" spans="17:44" ht="14.25" hidden="1" outlineLevel="1" x14ac:dyDescent="0.25">
      <c r="Q179" s="69"/>
      <c r="R179" s="69" t="s">
        <v>168</v>
      </c>
      <c r="S179" s="70"/>
      <c r="T179" s="70"/>
      <c r="U179" s="71"/>
      <c r="V179" s="71"/>
      <c r="W179" s="71">
        <f>SUM(W180:W182)</f>
        <v>0.16095999999999999</v>
      </c>
      <c r="X179" s="70"/>
      <c r="Y179" s="70"/>
      <c r="Z179" s="71">
        <f t="shared" ref="Z179:Z182" si="44">U179+V179</f>
        <v>0</v>
      </c>
      <c r="AA179" s="71">
        <f t="shared" ref="AA179" si="45">SUM(U179:W179)</f>
        <v>0.16095999999999999</v>
      </c>
      <c r="AB179" s="76" t="s">
        <v>183</v>
      </c>
      <c r="AC179" s="42"/>
      <c r="AD179" s="42"/>
      <c r="AE179" s="42"/>
      <c r="AF179" s="42"/>
      <c r="AG179" s="42"/>
      <c r="AH179" s="42"/>
      <c r="AI179" s="42"/>
      <c r="AJ179" s="42"/>
    </row>
    <row r="180" spans="17:44" ht="15.75" hidden="1" outlineLevel="1" x14ac:dyDescent="0.3">
      <c r="Q180" s="17"/>
      <c r="R180" s="17"/>
      <c r="S180" s="17" t="s">
        <v>169</v>
      </c>
      <c r="T180" s="17"/>
      <c r="U180" s="37"/>
      <c r="V180" s="37"/>
      <c r="W180" s="37">
        <f>'M1 Härtekammern'!T165</f>
        <v>0</v>
      </c>
      <c r="X180" s="17"/>
      <c r="Y180" s="17"/>
      <c r="Z180" s="37">
        <f t="shared" si="44"/>
        <v>0</v>
      </c>
      <c r="AA180" s="37">
        <f t="shared" ref="AA180:AA182" si="46">SUM(U180:W180)</f>
        <v>0</v>
      </c>
      <c r="AB180" s="17" t="s">
        <v>184</v>
      </c>
      <c r="AC180" s="42"/>
      <c r="AD180" s="42"/>
      <c r="AE180" s="42"/>
      <c r="AF180" s="42"/>
      <c r="AG180" s="42"/>
      <c r="AH180" s="42"/>
      <c r="AI180" s="42"/>
      <c r="AJ180" s="42"/>
    </row>
    <row r="181" spans="17:44" ht="15.75" hidden="1" outlineLevel="1" x14ac:dyDescent="0.3">
      <c r="Q181" s="17"/>
      <c r="R181" s="17"/>
      <c r="S181" s="17" t="s">
        <v>60</v>
      </c>
      <c r="T181" s="17"/>
      <c r="U181" s="37"/>
      <c r="V181" s="37"/>
      <c r="W181" s="37">
        <f>'M1 Härtekammern'!T166</f>
        <v>0.16095999999999999</v>
      </c>
      <c r="X181" s="17"/>
      <c r="Y181" s="17"/>
      <c r="Z181" s="37">
        <f t="shared" si="44"/>
        <v>0</v>
      </c>
      <c r="AA181" s="37">
        <f t="shared" si="46"/>
        <v>0.16095999999999999</v>
      </c>
      <c r="AB181" s="17" t="s">
        <v>184</v>
      </c>
      <c r="AC181" s="42"/>
      <c r="AD181" s="42"/>
      <c r="AE181" s="42"/>
      <c r="AF181" s="42"/>
      <c r="AG181" s="42"/>
      <c r="AH181" s="42"/>
      <c r="AI181" s="42"/>
      <c r="AJ181" s="42"/>
    </row>
    <row r="182" spans="17:44" ht="15.75" hidden="1" outlineLevel="1" x14ac:dyDescent="0.3">
      <c r="Q182" s="17"/>
      <c r="R182" s="17"/>
      <c r="S182" s="17" t="s">
        <v>170</v>
      </c>
      <c r="T182" s="17"/>
      <c r="U182" s="37"/>
      <c r="V182" s="37"/>
      <c r="W182" s="37">
        <f>'M1 Härtekammern'!T167</f>
        <v>0</v>
      </c>
      <c r="X182" s="17"/>
      <c r="Y182" s="17"/>
      <c r="Z182" s="37">
        <f t="shared" si="44"/>
        <v>0</v>
      </c>
      <c r="AA182" s="37">
        <f t="shared" si="46"/>
        <v>0</v>
      </c>
      <c r="AB182" s="17" t="s">
        <v>184</v>
      </c>
      <c r="AC182" s="42"/>
      <c r="AD182" s="42"/>
      <c r="AE182" s="42"/>
      <c r="AF182" s="42"/>
      <c r="AG182" s="42"/>
      <c r="AH182" s="42"/>
      <c r="AI182" s="42"/>
      <c r="AJ182" s="42"/>
    </row>
    <row r="183" spans="17:44" hidden="1" outlineLevel="1" x14ac:dyDescent="0.2">
      <c r="Q183" s="17"/>
      <c r="R183" s="17"/>
      <c r="S183" s="17"/>
      <c r="T183" s="17"/>
      <c r="U183" s="20"/>
      <c r="V183" s="20"/>
      <c r="W183" s="20"/>
      <c r="X183" s="17"/>
      <c r="Y183" s="17"/>
      <c r="Z183" s="17"/>
      <c r="AA183" s="17"/>
      <c r="AB183" s="20"/>
      <c r="AC183" s="42"/>
      <c r="AD183" s="42"/>
      <c r="AE183" s="42"/>
      <c r="AF183" s="42"/>
      <c r="AG183" s="42"/>
      <c r="AH183" s="42"/>
      <c r="AI183" s="42"/>
      <c r="AJ183" s="42"/>
    </row>
    <row r="184" spans="17:44" s="72" customFormat="1" hidden="1" outlineLevel="1" x14ac:dyDescent="0.2">
      <c r="Q184" s="69"/>
      <c r="R184" s="69" t="s">
        <v>171</v>
      </c>
      <c r="S184" s="70"/>
      <c r="T184" s="70"/>
      <c r="U184" s="71"/>
      <c r="V184" s="71"/>
      <c r="W184" s="71">
        <f>SUM(W185:W187)</f>
        <v>60</v>
      </c>
      <c r="X184" s="70"/>
      <c r="Y184" s="70"/>
      <c r="Z184" s="71">
        <f>U184+V184</f>
        <v>0</v>
      </c>
      <c r="AA184" s="71">
        <f t="shared" ref="AA184" si="47">SUM(U184:W184)</f>
        <v>60</v>
      </c>
      <c r="AB184" s="76" t="s">
        <v>497</v>
      </c>
      <c r="AC184" s="42"/>
      <c r="AD184" s="42"/>
      <c r="AE184" s="42"/>
      <c r="AF184" s="42"/>
      <c r="AG184" s="42"/>
      <c r="AH184" s="42"/>
      <c r="AI184" s="42"/>
      <c r="AJ184" s="42"/>
      <c r="AK184" s="6"/>
      <c r="AL184" s="6"/>
      <c r="AM184" s="6"/>
      <c r="AN184" s="6"/>
      <c r="AO184" s="6"/>
      <c r="AP184" s="6"/>
      <c r="AQ184" s="6"/>
      <c r="AR184" s="6"/>
    </row>
    <row r="185" spans="17:44" hidden="1" outlineLevel="1" x14ac:dyDescent="0.2">
      <c r="Q185" s="17"/>
      <c r="R185" s="17"/>
      <c r="S185" s="17" t="s">
        <v>64</v>
      </c>
      <c r="T185" s="17"/>
      <c r="U185" s="37"/>
      <c r="V185" s="37"/>
      <c r="W185" s="37">
        <f>'M1 Härtekammern'!T170</f>
        <v>60</v>
      </c>
      <c r="X185" s="17"/>
      <c r="Y185" s="17"/>
      <c r="Z185" s="37">
        <f>U185+V185</f>
        <v>0</v>
      </c>
      <c r="AA185" s="37">
        <f>SUM(U185:W185)</f>
        <v>60</v>
      </c>
      <c r="AB185" s="17" t="s">
        <v>497</v>
      </c>
      <c r="AC185" s="42"/>
      <c r="AD185" s="42"/>
      <c r="AE185" s="42"/>
      <c r="AF185" s="42"/>
      <c r="AG185" s="42"/>
      <c r="AH185" s="42"/>
      <c r="AI185" s="42"/>
      <c r="AJ185" s="42"/>
    </row>
    <row r="186" spans="17:44" hidden="1" outlineLevel="1" x14ac:dyDescent="0.2">
      <c r="Q186" s="17"/>
      <c r="R186" s="17"/>
      <c r="S186" s="17" t="s">
        <v>173</v>
      </c>
      <c r="T186" s="17"/>
      <c r="U186" s="37"/>
      <c r="V186" s="37"/>
      <c r="W186" s="37">
        <f>'M1 Härtekammern'!T171</f>
        <v>0</v>
      </c>
      <c r="X186" s="17"/>
      <c r="Y186" s="17"/>
      <c r="Z186" s="37">
        <f t="shared" ref="Z186:Z187" si="48">U186+V186</f>
        <v>0</v>
      </c>
      <c r="AA186" s="37">
        <f t="shared" ref="AA186:AA187" si="49">SUM(U186:W186)</f>
        <v>0</v>
      </c>
      <c r="AB186" s="17" t="s">
        <v>497</v>
      </c>
      <c r="AC186" s="42"/>
      <c r="AD186" s="42"/>
      <c r="AE186" s="42"/>
      <c r="AF186" s="42"/>
      <c r="AG186" s="42"/>
      <c r="AH186" s="42"/>
      <c r="AI186" s="42"/>
      <c r="AJ186" s="42"/>
    </row>
    <row r="187" spans="17:44" hidden="1" outlineLevel="1" x14ac:dyDescent="0.2">
      <c r="Q187" s="17"/>
      <c r="R187" s="17"/>
      <c r="S187" s="17" t="s">
        <v>172</v>
      </c>
      <c r="T187" s="17"/>
      <c r="U187" s="37"/>
      <c r="V187" s="37"/>
      <c r="W187" s="37">
        <f>'M1 Härtekammern'!T172</f>
        <v>0</v>
      </c>
      <c r="X187" s="17"/>
      <c r="Y187" s="17"/>
      <c r="Z187" s="37">
        <f t="shared" si="48"/>
        <v>0</v>
      </c>
      <c r="AA187" s="37">
        <f t="shared" si="49"/>
        <v>0</v>
      </c>
      <c r="AB187" s="17" t="s">
        <v>497</v>
      </c>
      <c r="AC187" s="42"/>
      <c r="AD187" s="42"/>
      <c r="AE187" s="42"/>
      <c r="AF187" s="42"/>
      <c r="AG187" s="42"/>
      <c r="AH187" s="42"/>
      <c r="AI187" s="42"/>
      <c r="AJ187" s="42"/>
    </row>
    <row r="188" spans="17:44" hidden="1" outlineLevel="1" x14ac:dyDescent="0.2">
      <c r="Q188" s="17"/>
      <c r="R188" s="17"/>
      <c r="S188" s="17"/>
      <c r="T188" s="17"/>
      <c r="U188" s="20"/>
      <c r="V188" s="20"/>
      <c r="W188" s="20"/>
      <c r="X188" s="17"/>
      <c r="Y188" s="17"/>
      <c r="Z188" s="17"/>
      <c r="AA188" s="17"/>
      <c r="AB188" s="20"/>
    </row>
    <row r="189" spans="17:44" ht="14.25" hidden="1" outlineLevel="1" x14ac:dyDescent="0.25">
      <c r="Q189" s="17"/>
      <c r="R189" s="17"/>
      <c r="S189" s="21" t="s">
        <v>61</v>
      </c>
      <c r="T189" s="21"/>
      <c r="U189" s="74"/>
      <c r="V189" s="74"/>
      <c r="W189" s="74">
        <f>'M1 Härtekammern'!T174</f>
        <v>64.48</v>
      </c>
      <c r="X189" s="21"/>
      <c r="Y189" s="21"/>
      <c r="Z189" s="74">
        <f t="shared" ref="Z189" si="50">U189+V189</f>
        <v>0</v>
      </c>
      <c r="AA189" s="74">
        <f t="shared" ref="AA189" si="51">SUM(U189:W189)</f>
        <v>64.48</v>
      </c>
      <c r="AB189" s="21" t="s">
        <v>183</v>
      </c>
    </row>
    <row r="190" spans="17:44" ht="15.75" hidden="1" outlineLevel="1" x14ac:dyDescent="0.25">
      <c r="Q190" s="17"/>
      <c r="R190" s="17"/>
      <c r="S190" s="17"/>
      <c r="T190" s="17"/>
      <c r="U190" s="20"/>
      <c r="V190" s="20"/>
      <c r="W190" s="20"/>
      <c r="X190" s="17"/>
      <c r="Y190" s="17"/>
      <c r="Z190" s="17"/>
      <c r="AA190" s="17"/>
      <c r="AB190" s="20"/>
      <c r="AD190" s="22" t="s">
        <v>106</v>
      </c>
      <c r="AE190" s="17"/>
      <c r="AF190" s="17"/>
      <c r="AG190" s="17"/>
      <c r="AH190" s="17"/>
      <c r="AI190" s="17"/>
      <c r="AJ190" s="17"/>
      <c r="AK190" s="17"/>
    </row>
    <row r="191" spans="17:44" ht="15.75" hidden="1" outlineLevel="1" thickBot="1" x14ac:dyDescent="0.3">
      <c r="Q191" s="17"/>
      <c r="R191" s="17"/>
      <c r="S191" s="67" t="s">
        <v>67</v>
      </c>
      <c r="T191" s="67"/>
      <c r="U191" s="68">
        <f>SUM(U125:U189)-U139-U143-U149-U158-U165-U179-U184-U171</f>
        <v>94.932355060000006</v>
      </c>
      <c r="V191" s="68">
        <f>SUM(V125:V189)-V139-V143-V149-V158-V165-V179-V184-V171</f>
        <v>124.8924470887134</v>
      </c>
      <c r="W191" s="68">
        <f>SUM(W125:W189)-W139-W143-W149-W158-W165-W179-W184-W171</f>
        <v>5744.3194232204278</v>
      </c>
      <c r="X191" s="21"/>
      <c r="Y191" s="21"/>
      <c r="Z191" s="68">
        <f>SUM(Z125:Z189)-Z139-Z143-Z149-Z158-Z165-Z179-Z184-Z171</f>
        <v>219.82480214871336</v>
      </c>
      <c r="AA191" s="68">
        <f>SUM(AA125:AA189)-AA139-AA143-AA149-AA158-AA165-AA179-AA184-AA171</f>
        <v>5964.1442253691421</v>
      </c>
      <c r="AB191" s="68" t="s">
        <v>183</v>
      </c>
      <c r="AD191" s="64">
        <f>R196</f>
        <v>10</v>
      </c>
      <c r="AE191" s="17"/>
      <c r="AF191" s="17"/>
      <c r="AG191" s="17"/>
      <c r="AH191" s="17"/>
      <c r="AI191" s="17"/>
      <c r="AJ191" s="17"/>
      <c r="AK191" s="17"/>
    </row>
    <row r="192" spans="17:44" ht="13.5" hidden="1" outlineLevel="1" thickTop="1" x14ac:dyDescent="0.2">
      <c r="Q192" s="17"/>
      <c r="R192" s="17"/>
      <c r="S192" s="17"/>
      <c r="T192" s="17"/>
      <c r="U192" s="20"/>
      <c r="V192" s="20"/>
      <c r="W192" s="20"/>
      <c r="X192" s="17"/>
      <c r="Y192" s="17"/>
      <c r="Z192" s="17"/>
      <c r="AA192" s="17"/>
      <c r="AB192" s="20"/>
      <c r="AD192" s="17"/>
      <c r="AE192" s="17"/>
      <c r="AF192" s="17"/>
      <c r="AG192" s="17"/>
      <c r="AH192" s="17"/>
      <c r="AI192" s="17"/>
      <c r="AJ192" s="17"/>
      <c r="AK192" s="17"/>
    </row>
    <row r="193" spans="17:37" hidden="1" outlineLevel="1" x14ac:dyDescent="0.2">
      <c r="AD193" s="17"/>
      <c r="AE193" s="17"/>
      <c r="AF193" s="17"/>
      <c r="AG193" s="17"/>
      <c r="AH193" s="17"/>
      <c r="AI193" s="17"/>
      <c r="AJ193" s="17"/>
      <c r="AK193" s="17"/>
    </row>
    <row r="194" spans="17:37" hidden="1" outlineLevel="1" x14ac:dyDescent="0.2">
      <c r="AD194" s="17"/>
      <c r="AE194" s="17"/>
      <c r="AF194" s="17"/>
      <c r="AG194" s="17"/>
      <c r="AH194" s="17"/>
      <c r="AI194" s="17"/>
      <c r="AJ194" s="17"/>
      <c r="AK194" s="17"/>
    </row>
    <row r="195" spans="17:37" ht="15.75" hidden="1" outlineLevel="1" x14ac:dyDescent="0.25">
      <c r="Q195" s="22"/>
      <c r="R195" s="22" t="s">
        <v>103</v>
      </c>
      <c r="S195" s="17"/>
      <c r="T195" s="17"/>
      <c r="U195" s="17"/>
      <c r="V195" s="17"/>
      <c r="W195" s="17"/>
      <c r="X195" s="17"/>
      <c r="Y195" s="17"/>
      <c r="Z195" s="17"/>
      <c r="AA195" s="17"/>
      <c r="AB195" s="17"/>
      <c r="AD195" s="17"/>
      <c r="AE195" s="17"/>
      <c r="AF195" s="17"/>
      <c r="AG195" s="17"/>
      <c r="AH195" s="17"/>
      <c r="AI195" s="17"/>
      <c r="AJ195" s="17"/>
      <c r="AK195" s="17"/>
    </row>
    <row r="196" spans="17:37" ht="15" hidden="1" outlineLevel="1" x14ac:dyDescent="0.25">
      <c r="Q196" s="64"/>
      <c r="R196" s="64">
        <f>I13</f>
        <v>10</v>
      </c>
      <c r="S196" s="17" t="s">
        <v>192</v>
      </c>
      <c r="T196" s="25"/>
      <c r="U196" s="25"/>
      <c r="V196" s="25"/>
      <c r="W196" s="25"/>
      <c r="X196" s="25"/>
      <c r="Y196" s="25"/>
      <c r="Z196" s="25"/>
      <c r="AA196" s="25"/>
      <c r="AB196" s="25"/>
      <c r="AD196" s="17"/>
      <c r="AE196" s="17"/>
      <c r="AF196" s="17"/>
      <c r="AG196" s="17"/>
      <c r="AH196" s="17"/>
      <c r="AI196" s="17"/>
      <c r="AJ196" s="17"/>
      <c r="AK196" s="17"/>
    </row>
    <row r="197" spans="17:37" hidden="1" outlineLevel="1" x14ac:dyDescent="0.2">
      <c r="Q197" s="274"/>
      <c r="R197" s="17"/>
      <c r="S197" s="17" t="s">
        <v>164</v>
      </c>
      <c r="T197" s="287">
        <f>(1-(IF(NOT(ISBLANK($K17)),$K17/100,$I17/100)))</f>
        <v>1</v>
      </c>
      <c r="U197" s="17"/>
      <c r="V197" s="17"/>
      <c r="W197" s="17"/>
      <c r="X197" s="17"/>
      <c r="Y197" s="17"/>
      <c r="Z197" s="17"/>
      <c r="AA197" s="17"/>
      <c r="AB197" s="17"/>
      <c r="AD197" s="17"/>
      <c r="AE197" s="17"/>
      <c r="AF197" s="17"/>
      <c r="AG197" s="17"/>
      <c r="AH197" s="17"/>
      <c r="AI197" s="17"/>
      <c r="AJ197" s="17"/>
      <c r="AK197" s="17"/>
    </row>
    <row r="198" spans="17:37" hidden="1" outlineLevel="1" x14ac:dyDescent="0.2">
      <c r="Q198" s="274"/>
      <c r="R198" s="17"/>
      <c r="S198" s="17" t="s">
        <v>165</v>
      </c>
      <c r="T198" s="287">
        <f>(1-(IF(NOT(ISBLANK($K18)),$K18/100,$I18/100)))</f>
        <v>0.95</v>
      </c>
      <c r="U198" s="17"/>
      <c r="V198" s="17"/>
      <c r="W198" s="17"/>
      <c r="X198" s="17"/>
      <c r="Y198" s="17"/>
      <c r="Z198" s="17"/>
      <c r="AA198" s="17"/>
      <c r="AB198" s="17"/>
      <c r="AD198" s="17"/>
      <c r="AE198" s="17"/>
      <c r="AF198" s="17"/>
      <c r="AG198" s="17"/>
      <c r="AH198" s="17"/>
      <c r="AI198" s="17"/>
      <c r="AJ198" s="17"/>
      <c r="AK198" s="17"/>
    </row>
    <row r="199" spans="17:37" hidden="1" outlineLevel="1" x14ac:dyDescent="0.2">
      <c r="Q199" s="274"/>
      <c r="R199" s="17"/>
      <c r="S199" s="17" t="s">
        <v>166</v>
      </c>
      <c r="T199" s="287">
        <f>(1-(IF(NOT(ISBLANK($K19)),$K19/100,$I19/100)))</f>
        <v>1</v>
      </c>
      <c r="U199" s="17"/>
      <c r="V199" s="17"/>
      <c r="W199" s="17"/>
      <c r="X199" s="17"/>
      <c r="Y199" s="17"/>
      <c r="Z199" s="17"/>
      <c r="AA199" s="17"/>
      <c r="AB199" s="17"/>
      <c r="AD199" s="17"/>
      <c r="AE199" s="17"/>
      <c r="AF199" s="17"/>
      <c r="AG199" s="17"/>
      <c r="AH199" s="17"/>
      <c r="AI199" s="17"/>
      <c r="AJ199" s="17"/>
      <c r="AK199" s="17"/>
    </row>
    <row r="200" spans="17:37" hidden="1" outlineLevel="1" x14ac:dyDescent="0.2">
      <c r="Q200" s="274"/>
      <c r="R200" s="17"/>
      <c r="S200" s="17" t="str">
        <f>D20</f>
        <v>Weiterer Zuschlagstoff 1</v>
      </c>
      <c r="T200" s="287">
        <f t="shared" ref="T200:T201" si="52">(1-(IF(NOT(ISBLANK($K20)),$K20/100,$I20/100)))</f>
        <v>1</v>
      </c>
      <c r="U200" s="17"/>
      <c r="V200" s="17"/>
      <c r="W200" s="17"/>
      <c r="X200" s="17"/>
      <c r="Y200" s="17"/>
      <c r="Z200" s="17"/>
      <c r="AA200" s="17"/>
      <c r="AB200" s="17"/>
      <c r="AD200" s="17"/>
      <c r="AE200" s="17"/>
      <c r="AF200" s="17"/>
      <c r="AG200" s="18"/>
      <c r="AH200" s="18"/>
      <c r="AI200" s="17"/>
      <c r="AJ200" s="18"/>
      <c r="AK200" s="18"/>
    </row>
    <row r="201" spans="17:37" hidden="1" outlineLevel="1" x14ac:dyDescent="0.2">
      <c r="Q201" s="274"/>
      <c r="R201" s="17"/>
      <c r="S201" s="17" t="str">
        <f>D21</f>
        <v>Weiterer Zuschlagstoff 2</v>
      </c>
      <c r="T201" s="287">
        <f t="shared" si="52"/>
        <v>1</v>
      </c>
      <c r="U201" s="17"/>
      <c r="V201" s="17"/>
      <c r="W201" s="17"/>
      <c r="X201" s="17"/>
      <c r="Y201" s="17"/>
      <c r="Z201" s="17"/>
      <c r="AA201" s="17"/>
      <c r="AB201" s="17"/>
      <c r="AD201" s="17"/>
      <c r="AE201" s="17"/>
      <c r="AF201" s="17"/>
      <c r="AG201" s="18"/>
      <c r="AH201" s="18"/>
      <c r="AI201" s="17"/>
      <c r="AJ201" s="18"/>
      <c r="AK201" s="18"/>
    </row>
    <row r="202" spans="17:37" hidden="1" outlineLevel="1" x14ac:dyDescent="0.2">
      <c r="Q202" s="274"/>
      <c r="R202" s="17"/>
      <c r="S202" s="17"/>
      <c r="T202" s="17"/>
      <c r="U202" s="17"/>
      <c r="V202" s="17"/>
      <c r="W202" s="17"/>
      <c r="X202" s="17"/>
      <c r="Y202" s="17"/>
      <c r="Z202" s="17"/>
      <c r="AA202" s="17"/>
      <c r="AB202" s="17"/>
      <c r="AD202" s="17" t="s">
        <v>132</v>
      </c>
      <c r="AE202" s="17"/>
      <c r="AF202" s="17"/>
      <c r="AG202" s="18"/>
      <c r="AH202" s="18"/>
      <c r="AI202" s="17"/>
      <c r="AJ202" s="18"/>
      <c r="AK202" s="18"/>
    </row>
    <row r="203" spans="17:37" hidden="1" outlineLevel="1" x14ac:dyDescent="0.2">
      <c r="Q203" s="274"/>
      <c r="R203" s="17"/>
      <c r="S203" s="17" t="s">
        <v>298</v>
      </c>
      <c r="T203" s="295">
        <f>((1-T197)*IF(NOT(ISBLANK('Referenz Plattenfertiger'!$I42)),'Referenz Plattenfertiger'!$I42,'Referenz Plattenfertiger'!$F42)+(1-T198)*IF(NOT(ISBLANK('Referenz Plattenfertiger'!$I43)),'Referenz Plattenfertiger'!$I43,'Referenz Plattenfertiger'!$F43)+(1-T199)*IF(NOT(ISBLANK('Referenz Plattenfertiger'!$I44)),'Referenz Plattenfertiger'!$I44,'Referenz Plattenfertiger'!$F44))*IF(NOT(ISBLANK('Referenz Plattenfertiger'!$I$12)),'Referenz Plattenfertiger'!$I$12,'Referenz Plattenfertiger'!$F$12)</f>
        <v>0</v>
      </c>
      <c r="U203" s="17" t="s">
        <v>46</v>
      </c>
      <c r="V203" s="17"/>
      <c r="W203" s="17"/>
      <c r="X203" s="17"/>
      <c r="Y203" s="17"/>
      <c r="Z203" s="17"/>
      <c r="AA203" s="17"/>
      <c r="AB203" s="17"/>
      <c r="AD203" s="274"/>
      <c r="AE203" s="17" t="s">
        <v>114</v>
      </c>
      <c r="AF203" s="17"/>
      <c r="AG203" s="19"/>
      <c r="AH203" s="19"/>
      <c r="AI203" s="17"/>
      <c r="AJ203" s="41">
        <f>IF(NOT(ISBLANK('Referenz Plattenfertiger'!$I16)),'Referenz Plattenfertiger'!$I16,'Referenz Plattenfertiger'!$F16)/1000*IF(NOT(ISBLANK('Eingabe Preise'!$O10)),'Eingabe Preise'!$O10,'Eingabe Preise'!$M10)</f>
        <v>11468</v>
      </c>
      <c r="AK203" s="20" t="s">
        <v>96</v>
      </c>
    </row>
    <row r="204" spans="17:37" hidden="1" outlineLevel="1" x14ac:dyDescent="0.2">
      <c r="Q204" s="274"/>
      <c r="R204" s="17"/>
      <c r="S204" s="17"/>
      <c r="T204" s="17"/>
      <c r="U204" s="17"/>
      <c r="V204" s="17"/>
      <c r="W204" s="17"/>
      <c r="X204" s="17"/>
      <c r="Y204" s="17"/>
      <c r="Z204" s="17"/>
      <c r="AA204" s="17"/>
      <c r="AB204" s="17"/>
      <c r="AD204" s="274"/>
      <c r="AE204" s="17" t="s">
        <v>151</v>
      </c>
      <c r="AF204" s="17"/>
      <c r="AG204" s="20"/>
      <c r="AH204" s="20"/>
      <c r="AI204" s="17"/>
      <c r="AJ204" s="41">
        <f>IF(NOT(ISBLANK('Referenz Plattenfertiger'!$I17)),'Referenz Plattenfertiger'!$I17,'Referenz Plattenfertiger'!$F17)/1000*IF(NOT(ISBLANK('Eingabe Preise'!$O11)),'Eingabe Preise'!$O11,'Eingabe Preise'!$M11)</f>
        <v>1104</v>
      </c>
      <c r="AK204" s="20" t="s">
        <v>96</v>
      </c>
    </row>
    <row r="205" spans="17:37" hidden="1" outlineLevel="1" x14ac:dyDescent="0.2">
      <c r="Q205" s="17"/>
      <c r="R205" s="17"/>
      <c r="S205" s="17"/>
      <c r="T205" s="17"/>
      <c r="U205" s="17"/>
      <c r="V205" s="17"/>
      <c r="W205" s="17"/>
      <c r="X205" s="17"/>
      <c r="Y205" s="17"/>
      <c r="Z205" s="17"/>
      <c r="AA205" s="17"/>
      <c r="AB205" s="17"/>
      <c r="AD205" s="274"/>
      <c r="AE205" s="17" t="s">
        <v>138</v>
      </c>
      <c r="AF205" s="17"/>
      <c r="AG205" s="20"/>
      <c r="AH205" s="20"/>
      <c r="AI205" s="17"/>
      <c r="AJ205" s="41">
        <f>IF(NOT(ISBLANK('Referenz Plattenfertiger'!$I18)),'Referenz Plattenfertiger'!$I18,'Referenz Plattenfertiger'!$F18)/1000*IF(NOT(ISBLANK('Eingabe Preise'!$O12)),'Eingabe Preise'!$O12,'Eingabe Preise'!$M12)</f>
        <v>7740</v>
      </c>
      <c r="AK205" s="20" t="s">
        <v>96</v>
      </c>
    </row>
    <row r="206" spans="17:37" ht="63.75" hidden="1" outlineLevel="1" x14ac:dyDescent="0.2">
      <c r="Q206" s="17"/>
      <c r="R206" s="17"/>
      <c r="S206" s="17"/>
      <c r="T206" s="17"/>
      <c r="U206" s="36" t="s">
        <v>25</v>
      </c>
      <c r="V206" s="36" t="s">
        <v>77</v>
      </c>
      <c r="W206" s="36" t="s">
        <v>27</v>
      </c>
      <c r="X206" s="17"/>
      <c r="Y206" s="17"/>
      <c r="Z206" s="39" t="s">
        <v>100</v>
      </c>
      <c r="AA206" s="40" t="s">
        <v>37</v>
      </c>
      <c r="AB206" s="17"/>
      <c r="AD206" s="274"/>
      <c r="AE206" s="17" t="s">
        <v>115</v>
      </c>
      <c r="AF206" s="17"/>
      <c r="AG206" s="20"/>
      <c r="AH206" s="20"/>
      <c r="AI206" s="17"/>
      <c r="AJ206" s="41">
        <f>IF(NOT(ISBLANK('Referenz Plattenfertiger'!$I19)),'Referenz Plattenfertiger'!$I19,'Referenz Plattenfertiger'!$F19)/1000*IF(NOT(ISBLANK('Eingabe Preise'!$O16)),'Eingabe Preise'!$O16,0)</f>
        <v>0</v>
      </c>
      <c r="AK206" s="20" t="s">
        <v>96</v>
      </c>
    </row>
    <row r="207" spans="17:37" ht="14.25" hidden="1" outlineLevel="1" x14ac:dyDescent="0.25">
      <c r="Q207" s="76"/>
      <c r="R207" s="76" t="s">
        <v>176</v>
      </c>
      <c r="S207" s="76"/>
      <c r="T207" s="76"/>
      <c r="U207" s="77">
        <f>SUM(U209:U222)</f>
        <v>94.932355060000006</v>
      </c>
      <c r="V207" s="77">
        <f>SUM(V209:V222)</f>
        <v>61.552554846110553</v>
      </c>
      <c r="W207" s="77">
        <f>SUM(W209:W222)</f>
        <v>25.105144641628776</v>
      </c>
      <c r="X207" s="76"/>
      <c r="Y207" s="76"/>
      <c r="Z207" s="77">
        <f>U207+V207</f>
        <v>156.48490990611054</v>
      </c>
      <c r="AA207" s="77">
        <f>SUM(U207:W207)</f>
        <v>181.59005454773933</v>
      </c>
      <c r="AB207" s="76" t="s">
        <v>183</v>
      </c>
      <c r="AD207" s="17" t="s">
        <v>133</v>
      </c>
      <c r="AE207" s="17"/>
      <c r="AF207" s="17"/>
      <c r="AG207" s="20"/>
      <c r="AH207" s="20"/>
      <c r="AI207" s="17"/>
      <c r="AJ207" s="20"/>
      <c r="AK207" s="20"/>
    </row>
    <row r="208" spans="17:37" hidden="1" outlineLevel="1" x14ac:dyDescent="0.2">
      <c r="Q208" s="17"/>
      <c r="R208" s="17" t="s">
        <v>132</v>
      </c>
      <c r="S208" s="17"/>
      <c r="T208" s="17"/>
      <c r="U208" s="17"/>
      <c r="V208" s="17"/>
      <c r="W208" s="17"/>
      <c r="X208" s="17"/>
      <c r="Y208" s="17"/>
      <c r="Z208" s="17"/>
      <c r="AA208" s="17"/>
      <c r="AB208" s="17"/>
      <c r="AD208" s="17"/>
      <c r="AE208" s="17" t="s">
        <v>29</v>
      </c>
      <c r="AF208" s="17"/>
      <c r="AG208" s="20"/>
      <c r="AH208" s="20"/>
      <c r="AI208" s="17"/>
      <c r="AJ208" s="41">
        <f>IF(NOT(ISBLANK('Referenz Plattenfertiger'!$I21)),'Referenz Plattenfertiger'!$I21,'Referenz Plattenfertiger'!$F21)/1000*IF(NOT(ISBLANK('Eingabe Preise'!$O10)),'Eingabe Preise'!$O10,'Eingabe Preise'!$M10)</f>
        <v>2867</v>
      </c>
      <c r="AK208" s="20" t="s">
        <v>96</v>
      </c>
    </row>
    <row r="209" spans="17:37" ht="15.75" hidden="1" outlineLevel="1" x14ac:dyDescent="0.3">
      <c r="Q209" s="274"/>
      <c r="R209" s="17"/>
      <c r="S209" s="17" t="s">
        <v>114</v>
      </c>
      <c r="T209" s="17"/>
      <c r="U209" s="37">
        <f>IF(NOT(ISBLANK('Referenz Plattenfertiger'!$I16)),'Referenz Plattenfertiger'!$I16,'Referenz Plattenfertiger'!$F16)*IF(NOT(ISBLANK('Eingabe EF'!$AS9)),'Eingabe EF'!$AS9,'Eingabe EF'!$AQ9)</f>
        <v>34.434080000000002</v>
      </c>
      <c r="V209" s="37">
        <f>IF(NOT(ISBLANK('Referenz Plattenfertiger'!$I16)),'Referenz Plattenfertiger'!$I16,'Referenz Plattenfertiger'!$F16)*IF(NOT(ISBLANK('Eingabe EF'!$AW9)),'Eingabe EF'!$AW9,'Eingabe EF'!$AU9)</f>
        <v>0</v>
      </c>
      <c r="W209" s="37">
        <f>IF(NOT(ISBLANK('Referenz Plattenfertiger'!$I16)),'Referenz Plattenfertiger'!$I16,'Referenz Plattenfertiger'!$F16)*IF(NOT(ISBLANK('Eingabe EF'!$BA9)),'Eingabe EF'!$BA9,'Eingabe EF'!$AY9)</f>
        <v>5.8938000000000006</v>
      </c>
      <c r="X209" s="17"/>
      <c r="Y209" s="17"/>
      <c r="Z209" s="37">
        <f>U209+V209</f>
        <v>34.434080000000002</v>
      </c>
      <c r="AA209" s="37">
        <f>SUM(U209:W209)</f>
        <v>40.32788</v>
      </c>
      <c r="AB209" s="17" t="s">
        <v>184</v>
      </c>
      <c r="AD209" s="17"/>
      <c r="AE209" s="17" t="s">
        <v>30</v>
      </c>
      <c r="AF209" s="17"/>
      <c r="AG209" s="20"/>
      <c r="AH209" s="20"/>
      <c r="AI209" s="17"/>
      <c r="AJ209" s="41">
        <f>IF(NOT(ISBLANK('Referenz Plattenfertiger'!$I22)),'Referenz Plattenfertiger'!$I22,'Referenz Plattenfertiger'!$F22)/1000*IF(NOT(ISBLANK('Eingabe Preise'!$O11)),'Eingabe Preise'!$O11,'Eingabe Preise'!$M11)</f>
        <v>1656</v>
      </c>
      <c r="AK209" s="20" t="s">
        <v>96</v>
      </c>
    </row>
    <row r="210" spans="17:37" ht="15.75" hidden="1" outlineLevel="1" x14ac:dyDescent="0.3">
      <c r="Q210" s="274"/>
      <c r="R210" s="17"/>
      <c r="S210" s="17" t="s">
        <v>151</v>
      </c>
      <c r="T210" s="17"/>
      <c r="U210" s="37">
        <f>IF(NOT(ISBLANK('Referenz Plattenfertiger'!$I17)),'Referenz Plattenfertiger'!$I17,'Referenz Plattenfertiger'!$F17)*IF(NOT(ISBLANK('Eingabe EF'!$AS10)),'Eingabe EF'!$AS10,'Eingabe EF'!$AQ10)</f>
        <v>6.4022399999999999</v>
      </c>
      <c r="V210" s="37">
        <f>IF(NOT(ISBLANK('Referenz Plattenfertiger'!$I17)),'Referenz Plattenfertiger'!$I17,'Referenz Plattenfertiger'!$F17)*IF(NOT(ISBLANK('Eingabe EF'!$AW10)),'Eingabe EF'!$AW10,'Eingabe EF'!$AU10)</f>
        <v>0</v>
      </c>
      <c r="W210" s="37">
        <f>IF(NOT(ISBLANK('Referenz Plattenfertiger'!$I17)),'Referenz Plattenfertiger'!$I17,'Referenz Plattenfertiger'!$F17)*IF(NOT(ISBLANK('Eingabe EF'!$BA10)),'Eingabe EF'!$BA10,'Eingabe EF'!$AY10)</f>
        <v>0.949824</v>
      </c>
      <c r="X210" s="17"/>
      <c r="Y210" s="17"/>
      <c r="Z210" s="37">
        <f>U210+V210</f>
        <v>6.4022399999999999</v>
      </c>
      <c r="AA210" s="37">
        <f>SUM(U210:W210)</f>
        <v>7.3520640000000004</v>
      </c>
      <c r="AB210" s="17" t="s">
        <v>184</v>
      </c>
      <c r="AD210" s="17" t="s">
        <v>134</v>
      </c>
      <c r="AE210" s="17"/>
      <c r="AF210" s="17"/>
      <c r="AG210" s="20"/>
      <c r="AH210" s="20"/>
      <c r="AI210" s="17"/>
      <c r="AJ210" s="20"/>
      <c r="AK210" s="20"/>
    </row>
    <row r="211" spans="17:37" ht="15.75" hidden="1" outlineLevel="1" x14ac:dyDescent="0.3">
      <c r="Q211" s="274"/>
      <c r="R211" s="17"/>
      <c r="S211" s="17" t="s">
        <v>138</v>
      </c>
      <c r="T211" s="17"/>
      <c r="U211" s="37">
        <f>IF(NOT(ISBLANK('Referenz Plattenfertiger'!$I18)),'Referenz Plattenfertiger'!$I18,'Referenz Plattenfertiger'!$F18)*IF(NOT(ISBLANK('Eingabe EF'!$AS11)),'Eingabe EF'!$AS11,'Eingabe EF'!$AQ11)</f>
        <v>0</v>
      </c>
      <c r="V211" s="37">
        <f>IF(NOT(ISBLANK('Referenz Plattenfertiger'!$I18)),'Referenz Plattenfertiger'!$I18,'Referenz Plattenfertiger'!$F18)*IF(NOT(ISBLANK('Eingabe EF'!$AW11)),'Eingabe EF'!$AW11,'Eingabe EF'!$AU11)</f>
        <v>6.1552554846110556</v>
      </c>
      <c r="W211" s="37">
        <f>IF(NOT(ISBLANK('Referenz Plattenfertiger'!$I18)),'Referenz Plattenfertiger'!$I18,'Referenz Plattenfertiger'!$F18)*IF(NOT(ISBLANK('Eingabe EF'!$BA11)),'Eingabe EF'!$BA11,'Eingabe EF'!$AY11)</f>
        <v>0.90234111816287721</v>
      </c>
      <c r="X211" s="17"/>
      <c r="Y211" s="17"/>
      <c r="Z211" s="37">
        <f>U211+V211</f>
        <v>6.1552554846110556</v>
      </c>
      <c r="AA211" s="37">
        <f>SUM(U211:W211)</f>
        <v>7.0575966027739332</v>
      </c>
      <c r="AB211" s="17" t="s">
        <v>184</v>
      </c>
      <c r="AD211" s="17"/>
      <c r="AE211" s="17" t="s">
        <v>136</v>
      </c>
      <c r="AF211" s="17"/>
      <c r="AG211" s="20"/>
      <c r="AH211" s="20"/>
      <c r="AI211" s="17"/>
      <c r="AJ211" s="41">
        <f>IF(NOT(ISBLANK('Referenz Plattenfertiger'!$I24)),'Referenz Plattenfertiger'!$I24,'Referenz Plattenfertiger'!$F24)/1000*IF(NOT(ISBLANK('Eingabe Preise'!$O12)),'Eingabe Preise'!$O12,'Eingabe Preise'!$M12)</f>
        <v>69660</v>
      </c>
      <c r="AK211" s="20" t="s">
        <v>96</v>
      </c>
    </row>
    <row r="212" spans="17:37" ht="15.75" hidden="1" outlineLevel="1" x14ac:dyDescent="0.3">
      <c r="Q212" s="274"/>
      <c r="R212" s="17"/>
      <c r="S212" s="17" t="s">
        <v>115</v>
      </c>
      <c r="T212" s="17"/>
      <c r="U212" s="43">
        <f>IF(NOT(ISBLANK('Referenz Plattenfertiger'!$I19)),'Referenz Plattenfertiger'!$I19,'Referenz Plattenfertiger'!$F19)*IF(NOT(ISBLANK('Eingabe EF'!$AS12)),'Eingabe EF'!$AS12,0)</f>
        <v>0</v>
      </c>
      <c r="V212" s="43">
        <f>IF(NOT(ISBLANK('Referenz Plattenfertiger'!$I19)),'Referenz Plattenfertiger'!$I19,'Referenz Plattenfertiger'!$F19)*IF(NOT(ISBLANK('Eingabe EF'!$AW12)),'Eingabe EF'!$AW12,0)</f>
        <v>0</v>
      </c>
      <c r="W212" s="43">
        <f>IF(NOT(ISBLANK('Referenz Plattenfertiger'!$I19)),'Referenz Plattenfertiger'!$I19,'Referenz Plattenfertiger'!$F19)*IF(NOT(ISBLANK('Eingabe EF'!$BA12)),'Eingabe EF'!$BA12,0)</f>
        <v>0</v>
      </c>
      <c r="X212" s="17"/>
      <c r="Y212" s="17"/>
      <c r="Z212" s="37">
        <f>U212+V212</f>
        <v>0</v>
      </c>
      <c r="AA212" s="37">
        <f>SUM(U212:W212)</f>
        <v>0</v>
      </c>
      <c r="AB212" s="17" t="s">
        <v>184</v>
      </c>
      <c r="AD212" s="17"/>
      <c r="AE212" s="17" t="s">
        <v>111</v>
      </c>
      <c r="AF212" s="17"/>
      <c r="AG212" s="20"/>
      <c r="AH212" s="20"/>
      <c r="AI212" s="17"/>
      <c r="AJ212" s="41">
        <f>IF(NOT(ISBLANK('Referenz Plattenfertiger'!$I25)),'Referenz Plattenfertiger'!$I25,'Referenz Plattenfertiger'!$F25)/1000*IF(NOT(ISBLANK('Eingabe Preise'!$O13)),'Eingabe Preise'!$O13,'Eingabe Preise'!$M13)</f>
        <v>0</v>
      </c>
      <c r="AK212" s="20" t="s">
        <v>96</v>
      </c>
    </row>
    <row r="213" spans="17:37" hidden="1" outlineLevel="1" x14ac:dyDescent="0.2">
      <c r="Q213" s="17"/>
      <c r="R213" s="17" t="s">
        <v>133</v>
      </c>
      <c r="S213" s="17"/>
      <c r="T213" s="17"/>
      <c r="U213" s="17"/>
      <c r="V213" s="17"/>
      <c r="W213" s="17"/>
      <c r="X213" s="17"/>
      <c r="Y213" s="17"/>
      <c r="Z213" s="17"/>
      <c r="AA213" s="17"/>
      <c r="AB213" s="17"/>
      <c r="AD213" s="17"/>
      <c r="AE213" s="17" t="s">
        <v>135</v>
      </c>
      <c r="AF213" s="17"/>
      <c r="AG213" s="30"/>
      <c r="AH213" s="30"/>
      <c r="AI213" s="17"/>
      <c r="AJ213" s="41">
        <f>IF(NOT(ISBLANK('Referenz Plattenfertiger'!$I26)),'Referenz Plattenfertiger'!$I26,'Referenz Plattenfertiger'!$F26)/1000*IF(NOT(ISBLANK('Eingabe Preise'!$O17)),'Eingabe Preise'!$O17,0)</f>
        <v>0</v>
      </c>
      <c r="AK213" s="20" t="s">
        <v>96</v>
      </c>
    </row>
    <row r="214" spans="17:37" ht="15.75" hidden="1" outlineLevel="1" x14ac:dyDescent="0.3">
      <c r="Q214" s="17"/>
      <c r="R214" s="17"/>
      <c r="S214" s="17" t="s">
        <v>29</v>
      </c>
      <c r="T214" s="17"/>
      <c r="U214" s="43">
        <f>IF(NOT(ISBLANK('Referenz Plattenfertiger'!$I21)),'Referenz Plattenfertiger'!$I21,'Referenz Plattenfertiger'!$F21)*IF(NOT(ISBLANK('Eingabe EF'!$AS9)),'Eingabe EF'!$AS9,'Eingabe EF'!$AQ9)</f>
        <v>8.6085200000000004</v>
      </c>
      <c r="V214" s="43">
        <f>IF(NOT(ISBLANK('Referenz Plattenfertiger'!$I21)),'Referenz Plattenfertiger'!$I21,'Referenz Plattenfertiger'!$F21)*IF(NOT(ISBLANK('Eingabe EF'!$AW9)),'Eingabe EF'!$AW9,'Eingabe EF'!$AU9)</f>
        <v>0</v>
      </c>
      <c r="W214" s="43">
        <f>IF(NOT(ISBLANK('Referenz Plattenfertiger'!$I21)),'Referenz Plattenfertiger'!$I21,'Referenz Plattenfertiger'!$F21)*IF(NOT(ISBLANK('Eingabe EF'!$BA9)),'Eingabe EF'!$BA9,'Eingabe EF'!$AY9)</f>
        <v>1.4734500000000001</v>
      </c>
      <c r="X214" s="17"/>
      <c r="Y214" s="17"/>
      <c r="Z214" s="37">
        <f t="shared" ref="Z214:Z215" si="53">U214+V214</f>
        <v>8.6085200000000004</v>
      </c>
      <c r="AA214" s="37">
        <f t="shared" ref="AA214:AA215" si="54">SUM(U214:W214)</f>
        <v>10.08197</v>
      </c>
      <c r="AB214" s="17" t="s">
        <v>184</v>
      </c>
      <c r="AD214" s="17"/>
      <c r="AE214" s="17"/>
      <c r="AF214" s="17"/>
      <c r="AG214" s="30"/>
      <c r="AH214" s="30"/>
      <c r="AI214" s="17"/>
      <c r="AJ214" s="17"/>
      <c r="AK214" s="17"/>
    </row>
    <row r="215" spans="17:37" ht="15.75" hidden="1" outlineLevel="1" x14ac:dyDescent="0.3">
      <c r="Q215" s="17"/>
      <c r="R215" s="17"/>
      <c r="S215" s="17" t="s">
        <v>30</v>
      </c>
      <c r="T215" s="17"/>
      <c r="U215" s="43">
        <f>IF(NOT(ISBLANK('Referenz Plattenfertiger'!$I22)),'Referenz Plattenfertiger'!$I22,'Referenz Plattenfertiger'!$F22)*IF(NOT(ISBLANK('Eingabe EF'!$AS10)),'Eingabe EF'!$AS10,'Eingabe EF'!$AQ10)</f>
        <v>9.6033600000000003</v>
      </c>
      <c r="V215" s="43">
        <f>IF(NOT(ISBLANK('Referenz Plattenfertiger'!$I22)),'Referenz Plattenfertiger'!$I22,'Referenz Plattenfertiger'!$F22)*IF(NOT(ISBLANK('Eingabe EF'!$AW10)),'Eingabe EF'!$AW10,'Eingabe EF'!$AU10)</f>
        <v>0</v>
      </c>
      <c r="W215" s="43">
        <f>IF(NOT(ISBLANK('Referenz Plattenfertiger'!$I22)),'Referenz Plattenfertiger'!$I22,'Referenz Plattenfertiger'!$F22)*IF(NOT(ISBLANK('Eingabe EF'!$BA10)),'Eingabe EF'!$BA10,'Eingabe EF'!$AY10)</f>
        <v>1.424736</v>
      </c>
      <c r="X215" s="17"/>
      <c r="Y215" s="17"/>
      <c r="Z215" s="37">
        <f t="shared" si="53"/>
        <v>9.6033600000000003</v>
      </c>
      <c r="AA215" s="37">
        <f t="shared" si="54"/>
        <v>11.028096</v>
      </c>
      <c r="AB215" s="17" t="s">
        <v>184</v>
      </c>
      <c r="AD215" s="17"/>
      <c r="AE215" s="17" t="s">
        <v>32</v>
      </c>
      <c r="AF215" s="17" t="s">
        <v>408</v>
      </c>
      <c r="AG215" s="30"/>
      <c r="AH215" s="30"/>
      <c r="AI215" s="17"/>
      <c r="AJ215" s="41">
        <f>IF(NOT(ISBLANK('Referenz Plattenfertiger'!$I28)),'Referenz Plattenfertiger'!$I28,'Referenz Plattenfertiger'!$F28)*IF(NOT(ISBLANK('Eingabe Preise'!$O14)),'Eingabe Preise'!$O14,'Eingabe Preise'!$M14)</f>
        <v>12364.000000000002</v>
      </c>
      <c r="AK215" s="20" t="s">
        <v>96</v>
      </c>
    </row>
    <row r="216" spans="17:37" hidden="1" outlineLevel="1" x14ac:dyDescent="0.2">
      <c r="Q216" s="17"/>
      <c r="R216" s="17" t="s">
        <v>134</v>
      </c>
      <c r="S216" s="17"/>
      <c r="T216" s="17"/>
      <c r="U216" s="17"/>
      <c r="V216" s="17"/>
      <c r="W216" s="17"/>
      <c r="X216" s="17"/>
      <c r="Y216" s="17"/>
      <c r="Z216" s="17"/>
      <c r="AA216" s="17"/>
      <c r="AB216" s="17"/>
      <c r="AD216" s="17"/>
      <c r="AE216" s="17" t="s">
        <v>32</v>
      </c>
      <c r="AF216" s="17" t="s">
        <v>70</v>
      </c>
      <c r="AG216" s="30"/>
      <c r="AH216" s="30"/>
      <c r="AI216" s="17"/>
      <c r="AJ216" s="41">
        <f>IF(NOT(ISBLANK('Referenz Plattenfertiger'!$I29)),'Referenz Plattenfertiger'!$I29,'Referenz Plattenfertiger'!$F29)*IF(NOT(ISBLANK('Eingabe Preise'!$O14)),'Eingabe Preise'!$O14,'Eingabe Preise'!$M14)</f>
        <v>2810.0000000000005</v>
      </c>
      <c r="AK216" s="20" t="s">
        <v>96</v>
      </c>
    </row>
    <row r="217" spans="17:37" ht="15.75" hidden="1" outlineLevel="1" x14ac:dyDescent="0.3">
      <c r="Q217" s="17"/>
      <c r="R217" s="17"/>
      <c r="S217" s="17" t="s">
        <v>136</v>
      </c>
      <c r="T217" s="17"/>
      <c r="U217" s="43">
        <f>IF(NOT(ISBLANK('Referenz Plattenfertiger'!$I24)),'Referenz Plattenfertiger'!$I24,'Referenz Plattenfertiger'!$F24)*IF(NOT(ISBLANK('Eingabe EF'!$AS11)),'Eingabe EF'!$AS11,'Eingabe EF'!$AQ11)</f>
        <v>0</v>
      </c>
      <c r="V217" s="43">
        <f>IF(NOT(ISBLANK('Referenz Plattenfertiger'!$I24)),'Referenz Plattenfertiger'!$I24,'Referenz Plattenfertiger'!$F24)*IF(NOT(ISBLANK('Eingabe EF'!$AW11)),'Eingabe EF'!$AW11,'Eingabe EF'!$AU11)</f>
        <v>55.397299361499499</v>
      </c>
      <c r="W217" s="43">
        <f>IF(NOT(ISBLANK('Referenz Plattenfertiger'!$I24)),'Referenz Plattenfertiger'!$I24,'Referenz Plattenfertiger'!$F24)*IF(NOT(ISBLANK('Eingabe EF'!$BA11)),'Eingabe EF'!$BA11,'Eingabe EF'!$AY11)</f>
        <v>8.1210700634658952</v>
      </c>
      <c r="X217" s="17"/>
      <c r="Y217" s="17"/>
      <c r="Z217" s="37">
        <f t="shared" ref="Z217:Z225" si="55">U217+V217</f>
        <v>55.397299361499499</v>
      </c>
      <c r="AA217" s="37">
        <f t="shared" ref="AA217:AA225" si="56">SUM(U217:W217)</f>
        <v>63.518369424965393</v>
      </c>
      <c r="AB217" s="17" t="s">
        <v>184</v>
      </c>
      <c r="AD217" s="17"/>
      <c r="AE217" s="17"/>
      <c r="AF217" s="17"/>
      <c r="AG217" s="30"/>
      <c r="AH217" s="30"/>
      <c r="AI217" s="17"/>
      <c r="AJ217" s="17"/>
      <c r="AK217" s="17"/>
    </row>
    <row r="218" spans="17:37" ht="15.75" hidden="1" outlineLevel="1" x14ac:dyDescent="0.3">
      <c r="Q218" s="17"/>
      <c r="R218" s="17"/>
      <c r="S218" s="17" t="s">
        <v>111</v>
      </c>
      <c r="T218" s="17"/>
      <c r="U218" s="43">
        <f>IF(NOT(ISBLANK('Referenz Plattenfertiger'!$I25)),'Referenz Plattenfertiger'!$I25,'Referenz Plattenfertiger'!$F25)*IF(NOT(ISBLANK('Eingabe EF'!$AS13)),'Eingabe EF'!$AS13,'Eingabe EF'!$AQ13)</f>
        <v>0</v>
      </c>
      <c r="V218" s="43">
        <f>IF(NOT(ISBLANK('Referenz Plattenfertiger'!$I25)),'Referenz Plattenfertiger'!$I25,'Referenz Plattenfertiger'!$F25)*IF(NOT(ISBLANK('Eingabe EF'!$AW13)),'Eingabe EF'!$AW13,'Eingabe EF'!$AU13)</f>
        <v>0</v>
      </c>
      <c r="W218" s="43">
        <f>IF(NOT(ISBLANK('Referenz Plattenfertiger'!$I25)),'Referenz Plattenfertiger'!$I25,'Referenz Plattenfertiger'!$F25)*IF(NOT(ISBLANK('Eingabe EF'!$BA13)),'Eingabe EF'!$BA13,'Eingabe EF'!$AY13)</f>
        <v>0</v>
      </c>
      <c r="X218" s="17"/>
      <c r="Y218" s="17"/>
      <c r="Z218" s="37">
        <f t="shared" si="55"/>
        <v>0</v>
      </c>
      <c r="AA218" s="37">
        <f t="shared" si="56"/>
        <v>0</v>
      </c>
      <c r="AB218" s="17" t="s">
        <v>184</v>
      </c>
      <c r="AD218" s="17"/>
      <c r="AE218" s="17"/>
      <c r="AF218" s="17"/>
      <c r="AG218" s="30"/>
      <c r="AH218" s="30"/>
      <c r="AI218" s="17"/>
      <c r="AJ218" s="17"/>
      <c r="AK218" s="17"/>
    </row>
    <row r="219" spans="17:37" ht="15.75" hidden="1" outlineLevel="1" x14ac:dyDescent="0.3">
      <c r="Q219" s="17"/>
      <c r="R219" s="17"/>
      <c r="S219" s="17" t="s">
        <v>135</v>
      </c>
      <c r="T219" s="17"/>
      <c r="U219" s="43">
        <f>IF(NOT(ISBLANK('Referenz Plattenfertiger'!$I26)),'Referenz Plattenfertiger'!$I26,'Referenz Plattenfertiger'!$F26)*IF(NOT(ISBLANK('Eingabe EF'!$AS14)),'Eingabe EF'!$AS14,0)</f>
        <v>0</v>
      </c>
      <c r="V219" s="43">
        <f>IF(NOT(ISBLANK('Referenz Plattenfertiger'!$I26)),'Referenz Plattenfertiger'!$I26,'Referenz Plattenfertiger'!$F26)*IF(NOT(ISBLANK('Eingabe EF'!$AW14)),'Eingabe EF'!$AW14,0)</f>
        <v>0</v>
      </c>
      <c r="W219" s="43">
        <f>IF(NOT(ISBLANK('Referenz Plattenfertiger'!$I26)),'Referenz Plattenfertiger'!$I26,'Referenz Plattenfertiger'!$F26)*IF(NOT(ISBLANK('Eingabe EF'!$BA14)),'Eingabe EF'!$BA14,0)</f>
        <v>0</v>
      </c>
      <c r="X219" s="17"/>
      <c r="Y219" s="17"/>
      <c r="Z219" s="37">
        <f t="shared" si="55"/>
        <v>0</v>
      </c>
      <c r="AA219" s="37">
        <f t="shared" si="56"/>
        <v>0</v>
      </c>
      <c r="AB219" s="17" t="s">
        <v>184</v>
      </c>
      <c r="AD219" s="17"/>
      <c r="AE219" s="17" t="s">
        <v>28</v>
      </c>
      <c r="AF219" s="17"/>
      <c r="AG219" s="30"/>
      <c r="AH219" s="30"/>
      <c r="AI219" s="17"/>
      <c r="AJ219" s="41">
        <f>AJ231+AJ232</f>
        <v>0</v>
      </c>
      <c r="AK219" s="20" t="s">
        <v>96</v>
      </c>
    </row>
    <row r="220" spans="17:37" hidden="1" outlineLevel="1" x14ac:dyDescent="0.2">
      <c r="Q220" s="17"/>
      <c r="R220" s="17"/>
      <c r="S220" s="17"/>
      <c r="T220" s="17"/>
      <c r="U220" s="17"/>
      <c r="V220" s="17"/>
      <c r="W220" s="17"/>
      <c r="X220" s="17"/>
      <c r="Y220" s="17"/>
      <c r="Z220" s="17"/>
      <c r="AA220" s="17"/>
      <c r="AB220" s="17"/>
      <c r="AD220" s="17"/>
      <c r="AE220" s="44" t="s">
        <v>139</v>
      </c>
      <c r="AF220" s="17"/>
      <c r="AG220" s="30"/>
      <c r="AH220" s="30"/>
      <c r="AI220" s="17"/>
      <c r="AJ220" s="41">
        <f>IF(NOT(ISBLANK($K$34)),$K$34,$I$34)</f>
        <v>0</v>
      </c>
      <c r="AK220" s="20" t="s">
        <v>96</v>
      </c>
    </row>
    <row r="221" spans="17:37" ht="15.75" hidden="1" outlineLevel="1" x14ac:dyDescent="0.3">
      <c r="Q221" s="17"/>
      <c r="R221" s="17" t="s">
        <v>408</v>
      </c>
      <c r="S221" s="17" t="s">
        <v>32</v>
      </c>
      <c r="T221" s="17"/>
      <c r="U221" s="43">
        <f>IF(NOT(ISBLANK('Referenz Plattenfertiger'!$I28)),'Referenz Plattenfertiger'!$I28,'Referenz Plattenfertiger'!$F28)*IF(NOT(ISBLANK('Eingabe EF'!$AS15)),'Eingabe EF'!$AS15,'Eingabe EF'!$AQ15)</f>
        <v>29.238941159999996</v>
      </c>
      <c r="V221" s="43">
        <f>IF(NOT(ISBLANK('Referenz Plattenfertiger'!$I28)),'Referenz Plattenfertiger'!$I28,'Referenz Plattenfertiger'!$F28)*IF(NOT(ISBLANK('Eingabe EF'!$AW15)),'Eingabe EF'!$AW15,'Eingabe EF'!$AU15)</f>
        <v>0</v>
      </c>
      <c r="W221" s="43">
        <f>IF(NOT(ISBLANK('Referenz Plattenfertiger'!$I28)),'Referenz Plattenfertiger'!$I28,'Referenz Plattenfertiger'!$F28)*IF(NOT(ISBLANK('Eingabe EF'!$BA15)),'Eingabe EF'!$BA15,'Eingabe EF'!$AY15)</f>
        <v>5.1658635600000009</v>
      </c>
      <c r="X221" s="17"/>
      <c r="Y221" s="17"/>
      <c r="Z221" s="37">
        <f t="shared" ref="Z221:Z223" si="57">U221+V221</f>
        <v>29.238941159999996</v>
      </c>
      <c r="AA221" s="37">
        <f t="shared" ref="AA221:AA223" si="58">SUM(U221:W221)</f>
        <v>34.404804719999994</v>
      </c>
      <c r="AB221" s="17" t="s">
        <v>184</v>
      </c>
      <c r="AD221" s="17"/>
      <c r="AE221" s="44" t="s">
        <v>146</v>
      </c>
      <c r="AF221" s="17"/>
      <c r="AG221" s="30"/>
      <c r="AH221" s="30"/>
      <c r="AI221" s="17"/>
      <c r="AJ221" s="41">
        <f>AJ234+AJ235</f>
        <v>0</v>
      </c>
      <c r="AK221" s="20" t="s">
        <v>96</v>
      </c>
    </row>
    <row r="222" spans="17:37" ht="15.75" hidden="1" outlineLevel="1" x14ac:dyDescent="0.3">
      <c r="Q222" s="17"/>
      <c r="R222" s="17" t="s">
        <v>70</v>
      </c>
      <c r="S222" s="17" t="s">
        <v>32</v>
      </c>
      <c r="T222" s="17"/>
      <c r="U222" s="43">
        <f>IF(NOT(ISBLANK('Referenz Plattenfertiger'!$I29)),'Referenz Plattenfertiger'!$I29,'Referenz Plattenfertiger'!$F29)*IF(NOT(ISBLANK('Eingabe EF'!$AS15)),'Eingabe EF'!$AS15,'Eingabe EF'!$AQ15)</f>
        <v>6.645213899999999</v>
      </c>
      <c r="V222" s="43">
        <f>IF(NOT(ISBLANK('Referenz Plattenfertiger'!$I29)),'Referenz Plattenfertiger'!$I29,'Referenz Plattenfertiger'!$F29)*IF(NOT(ISBLANK('Eingabe EF'!$AW15)),'Eingabe EF'!$AW15,'Eingabe EF'!$AU15)</f>
        <v>0</v>
      </c>
      <c r="W222" s="43">
        <f>IF(NOT(ISBLANK('Referenz Plattenfertiger'!$I29)),'Referenz Plattenfertiger'!$I29,'Referenz Plattenfertiger'!$F29)*IF(NOT(ISBLANK('Eingabe EF'!$BA15)),'Eingabe EF'!$BA15,'Eingabe EF'!$AY15)</f>
        <v>1.1740599000000003</v>
      </c>
      <c r="X222" s="17"/>
      <c r="Y222" s="17"/>
      <c r="Z222" s="37">
        <f t="shared" si="57"/>
        <v>6.645213899999999</v>
      </c>
      <c r="AA222" s="37">
        <f t="shared" si="58"/>
        <v>7.8192737999999995</v>
      </c>
      <c r="AB222" s="17" t="s">
        <v>184</v>
      </c>
      <c r="AD222" s="17"/>
      <c r="AE222" s="17"/>
      <c r="AF222" s="17"/>
      <c r="AG222" s="17"/>
      <c r="AH222" s="17"/>
      <c r="AI222" s="17"/>
      <c r="AJ222" s="17"/>
      <c r="AK222" s="17"/>
    </row>
    <row r="223" spans="17:37" ht="14.25" hidden="1" outlineLevel="1" x14ac:dyDescent="0.25">
      <c r="Q223" s="69"/>
      <c r="R223" s="69" t="s">
        <v>175</v>
      </c>
      <c r="S223" s="69"/>
      <c r="T223" s="69"/>
      <c r="U223" s="71"/>
      <c r="V223" s="71"/>
      <c r="W223" s="71">
        <f t="shared" ref="W223" si="59">W224+W225</f>
        <v>469.15642799999995</v>
      </c>
      <c r="X223" s="69"/>
      <c r="Y223" s="69"/>
      <c r="Z223" s="71">
        <f t="shared" si="57"/>
        <v>0</v>
      </c>
      <c r="AA223" s="71">
        <f t="shared" si="58"/>
        <v>469.15642799999995</v>
      </c>
      <c r="AB223" s="76" t="s">
        <v>183</v>
      </c>
      <c r="AD223" s="17"/>
      <c r="AE223" s="17"/>
      <c r="AF223" s="17"/>
      <c r="AG223" s="17"/>
      <c r="AH223" s="17"/>
      <c r="AI223" s="17"/>
      <c r="AJ223" s="17"/>
      <c r="AK223" s="17"/>
    </row>
    <row r="224" spans="17:37" ht="15.75" hidden="1" outlineLevel="1" x14ac:dyDescent="0.3">
      <c r="Q224" s="17"/>
      <c r="R224" s="17"/>
      <c r="S224" s="17" t="s">
        <v>43</v>
      </c>
      <c r="T224" s="17"/>
      <c r="U224" s="43"/>
      <c r="V224" s="43"/>
      <c r="W224" s="43">
        <f>IF(NOT(ISBLANK('Referenz Plattenfertiger'!$I32)),'Referenz Plattenfertiger'!$I32,'Referenz Plattenfertiger'!$F32)*IF(NOT(ISBLANK('Eingabe EF'!$BA17)),'Eingabe EF'!$BA17,'Eingabe EF'!$AY17)</f>
        <v>109.4698332</v>
      </c>
      <c r="X224" s="17"/>
      <c r="Y224" s="17"/>
      <c r="Z224" s="37">
        <f t="shared" si="55"/>
        <v>0</v>
      </c>
      <c r="AA224" s="37">
        <f t="shared" si="56"/>
        <v>109.4698332</v>
      </c>
      <c r="AB224" s="17" t="s">
        <v>184</v>
      </c>
      <c r="AD224" s="17"/>
      <c r="AE224" s="17" t="s">
        <v>186</v>
      </c>
      <c r="AF224" s="17"/>
      <c r="AG224" s="30"/>
      <c r="AH224" s="30"/>
      <c r="AI224" s="17"/>
      <c r="AJ224" s="41">
        <f>U275*IF(NOT(ISBLANK('Eingabe Preise'!$O21)),'Eingabe Preise'!$O21,'Eingabe Preise'!$M21)</f>
        <v>7594.5884048000007</v>
      </c>
      <c r="AK224" s="20" t="s">
        <v>96</v>
      </c>
    </row>
    <row r="225" spans="17:37" ht="15.75" hidden="1" outlineLevel="1" x14ac:dyDescent="0.3">
      <c r="Q225" s="17"/>
      <c r="R225" s="17"/>
      <c r="S225" s="17" t="s">
        <v>44</v>
      </c>
      <c r="T225" s="17"/>
      <c r="U225" s="43"/>
      <c r="V225" s="43"/>
      <c r="W225" s="43">
        <f>IF(NOT(ISBLANK('Referenz Plattenfertiger'!$I33)),'Referenz Plattenfertiger'!$I33,'Referenz Plattenfertiger'!$F33)*IF(NOT(ISBLANK('Eingabe EF'!$BA18)),'Eingabe EF'!$BA18,'Eingabe EF'!$AY18)</f>
        <v>359.68659479999997</v>
      </c>
      <c r="X225" s="17"/>
      <c r="Y225" s="17"/>
      <c r="Z225" s="37">
        <f t="shared" si="55"/>
        <v>0</v>
      </c>
      <c r="AA225" s="37">
        <f t="shared" si="56"/>
        <v>359.68659479999997</v>
      </c>
      <c r="AB225" s="17" t="s">
        <v>184</v>
      </c>
      <c r="AD225" s="17"/>
      <c r="AE225" s="17" t="s">
        <v>187</v>
      </c>
      <c r="AF225" s="17"/>
      <c r="AG225" s="30"/>
      <c r="AH225" s="30"/>
      <c r="AI225" s="17"/>
      <c r="AJ225" s="41">
        <f>V275*IF(NOT(ISBLANK('Eingabe Preise'!$O22)),'Eingabe Preise'!$O22,'Eingabe Preise'!$M22)</f>
        <v>4924.2043876888438</v>
      </c>
      <c r="AK225" s="20" t="s">
        <v>96</v>
      </c>
    </row>
    <row r="226" spans="17:37" ht="15.75" hidden="1" outlineLevel="1" x14ac:dyDescent="0.3">
      <c r="Q226" s="17"/>
      <c r="R226" s="17"/>
      <c r="S226" s="17"/>
      <c r="T226" s="17"/>
      <c r="U226" s="20"/>
      <c r="V226" s="20"/>
      <c r="W226" s="20"/>
      <c r="X226" s="17"/>
      <c r="Y226" s="17"/>
      <c r="Z226" s="20"/>
      <c r="AA226" s="20"/>
      <c r="AB226" s="17"/>
      <c r="AD226" s="17"/>
      <c r="AE226" s="17" t="s">
        <v>188</v>
      </c>
      <c r="AF226" s="17"/>
      <c r="AG226" s="30"/>
      <c r="AH226" s="30"/>
      <c r="AI226" s="17"/>
      <c r="AJ226" s="41">
        <f>W275*IF(NOT(ISBLANK('Eingabe Preise'!$O23)),'Eingabe Preise'!$O23,'Eingabe Preise'!$M23)</f>
        <v>458802.71951929189</v>
      </c>
      <c r="AK226" s="20" t="s">
        <v>96</v>
      </c>
    </row>
    <row r="227" spans="17:37" ht="14.25" hidden="1" outlineLevel="1" x14ac:dyDescent="0.25">
      <c r="Q227" s="69"/>
      <c r="R227" s="69" t="s">
        <v>66</v>
      </c>
      <c r="S227" s="70"/>
      <c r="T227" s="70"/>
      <c r="U227" s="71"/>
      <c r="V227" s="71"/>
      <c r="W227" s="71">
        <f>SUM(W228:W231)</f>
        <v>4548.5439999999999</v>
      </c>
      <c r="X227" s="70"/>
      <c r="Y227" s="70"/>
      <c r="Z227" s="71">
        <f t="shared" ref="Z227:Z231" si="60">U227+V227</f>
        <v>0</v>
      </c>
      <c r="AA227" s="71">
        <f t="shared" ref="AA227" si="61">SUM(U227:W227)</f>
        <v>4548.5439999999999</v>
      </c>
      <c r="AB227" s="76" t="s">
        <v>183</v>
      </c>
      <c r="AD227" s="17"/>
      <c r="AE227" s="17"/>
      <c r="AF227" s="17"/>
      <c r="AG227" s="17"/>
      <c r="AH227" s="17"/>
      <c r="AI227" s="17"/>
      <c r="AJ227" s="17"/>
      <c r="AK227" s="17"/>
    </row>
    <row r="228" spans="17:37" ht="15.75" hidden="1" outlineLevel="1" x14ac:dyDescent="0.3">
      <c r="Q228" s="274"/>
      <c r="R228" s="17"/>
      <c r="S228" s="17" t="s">
        <v>45</v>
      </c>
      <c r="T228" s="17"/>
      <c r="U228" s="37"/>
      <c r="V228" s="37"/>
      <c r="W228" s="37">
        <f>'M1 Härtekammern'!T206</f>
        <v>1210.3</v>
      </c>
      <c r="X228" s="17"/>
      <c r="Y228" s="17"/>
      <c r="Z228" s="37">
        <f t="shared" si="60"/>
        <v>0</v>
      </c>
      <c r="AA228" s="37">
        <f t="shared" ref="AA228:AA231" si="62">SUM(U228:W228)</f>
        <v>1210.3</v>
      </c>
      <c r="AB228" s="17" t="s">
        <v>184</v>
      </c>
      <c r="AD228" s="17"/>
      <c r="AE228" s="17"/>
      <c r="AF228" s="17"/>
      <c r="AG228" s="17"/>
      <c r="AH228" s="17"/>
      <c r="AI228" s="17"/>
      <c r="AJ228" s="17"/>
      <c r="AK228" s="17"/>
    </row>
    <row r="229" spans="17:37" ht="15.75" hidden="1" outlineLevel="1" x14ac:dyDescent="0.3">
      <c r="Q229" s="274"/>
      <c r="R229" s="17"/>
      <c r="S229" s="17" t="s">
        <v>47</v>
      </c>
      <c r="T229" s="17"/>
      <c r="U229" s="37"/>
      <c r="V229" s="37"/>
      <c r="W229" s="37">
        <f>'M1 Härtekammern'!T207</f>
        <v>2415.5039999999999</v>
      </c>
      <c r="X229" s="17"/>
      <c r="Y229" s="17"/>
      <c r="Z229" s="37">
        <f t="shared" si="60"/>
        <v>0</v>
      </c>
      <c r="AA229" s="37">
        <f t="shared" si="62"/>
        <v>2415.5039999999999</v>
      </c>
      <c r="AB229" s="17" t="s">
        <v>184</v>
      </c>
      <c r="AD229" s="17"/>
      <c r="AE229" s="17"/>
      <c r="AF229" s="17"/>
      <c r="AG229" s="18"/>
      <c r="AH229" s="18"/>
      <c r="AI229" s="17"/>
      <c r="AJ229" s="18"/>
      <c r="AK229" s="18"/>
    </row>
    <row r="230" spans="17:37" ht="15.75" hidden="1" outlineLevel="1" x14ac:dyDescent="0.3">
      <c r="Q230" s="274"/>
      <c r="R230" s="17"/>
      <c r="S230" s="17" t="s">
        <v>48</v>
      </c>
      <c r="T230" s="17"/>
      <c r="U230" s="37"/>
      <c r="V230" s="37"/>
      <c r="W230" s="37">
        <f>'M1 Härtekammern'!T208</f>
        <v>922.7399999999999</v>
      </c>
      <c r="X230" s="17"/>
      <c r="Y230" s="17"/>
      <c r="Z230" s="37">
        <f t="shared" si="60"/>
        <v>0</v>
      </c>
      <c r="AA230" s="37">
        <f t="shared" si="62"/>
        <v>922.7399999999999</v>
      </c>
      <c r="AB230" s="17" t="s">
        <v>184</v>
      </c>
      <c r="AD230" s="21" t="s">
        <v>209</v>
      </c>
      <c r="AE230" s="17"/>
      <c r="AF230" s="17"/>
      <c r="AG230" s="17"/>
      <c r="AH230" s="17"/>
      <c r="AI230" s="17"/>
      <c r="AJ230" s="17"/>
      <c r="AK230" s="17"/>
    </row>
    <row r="231" spans="17:37" ht="15.75" hidden="1" outlineLevel="1" x14ac:dyDescent="0.3">
      <c r="Q231" s="274"/>
      <c r="R231" s="17"/>
      <c r="S231" s="17" t="s">
        <v>147</v>
      </c>
      <c r="T231" s="17"/>
      <c r="U231" s="37"/>
      <c r="V231" s="37"/>
      <c r="W231" s="37">
        <f>'M1 Härtekammern'!T209</f>
        <v>0</v>
      </c>
      <c r="X231" s="17"/>
      <c r="Y231" s="17"/>
      <c r="Z231" s="37">
        <f t="shared" si="60"/>
        <v>0</v>
      </c>
      <c r="AA231" s="37">
        <f t="shared" si="62"/>
        <v>0</v>
      </c>
      <c r="AB231" s="17" t="s">
        <v>184</v>
      </c>
      <c r="AD231" s="17"/>
      <c r="AE231" s="17" t="s">
        <v>439</v>
      </c>
      <c r="AF231" s="17"/>
      <c r="AG231" s="18">
        <f>U43</f>
        <v>5</v>
      </c>
      <c r="AH231" s="18"/>
      <c r="AI231" s="17"/>
      <c r="AJ231" s="41">
        <f>IF(IF(NOT(ISBLANK($G$38)),$G$38,$E$38)&gt;5,AJ140,0)</f>
        <v>0</v>
      </c>
      <c r="AK231" s="20" t="s">
        <v>96</v>
      </c>
    </row>
    <row r="232" spans="17:37" hidden="1" outlineLevel="1" x14ac:dyDescent="0.2">
      <c r="Q232" s="17"/>
      <c r="R232" s="17"/>
      <c r="S232" s="17"/>
      <c r="T232" s="17"/>
      <c r="U232" s="17"/>
      <c r="V232" s="17"/>
      <c r="W232" s="17"/>
      <c r="X232" s="17"/>
      <c r="Y232" s="17"/>
      <c r="Z232" s="20"/>
      <c r="AA232" s="20"/>
      <c r="AB232" s="17"/>
      <c r="AD232" s="17"/>
      <c r="AE232" s="17" t="s">
        <v>440</v>
      </c>
      <c r="AF232" s="17"/>
      <c r="AG232" s="17">
        <f>V43</f>
        <v>10</v>
      </c>
      <c r="AH232" s="17"/>
      <c r="AI232" s="17"/>
      <c r="AJ232" s="41">
        <f>IF(NOT(ISBLANK($K$33)),$K$33,$I$33)/IF(NOT(ISBLANK($K$38)),$K$38,$I$38)+IF(NOT(ISBLANK($K$33)),$K$33,$I$33)*(IF(NOT(ISBLANK($K$39)),$K$39,$I$39)/100)</f>
        <v>0</v>
      </c>
      <c r="AK232" s="20" t="s">
        <v>96</v>
      </c>
    </row>
    <row r="233" spans="17:37" ht="14.25" hidden="1" outlineLevel="1" x14ac:dyDescent="0.25">
      <c r="Q233" s="69"/>
      <c r="R233" s="69" t="s">
        <v>163</v>
      </c>
      <c r="S233" s="70"/>
      <c r="T233" s="70"/>
      <c r="U233" s="71"/>
      <c r="V233" s="71"/>
      <c r="W233" s="71">
        <f>SUM(W234:W238)</f>
        <v>129.59200000000001</v>
      </c>
      <c r="X233" s="70"/>
      <c r="Y233" s="70"/>
      <c r="Z233" s="71">
        <f t="shared" ref="Z233" si="63">U233+V233</f>
        <v>0</v>
      </c>
      <c r="AA233" s="71">
        <f t="shared" ref="AA233" si="64">SUM(U233:W233)</f>
        <v>129.59200000000001</v>
      </c>
      <c r="AB233" s="76" t="s">
        <v>183</v>
      </c>
      <c r="AD233" s="17"/>
      <c r="AE233" s="17"/>
      <c r="AF233" s="17"/>
      <c r="AG233" s="18"/>
      <c r="AH233" s="18"/>
      <c r="AI233" s="17"/>
      <c r="AJ233" s="18"/>
      <c r="AK233" s="18"/>
    </row>
    <row r="234" spans="17:37" ht="15.75" hidden="1" outlineLevel="1" x14ac:dyDescent="0.3">
      <c r="Q234" s="17"/>
      <c r="R234" s="17"/>
      <c r="S234" s="17" t="s">
        <v>164</v>
      </c>
      <c r="T234" s="17"/>
      <c r="U234" s="37"/>
      <c r="V234" s="37"/>
      <c r="W234" s="450">
        <f>'M1 Härtekammern'!T212*T197</f>
        <v>129.59200000000001</v>
      </c>
      <c r="X234" s="17"/>
      <c r="Y234" s="17"/>
      <c r="Z234" s="37">
        <f>U234+V234</f>
        <v>0</v>
      </c>
      <c r="AA234" s="37">
        <f>SUM(U234:W234)</f>
        <v>129.59200000000001</v>
      </c>
      <c r="AB234" s="17" t="s">
        <v>184</v>
      </c>
      <c r="AD234" s="17"/>
      <c r="AE234" s="17" t="s">
        <v>441</v>
      </c>
      <c r="AF234" s="17"/>
      <c r="AG234" s="17">
        <f>AG231</f>
        <v>5</v>
      </c>
      <c r="AH234" s="17"/>
      <c r="AI234" s="17"/>
      <c r="AJ234" s="41">
        <f>IF(IF(NOT(ISBLANK($G$38)),$G$38,$E$38)&gt;5,AJ142,0)</f>
        <v>0</v>
      </c>
      <c r="AK234" s="20" t="s">
        <v>96</v>
      </c>
    </row>
    <row r="235" spans="17:37" ht="15.75" hidden="1" outlineLevel="1" x14ac:dyDescent="0.3">
      <c r="Q235" s="17"/>
      <c r="R235" s="17"/>
      <c r="S235" s="17" t="s">
        <v>165</v>
      </c>
      <c r="T235" s="17"/>
      <c r="U235" s="37"/>
      <c r="V235" s="37"/>
      <c r="W235" s="450">
        <f>'M1 Härtekammern'!T213*T198</f>
        <v>0</v>
      </c>
      <c r="X235" s="17"/>
      <c r="Y235" s="17"/>
      <c r="Z235" s="37">
        <f>U235+V235</f>
        <v>0</v>
      </c>
      <c r="AA235" s="37">
        <f t="shared" ref="AA235:AA236" si="65">SUM(U235:W235)</f>
        <v>0</v>
      </c>
      <c r="AB235" s="17" t="s">
        <v>184</v>
      </c>
      <c r="AD235" s="17"/>
      <c r="AE235" s="17" t="s">
        <v>442</v>
      </c>
      <c r="AF235" s="17"/>
      <c r="AG235" s="18">
        <f>AG232</f>
        <v>10</v>
      </c>
      <c r="AH235" s="18"/>
      <c r="AI235" s="17"/>
      <c r="AJ235" s="41">
        <f>IF(NOT(ISBLANK($K$35)),$K$35,$I$35)/IF(NOT(ISBLANK($K$38)),$K$38,$I$38)+IF(NOT(ISBLANK($K$35)),$K$35,$I$35)*(IF(NOT(ISBLANK($K$39)),$K$39,$I$39)/100)</f>
        <v>0</v>
      </c>
      <c r="AK235" s="20" t="s">
        <v>96</v>
      </c>
    </row>
    <row r="236" spans="17:37" ht="15.75" hidden="1" outlineLevel="1" x14ac:dyDescent="0.3">
      <c r="Q236" s="17"/>
      <c r="R236" s="17"/>
      <c r="S236" s="17" t="s">
        <v>166</v>
      </c>
      <c r="T236" s="17"/>
      <c r="U236" s="37"/>
      <c r="V236" s="37"/>
      <c r="W236" s="450">
        <f>'M1 Härtekammern'!T214*T199</f>
        <v>0</v>
      </c>
      <c r="X236" s="17"/>
      <c r="Y236" s="17"/>
      <c r="Z236" s="37">
        <f t="shared" ref="Z236" si="66">U236+V236</f>
        <v>0</v>
      </c>
      <c r="AA236" s="37">
        <f t="shared" si="65"/>
        <v>0</v>
      </c>
      <c r="AB236" s="17" t="s">
        <v>184</v>
      </c>
      <c r="AD236" s="17"/>
      <c r="AE236" s="17"/>
      <c r="AF236" s="17"/>
      <c r="AG236" s="18"/>
      <c r="AH236" s="18"/>
      <c r="AI236" s="17"/>
      <c r="AJ236" s="18"/>
      <c r="AK236" s="18"/>
    </row>
    <row r="237" spans="17:37" ht="15.75" hidden="1" outlineLevel="1" x14ac:dyDescent="0.3">
      <c r="Q237" s="17"/>
      <c r="R237" s="17"/>
      <c r="S237" s="17" t="str">
        <f>'M1 Härtekammern'!P215</f>
        <v>Weiterer Zuschlagstoff 1</v>
      </c>
      <c r="T237" s="17"/>
      <c r="U237" s="37"/>
      <c r="V237" s="37"/>
      <c r="W237" s="450">
        <f>'M1 Härtekammern'!T215*T200</f>
        <v>0</v>
      </c>
      <c r="X237" s="17"/>
      <c r="Y237" s="17"/>
      <c r="Z237" s="37">
        <f t="shared" ref="Z237:Z238" si="67">U237+V237</f>
        <v>0</v>
      </c>
      <c r="AA237" s="37">
        <f t="shared" ref="AA237:AA238" si="68">SUM(U237:W237)</f>
        <v>0</v>
      </c>
      <c r="AB237" s="17" t="s">
        <v>184</v>
      </c>
      <c r="AD237" s="17"/>
      <c r="AE237" s="17"/>
      <c r="AF237" s="17"/>
      <c r="AG237" s="17"/>
      <c r="AH237" s="17"/>
      <c r="AI237" s="17"/>
      <c r="AJ237" s="17"/>
      <c r="AK237" s="17"/>
    </row>
    <row r="238" spans="17:37" ht="15.75" hidden="1" outlineLevel="1" x14ac:dyDescent="0.3">
      <c r="Q238" s="17"/>
      <c r="R238" s="17"/>
      <c r="S238" s="17" t="str">
        <f>'M1 Härtekammern'!P216</f>
        <v>Weiterer Zuschlagstoff 2</v>
      </c>
      <c r="T238" s="17"/>
      <c r="U238" s="37"/>
      <c r="V238" s="37"/>
      <c r="W238" s="450">
        <f>'M1 Härtekammern'!T216*T201</f>
        <v>0</v>
      </c>
      <c r="X238" s="17"/>
      <c r="Y238" s="17"/>
      <c r="Z238" s="37">
        <f t="shared" si="67"/>
        <v>0</v>
      </c>
      <c r="AA238" s="37">
        <f t="shared" si="68"/>
        <v>0</v>
      </c>
      <c r="AB238" s="17" t="s">
        <v>184</v>
      </c>
      <c r="AD238" s="17"/>
      <c r="AE238" s="17"/>
      <c r="AF238" s="17"/>
      <c r="AG238" s="18"/>
      <c r="AH238" s="18"/>
      <c r="AI238" s="17"/>
      <c r="AJ238" s="18"/>
      <c r="AK238" s="18"/>
    </row>
    <row r="239" spans="17:37" hidden="1" outlineLevel="1" x14ac:dyDescent="0.2">
      <c r="Q239" s="17"/>
      <c r="R239" s="17"/>
      <c r="S239" s="17"/>
      <c r="T239" s="17"/>
      <c r="U239" s="17"/>
      <c r="V239" s="17"/>
      <c r="W239" s="20"/>
      <c r="X239" s="17"/>
      <c r="Y239" s="17"/>
      <c r="Z239" s="20"/>
      <c r="AA239" s="20"/>
      <c r="AB239" s="17"/>
    </row>
    <row r="240" spans="17:37" ht="14.25" hidden="1" outlineLevel="1" x14ac:dyDescent="0.25">
      <c r="Q240" s="17"/>
      <c r="R240" s="17"/>
      <c r="S240" s="21" t="s">
        <v>55</v>
      </c>
      <c r="T240" s="21"/>
      <c r="U240" s="74"/>
      <c r="V240" s="74"/>
      <c r="W240" s="74">
        <f>'M1 Härtekammern'!T218</f>
        <v>208</v>
      </c>
      <c r="X240" s="21"/>
      <c r="Y240" s="21"/>
      <c r="Z240" s="74">
        <f>U240+V240</f>
        <v>0</v>
      </c>
      <c r="AA240" s="74">
        <f t="shared" ref="AA240" si="69">SUM(U240:W240)</f>
        <v>208</v>
      </c>
      <c r="AB240" s="21" t="s">
        <v>183</v>
      </c>
    </row>
    <row r="241" spans="17:28" hidden="1" outlineLevel="1" x14ac:dyDescent="0.2">
      <c r="Q241" s="17"/>
      <c r="R241" s="17"/>
      <c r="S241" s="17"/>
      <c r="T241" s="17"/>
      <c r="U241" s="17"/>
      <c r="V241" s="17"/>
      <c r="W241" s="20"/>
      <c r="X241" s="17"/>
      <c r="Y241" s="17"/>
      <c r="Z241" s="20"/>
      <c r="AA241" s="20"/>
      <c r="AB241" s="17"/>
    </row>
    <row r="242" spans="17:28" ht="14.25" hidden="1" outlineLevel="1" x14ac:dyDescent="0.25">
      <c r="Q242" s="69"/>
      <c r="R242" s="69" t="s">
        <v>167</v>
      </c>
      <c r="S242" s="70"/>
      <c r="T242" s="70"/>
      <c r="U242" s="71"/>
      <c r="V242" s="71"/>
      <c r="W242" s="71">
        <f>SUM(W243:W246)</f>
        <v>81.003999999999991</v>
      </c>
      <c r="X242" s="70"/>
      <c r="Y242" s="70"/>
      <c r="Z242" s="71">
        <f t="shared" ref="Z242" si="70">U242+V242</f>
        <v>0</v>
      </c>
      <c r="AA242" s="71">
        <f t="shared" ref="AA242" si="71">SUM(U242:W242)</f>
        <v>81.003999999999991</v>
      </c>
      <c r="AB242" s="76" t="s">
        <v>183</v>
      </c>
    </row>
    <row r="243" spans="17:28" ht="15.75" hidden="1" outlineLevel="1" x14ac:dyDescent="0.3">
      <c r="Q243" s="17"/>
      <c r="R243" s="17"/>
      <c r="S243" s="17" t="s">
        <v>57</v>
      </c>
      <c r="T243" s="17"/>
      <c r="U243" s="37"/>
      <c r="V243" s="37"/>
      <c r="W243" s="37">
        <f>'M1 Härtekammern'!T221</f>
        <v>0</v>
      </c>
      <c r="X243" s="17"/>
      <c r="Y243" s="17"/>
      <c r="Z243" s="37">
        <f>U243+V243</f>
        <v>0</v>
      </c>
      <c r="AA243" s="37">
        <f>SUM(U243:W243)</f>
        <v>0</v>
      </c>
      <c r="AB243" s="17" t="s">
        <v>184</v>
      </c>
    </row>
    <row r="244" spans="17:28" ht="15.75" hidden="1" outlineLevel="1" x14ac:dyDescent="0.3">
      <c r="Q244" s="274"/>
      <c r="R244" s="17"/>
      <c r="S244" s="17" t="s">
        <v>58</v>
      </c>
      <c r="T244" s="17"/>
      <c r="U244" s="37"/>
      <c r="V244" s="37"/>
      <c r="W244" s="37">
        <f>'M1 Härtekammern'!T222</f>
        <v>8.6840000000000011</v>
      </c>
      <c r="X244" s="17"/>
      <c r="Y244" s="17"/>
      <c r="Z244" s="37">
        <f>U244+V244</f>
        <v>0</v>
      </c>
      <c r="AA244" s="37">
        <f>SUM(U244:W244)</f>
        <v>8.6840000000000011</v>
      </c>
      <c r="AB244" s="17" t="s">
        <v>184</v>
      </c>
    </row>
    <row r="245" spans="17:28" ht="15.75" hidden="1" outlineLevel="1" x14ac:dyDescent="0.3">
      <c r="Q245" s="274"/>
      <c r="R245" s="17"/>
      <c r="S245" s="17" t="s">
        <v>59</v>
      </c>
      <c r="T245" s="17"/>
      <c r="U245" s="37"/>
      <c r="V245" s="37"/>
      <c r="W245" s="37">
        <f>'M1 Härtekammern'!T223</f>
        <v>72.319999999999993</v>
      </c>
      <c r="X245" s="17"/>
      <c r="Y245" s="17"/>
      <c r="Z245" s="37">
        <f>U245+V245</f>
        <v>0</v>
      </c>
      <c r="AA245" s="37">
        <f>SUM(U245:W245)</f>
        <v>72.319999999999993</v>
      </c>
      <c r="AB245" s="17" t="s">
        <v>184</v>
      </c>
    </row>
    <row r="246" spans="17:28" ht="15.75" hidden="1" outlineLevel="1" x14ac:dyDescent="0.3">
      <c r="Q246" s="274"/>
      <c r="R246" s="17"/>
      <c r="S246" s="17" t="str">
        <f>'M1 Härtekammern'!P224</f>
        <v>Weiterer Zusatzstoff 1</v>
      </c>
      <c r="T246" s="17"/>
      <c r="U246" s="37"/>
      <c r="V246" s="37"/>
      <c r="W246" s="37">
        <f>'M1 Härtekammern'!T224</f>
        <v>0</v>
      </c>
      <c r="X246" s="17"/>
      <c r="Y246" s="17"/>
      <c r="Z246" s="37">
        <f t="shared" ref="Z246:Z247" si="72">U246+V246</f>
        <v>0</v>
      </c>
      <c r="AA246" s="37">
        <f t="shared" ref="AA246:AA247" si="73">SUM(U246:W246)</f>
        <v>0</v>
      </c>
      <c r="AB246" s="17" t="s">
        <v>184</v>
      </c>
    </row>
    <row r="247" spans="17:28" ht="15.75" hidden="1" outlineLevel="1" x14ac:dyDescent="0.3">
      <c r="Q247" s="274"/>
      <c r="R247" s="17"/>
      <c r="S247" s="17" t="str">
        <f>'M1 Härtekammern'!P225</f>
        <v>Weiterer Zusatzstoff 2</v>
      </c>
      <c r="T247" s="17"/>
      <c r="U247" s="37"/>
      <c r="V247" s="37"/>
      <c r="W247" s="37">
        <f>'M1 Härtekammern'!T225</f>
        <v>0</v>
      </c>
      <c r="X247" s="17"/>
      <c r="Y247" s="17"/>
      <c r="Z247" s="37">
        <f t="shared" si="72"/>
        <v>0</v>
      </c>
      <c r="AA247" s="37">
        <f t="shared" si="73"/>
        <v>0</v>
      </c>
      <c r="AB247" s="17" t="s">
        <v>184</v>
      </c>
    </row>
    <row r="248" spans="17:28" hidden="1" outlineLevel="1" x14ac:dyDescent="0.2">
      <c r="Q248" s="17"/>
      <c r="R248" s="17"/>
      <c r="S248" s="17"/>
      <c r="T248" s="17"/>
      <c r="U248" s="17"/>
      <c r="V248" s="17"/>
      <c r="W248" s="20"/>
      <c r="X248" s="17"/>
      <c r="Y248" s="17"/>
      <c r="Z248" s="17"/>
      <c r="AA248" s="20"/>
      <c r="AB248" s="20"/>
    </row>
    <row r="249" spans="17:28" ht="14.25" hidden="1" outlineLevel="1" x14ac:dyDescent="0.25">
      <c r="Q249" s="69"/>
      <c r="R249" s="69" t="s">
        <v>49</v>
      </c>
      <c r="S249" s="70"/>
      <c r="T249" s="70"/>
      <c r="U249" s="71"/>
      <c r="V249" s="71"/>
      <c r="W249" s="71">
        <f t="shared" ref="W249" si="74">SUM(W250:W253)</f>
        <v>148.44746134951595</v>
      </c>
      <c r="X249" s="70"/>
      <c r="Y249" s="70"/>
      <c r="Z249" s="71">
        <f t="shared" ref="Z249:Z253" si="75">U249+V249</f>
        <v>0</v>
      </c>
      <c r="AA249" s="71">
        <f t="shared" ref="AA249" si="76">SUM(U249:W249)</f>
        <v>148.44746134951595</v>
      </c>
      <c r="AB249" s="76" t="s">
        <v>183</v>
      </c>
    </row>
    <row r="250" spans="17:28" ht="15.75" hidden="1" outlineLevel="1" x14ac:dyDescent="0.3">
      <c r="Q250" s="17"/>
      <c r="R250" s="17"/>
      <c r="S250" s="17" t="s">
        <v>50</v>
      </c>
      <c r="T250" s="17"/>
      <c r="U250" s="37"/>
      <c r="V250" s="37"/>
      <c r="W250" s="37">
        <f>'M1 Härtekammern'!T228</f>
        <v>47.997919375812742</v>
      </c>
      <c r="X250" s="17"/>
      <c r="Y250" s="17"/>
      <c r="Z250" s="37">
        <f t="shared" si="75"/>
        <v>0</v>
      </c>
      <c r="AA250" s="37">
        <f t="shared" ref="AA250:AA253" si="77">SUM(U250:W250)</f>
        <v>47.997919375812742</v>
      </c>
      <c r="AB250" s="17" t="s">
        <v>184</v>
      </c>
    </row>
    <row r="251" spans="17:28" ht="15.75" hidden="1" outlineLevel="1" x14ac:dyDescent="0.3">
      <c r="Q251" s="17"/>
      <c r="R251" s="17"/>
      <c r="S251" s="17" t="s">
        <v>52</v>
      </c>
      <c r="T251" s="17"/>
      <c r="U251" s="37"/>
      <c r="V251" s="37"/>
      <c r="W251" s="37">
        <f>'M1 Härtekammern'!T229</f>
        <v>5.7797543707556596</v>
      </c>
      <c r="X251" s="17"/>
      <c r="Y251" s="17"/>
      <c r="Z251" s="37">
        <f t="shared" si="75"/>
        <v>0</v>
      </c>
      <c r="AA251" s="37">
        <f t="shared" si="77"/>
        <v>5.7797543707556596</v>
      </c>
      <c r="AB251" s="17" t="s">
        <v>184</v>
      </c>
    </row>
    <row r="252" spans="17:28" ht="15.75" hidden="1" outlineLevel="1" x14ac:dyDescent="0.3">
      <c r="Q252" s="17"/>
      <c r="R252" s="17"/>
      <c r="S252" s="17" t="s">
        <v>53</v>
      </c>
      <c r="T252" s="17"/>
      <c r="U252" s="37"/>
      <c r="V252" s="37"/>
      <c r="W252" s="37">
        <f>'M1 Härtekammern'!T230</f>
        <v>1.4217598612917211E-2</v>
      </c>
      <c r="X252" s="17"/>
      <c r="Y252" s="17"/>
      <c r="Z252" s="37">
        <f t="shared" si="75"/>
        <v>0</v>
      </c>
      <c r="AA252" s="37">
        <f t="shared" si="77"/>
        <v>1.4217598612917211E-2</v>
      </c>
      <c r="AB252" s="17" t="s">
        <v>184</v>
      </c>
    </row>
    <row r="253" spans="17:28" ht="15.75" hidden="1" outlineLevel="1" x14ac:dyDescent="0.3">
      <c r="Q253" s="17"/>
      <c r="R253" s="17"/>
      <c r="S253" s="17" t="s">
        <v>54</v>
      </c>
      <c r="T253" s="17"/>
      <c r="U253" s="37"/>
      <c r="V253" s="37"/>
      <c r="W253" s="37">
        <f>'M1 Härtekammern'!T231</f>
        <v>94.655570004334635</v>
      </c>
      <c r="X253" s="17"/>
      <c r="Y253" s="17"/>
      <c r="Z253" s="37">
        <f t="shared" si="75"/>
        <v>0</v>
      </c>
      <c r="AA253" s="37">
        <f t="shared" si="77"/>
        <v>94.655570004334635</v>
      </c>
      <c r="AB253" s="17" t="s">
        <v>184</v>
      </c>
    </row>
    <row r="254" spans="17:28" hidden="1" outlineLevel="1" x14ac:dyDescent="0.2">
      <c r="Q254" s="17"/>
      <c r="R254" s="17"/>
      <c r="S254" s="17"/>
      <c r="T254" s="17"/>
      <c r="U254" s="17"/>
      <c r="V254" s="17"/>
      <c r="W254" s="20"/>
      <c r="X254" s="17"/>
      <c r="Y254" s="17"/>
      <c r="Z254" s="17"/>
      <c r="AA254" s="17"/>
      <c r="AB254" s="20"/>
    </row>
    <row r="255" spans="17:28" ht="14.25" hidden="1" outlineLevel="1" x14ac:dyDescent="0.25">
      <c r="Q255" s="69"/>
      <c r="R255" s="69" t="s">
        <v>299</v>
      </c>
      <c r="S255" s="70"/>
      <c r="T255" s="70"/>
      <c r="U255" s="71"/>
      <c r="V255" s="71"/>
      <c r="W255" s="71">
        <f>SUM(W256:W258)</f>
        <v>0</v>
      </c>
      <c r="X255" s="70"/>
      <c r="Y255" s="70"/>
      <c r="Z255" s="71">
        <f>U255+V255</f>
        <v>0</v>
      </c>
      <c r="AA255" s="71">
        <f t="shared" ref="AA255" si="78">SUM(U255:W255)</f>
        <v>0</v>
      </c>
      <c r="AB255" s="76" t="s">
        <v>183</v>
      </c>
    </row>
    <row r="256" spans="17:28" ht="15.75" hidden="1" outlineLevel="1" x14ac:dyDescent="0.3">
      <c r="Q256" s="274"/>
      <c r="R256" s="17"/>
      <c r="S256" s="17" t="s">
        <v>242</v>
      </c>
      <c r="T256" s="17"/>
      <c r="U256" s="37"/>
      <c r="V256" s="37"/>
      <c r="W256" s="450">
        <f>IF(NOT(ISBLANK(K24)),K24,I24)*IF(NOT(ISBLANK(K28)),K28,0)</f>
        <v>0</v>
      </c>
      <c r="X256" s="17"/>
      <c r="Y256" s="17"/>
      <c r="Z256" s="37">
        <f t="shared" ref="Z256:Z257" si="79">U256+V256</f>
        <v>0</v>
      </c>
      <c r="AA256" s="37">
        <f t="shared" ref="AA256:AA257" si="80">SUM(U256:W256)</f>
        <v>0</v>
      </c>
      <c r="AB256" s="17" t="s">
        <v>184</v>
      </c>
    </row>
    <row r="257" spans="17:28" ht="15.75" hidden="1" outlineLevel="1" x14ac:dyDescent="0.3">
      <c r="Q257" s="274"/>
      <c r="R257" s="17"/>
      <c r="S257" s="17" t="s">
        <v>243</v>
      </c>
      <c r="T257" s="17"/>
      <c r="U257" s="37"/>
      <c r="V257" s="37"/>
      <c r="W257" s="450">
        <f>IF(NOT(ISBLANK(K25)),K25,I25)*IF(NOT(ISBLANK(K29)),K29,0)</f>
        <v>0</v>
      </c>
      <c r="X257" s="17"/>
      <c r="Y257" s="17"/>
      <c r="Z257" s="37">
        <f t="shared" si="79"/>
        <v>0</v>
      </c>
      <c r="AA257" s="37">
        <f t="shared" si="80"/>
        <v>0</v>
      </c>
      <c r="AB257" s="17" t="s">
        <v>184</v>
      </c>
    </row>
    <row r="258" spans="17:28" ht="15.75" hidden="1" outlineLevel="1" x14ac:dyDescent="0.3">
      <c r="Q258" s="274"/>
      <c r="R258" s="17"/>
      <c r="S258" s="17" t="s">
        <v>300</v>
      </c>
      <c r="T258" s="17"/>
      <c r="U258" s="37"/>
      <c r="V258" s="37"/>
      <c r="W258" s="450">
        <f>IF(NOT(ISBLANK($K$26)),$K$26,$I$26)*IF(NOT(ISBLANK($K$30)),$K$30,$I$30)</f>
        <v>0</v>
      </c>
      <c r="X258" s="17"/>
      <c r="Y258" s="17"/>
      <c r="Z258" s="37">
        <f>U258+V258</f>
        <v>0</v>
      </c>
      <c r="AA258" s="37">
        <f>SUM(U258:W258)</f>
        <v>0</v>
      </c>
      <c r="AB258" s="17" t="s">
        <v>184</v>
      </c>
    </row>
    <row r="259" spans="17:28" hidden="1" outlineLevel="1" x14ac:dyDescent="0.2">
      <c r="Q259" s="17"/>
      <c r="R259" s="17"/>
      <c r="S259" s="17"/>
      <c r="T259" s="17"/>
      <c r="U259" s="17"/>
      <c r="V259" s="17"/>
      <c r="W259" s="17"/>
      <c r="X259" s="17"/>
      <c r="Y259" s="17"/>
      <c r="Z259" s="17"/>
      <c r="AA259" s="17"/>
      <c r="AB259" s="20"/>
    </row>
    <row r="260" spans="17:28" ht="14.25" hidden="1" outlineLevel="1" x14ac:dyDescent="0.25">
      <c r="Q260" s="17"/>
      <c r="R260" s="17"/>
      <c r="S260" s="21" t="s">
        <v>99</v>
      </c>
      <c r="T260" s="21"/>
      <c r="U260" s="74"/>
      <c r="V260" s="74"/>
      <c r="W260" s="74">
        <f>'M1 Härtekammern'!T233</f>
        <v>0</v>
      </c>
      <c r="X260" s="21"/>
      <c r="Y260" s="21"/>
      <c r="Z260" s="74">
        <f>U260+V260</f>
        <v>0</v>
      </c>
      <c r="AA260" s="74">
        <f>SUM(U260:W260)</f>
        <v>0</v>
      </c>
      <c r="AB260" s="21" t="s">
        <v>183</v>
      </c>
    </row>
    <row r="261" spans="17:28" ht="14.25" hidden="1" outlineLevel="1" x14ac:dyDescent="0.25">
      <c r="Q261" s="17"/>
      <c r="R261" s="17"/>
      <c r="S261" s="21" t="s">
        <v>62</v>
      </c>
      <c r="T261" s="21"/>
      <c r="U261" s="75"/>
      <c r="V261" s="75"/>
      <c r="W261" s="75">
        <f>'M1 Härtekammern'!T234</f>
        <v>0.54400000000000004</v>
      </c>
      <c r="X261" s="21"/>
      <c r="Y261" s="21"/>
      <c r="Z261" s="74">
        <f>U261+V261</f>
        <v>0</v>
      </c>
      <c r="AA261" s="74">
        <f>SUM(U261:W261)</f>
        <v>0.54400000000000004</v>
      </c>
      <c r="AB261" s="21" t="s">
        <v>183</v>
      </c>
    </row>
    <row r="262" spans="17:28" hidden="1" outlineLevel="1" x14ac:dyDescent="0.2">
      <c r="Q262" s="17"/>
      <c r="R262" s="17"/>
      <c r="S262" s="17"/>
      <c r="T262" s="17"/>
      <c r="U262" s="17"/>
      <c r="V262" s="17"/>
      <c r="W262" s="17"/>
      <c r="X262" s="17"/>
      <c r="Y262" s="17"/>
      <c r="Z262" s="17"/>
      <c r="AA262" s="17"/>
      <c r="AB262" s="20"/>
    </row>
    <row r="263" spans="17:28" ht="14.25" hidden="1" outlineLevel="1" x14ac:dyDescent="0.25">
      <c r="Q263" s="69"/>
      <c r="R263" s="69" t="s">
        <v>168</v>
      </c>
      <c r="S263" s="70"/>
      <c r="T263" s="70"/>
      <c r="U263" s="71"/>
      <c r="V263" s="71"/>
      <c r="W263" s="71">
        <f t="shared" ref="W263" si="81">SUM(W264:W266)</f>
        <v>0.16095999999999999</v>
      </c>
      <c r="X263" s="70"/>
      <c r="Y263" s="70"/>
      <c r="Z263" s="71">
        <f t="shared" ref="Z263" si="82">U263+V263</f>
        <v>0</v>
      </c>
      <c r="AA263" s="71">
        <f t="shared" ref="AA263" si="83">SUM(U263:W263)</f>
        <v>0.16095999999999999</v>
      </c>
      <c r="AB263" s="76" t="s">
        <v>183</v>
      </c>
    </row>
    <row r="264" spans="17:28" ht="15.75" hidden="1" outlineLevel="1" x14ac:dyDescent="0.3">
      <c r="Q264" s="17"/>
      <c r="R264" s="17"/>
      <c r="S264" s="17" t="s">
        <v>169</v>
      </c>
      <c r="T264" s="17"/>
      <c r="U264" s="37"/>
      <c r="V264" s="37"/>
      <c r="W264" s="37">
        <f>'M1 Härtekammern'!T237</f>
        <v>0</v>
      </c>
      <c r="X264" s="17"/>
      <c r="Y264" s="17"/>
      <c r="Z264" s="37">
        <f>U264+V264</f>
        <v>0</v>
      </c>
      <c r="AA264" s="37">
        <f>SUM(U264:W264)</f>
        <v>0</v>
      </c>
      <c r="AB264" s="17" t="s">
        <v>184</v>
      </c>
    </row>
    <row r="265" spans="17:28" ht="15.75" hidden="1" outlineLevel="1" x14ac:dyDescent="0.3">
      <c r="Q265" s="17"/>
      <c r="R265" s="17"/>
      <c r="S265" s="17" t="s">
        <v>60</v>
      </c>
      <c r="T265" s="17"/>
      <c r="U265" s="37"/>
      <c r="V265" s="37"/>
      <c r="W265" s="37">
        <f>'M1 Härtekammern'!T238</f>
        <v>0.16095999999999999</v>
      </c>
      <c r="X265" s="17"/>
      <c r="Y265" s="17"/>
      <c r="Z265" s="37">
        <f t="shared" ref="Z265" si="84">U265+V265</f>
        <v>0</v>
      </c>
      <c r="AA265" s="37">
        <f t="shared" ref="AA265" si="85">SUM(U265:W265)</f>
        <v>0.16095999999999999</v>
      </c>
      <c r="AB265" s="17" t="s">
        <v>184</v>
      </c>
    </row>
    <row r="266" spans="17:28" ht="15.75" hidden="1" outlineLevel="1" x14ac:dyDescent="0.3">
      <c r="Q266" s="17"/>
      <c r="R266" s="17"/>
      <c r="S266" s="17" t="s">
        <v>170</v>
      </c>
      <c r="T266" s="17"/>
      <c r="U266" s="37"/>
      <c r="V266" s="37"/>
      <c r="W266" s="37">
        <f>'M1 Härtekammern'!T239</f>
        <v>0</v>
      </c>
      <c r="X266" s="17"/>
      <c r="Y266" s="17"/>
      <c r="Z266" s="37">
        <f>U266+V266</f>
        <v>0</v>
      </c>
      <c r="AA266" s="37">
        <f>SUM(U266:W266)</f>
        <v>0</v>
      </c>
      <c r="AB266" s="17" t="s">
        <v>184</v>
      </c>
    </row>
    <row r="267" spans="17:28" hidden="1" outlineLevel="1" x14ac:dyDescent="0.2">
      <c r="Q267" s="17"/>
      <c r="R267" s="17"/>
      <c r="S267" s="17"/>
      <c r="T267" s="17"/>
      <c r="U267" s="17"/>
      <c r="V267" s="17"/>
      <c r="W267" s="17"/>
      <c r="X267" s="17"/>
      <c r="Y267" s="17"/>
      <c r="Z267" s="17"/>
      <c r="AA267" s="17"/>
      <c r="AB267" s="20"/>
    </row>
    <row r="268" spans="17:28" ht="14.25" hidden="1" outlineLevel="1" x14ac:dyDescent="0.25">
      <c r="Q268" s="69"/>
      <c r="R268" s="69" t="s">
        <v>171</v>
      </c>
      <c r="S268" s="70"/>
      <c r="T268" s="70"/>
      <c r="U268" s="71"/>
      <c r="V268" s="71"/>
      <c r="W268" s="71">
        <f t="shared" ref="W268" si="86">SUM(W269:W271)</f>
        <v>60</v>
      </c>
      <c r="X268" s="70"/>
      <c r="Y268" s="70"/>
      <c r="Z268" s="71">
        <f t="shared" ref="Z268" si="87">U268+V268</f>
        <v>0</v>
      </c>
      <c r="AA268" s="71">
        <f t="shared" ref="AA268" si="88">SUM(U268:W268)</f>
        <v>60</v>
      </c>
      <c r="AB268" s="76" t="s">
        <v>183</v>
      </c>
    </row>
    <row r="269" spans="17:28" ht="15.75" hidden="1" outlineLevel="1" x14ac:dyDescent="0.3">
      <c r="Q269" s="17"/>
      <c r="R269" s="17"/>
      <c r="S269" s="17" t="s">
        <v>64</v>
      </c>
      <c r="T269" s="17"/>
      <c r="U269" s="43"/>
      <c r="V269" s="43"/>
      <c r="W269" s="43">
        <f>'M1 Härtekammern'!T242</f>
        <v>60</v>
      </c>
      <c r="X269" s="17"/>
      <c r="Y269" s="17"/>
      <c r="Z269" s="37">
        <f>U269+V269</f>
        <v>0</v>
      </c>
      <c r="AA269" s="37">
        <f>SUM(U269:W269)</f>
        <v>60</v>
      </c>
      <c r="AB269" s="17" t="s">
        <v>184</v>
      </c>
    </row>
    <row r="270" spans="17:28" ht="15.75" hidden="1" outlineLevel="1" x14ac:dyDescent="0.3">
      <c r="Q270" s="17"/>
      <c r="R270" s="17"/>
      <c r="S270" s="17" t="s">
        <v>173</v>
      </c>
      <c r="T270" s="17"/>
      <c r="U270" s="43"/>
      <c r="V270" s="43"/>
      <c r="W270" s="43">
        <f>'M1 Härtekammern'!T243</f>
        <v>0</v>
      </c>
      <c r="X270" s="17"/>
      <c r="Y270" s="17"/>
      <c r="Z270" s="37">
        <f t="shared" ref="Z270:Z271" si="89">U270+V270</f>
        <v>0</v>
      </c>
      <c r="AA270" s="37">
        <f t="shared" ref="AA270:AA271" si="90">SUM(U270:W270)</f>
        <v>0</v>
      </c>
      <c r="AB270" s="17" t="s">
        <v>184</v>
      </c>
    </row>
    <row r="271" spans="17:28" ht="15.75" hidden="1" outlineLevel="1" x14ac:dyDescent="0.3">
      <c r="Q271" s="17"/>
      <c r="R271" s="17"/>
      <c r="S271" s="17" t="s">
        <v>172</v>
      </c>
      <c r="T271" s="17"/>
      <c r="U271" s="43"/>
      <c r="V271" s="43"/>
      <c r="W271" s="43">
        <f>'M1 Härtekammern'!T244</f>
        <v>0</v>
      </c>
      <c r="X271" s="17"/>
      <c r="Y271" s="17"/>
      <c r="Z271" s="37">
        <f t="shared" si="89"/>
        <v>0</v>
      </c>
      <c r="AA271" s="37">
        <f t="shared" si="90"/>
        <v>0</v>
      </c>
      <c r="AB271" s="17" t="s">
        <v>184</v>
      </c>
    </row>
    <row r="272" spans="17:28" hidden="1" outlineLevel="1" x14ac:dyDescent="0.2">
      <c r="Q272" s="17"/>
      <c r="R272" s="17"/>
      <c r="S272" s="17"/>
      <c r="T272" s="17"/>
      <c r="U272" s="17"/>
      <c r="V272" s="17"/>
      <c r="W272" s="17"/>
      <c r="X272" s="17"/>
      <c r="Y272" s="17"/>
      <c r="Z272" s="17"/>
      <c r="AA272" s="17"/>
      <c r="AB272" s="20"/>
    </row>
    <row r="273" spans="17:28" ht="14.25" hidden="1" outlineLevel="1" x14ac:dyDescent="0.25">
      <c r="Q273" s="17"/>
      <c r="R273" s="17"/>
      <c r="S273" s="21" t="s">
        <v>61</v>
      </c>
      <c r="T273" s="21"/>
      <c r="U273" s="75"/>
      <c r="V273" s="75"/>
      <c r="W273" s="75">
        <f>'M1 Härtekammern'!T246</f>
        <v>64.48</v>
      </c>
      <c r="X273" s="21"/>
      <c r="Y273" s="21"/>
      <c r="Z273" s="74">
        <f t="shared" ref="Z273" si="91">U273+V273</f>
        <v>0</v>
      </c>
      <c r="AA273" s="74">
        <f t="shared" ref="AA273" si="92">SUM(U273:W273)</f>
        <v>64.48</v>
      </c>
      <c r="AB273" s="21" t="s">
        <v>183</v>
      </c>
    </row>
    <row r="274" spans="17:28" hidden="1" outlineLevel="1" x14ac:dyDescent="0.2">
      <c r="Q274" s="17"/>
      <c r="R274" s="17"/>
      <c r="S274" s="17"/>
      <c r="T274" s="17"/>
      <c r="U274" s="20"/>
      <c r="V274" s="20"/>
      <c r="W274" s="20"/>
      <c r="X274" s="17"/>
      <c r="Y274" s="17"/>
      <c r="Z274" s="17"/>
      <c r="AA274" s="20"/>
      <c r="AB274" s="20"/>
    </row>
    <row r="275" spans="17:28" ht="15" hidden="1" outlineLevel="1" thickBot="1" x14ac:dyDescent="0.3">
      <c r="Q275" s="17"/>
      <c r="R275" s="17"/>
      <c r="S275" s="67" t="s">
        <v>67</v>
      </c>
      <c r="T275" s="67"/>
      <c r="U275" s="68">
        <f>SUM(U209:U273)-U223-U227-U233-U242-U249-U255-U263-U268</f>
        <v>94.932355060000006</v>
      </c>
      <c r="V275" s="68">
        <f>SUM(V209:V273)-V223-V227-V233-V242-V249-V255-V263-V268</f>
        <v>61.552554846110553</v>
      </c>
      <c r="W275" s="68">
        <f>SUM(W209:W273)-W223-W227-W233-W242-W249-W255-W263-W268</f>
        <v>5735.0339939911482</v>
      </c>
      <c r="X275" s="21"/>
      <c r="Y275" s="21"/>
      <c r="Z275" s="68">
        <f>SUM(Z209:Z273)-Z223-Z227-Z233-Z242-Z249-Z255-Z263-Z268</f>
        <v>156.48490990611054</v>
      </c>
      <c r="AA275" s="68">
        <f>SUM(AA209:AA273)-AA223-AA227-AA233-AA242-AA249-AA255-AA263-AA268</f>
        <v>5891.5189038972585</v>
      </c>
      <c r="AB275" s="68" t="s">
        <v>183</v>
      </c>
    </row>
    <row r="276" spans="17:28" ht="13.5" hidden="1" outlineLevel="1" thickTop="1" x14ac:dyDescent="0.2">
      <c r="Q276" s="17"/>
      <c r="R276" s="17"/>
      <c r="S276" s="17"/>
      <c r="T276" s="17"/>
      <c r="U276" s="20"/>
      <c r="V276" s="20"/>
      <c r="W276" s="20"/>
      <c r="X276" s="17"/>
      <c r="Y276" s="17"/>
      <c r="Z276" s="17"/>
      <c r="AA276" s="20"/>
      <c r="AB276" s="20"/>
    </row>
    <row r="277" spans="17:28" hidden="1" outlineLevel="1" x14ac:dyDescent="0.2"/>
    <row r="278" spans="17:28" hidden="1" outlineLevel="1" x14ac:dyDescent="0.2"/>
    <row r="279" spans="17:28" hidden="1" outlineLevel="1" x14ac:dyDescent="0.2"/>
    <row r="280" spans="17:28" hidden="1" outlineLevel="1" x14ac:dyDescent="0.2"/>
    <row r="281" spans="17:28" hidden="1" outlineLevel="1" x14ac:dyDescent="0.2"/>
    <row r="282" spans="17:28" hidden="1" outlineLevel="1" x14ac:dyDescent="0.2"/>
    <row r="283" spans="17:28" hidden="1" outlineLevel="1" x14ac:dyDescent="0.2"/>
    <row r="284" spans="17:28" hidden="1" outlineLevel="1" x14ac:dyDescent="0.2"/>
    <row r="285" spans="17:28" hidden="1" outlineLevel="1" x14ac:dyDescent="0.2"/>
    <row r="286" spans="17:28" hidden="1" outlineLevel="1" x14ac:dyDescent="0.2"/>
    <row r="287" spans="17:28" hidden="1" outlineLevel="1" x14ac:dyDescent="0.2"/>
    <row r="288" spans="17:28" hidden="1" outlineLevel="1" x14ac:dyDescent="0.2"/>
    <row r="289" hidden="1" outlineLevel="1" x14ac:dyDescent="0.2"/>
    <row r="290" hidden="1" outlineLevel="1" x14ac:dyDescent="0.2"/>
    <row r="291" hidden="1" outlineLevel="1" x14ac:dyDescent="0.2"/>
    <row r="292" hidden="1" outlineLevel="1" x14ac:dyDescent="0.2"/>
    <row r="293" hidden="1" outlineLevel="1" x14ac:dyDescent="0.2"/>
    <row r="294" hidden="1" outlineLevel="1" x14ac:dyDescent="0.2"/>
    <row r="295" hidden="1" outlineLevel="1" x14ac:dyDescent="0.2"/>
    <row r="296" hidden="1" outlineLevel="1" x14ac:dyDescent="0.2"/>
    <row r="297" hidden="1" outlineLevel="1" x14ac:dyDescent="0.2"/>
    <row r="298" hidden="1" outlineLevel="1" x14ac:dyDescent="0.2"/>
    <row r="299" hidden="1" outlineLevel="1" x14ac:dyDescent="0.2"/>
    <row r="300" hidden="1" outlineLevel="1" x14ac:dyDescent="0.2"/>
    <row r="301" hidden="1" outlineLevel="1" x14ac:dyDescent="0.2"/>
    <row r="302" hidden="1" outlineLevel="1" x14ac:dyDescent="0.2"/>
    <row r="303" hidden="1" outlineLevel="1" x14ac:dyDescent="0.2"/>
    <row r="304" hidden="1" outlineLevel="1" x14ac:dyDescent="0.2"/>
    <row r="305" hidden="1" outlineLevel="1" x14ac:dyDescent="0.2"/>
    <row r="306" hidden="1" outlineLevel="1" x14ac:dyDescent="0.2"/>
    <row r="307" hidden="1" outlineLevel="1" x14ac:dyDescent="0.2"/>
    <row r="308" hidden="1" outlineLevel="1" x14ac:dyDescent="0.2"/>
    <row r="309" hidden="1" outlineLevel="1" x14ac:dyDescent="0.2"/>
    <row r="310" hidden="1" outlineLevel="1" x14ac:dyDescent="0.2"/>
    <row r="311" hidden="1" outlineLevel="1" x14ac:dyDescent="0.2"/>
    <row r="312" hidden="1" outlineLevel="1" x14ac:dyDescent="0.2"/>
    <row r="313" collapsed="1" x14ac:dyDescent="0.2"/>
  </sheetData>
  <sheetProtection algorithmName="SHA-512" hashValue="Zx1u9sr/gDXzb2h/8kRHzBBpp0+IxaHo4XynZJjbMMNNQ8qAwdbAJpwy8N1n427YdbXixlVLJEATXkS4q/ntcw==" saltValue="ctl+ITac5pwjnJuMx6Te7Q==" spinCount="100000" sheet="1" selectLockedCells="1"/>
  <mergeCells count="11">
    <mergeCell ref="D44:L44"/>
    <mergeCell ref="D45:L45"/>
    <mergeCell ref="R43:R44"/>
    <mergeCell ref="AJ43:AJ44"/>
    <mergeCell ref="AA52:AA53"/>
    <mergeCell ref="D43:L43"/>
    <mergeCell ref="D6:L6"/>
    <mergeCell ref="E13:G13"/>
    <mergeCell ref="I13:K13"/>
    <mergeCell ref="M14:M15"/>
    <mergeCell ref="D42:L42"/>
  </mergeCells>
  <dataValidations count="2">
    <dataValidation allowBlank="1" showInputMessage="1" showErrorMessage="1" prompt="Hinweis: Bitte den Handeingabewert 'Anteiliger Einsatz' für 'Bilanzjahr +10 Jahre' auch anpassen. Dieser muss dem Werte Ihrer Handeingabe 'Bilanzjahr +5 Jahre' entsprechen, sollte nur eine Maßnahme in 'Bilanzjahr +5 Jahre' umgesetzt werden." sqref="G17:G21 K17:K21" xr:uid="{A0BCA239-0138-446E-A755-651498C1D8E1}"/>
    <dataValidation allowBlank="1" showInputMessage="1" showErrorMessage="1" prompt="Hinweis: Bitte den Handeingabewert 'Emissionsfaktor' für Ersatzstoff 1 und / oder Ersatzstoff 2 eintragen." sqref="G24:G26 K24:K26" xr:uid="{ECCAA6DF-BF31-4E1A-B60D-6A438B793BCE}"/>
  </dataValidations>
  <hyperlinks>
    <hyperlink ref="A1" location="Cockpit!A1" display="zurück zu Cockpit" xr:uid="{8FB31FCB-9D68-4833-98E1-25E7232554C4}"/>
  </hyperlinks>
  <printOptions horizontalCentered="1"/>
  <pageMargins left="0.39370078740157483" right="0.39370078740157483" top="0.39370078740157483" bottom="0.59055118110236227" header="0.19685039370078741" footer="0.19685039370078741"/>
  <pageSetup paperSize="9" scale="40" fitToWidth="4" orientation="portrait" verticalDpi="601" r:id="rId1"/>
  <colBreaks count="3" manualBreakCount="3">
    <brk id="15" max="1048575" man="1"/>
    <brk id="24" max="1048575" man="1"/>
    <brk id="33" max="74" man="1"/>
  </colBreaks>
  <drawing r:id="rId2"/>
  <legacyDrawing r:id="rId3"/>
  <mc:AlternateContent xmlns:mc="http://schemas.openxmlformats.org/markup-compatibility/2006">
    <mc:Choice Requires="x14">
      <controls>
        <mc:AlternateContent xmlns:mc="http://schemas.openxmlformats.org/markup-compatibility/2006">
          <mc:Choice Requires="x14">
            <control shapeId="139265" r:id="rId4" name="Check Box 1">
              <controlPr defaultSize="0" autoFill="0" autoLine="0" autoPict="0">
                <anchor moveWithCells="1">
                  <from>
                    <xdr:col>26</xdr:col>
                    <xdr:colOff>523875</xdr:colOff>
                    <xdr:row>53</xdr:row>
                    <xdr:rowOff>28575</xdr:rowOff>
                  </from>
                  <to>
                    <xdr:col>26</xdr:col>
                    <xdr:colOff>704850</xdr:colOff>
                    <xdr:row>53</xdr:row>
                    <xdr:rowOff>190500</xdr:rowOff>
                  </to>
                </anchor>
              </controlPr>
            </control>
          </mc:Choice>
        </mc:AlternateContent>
        <mc:AlternateContent xmlns:mc="http://schemas.openxmlformats.org/markup-compatibility/2006">
          <mc:Choice Requires="x14">
            <control shapeId="139266" r:id="rId5" name="Check Box 2">
              <controlPr defaultSize="0" autoFill="0" autoLine="0" autoPict="0">
                <anchor moveWithCells="1">
                  <from>
                    <xdr:col>26</xdr:col>
                    <xdr:colOff>523875</xdr:colOff>
                    <xdr:row>54</xdr:row>
                    <xdr:rowOff>28575</xdr:rowOff>
                  </from>
                  <to>
                    <xdr:col>26</xdr:col>
                    <xdr:colOff>704850</xdr:colOff>
                    <xdr:row>54</xdr:row>
                    <xdr:rowOff>190500</xdr:rowOff>
                  </to>
                </anchor>
              </controlPr>
            </control>
          </mc:Choice>
        </mc:AlternateContent>
        <mc:AlternateContent xmlns:mc="http://schemas.openxmlformats.org/markup-compatibility/2006">
          <mc:Choice Requires="x14">
            <control shapeId="139267" r:id="rId6" name="Check Box 3">
              <controlPr defaultSize="0" autoFill="0" autoLine="0" autoPict="0">
                <anchor moveWithCells="1">
                  <from>
                    <xdr:col>26</xdr:col>
                    <xdr:colOff>523875</xdr:colOff>
                    <xdr:row>55</xdr:row>
                    <xdr:rowOff>28575</xdr:rowOff>
                  </from>
                  <to>
                    <xdr:col>26</xdr:col>
                    <xdr:colOff>704850</xdr:colOff>
                    <xdr:row>55</xdr:row>
                    <xdr:rowOff>180975</xdr:rowOff>
                  </to>
                </anchor>
              </controlPr>
            </control>
          </mc:Choice>
        </mc:AlternateContent>
        <mc:AlternateContent xmlns:mc="http://schemas.openxmlformats.org/markup-compatibility/2006">
          <mc:Choice Requires="x14">
            <control shapeId="139268" r:id="rId7" name="Check Box 4">
              <controlPr defaultSize="0" autoFill="0" autoLine="0" autoPict="0">
                <anchor moveWithCells="1">
                  <from>
                    <xdr:col>26</xdr:col>
                    <xdr:colOff>523875</xdr:colOff>
                    <xdr:row>56</xdr:row>
                    <xdr:rowOff>19050</xdr:rowOff>
                  </from>
                  <to>
                    <xdr:col>26</xdr:col>
                    <xdr:colOff>704850</xdr:colOff>
                    <xdr:row>56</xdr:row>
                    <xdr:rowOff>190500</xdr:rowOff>
                  </to>
                </anchor>
              </controlPr>
            </control>
          </mc:Choice>
        </mc:AlternateContent>
        <mc:AlternateContent xmlns:mc="http://schemas.openxmlformats.org/markup-compatibility/2006">
          <mc:Choice Requires="x14">
            <control shapeId="139269" r:id="rId8" name="Check Box 5">
              <controlPr defaultSize="0" autoFill="0" autoLine="0" autoPict="0">
                <anchor moveWithCells="1">
                  <from>
                    <xdr:col>26</xdr:col>
                    <xdr:colOff>523875</xdr:colOff>
                    <xdr:row>57</xdr:row>
                    <xdr:rowOff>19050</xdr:rowOff>
                  </from>
                  <to>
                    <xdr:col>26</xdr:col>
                    <xdr:colOff>704850</xdr:colOff>
                    <xdr:row>57</xdr:row>
                    <xdr:rowOff>180975</xdr:rowOff>
                  </to>
                </anchor>
              </controlPr>
            </control>
          </mc:Choice>
        </mc:AlternateContent>
        <mc:AlternateContent xmlns:mc="http://schemas.openxmlformats.org/markup-compatibility/2006">
          <mc:Choice Requires="x14">
            <control shapeId="139270" r:id="rId9" name="Check Box 6">
              <controlPr defaultSize="0" autoFill="0" autoLine="0" autoPict="0">
                <anchor moveWithCells="1">
                  <from>
                    <xdr:col>26</xdr:col>
                    <xdr:colOff>523875</xdr:colOff>
                    <xdr:row>58</xdr:row>
                    <xdr:rowOff>0</xdr:rowOff>
                  </from>
                  <to>
                    <xdr:col>26</xdr:col>
                    <xdr:colOff>704850</xdr:colOff>
                    <xdr:row>58</xdr:row>
                    <xdr:rowOff>180975</xdr:rowOff>
                  </to>
                </anchor>
              </controlPr>
            </control>
          </mc:Choice>
        </mc:AlternateContent>
        <mc:AlternateContent xmlns:mc="http://schemas.openxmlformats.org/markup-compatibility/2006">
          <mc:Choice Requires="x14">
            <control shapeId="139271" r:id="rId10" name="Check Box 7">
              <controlPr defaultSize="0" autoFill="0" autoLine="0" autoPict="0">
                <anchor moveWithCells="1">
                  <from>
                    <xdr:col>26</xdr:col>
                    <xdr:colOff>523875</xdr:colOff>
                    <xdr:row>59</xdr:row>
                    <xdr:rowOff>9525</xdr:rowOff>
                  </from>
                  <to>
                    <xdr:col>26</xdr:col>
                    <xdr:colOff>704850</xdr:colOff>
                    <xdr:row>59</xdr:row>
                    <xdr:rowOff>190500</xdr:rowOff>
                  </to>
                </anchor>
              </controlPr>
            </control>
          </mc:Choice>
        </mc:AlternateContent>
        <mc:AlternateContent xmlns:mc="http://schemas.openxmlformats.org/markup-compatibility/2006">
          <mc:Choice Requires="x14">
            <control shapeId="139272" r:id="rId11" name="Check Box 8">
              <controlPr defaultSize="0" autoFill="0" autoLine="0" autoPict="0">
                <anchor moveWithCells="1">
                  <from>
                    <xdr:col>35</xdr:col>
                    <xdr:colOff>457200</xdr:colOff>
                    <xdr:row>55</xdr:row>
                    <xdr:rowOff>0</xdr:rowOff>
                  </from>
                  <to>
                    <xdr:col>35</xdr:col>
                    <xdr:colOff>676275</xdr:colOff>
                    <xdr:row>55</xdr:row>
                    <xdr:rowOff>180975</xdr:rowOff>
                  </to>
                </anchor>
              </controlPr>
            </control>
          </mc:Choice>
        </mc:AlternateContent>
        <mc:AlternateContent xmlns:mc="http://schemas.openxmlformats.org/markup-compatibility/2006">
          <mc:Choice Requires="x14">
            <control shapeId="139273" r:id="rId12" name="Check Box 9">
              <controlPr defaultSize="0" autoFill="0" autoLine="0" autoPict="0">
                <anchor moveWithCells="1">
                  <from>
                    <xdr:col>35</xdr:col>
                    <xdr:colOff>571500</xdr:colOff>
                    <xdr:row>56</xdr:row>
                    <xdr:rowOff>19050</xdr:rowOff>
                  </from>
                  <to>
                    <xdr:col>36</xdr:col>
                    <xdr:colOff>0</xdr:colOff>
                    <xdr:row>57</xdr:row>
                    <xdr:rowOff>0</xdr:rowOff>
                  </to>
                </anchor>
              </controlPr>
            </control>
          </mc:Choice>
        </mc:AlternateContent>
        <mc:AlternateContent xmlns:mc="http://schemas.openxmlformats.org/markup-compatibility/2006">
          <mc:Choice Requires="x14">
            <control shapeId="139274" r:id="rId13" name="Check Box 10">
              <controlPr defaultSize="0" autoFill="0" autoLine="0" autoPict="0">
                <anchor moveWithCells="1">
                  <from>
                    <xdr:col>35</xdr:col>
                    <xdr:colOff>571500</xdr:colOff>
                    <xdr:row>57</xdr:row>
                    <xdr:rowOff>19050</xdr:rowOff>
                  </from>
                  <to>
                    <xdr:col>36</xdr:col>
                    <xdr:colOff>0</xdr:colOff>
                    <xdr:row>57</xdr:row>
                    <xdr:rowOff>200025</xdr:rowOff>
                  </to>
                </anchor>
              </controlPr>
            </control>
          </mc:Choice>
        </mc:AlternateContent>
        <mc:AlternateContent xmlns:mc="http://schemas.openxmlformats.org/markup-compatibility/2006">
          <mc:Choice Requires="x14">
            <control shapeId="139275" r:id="rId14" name="Check Box 11">
              <controlPr defaultSize="0" autoFill="0" autoLine="0" autoPict="0">
                <anchor moveWithCells="1">
                  <from>
                    <xdr:col>35</xdr:col>
                    <xdr:colOff>571500</xdr:colOff>
                    <xdr:row>58</xdr:row>
                    <xdr:rowOff>9525</xdr:rowOff>
                  </from>
                  <to>
                    <xdr:col>36</xdr:col>
                    <xdr:colOff>0</xdr:colOff>
                    <xdr:row>58</xdr:row>
                    <xdr:rowOff>190500</xdr:rowOff>
                  </to>
                </anchor>
              </controlPr>
            </control>
          </mc:Choice>
        </mc:AlternateContent>
        <mc:AlternateContent xmlns:mc="http://schemas.openxmlformats.org/markup-compatibility/2006">
          <mc:Choice Requires="x14">
            <control shapeId="139276" r:id="rId15" name="Check Box 12">
              <controlPr defaultSize="0" autoFill="0" autoLine="0" autoPict="0">
                <anchor moveWithCells="1">
                  <from>
                    <xdr:col>35</xdr:col>
                    <xdr:colOff>457200</xdr:colOff>
                    <xdr:row>53</xdr:row>
                    <xdr:rowOff>9525</xdr:rowOff>
                  </from>
                  <to>
                    <xdr:col>35</xdr:col>
                    <xdr:colOff>676275</xdr:colOff>
                    <xdr:row>54</xdr:row>
                    <xdr:rowOff>9525</xdr:rowOff>
                  </to>
                </anchor>
              </controlPr>
            </control>
          </mc:Choice>
        </mc:AlternateContent>
        <mc:AlternateContent xmlns:mc="http://schemas.openxmlformats.org/markup-compatibility/2006">
          <mc:Choice Requires="x14">
            <control shapeId="139277" r:id="rId16" name="Check Box 13">
              <controlPr defaultSize="0" autoFill="0" autoLine="0" autoPict="0">
                <anchor moveWithCells="1">
                  <from>
                    <xdr:col>35</xdr:col>
                    <xdr:colOff>457200</xdr:colOff>
                    <xdr:row>52</xdr:row>
                    <xdr:rowOff>0</xdr:rowOff>
                  </from>
                  <to>
                    <xdr:col>35</xdr:col>
                    <xdr:colOff>676275</xdr:colOff>
                    <xdr:row>52</xdr:row>
                    <xdr:rowOff>180975</xdr:rowOff>
                  </to>
                </anchor>
              </controlPr>
            </control>
          </mc:Choice>
        </mc:AlternateContent>
        <mc:AlternateContent xmlns:mc="http://schemas.openxmlformats.org/markup-compatibility/2006">
          <mc:Choice Requires="x14">
            <control shapeId="139278" r:id="rId17" name="Check Box 14">
              <controlPr defaultSize="0" autoFill="0" autoLine="0" autoPict="0">
                <anchor moveWithCells="1">
                  <from>
                    <xdr:col>35</xdr:col>
                    <xdr:colOff>457200</xdr:colOff>
                    <xdr:row>54</xdr:row>
                    <xdr:rowOff>9525</xdr:rowOff>
                  </from>
                  <to>
                    <xdr:col>35</xdr:col>
                    <xdr:colOff>676275</xdr:colOff>
                    <xdr:row>55</xdr:row>
                    <xdr:rowOff>0</xdr:rowOff>
                  </to>
                </anchor>
              </controlPr>
            </control>
          </mc:Choice>
        </mc:AlternateContent>
        <mc:AlternateContent xmlns:mc="http://schemas.openxmlformats.org/markup-compatibility/2006">
          <mc:Choice Requires="x14">
            <control shapeId="139279" r:id="rId18" name="Check Box 15">
              <controlPr defaultSize="0" autoFill="0" autoLine="0" autoPict="0">
                <anchor moveWithCells="1">
                  <from>
                    <xdr:col>17</xdr:col>
                    <xdr:colOff>514350</xdr:colOff>
                    <xdr:row>43</xdr:row>
                    <xdr:rowOff>152400</xdr:rowOff>
                  </from>
                  <to>
                    <xdr:col>17</xdr:col>
                    <xdr:colOff>723900</xdr:colOff>
                    <xdr:row>45</xdr:row>
                    <xdr:rowOff>9525</xdr:rowOff>
                  </to>
                </anchor>
              </controlPr>
            </control>
          </mc:Choice>
        </mc:AlternateContent>
        <mc:AlternateContent xmlns:mc="http://schemas.openxmlformats.org/markup-compatibility/2006">
          <mc:Choice Requires="x14">
            <control shapeId="139280" r:id="rId19" name="Check Box 16">
              <controlPr defaultSize="0" autoFill="0" autoLine="0" autoPict="0">
                <anchor moveWithCells="1">
                  <from>
                    <xdr:col>17</xdr:col>
                    <xdr:colOff>514350</xdr:colOff>
                    <xdr:row>44</xdr:row>
                    <xdr:rowOff>190500</xdr:rowOff>
                  </from>
                  <to>
                    <xdr:col>17</xdr:col>
                    <xdr:colOff>723900</xdr:colOff>
                    <xdr:row>46</xdr:row>
                    <xdr:rowOff>9525</xdr:rowOff>
                  </to>
                </anchor>
              </controlPr>
            </control>
          </mc:Choice>
        </mc:AlternateContent>
        <mc:AlternateContent xmlns:mc="http://schemas.openxmlformats.org/markup-compatibility/2006">
          <mc:Choice Requires="x14">
            <control shapeId="139281" r:id="rId20" name="Check Box 17">
              <controlPr defaultSize="0" autoFill="0" autoLine="0" autoPict="0">
                <anchor moveWithCells="1">
                  <from>
                    <xdr:col>17</xdr:col>
                    <xdr:colOff>514350</xdr:colOff>
                    <xdr:row>45</xdr:row>
                    <xdr:rowOff>190500</xdr:rowOff>
                  </from>
                  <to>
                    <xdr:col>17</xdr:col>
                    <xdr:colOff>723900</xdr:colOff>
                    <xdr:row>47</xdr:row>
                    <xdr:rowOff>9525</xdr:rowOff>
                  </to>
                </anchor>
              </controlPr>
            </control>
          </mc:Choice>
        </mc:AlternateContent>
        <mc:AlternateContent xmlns:mc="http://schemas.openxmlformats.org/markup-compatibility/2006">
          <mc:Choice Requires="x14">
            <control shapeId="139282" r:id="rId21" name="Check Box 18">
              <controlPr defaultSize="0" autoFill="0" autoLine="0" autoPict="0">
                <anchor moveWithCells="1">
                  <from>
                    <xdr:col>17</xdr:col>
                    <xdr:colOff>514350</xdr:colOff>
                    <xdr:row>46</xdr:row>
                    <xdr:rowOff>190500</xdr:rowOff>
                  </from>
                  <to>
                    <xdr:col>17</xdr:col>
                    <xdr:colOff>723900</xdr:colOff>
                    <xdr:row>48</xdr:row>
                    <xdr:rowOff>0</xdr:rowOff>
                  </to>
                </anchor>
              </controlPr>
            </control>
          </mc:Choice>
        </mc:AlternateContent>
        <mc:AlternateContent xmlns:mc="http://schemas.openxmlformats.org/markup-compatibility/2006">
          <mc:Choice Requires="x14">
            <control shapeId="139283" r:id="rId22" name="Check Box 19">
              <controlPr defaultSize="0" autoFill="0" autoLine="0" autoPict="0">
                <anchor moveWithCells="1">
                  <from>
                    <xdr:col>17</xdr:col>
                    <xdr:colOff>514350</xdr:colOff>
                    <xdr:row>47</xdr:row>
                    <xdr:rowOff>190500</xdr:rowOff>
                  </from>
                  <to>
                    <xdr:col>17</xdr:col>
                    <xdr:colOff>723900</xdr:colOff>
                    <xdr:row>48</xdr:row>
                    <xdr:rowOff>200025</xdr:rowOff>
                  </to>
                </anchor>
              </controlPr>
            </control>
          </mc:Choice>
        </mc:AlternateContent>
        <mc:AlternateContent xmlns:mc="http://schemas.openxmlformats.org/markup-compatibility/2006">
          <mc:Choice Requires="x14">
            <control shapeId="139284" r:id="rId23" name="Check Box 20">
              <controlPr defaultSize="0" autoFill="0" autoLine="0" autoPict="0">
                <anchor moveWithCells="1">
                  <from>
                    <xdr:col>17</xdr:col>
                    <xdr:colOff>514350</xdr:colOff>
                    <xdr:row>48</xdr:row>
                    <xdr:rowOff>180975</xdr:rowOff>
                  </from>
                  <to>
                    <xdr:col>17</xdr:col>
                    <xdr:colOff>723900</xdr:colOff>
                    <xdr:row>49</xdr:row>
                    <xdr:rowOff>190500</xdr:rowOff>
                  </to>
                </anchor>
              </controlPr>
            </control>
          </mc:Choice>
        </mc:AlternateContent>
        <mc:AlternateContent xmlns:mc="http://schemas.openxmlformats.org/markup-compatibility/2006">
          <mc:Choice Requires="x14">
            <control shapeId="139285" r:id="rId24" name="Check Box 21">
              <controlPr defaultSize="0" autoFill="0" autoLine="0" autoPict="0">
                <anchor moveWithCells="1">
                  <from>
                    <xdr:col>17</xdr:col>
                    <xdr:colOff>514350</xdr:colOff>
                    <xdr:row>49</xdr:row>
                    <xdr:rowOff>171450</xdr:rowOff>
                  </from>
                  <to>
                    <xdr:col>17</xdr:col>
                    <xdr:colOff>723900</xdr:colOff>
                    <xdr:row>51</xdr:row>
                    <xdr:rowOff>0</xdr:rowOff>
                  </to>
                </anchor>
              </controlPr>
            </control>
          </mc:Choice>
        </mc:AlternateContent>
        <mc:AlternateContent xmlns:mc="http://schemas.openxmlformats.org/markup-compatibility/2006">
          <mc:Choice Requires="x14">
            <control shapeId="139286" r:id="rId25" name="Check Box 22">
              <controlPr defaultSize="0" autoFill="0" autoLine="0" autoPict="0">
                <anchor moveWithCells="1">
                  <from>
                    <xdr:col>17</xdr:col>
                    <xdr:colOff>514350</xdr:colOff>
                    <xdr:row>51</xdr:row>
                    <xdr:rowOff>190500</xdr:rowOff>
                  </from>
                  <to>
                    <xdr:col>17</xdr:col>
                    <xdr:colOff>723900</xdr:colOff>
                    <xdr:row>53</xdr:row>
                    <xdr:rowOff>0</xdr:rowOff>
                  </to>
                </anchor>
              </controlPr>
            </control>
          </mc:Choice>
        </mc:AlternateContent>
        <mc:AlternateContent xmlns:mc="http://schemas.openxmlformats.org/markup-compatibility/2006">
          <mc:Choice Requires="x14">
            <control shapeId="139287" r:id="rId26" name="Check Box 23">
              <controlPr defaultSize="0" autoFill="0" autoLine="0" autoPict="0">
                <anchor moveWithCells="1">
                  <from>
                    <xdr:col>17</xdr:col>
                    <xdr:colOff>514350</xdr:colOff>
                    <xdr:row>52</xdr:row>
                    <xdr:rowOff>180975</xdr:rowOff>
                  </from>
                  <to>
                    <xdr:col>17</xdr:col>
                    <xdr:colOff>723900</xdr:colOff>
                    <xdr:row>54</xdr:row>
                    <xdr:rowOff>0</xdr:rowOff>
                  </to>
                </anchor>
              </controlPr>
            </control>
          </mc:Choice>
        </mc:AlternateContent>
        <mc:AlternateContent xmlns:mc="http://schemas.openxmlformats.org/markup-compatibility/2006">
          <mc:Choice Requires="x14">
            <control shapeId="139288" r:id="rId27" name="Check Box 24">
              <controlPr defaultSize="0" autoFill="0" autoLine="0" autoPict="0">
                <anchor moveWithCells="1">
                  <from>
                    <xdr:col>17</xdr:col>
                    <xdr:colOff>514350</xdr:colOff>
                    <xdr:row>53</xdr:row>
                    <xdr:rowOff>180975</xdr:rowOff>
                  </from>
                  <to>
                    <xdr:col>17</xdr:col>
                    <xdr:colOff>723900</xdr:colOff>
                    <xdr:row>55</xdr:row>
                    <xdr:rowOff>0</xdr:rowOff>
                  </to>
                </anchor>
              </controlPr>
            </control>
          </mc:Choice>
        </mc:AlternateContent>
        <mc:AlternateContent xmlns:mc="http://schemas.openxmlformats.org/markup-compatibility/2006">
          <mc:Choice Requires="x14">
            <control shapeId="139289" r:id="rId28" name="Check Box 25">
              <controlPr defaultSize="0" autoFill="0" autoLine="0" autoPict="0">
                <anchor moveWithCells="1">
                  <from>
                    <xdr:col>17</xdr:col>
                    <xdr:colOff>514350</xdr:colOff>
                    <xdr:row>54</xdr:row>
                    <xdr:rowOff>180975</xdr:rowOff>
                  </from>
                  <to>
                    <xdr:col>17</xdr:col>
                    <xdr:colOff>723900</xdr:colOff>
                    <xdr:row>56</xdr:row>
                    <xdr:rowOff>9525</xdr:rowOff>
                  </to>
                </anchor>
              </controlPr>
            </control>
          </mc:Choice>
        </mc:AlternateContent>
        <mc:AlternateContent xmlns:mc="http://schemas.openxmlformats.org/markup-compatibility/2006">
          <mc:Choice Requires="x14">
            <control shapeId="139290" r:id="rId29" name="Check Box 26">
              <controlPr defaultSize="0" autoFill="0" autoLine="0" autoPict="0">
                <anchor moveWithCells="1">
                  <from>
                    <xdr:col>17</xdr:col>
                    <xdr:colOff>514350</xdr:colOff>
                    <xdr:row>50</xdr:row>
                    <xdr:rowOff>180975</xdr:rowOff>
                  </from>
                  <to>
                    <xdr:col>17</xdr:col>
                    <xdr:colOff>723900</xdr:colOff>
                    <xdr:row>52</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C88AF-6F83-4996-87B7-91B5384EB92D}">
  <sheetPr>
    <pageSetUpPr fitToPage="1"/>
  </sheetPr>
  <dimension ref="A1:S51"/>
  <sheetViews>
    <sheetView workbookViewId="0"/>
  </sheetViews>
  <sheetFormatPr baseColWidth="10" defaultColWidth="10.625" defaultRowHeight="12.75" x14ac:dyDescent="0.2"/>
  <cols>
    <col min="1" max="1" width="2.875" style="304" customWidth="1"/>
    <col min="2" max="2" width="3.375" style="304" customWidth="1"/>
    <col min="3" max="3" width="25.375" style="304" customWidth="1"/>
    <col min="4" max="4" width="2" style="304" customWidth="1"/>
    <col min="5" max="5" width="105.625" style="304" customWidth="1"/>
    <col min="6" max="6" width="255.625" style="304" bestFit="1" customWidth="1"/>
    <col min="7" max="7" width="3.625" style="304" customWidth="1"/>
    <col min="8" max="18" width="10.625" style="304"/>
    <col min="19" max="19" width="44.625" style="304" customWidth="1"/>
    <col min="20" max="16384" width="10.625" style="304"/>
  </cols>
  <sheetData>
    <row r="1" spans="1:19" x14ac:dyDescent="0.2">
      <c r="A1" s="418" t="s">
        <v>467</v>
      </c>
    </row>
    <row r="2" spans="1:19" s="296" customFormat="1" ht="23.25" x14ac:dyDescent="0.35">
      <c r="C2" s="166"/>
      <c r="D2" s="297"/>
      <c r="E2" s="297"/>
      <c r="F2" s="297"/>
      <c r="G2" s="297"/>
    </row>
    <row r="3" spans="1:19" s="296" customFormat="1" x14ac:dyDescent="0.2">
      <c r="B3" s="298"/>
      <c r="C3" s="299"/>
      <c r="D3" s="299"/>
      <c r="E3" s="299"/>
      <c r="F3" s="299"/>
      <c r="G3" s="299"/>
    </row>
    <row r="4" spans="1:19" s="296" customFormat="1" ht="18.75" x14ac:dyDescent="0.2">
      <c r="B4" s="298"/>
      <c r="C4" s="300" t="s">
        <v>127</v>
      </c>
      <c r="D4" s="300"/>
      <c r="E4" s="301"/>
      <c r="F4" s="301"/>
      <c r="G4" s="299"/>
    </row>
    <row r="5" spans="1:19" x14ac:dyDescent="0.2">
      <c r="B5" s="302"/>
      <c r="C5" s="301"/>
      <c r="D5" s="301"/>
      <c r="E5" s="301"/>
      <c r="F5" s="301"/>
      <c r="G5" s="303"/>
    </row>
    <row r="6" spans="1:19" s="308" customFormat="1" ht="15" x14ac:dyDescent="0.2">
      <c r="B6" s="305"/>
      <c r="C6" s="306" t="s">
        <v>128</v>
      </c>
      <c r="D6" s="306"/>
      <c r="E6" s="306" t="s">
        <v>129</v>
      </c>
      <c r="F6" s="306" t="s">
        <v>303</v>
      </c>
      <c r="G6" s="307"/>
    </row>
    <row r="7" spans="1:19" x14ac:dyDescent="0.2">
      <c r="B7" s="302"/>
      <c r="C7" s="303"/>
      <c r="D7" s="303"/>
      <c r="E7" s="303"/>
      <c r="F7" s="303"/>
      <c r="G7" s="303"/>
    </row>
    <row r="8" spans="1:19" x14ac:dyDescent="0.2">
      <c r="B8" s="302"/>
      <c r="C8" s="309"/>
      <c r="D8" s="309"/>
      <c r="E8" s="309"/>
      <c r="F8" s="309"/>
      <c r="G8" s="303"/>
    </row>
    <row r="9" spans="1:19" s="313" customFormat="1" ht="25.5" x14ac:dyDescent="0.2">
      <c r="B9" s="310"/>
      <c r="C9" s="310" t="s">
        <v>372</v>
      </c>
      <c r="D9" s="310"/>
      <c r="E9" s="311" t="s">
        <v>373</v>
      </c>
      <c r="F9" s="312" t="s">
        <v>351</v>
      </c>
      <c r="G9" s="310"/>
    </row>
    <row r="10" spans="1:19" s="316" customFormat="1" ht="25.5" x14ac:dyDescent="0.2">
      <c r="B10" s="314"/>
      <c r="C10" s="311" t="s">
        <v>367</v>
      </c>
      <c r="D10" s="310"/>
      <c r="E10" s="311" t="s">
        <v>374</v>
      </c>
      <c r="F10" s="315" t="s">
        <v>341</v>
      </c>
      <c r="G10" s="314"/>
      <c r="S10" s="317"/>
    </row>
    <row r="11" spans="1:19" s="313" customFormat="1" x14ac:dyDescent="0.2">
      <c r="B11" s="310"/>
      <c r="C11" s="311" t="s">
        <v>366</v>
      </c>
      <c r="D11" s="310"/>
      <c r="E11" s="311" t="s">
        <v>375</v>
      </c>
      <c r="F11" s="315" t="s">
        <v>341</v>
      </c>
      <c r="G11" s="310"/>
    </row>
    <row r="12" spans="1:19" x14ac:dyDescent="0.2">
      <c r="B12" s="302"/>
      <c r="C12" s="302" t="s">
        <v>328</v>
      </c>
      <c r="D12" s="302"/>
      <c r="E12" s="318" t="s">
        <v>331</v>
      </c>
      <c r="F12" s="312"/>
      <c r="G12" s="302"/>
    </row>
    <row r="13" spans="1:19" x14ac:dyDescent="0.2">
      <c r="B13" s="302"/>
      <c r="C13" s="302" t="s">
        <v>264</v>
      </c>
      <c r="D13" s="302"/>
      <c r="E13" s="318" t="s">
        <v>308</v>
      </c>
      <c r="F13" s="312"/>
      <c r="G13" s="302"/>
    </row>
    <row r="14" spans="1:19" s="313" customFormat="1" x14ac:dyDescent="0.2">
      <c r="B14" s="310"/>
      <c r="C14" s="310" t="s">
        <v>356</v>
      </c>
      <c r="D14" s="310"/>
      <c r="E14" s="311" t="s">
        <v>376</v>
      </c>
      <c r="F14" s="312" t="s">
        <v>332</v>
      </c>
      <c r="G14" s="310"/>
    </row>
    <row r="15" spans="1:19" s="313" customFormat="1" ht="25.5" x14ac:dyDescent="0.2">
      <c r="B15" s="310"/>
      <c r="C15" s="310" t="s">
        <v>357</v>
      </c>
      <c r="D15" s="310"/>
      <c r="E15" s="311" t="s">
        <v>377</v>
      </c>
      <c r="F15" s="312" t="s">
        <v>332</v>
      </c>
      <c r="G15" s="310"/>
    </row>
    <row r="16" spans="1:19" s="313" customFormat="1" x14ac:dyDescent="0.2">
      <c r="B16" s="310"/>
      <c r="C16" s="310" t="s">
        <v>358</v>
      </c>
      <c r="D16" s="310"/>
      <c r="E16" s="311" t="s">
        <v>378</v>
      </c>
      <c r="F16" s="312" t="s">
        <v>332</v>
      </c>
      <c r="G16" s="310"/>
    </row>
    <row r="17" spans="2:19" s="313" customFormat="1" x14ac:dyDescent="0.2">
      <c r="B17" s="310"/>
      <c r="C17" s="310" t="s">
        <v>359</v>
      </c>
      <c r="D17" s="310"/>
      <c r="E17" s="311" t="s">
        <v>379</v>
      </c>
      <c r="F17" s="312" t="s">
        <v>332</v>
      </c>
      <c r="G17" s="310"/>
    </row>
    <row r="18" spans="2:19" s="313" customFormat="1" x14ac:dyDescent="0.2">
      <c r="B18" s="310"/>
      <c r="C18" s="310" t="s">
        <v>360</v>
      </c>
      <c r="D18" s="310"/>
      <c r="E18" s="311" t="s">
        <v>380</v>
      </c>
      <c r="F18" s="312" t="s">
        <v>332</v>
      </c>
      <c r="G18" s="310"/>
    </row>
    <row r="19" spans="2:19" s="313" customFormat="1" ht="25.5" x14ac:dyDescent="0.2">
      <c r="B19" s="310"/>
      <c r="C19" s="310" t="s">
        <v>352</v>
      </c>
      <c r="D19" s="310"/>
      <c r="E19" s="311" t="s">
        <v>381</v>
      </c>
      <c r="F19" s="312" t="s">
        <v>382</v>
      </c>
      <c r="G19" s="310"/>
    </row>
    <row r="20" spans="2:19" s="313" customFormat="1" x14ac:dyDescent="0.2">
      <c r="B20" s="310"/>
      <c r="C20" s="310" t="s">
        <v>407</v>
      </c>
      <c r="D20" s="310"/>
      <c r="E20" s="311" t="s">
        <v>406</v>
      </c>
      <c r="F20" s="312"/>
      <c r="G20" s="310"/>
    </row>
    <row r="21" spans="2:19" s="313" customFormat="1" x14ac:dyDescent="0.2">
      <c r="B21" s="310"/>
      <c r="C21" s="310" t="s">
        <v>420</v>
      </c>
      <c r="D21" s="319"/>
      <c r="E21" s="319" t="s">
        <v>421</v>
      </c>
      <c r="F21" s="320" t="s">
        <v>422</v>
      </c>
      <c r="G21" s="310"/>
    </row>
    <row r="22" spans="2:19" s="313" customFormat="1" x14ac:dyDescent="0.2">
      <c r="B22" s="310"/>
      <c r="C22" s="310" t="s">
        <v>423</v>
      </c>
      <c r="D22" s="319"/>
      <c r="E22" s="319" t="s">
        <v>383</v>
      </c>
      <c r="F22" s="320" t="s">
        <v>343</v>
      </c>
      <c r="G22" s="310"/>
    </row>
    <row r="23" spans="2:19" s="322" customFormat="1" ht="14.25" x14ac:dyDescent="0.2">
      <c r="B23" s="311"/>
      <c r="C23" s="310" t="s">
        <v>384</v>
      </c>
      <c r="D23" s="319"/>
      <c r="E23" s="319" t="s">
        <v>349</v>
      </c>
      <c r="F23" s="321" t="s">
        <v>345</v>
      </c>
      <c r="G23" s="311"/>
    </row>
    <row r="24" spans="2:19" s="313" customFormat="1" x14ac:dyDescent="0.2">
      <c r="B24" s="310"/>
      <c r="C24" s="310" t="s">
        <v>384</v>
      </c>
      <c r="D24" s="319"/>
      <c r="E24" s="319" t="s">
        <v>402</v>
      </c>
      <c r="F24" s="315" t="s">
        <v>346</v>
      </c>
      <c r="G24" s="310"/>
    </row>
    <row r="25" spans="2:19" s="313" customFormat="1" ht="14.25" x14ac:dyDescent="0.2">
      <c r="B25" s="310"/>
      <c r="C25" s="310" t="s">
        <v>384</v>
      </c>
      <c r="D25" s="319"/>
      <c r="E25" s="319" t="s">
        <v>403</v>
      </c>
      <c r="F25" s="321" t="s">
        <v>347</v>
      </c>
      <c r="G25" s="320"/>
    </row>
    <row r="26" spans="2:19" s="316" customFormat="1" x14ac:dyDescent="0.2">
      <c r="B26" s="314"/>
      <c r="C26" s="310" t="s">
        <v>384</v>
      </c>
      <c r="D26" s="319"/>
      <c r="E26" s="319" t="s">
        <v>404</v>
      </c>
      <c r="F26" s="315" t="s">
        <v>348</v>
      </c>
      <c r="G26" s="323"/>
    </row>
    <row r="27" spans="2:19" x14ac:dyDescent="0.2">
      <c r="B27" s="302"/>
      <c r="C27" s="310" t="s">
        <v>385</v>
      </c>
      <c r="D27" s="311"/>
      <c r="E27" s="319" t="s">
        <v>339</v>
      </c>
      <c r="F27" s="324" t="s">
        <v>340</v>
      </c>
      <c r="G27" s="302"/>
    </row>
    <row r="28" spans="2:19" s="316" customFormat="1" x14ac:dyDescent="0.2">
      <c r="B28" s="314"/>
      <c r="C28" s="310" t="s">
        <v>386</v>
      </c>
      <c r="D28" s="310"/>
      <c r="E28" s="311" t="s">
        <v>337</v>
      </c>
      <c r="F28" s="320" t="s">
        <v>338</v>
      </c>
      <c r="G28" s="302"/>
    </row>
    <row r="29" spans="2:19" s="316" customFormat="1" x14ac:dyDescent="0.2">
      <c r="B29" s="314"/>
      <c r="C29" s="310" t="s">
        <v>365</v>
      </c>
      <c r="D29" s="310"/>
      <c r="E29" s="311" t="s">
        <v>56</v>
      </c>
      <c r="F29" s="320" t="s">
        <v>342</v>
      </c>
      <c r="G29" s="314"/>
    </row>
    <row r="30" spans="2:19" s="313" customFormat="1" ht="89.25" x14ac:dyDescent="0.2">
      <c r="B30" s="310"/>
      <c r="C30" s="310" t="s">
        <v>368</v>
      </c>
      <c r="D30" s="310"/>
      <c r="E30" s="311" t="s">
        <v>387</v>
      </c>
      <c r="F30" s="320"/>
      <c r="G30" s="310"/>
    </row>
    <row r="31" spans="2:19" s="313" customFormat="1" ht="38.25" x14ac:dyDescent="0.2">
      <c r="B31" s="310"/>
      <c r="C31" s="310" t="s">
        <v>361</v>
      </c>
      <c r="D31" s="310"/>
      <c r="E31" s="311" t="s">
        <v>388</v>
      </c>
      <c r="F31" s="320" t="s">
        <v>333</v>
      </c>
      <c r="G31" s="310"/>
      <c r="S31" s="325"/>
    </row>
    <row r="32" spans="2:19" s="313" customFormat="1" x14ac:dyDescent="0.2">
      <c r="B32" s="310"/>
      <c r="C32" s="310" t="s">
        <v>273</v>
      </c>
      <c r="D32" s="311"/>
      <c r="E32" s="319" t="s">
        <v>324</v>
      </c>
      <c r="F32" s="326" t="s">
        <v>327</v>
      </c>
      <c r="G32" s="320"/>
      <c r="S32" s="325"/>
    </row>
    <row r="33" spans="2:19" s="313" customFormat="1" x14ac:dyDescent="0.2">
      <c r="B33" s="310"/>
      <c r="C33" s="310" t="s">
        <v>274</v>
      </c>
      <c r="D33" s="311"/>
      <c r="E33" s="327" t="s">
        <v>325</v>
      </c>
      <c r="F33" s="324" t="s">
        <v>327</v>
      </c>
      <c r="G33" s="310"/>
      <c r="S33" s="325"/>
    </row>
    <row r="34" spans="2:19" s="313" customFormat="1" x14ac:dyDescent="0.2">
      <c r="B34" s="310"/>
      <c r="C34" s="310" t="s">
        <v>275</v>
      </c>
      <c r="D34" s="310"/>
      <c r="E34" s="311" t="s">
        <v>326</v>
      </c>
      <c r="F34" s="312" t="s">
        <v>327</v>
      </c>
      <c r="G34" s="310"/>
    </row>
    <row r="35" spans="2:19" s="313" customFormat="1" ht="25.5" x14ac:dyDescent="0.2">
      <c r="B35" s="310"/>
      <c r="C35" s="310" t="s">
        <v>389</v>
      </c>
      <c r="D35" s="314"/>
      <c r="E35" s="319" t="s">
        <v>390</v>
      </c>
      <c r="F35" s="315" t="s">
        <v>344</v>
      </c>
      <c r="G35" s="310"/>
    </row>
    <row r="36" spans="2:19" s="313" customFormat="1" ht="25.5" x14ac:dyDescent="0.2">
      <c r="B36" s="310"/>
      <c r="C36" s="310" t="s">
        <v>391</v>
      </c>
      <c r="D36" s="314"/>
      <c r="E36" s="319" t="s">
        <v>392</v>
      </c>
      <c r="F36" s="315" t="s">
        <v>344</v>
      </c>
      <c r="G36" s="310"/>
    </row>
    <row r="37" spans="2:19" s="313" customFormat="1" ht="25.5" x14ac:dyDescent="0.2">
      <c r="B37" s="310"/>
      <c r="C37" s="310" t="s">
        <v>393</v>
      </c>
      <c r="D37" s="314"/>
      <c r="E37" s="319" t="s">
        <v>394</v>
      </c>
      <c r="F37" s="315" t="s">
        <v>344</v>
      </c>
      <c r="G37" s="310"/>
    </row>
    <row r="38" spans="2:19" s="313" customFormat="1" x14ac:dyDescent="0.2">
      <c r="B38" s="310"/>
      <c r="C38" s="310" t="s">
        <v>322</v>
      </c>
      <c r="D38" s="310"/>
      <c r="E38" s="311" t="s">
        <v>309</v>
      </c>
      <c r="F38" s="320" t="s">
        <v>270</v>
      </c>
      <c r="G38" s="310"/>
    </row>
    <row r="39" spans="2:19" s="313" customFormat="1" x14ac:dyDescent="0.2">
      <c r="B39" s="310"/>
      <c r="C39" s="310" t="s">
        <v>323</v>
      </c>
      <c r="D39" s="310"/>
      <c r="E39" s="311" t="s">
        <v>311</v>
      </c>
      <c r="F39" s="312" t="s">
        <v>310</v>
      </c>
      <c r="G39" s="310"/>
    </row>
    <row r="40" spans="2:19" s="316" customFormat="1" x14ac:dyDescent="0.2">
      <c r="B40" s="314"/>
      <c r="C40" s="311" t="s">
        <v>320</v>
      </c>
      <c r="D40" s="311"/>
      <c r="E40" s="311" t="s">
        <v>314</v>
      </c>
      <c r="F40" s="320" t="s">
        <v>315</v>
      </c>
      <c r="G40" s="314"/>
    </row>
    <row r="41" spans="2:19" s="313" customFormat="1" x14ac:dyDescent="0.2">
      <c r="B41" s="310"/>
      <c r="C41" s="310" t="s">
        <v>321</v>
      </c>
      <c r="D41" s="310"/>
      <c r="E41" s="311" t="s">
        <v>306</v>
      </c>
      <c r="F41" s="320" t="s">
        <v>305</v>
      </c>
      <c r="G41" s="310"/>
    </row>
    <row r="42" spans="2:19" s="313" customFormat="1" x14ac:dyDescent="0.2">
      <c r="B42" s="310"/>
      <c r="C42" s="310" t="s">
        <v>318</v>
      </c>
      <c r="D42" s="310"/>
      <c r="E42" s="311" t="s">
        <v>316</v>
      </c>
      <c r="F42" s="312" t="s">
        <v>304</v>
      </c>
      <c r="G42" s="310"/>
      <c r="S42" s="325"/>
    </row>
    <row r="43" spans="2:19" s="313" customFormat="1" x14ac:dyDescent="0.2">
      <c r="B43" s="310"/>
      <c r="C43" s="310" t="s">
        <v>319</v>
      </c>
      <c r="D43" s="310"/>
      <c r="E43" s="311" t="s">
        <v>317</v>
      </c>
      <c r="F43" s="320" t="s">
        <v>307</v>
      </c>
      <c r="G43" s="310"/>
    </row>
    <row r="44" spans="2:19" s="316" customFormat="1" ht="25.5" x14ac:dyDescent="0.2">
      <c r="B44" s="314"/>
      <c r="C44" s="310" t="s">
        <v>354</v>
      </c>
      <c r="D44" s="310"/>
      <c r="E44" s="311" t="s">
        <v>395</v>
      </c>
      <c r="F44" s="328" t="s">
        <v>334</v>
      </c>
      <c r="G44" s="314"/>
    </row>
    <row r="45" spans="2:19" s="313" customFormat="1" ht="25.5" x14ac:dyDescent="0.2">
      <c r="B45" s="310"/>
      <c r="C45" s="310" t="s">
        <v>87</v>
      </c>
      <c r="D45" s="310"/>
      <c r="E45" s="311" t="s">
        <v>329</v>
      </c>
      <c r="F45" s="312" t="s">
        <v>330</v>
      </c>
      <c r="G45" s="310"/>
    </row>
    <row r="46" spans="2:19" x14ac:dyDescent="0.2">
      <c r="B46" s="302"/>
      <c r="C46" s="302"/>
      <c r="D46" s="302"/>
      <c r="E46" s="302"/>
      <c r="F46" s="312"/>
      <c r="G46" s="312"/>
    </row>
    <row r="49" spans="3:4" x14ac:dyDescent="0.2">
      <c r="C49" s="126"/>
      <c r="D49" s="126"/>
    </row>
    <row r="50" spans="3:4" x14ac:dyDescent="0.2">
      <c r="C50" s="329"/>
      <c r="D50" s="329"/>
    </row>
    <row r="51" spans="3:4" x14ac:dyDescent="0.2">
      <c r="C51" s="330"/>
      <c r="D51" s="330"/>
    </row>
  </sheetData>
  <sheetProtection algorithmName="SHA-512" hashValue="ILhb8jVelbTqQQTuleWE18uV1xrSO0qIo0n+I/6HbpIP+K8eKncU17MI48v8M8a2LS1UL9nT0ont23J8k1/DLA==" saltValue="EyL07MsN9N234SvB9kk9Gg==" spinCount="100000" sheet="1" selectLockedCells="1" selectUnlockedCells="1"/>
  <sortState xmlns:xlrd2="http://schemas.microsoft.com/office/spreadsheetml/2017/richdata2" ref="C9:F45">
    <sortCondition ref="C9:C45"/>
  </sortState>
  <phoneticPr fontId="22" type="noConversion"/>
  <conditionalFormatting sqref="C9:F45">
    <cfRule type="expression" dxfId="0" priority="1">
      <formula>MOD(ROW(),2)=0</formula>
    </cfRule>
  </conditionalFormatting>
  <conditionalFormatting sqref="D41:D43">
    <cfRule type="expression" priority="12">
      <formula>MOD(COLUMN(),2)=0</formula>
    </cfRule>
  </conditionalFormatting>
  <conditionalFormatting sqref="D39:E39">
    <cfRule type="expression" priority="10">
      <formula>MOD(COLUMN(),2)=0</formula>
    </cfRule>
  </conditionalFormatting>
  <conditionalFormatting sqref="D24:F25">
    <cfRule type="expression" priority="8">
      <formula>MOD(COLUMN(),2)=0</formula>
    </cfRule>
  </conditionalFormatting>
  <conditionalFormatting sqref="D34:F36">
    <cfRule type="expression" priority="16">
      <formula>MOD(COLUMN(),2)=0</formula>
    </cfRule>
  </conditionalFormatting>
  <conditionalFormatting sqref="E40:E43">
    <cfRule type="expression" priority="3">
      <formula>MOD(COLUMN(),2)=0</formula>
    </cfRule>
  </conditionalFormatting>
  <hyperlinks>
    <hyperlink ref="F42" r:id="rId1" location="abreadcrumb" display="https://www-genesis.destatis.de/genesis/online?operation=abruftabelleBearbeiten&amp;levelindex=1&amp;levelid=1662640912503&amp;auswahloperation=abruftabelleAuspraegungAuswaehlen&amp;auswahlverzeichnis=ordnungsstruktur&amp;auswahlziel=werteabruf&amp;code=61243-0011&amp;auswahltext=&amp;werteabruf=starten#abreadcrumb" xr:uid="{3F16D454-5BF9-4CE1-87B3-7E1E6A2C95D2}"/>
    <hyperlink ref="F39" r:id="rId2" xr:uid="{49C6EC66-8A55-4161-B79A-5FBC34410E11}"/>
    <hyperlink ref="F23" r:id="rId3" xr:uid="{FE0ECAE5-3B9C-4909-993C-B9580CEBC31F}"/>
    <hyperlink ref="F24" r:id="rId4" xr:uid="{082E78CB-6755-43C3-A2FE-F56C138D84B8}"/>
    <hyperlink ref="F25" r:id="rId5" xr:uid="{45398287-B5E0-4FE8-84FE-27406228BB39}"/>
    <hyperlink ref="F26" r:id="rId6" xr:uid="{F0B244EC-F5B6-48E0-BDE5-1B24DB97915C}"/>
    <hyperlink ref="F19" r:id="rId7" xr:uid="{5B1E7CD3-0225-4B2F-AF6B-0416FFD17277}"/>
    <hyperlink ref="F44" r:id="rId8" xr:uid="{B4F91AFC-5DD7-45F5-BE06-694662D3E6B4}"/>
    <hyperlink ref="A1" location="Cockpit!A1" display="zurück zu Cockpit" xr:uid="{F15D50B2-197B-4434-B65E-9D91F208C9C2}"/>
  </hyperlinks>
  <printOptions horizontalCentered="1"/>
  <pageMargins left="0.39370078740157483" right="0.39370078740157483" top="0.39370078740157483" bottom="0.59055118110236227" header="0.19685039370078741" footer="0.19685039370078741"/>
  <pageSetup paperSize="9" orientation="landscape" verticalDpi="601" r:id="rId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9B710-4DCA-4F5C-840D-5F338B8717DD}">
  <sheetPr>
    <pageSetUpPr fitToPage="1"/>
  </sheetPr>
  <dimension ref="A1:B2"/>
  <sheetViews>
    <sheetView workbookViewId="0"/>
  </sheetViews>
  <sheetFormatPr baseColWidth="10" defaultColWidth="9" defaultRowHeight="12.75" x14ac:dyDescent="0.2"/>
  <cols>
    <col min="1" max="16384" width="9" style="1"/>
  </cols>
  <sheetData>
    <row r="1" spans="1:2" x14ac:dyDescent="0.2">
      <c r="A1" s="448" t="s">
        <v>467</v>
      </c>
      <c r="B1" s="448"/>
    </row>
    <row r="2" spans="1:2" x14ac:dyDescent="0.2">
      <c r="A2" s="448"/>
      <c r="B2" s="448"/>
    </row>
  </sheetData>
  <sheetProtection algorithmName="SHA-512" hashValue="ifk7uFnB0gctu5qqS6JDyVTRgVC9ljd9UDdvJxITHxmwKvD1L+Uhec9ELA3Podxd1M3hHtThhu296TY/Q17kug==" saltValue="NxvvvwSWIsDf5w/vowp/uA==" spinCount="100000" sheet="1" selectLockedCells="1"/>
  <hyperlinks>
    <hyperlink ref="A1" location="Cockpit!A1" display="zurück zu Cockpit" xr:uid="{4CB861D0-14E2-4E7B-AD8E-3A6BD9A2C7E1}"/>
  </hyperlinks>
  <printOptions horizontalCentered="1"/>
  <pageMargins left="0.39370078740157483" right="0.39370078740157483" top="0.39370078740157483" bottom="0.59055118110236227" header="0.19685039370078741" footer="0.19685039370078741"/>
  <pageSetup paperSize="9" orientation="landscape" verticalDpi="601"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0863D-2D56-4E3E-9B24-F2095E93961F}">
  <sheetPr>
    <pageSetUpPr fitToPage="1"/>
  </sheetPr>
  <dimension ref="B2:K36"/>
  <sheetViews>
    <sheetView workbookViewId="0"/>
  </sheetViews>
  <sheetFormatPr baseColWidth="10" defaultColWidth="9" defaultRowHeight="12.75" x14ac:dyDescent="0.2"/>
  <cols>
    <col min="1" max="2" width="2.5" style="2" customWidth="1"/>
    <col min="3" max="3" width="20.375" style="2" customWidth="1"/>
    <col min="4" max="4" width="22" style="2" customWidth="1"/>
    <col min="5" max="8" width="9" style="2"/>
    <col min="9" max="9" width="39.75" style="2" bestFit="1" customWidth="1"/>
    <col min="10" max="10" width="16.5" style="2" customWidth="1"/>
    <col min="11" max="16384" width="9" style="2"/>
  </cols>
  <sheetData>
    <row r="2" spans="2:11" x14ac:dyDescent="0.2">
      <c r="B2" s="3"/>
      <c r="C2" s="3"/>
      <c r="D2" s="3"/>
      <c r="E2" s="3"/>
      <c r="F2" s="3"/>
      <c r="G2" s="3"/>
      <c r="H2" s="3"/>
      <c r="I2" s="3"/>
      <c r="J2" s="3"/>
      <c r="K2" s="3"/>
    </row>
    <row r="3" spans="2:11" x14ac:dyDescent="0.2">
      <c r="B3" s="3"/>
      <c r="C3" s="3"/>
      <c r="D3" s="3"/>
      <c r="E3" s="3"/>
      <c r="F3" s="3"/>
      <c r="G3" s="3"/>
      <c r="H3" s="3"/>
      <c r="I3" s="3"/>
      <c r="J3" s="3"/>
      <c r="K3" s="3"/>
    </row>
    <row r="4" spans="2:11" x14ac:dyDescent="0.2">
      <c r="B4" s="3"/>
      <c r="C4" s="3"/>
      <c r="D4" s="3"/>
      <c r="E4" s="3"/>
      <c r="F4" s="3"/>
      <c r="G4" s="3"/>
      <c r="H4" s="3"/>
      <c r="I4" s="3"/>
      <c r="J4" s="3"/>
      <c r="K4" s="3"/>
    </row>
    <row r="5" spans="2:11" x14ac:dyDescent="0.2">
      <c r="B5" s="3"/>
      <c r="C5" s="3"/>
      <c r="D5" s="3"/>
      <c r="E5" s="3"/>
      <c r="F5" s="3"/>
      <c r="G5" s="3"/>
      <c r="H5" s="3"/>
      <c r="I5" s="3"/>
      <c r="J5" s="3"/>
      <c r="K5" s="3"/>
    </row>
    <row r="6" spans="2:11" x14ac:dyDescent="0.2">
      <c r="B6" s="3"/>
      <c r="C6" s="3"/>
      <c r="D6" s="3"/>
      <c r="E6" s="3"/>
      <c r="F6" s="3"/>
      <c r="G6" s="3"/>
      <c r="H6" s="3"/>
      <c r="I6" s="3"/>
      <c r="J6" s="3"/>
      <c r="K6" s="3"/>
    </row>
    <row r="7" spans="2:11" x14ac:dyDescent="0.2">
      <c r="B7" s="3"/>
      <c r="C7" s="3"/>
      <c r="D7" s="3"/>
      <c r="E7" s="3"/>
      <c r="F7" s="3"/>
      <c r="G7" s="3"/>
      <c r="H7" s="3"/>
      <c r="I7" s="3"/>
      <c r="J7" s="3"/>
      <c r="K7" s="3"/>
    </row>
    <row r="8" spans="2:11" x14ac:dyDescent="0.2">
      <c r="B8" s="3"/>
      <c r="C8" s="3"/>
      <c r="D8" s="3"/>
      <c r="E8" s="3"/>
      <c r="F8" s="3"/>
      <c r="G8" s="3"/>
      <c r="H8" s="3"/>
      <c r="I8" s="3"/>
      <c r="J8" s="3"/>
      <c r="K8" s="3"/>
    </row>
    <row r="9" spans="2:11" ht="15.75" x14ac:dyDescent="0.25">
      <c r="B9" s="3"/>
      <c r="C9" s="85" t="s">
        <v>0</v>
      </c>
      <c r="D9" s="3"/>
      <c r="E9" s="3"/>
      <c r="F9" s="3"/>
      <c r="G9" s="3"/>
      <c r="H9" s="3"/>
      <c r="I9" s="3"/>
      <c r="J9" s="3"/>
      <c r="K9" s="3"/>
    </row>
    <row r="10" spans="2:11" ht="15" x14ac:dyDescent="0.2">
      <c r="B10" s="3"/>
      <c r="C10" s="86"/>
      <c r="D10" s="3"/>
      <c r="E10" s="3"/>
      <c r="F10" s="3"/>
      <c r="G10" s="3"/>
      <c r="H10" s="3"/>
      <c r="I10" s="3"/>
      <c r="J10" s="3"/>
      <c r="K10" s="3"/>
    </row>
    <row r="11" spans="2:11" ht="15.75" x14ac:dyDescent="0.25">
      <c r="B11" s="3"/>
      <c r="C11" s="85" t="s">
        <v>533</v>
      </c>
      <c r="D11" s="3"/>
      <c r="E11" s="3"/>
      <c r="F11" s="3"/>
      <c r="G11" s="3"/>
      <c r="H11" s="3"/>
      <c r="I11" s="3"/>
      <c r="J11" s="3"/>
      <c r="K11" s="3"/>
    </row>
    <row r="12" spans="2:11" ht="15.75" x14ac:dyDescent="0.25">
      <c r="B12" s="3"/>
      <c r="C12" s="87"/>
      <c r="D12" s="88"/>
      <c r="E12" s="88"/>
      <c r="F12" s="88"/>
      <c r="G12" s="88"/>
      <c r="H12" s="88"/>
      <c r="I12" s="88"/>
      <c r="J12" s="88"/>
      <c r="K12" s="3"/>
    </row>
    <row r="13" spans="2:11" x14ac:dyDescent="0.2">
      <c r="B13" s="3"/>
      <c r="C13" s="3"/>
      <c r="D13" s="3"/>
      <c r="E13" s="3"/>
      <c r="F13" s="3"/>
      <c r="G13" s="3"/>
      <c r="H13" s="3"/>
      <c r="I13" s="3"/>
      <c r="J13" s="3"/>
      <c r="K13" s="3"/>
    </row>
    <row r="14" spans="2:11" x14ac:dyDescent="0.2">
      <c r="B14" s="3"/>
      <c r="C14" s="3" t="s">
        <v>162</v>
      </c>
      <c r="D14" s="3"/>
      <c r="E14" s="3"/>
      <c r="F14" s="3"/>
      <c r="G14" s="3"/>
      <c r="H14" s="3"/>
      <c r="I14" s="3"/>
      <c r="J14" s="3"/>
      <c r="K14" s="3"/>
    </row>
    <row r="15" spans="2:11" x14ac:dyDescent="0.2">
      <c r="B15" s="3"/>
      <c r="C15" s="3"/>
      <c r="D15" s="3"/>
      <c r="E15" s="3"/>
      <c r="F15" s="3"/>
      <c r="G15" s="3"/>
      <c r="H15" s="3"/>
      <c r="I15" s="3"/>
      <c r="J15" s="3"/>
      <c r="K15" s="3"/>
    </row>
    <row r="16" spans="2:11" x14ac:dyDescent="0.2">
      <c r="B16" s="3"/>
      <c r="C16" s="3" t="s">
        <v>1</v>
      </c>
      <c r="D16" s="3" t="s">
        <v>2</v>
      </c>
      <c r="E16" s="3"/>
      <c r="F16" s="3"/>
      <c r="G16" s="3" t="s">
        <v>10</v>
      </c>
      <c r="H16" s="3"/>
      <c r="I16" s="3" t="s">
        <v>14</v>
      </c>
      <c r="J16" s="3"/>
      <c r="K16" s="3"/>
    </row>
    <row r="17" spans="2:11" x14ac:dyDescent="0.2">
      <c r="B17" s="3"/>
      <c r="C17" s="3"/>
      <c r="D17" s="3" t="s">
        <v>3</v>
      </c>
      <c r="E17" s="3"/>
      <c r="F17" s="3"/>
      <c r="G17" s="3"/>
      <c r="H17" s="3"/>
      <c r="I17" s="3" t="s">
        <v>15</v>
      </c>
      <c r="J17" s="3"/>
      <c r="K17" s="3"/>
    </row>
    <row r="18" spans="2:11" x14ac:dyDescent="0.2">
      <c r="B18" s="3"/>
      <c r="C18" s="3"/>
      <c r="D18" s="3" t="s">
        <v>4</v>
      </c>
      <c r="E18" s="3"/>
      <c r="F18" s="3"/>
      <c r="G18" s="3"/>
      <c r="H18" s="3"/>
      <c r="I18" s="3" t="s">
        <v>16</v>
      </c>
      <c r="J18" s="3"/>
      <c r="K18" s="3"/>
    </row>
    <row r="19" spans="2:11" x14ac:dyDescent="0.2">
      <c r="B19" s="3"/>
      <c r="C19" s="3"/>
      <c r="D19" s="3" t="s">
        <v>5</v>
      </c>
      <c r="E19" s="3"/>
      <c r="F19" s="3"/>
      <c r="G19" s="3"/>
      <c r="H19" s="3"/>
      <c r="I19" s="3"/>
      <c r="J19" s="3"/>
      <c r="K19" s="3"/>
    </row>
    <row r="20" spans="2:11" x14ac:dyDescent="0.2">
      <c r="B20" s="3"/>
      <c r="C20" s="3"/>
      <c r="D20" s="3"/>
      <c r="E20" s="3"/>
      <c r="F20" s="3"/>
      <c r="G20" s="3"/>
      <c r="H20" s="3"/>
      <c r="I20" s="3"/>
      <c r="J20" s="3"/>
      <c r="K20" s="3"/>
    </row>
    <row r="21" spans="2:11" x14ac:dyDescent="0.2">
      <c r="B21" s="3"/>
      <c r="C21" s="3"/>
      <c r="D21" s="3" t="s">
        <v>160</v>
      </c>
      <c r="E21" s="3"/>
      <c r="F21" s="3"/>
      <c r="G21" s="3" t="s">
        <v>11</v>
      </c>
      <c r="H21" s="3"/>
      <c r="I21" s="3" t="s">
        <v>17</v>
      </c>
      <c r="J21" s="3"/>
      <c r="K21" s="3"/>
    </row>
    <row r="22" spans="2:11" x14ac:dyDescent="0.2">
      <c r="B22" s="3"/>
      <c r="C22" s="3"/>
      <c r="D22" s="3" t="s">
        <v>161</v>
      </c>
      <c r="E22" s="3"/>
      <c r="F22" s="3"/>
      <c r="G22" s="3" t="s">
        <v>12</v>
      </c>
      <c r="H22" s="3"/>
      <c r="I22" s="3" t="s">
        <v>17</v>
      </c>
      <c r="J22" s="3"/>
      <c r="K22" s="3"/>
    </row>
    <row r="23" spans="2:11" x14ac:dyDescent="0.2">
      <c r="B23" s="3"/>
      <c r="C23" s="3"/>
      <c r="D23" s="3"/>
      <c r="E23" s="3"/>
      <c r="F23" s="3"/>
      <c r="G23" s="3"/>
      <c r="H23" s="3"/>
      <c r="I23" s="3"/>
      <c r="J23" s="3"/>
      <c r="K23" s="3"/>
    </row>
    <row r="24" spans="2:11" x14ac:dyDescent="0.2">
      <c r="B24" s="3"/>
      <c r="C24" s="3"/>
      <c r="D24" s="3"/>
      <c r="E24" s="3"/>
      <c r="F24" s="3"/>
      <c r="G24" s="3"/>
      <c r="H24" s="3"/>
      <c r="I24" s="3"/>
      <c r="J24" s="3"/>
      <c r="K24" s="3"/>
    </row>
    <row r="25" spans="2:11" x14ac:dyDescent="0.2">
      <c r="B25" s="3"/>
      <c r="C25" s="3" t="s">
        <v>451</v>
      </c>
      <c r="D25" s="3" t="s">
        <v>450</v>
      </c>
      <c r="E25" s="3"/>
      <c r="F25" s="3"/>
      <c r="G25" s="3" t="s">
        <v>13</v>
      </c>
      <c r="H25" s="3"/>
      <c r="I25" s="3" t="s">
        <v>2</v>
      </c>
      <c r="J25" s="3"/>
      <c r="K25" s="3"/>
    </row>
    <row r="26" spans="2:11" x14ac:dyDescent="0.2">
      <c r="B26" s="3"/>
      <c r="C26" s="3"/>
      <c r="D26" s="3"/>
      <c r="E26" s="3"/>
      <c r="F26" s="3"/>
      <c r="G26" s="3"/>
      <c r="H26" s="3"/>
      <c r="I26" s="3"/>
      <c r="J26" s="3"/>
      <c r="K26" s="3"/>
    </row>
    <row r="27" spans="2:11" x14ac:dyDescent="0.2">
      <c r="B27" s="3"/>
      <c r="C27" s="88"/>
      <c r="D27" s="88"/>
      <c r="E27" s="88"/>
      <c r="F27" s="88"/>
      <c r="G27" s="88"/>
      <c r="H27" s="88"/>
      <c r="I27" s="88"/>
      <c r="J27" s="88"/>
      <c r="K27" s="3"/>
    </row>
    <row r="28" spans="2:11" x14ac:dyDescent="0.2">
      <c r="B28" s="3"/>
      <c r="C28" s="3"/>
      <c r="D28" s="3"/>
      <c r="E28" s="3"/>
      <c r="F28" s="3"/>
      <c r="G28" s="3"/>
      <c r="H28" s="3"/>
      <c r="I28" s="3"/>
      <c r="J28" s="3"/>
      <c r="K28" s="3"/>
    </row>
    <row r="29" spans="2:11" x14ac:dyDescent="0.2">
      <c r="B29" s="3"/>
      <c r="C29" s="3" t="s">
        <v>6</v>
      </c>
      <c r="D29" s="4">
        <v>45600</v>
      </c>
      <c r="E29" s="3"/>
      <c r="F29" s="3"/>
      <c r="G29" s="3" t="s">
        <v>158</v>
      </c>
      <c r="H29" s="3"/>
      <c r="I29" s="3"/>
      <c r="J29" s="3"/>
      <c r="K29" s="3"/>
    </row>
    <row r="30" spans="2:11" x14ac:dyDescent="0.2">
      <c r="B30" s="3"/>
      <c r="C30" s="3" t="s">
        <v>7</v>
      </c>
      <c r="D30" s="5" t="s">
        <v>452</v>
      </c>
      <c r="E30" s="3"/>
      <c r="F30" s="3"/>
      <c r="G30" s="3" t="s">
        <v>159</v>
      </c>
      <c r="H30" s="3"/>
      <c r="I30" s="3"/>
      <c r="J30" s="3"/>
      <c r="K30" s="3"/>
    </row>
    <row r="31" spans="2:11" x14ac:dyDescent="0.2">
      <c r="B31" s="3"/>
      <c r="C31" s="3"/>
      <c r="D31" s="5"/>
      <c r="E31" s="3"/>
      <c r="F31" s="3"/>
      <c r="G31" s="3"/>
      <c r="H31" s="3"/>
      <c r="I31" s="3"/>
      <c r="J31" s="3"/>
      <c r="K31" s="3"/>
    </row>
    <row r="32" spans="2:11" x14ac:dyDescent="0.2">
      <c r="B32" s="3"/>
      <c r="C32" s="3" t="s">
        <v>8</v>
      </c>
      <c r="D32" s="5" t="s">
        <v>9</v>
      </c>
      <c r="E32" s="3"/>
      <c r="F32" s="3"/>
      <c r="G32" s="3"/>
      <c r="H32" s="3"/>
      <c r="I32" s="3"/>
      <c r="J32" s="3"/>
      <c r="K32" s="3"/>
    </row>
    <row r="33" spans="2:11" x14ac:dyDescent="0.2">
      <c r="B33" s="3"/>
      <c r="C33" s="3"/>
      <c r="D33" s="3"/>
      <c r="E33" s="3"/>
      <c r="F33" s="3"/>
      <c r="G33" s="3" t="s">
        <v>396</v>
      </c>
      <c r="H33" s="3"/>
      <c r="I33" s="3" t="s">
        <v>453</v>
      </c>
      <c r="J33" s="3"/>
      <c r="K33" s="3"/>
    </row>
    <row r="34" spans="2:11" x14ac:dyDescent="0.2">
      <c r="B34" s="3"/>
      <c r="C34" s="3"/>
      <c r="D34" s="3"/>
      <c r="E34" s="3"/>
      <c r="F34" s="3"/>
      <c r="G34" s="3"/>
      <c r="H34" s="3"/>
      <c r="I34" s="3" t="s">
        <v>397</v>
      </c>
      <c r="J34" s="3"/>
      <c r="K34" s="3"/>
    </row>
    <row r="35" spans="2:11" x14ac:dyDescent="0.2">
      <c r="B35" s="3"/>
      <c r="C35" s="3"/>
      <c r="D35" s="3"/>
      <c r="E35" s="3"/>
      <c r="F35" s="3"/>
      <c r="G35" s="3"/>
      <c r="H35" s="3"/>
      <c r="I35" s="430" t="s">
        <v>534</v>
      </c>
      <c r="J35" s="3"/>
      <c r="K35" s="3"/>
    </row>
    <row r="36" spans="2:11" x14ac:dyDescent="0.2">
      <c r="B36" s="3"/>
      <c r="C36" s="3"/>
      <c r="D36" s="3"/>
      <c r="E36" s="3"/>
      <c r="F36" s="3"/>
      <c r="G36" s="3"/>
      <c r="H36" s="3"/>
      <c r="I36" s="3"/>
      <c r="J36" s="3"/>
      <c r="K36" s="3"/>
    </row>
  </sheetData>
  <sheetProtection algorithmName="SHA-512" hashValue="Z1eIC23YCi8Q6M3CqLWlbeAEw1LzoRiVc5+bEUneWJakJLAlrOZyjz7u/3aiTuZw8eOXCjOPWgQOxu2EcDzqpQ==" saltValue="6cTIyvQihdISoVlRbTpDOg==" spinCount="100000" sheet="1" selectLockedCells="1"/>
  <hyperlinks>
    <hyperlink ref="D32" r:id="rId1" xr:uid="{05DF6F83-879A-4718-A8CB-73FCB51EAC06}"/>
  </hyperlinks>
  <printOptions horizontalCentered="1"/>
  <pageMargins left="0.39370078740157483" right="0.39370078740157483" top="0.39370078740157483" bottom="0.59055118110236227" header="0.19685039370078741" footer="0.19685039370078741"/>
  <pageSetup paperSize="9" orientation="landscape" verticalDpi="601"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9F8DD-21A8-404A-AEF1-E43B96E10CE2}">
  <sheetPr>
    <pageSetUpPr fitToPage="1"/>
  </sheetPr>
  <dimension ref="A1:C15"/>
  <sheetViews>
    <sheetView workbookViewId="0"/>
  </sheetViews>
  <sheetFormatPr baseColWidth="10" defaultColWidth="9" defaultRowHeight="12.75" x14ac:dyDescent="0.2"/>
  <cols>
    <col min="1" max="16384" width="9" style="1"/>
  </cols>
  <sheetData>
    <row r="1" spans="1:3" x14ac:dyDescent="0.2">
      <c r="A1" s="100"/>
      <c r="B1" s="100"/>
      <c r="C1" s="100"/>
    </row>
    <row r="2" spans="1:3" x14ac:dyDescent="0.2">
      <c r="A2" s="100"/>
      <c r="B2" s="100"/>
      <c r="C2" s="100"/>
    </row>
    <row r="3" spans="1:3" x14ac:dyDescent="0.2">
      <c r="A3" s="100"/>
      <c r="B3" s="100"/>
      <c r="C3" s="100"/>
    </row>
    <row r="4" spans="1:3" x14ac:dyDescent="0.2">
      <c r="A4" s="100"/>
      <c r="B4" s="100" t="s">
        <v>97</v>
      </c>
      <c r="C4" s="100"/>
    </row>
    <row r="5" spans="1:3" x14ac:dyDescent="0.2">
      <c r="A5" s="100"/>
      <c r="B5" s="100" t="s">
        <v>98</v>
      </c>
      <c r="C5" s="100"/>
    </row>
    <row r="6" spans="1:3" x14ac:dyDescent="0.2">
      <c r="A6" s="100"/>
      <c r="B6" s="100" t="s">
        <v>99</v>
      </c>
      <c r="C6" s="100"/>
    </row>
    <row r="7" spans="1:3" x14ac:dyDescent="0.2">
      <c r="A7" s="100"/>
      <c r="B7" s="100"/>
      <c r="C7" s="100"/>
    </row>
    <row r="8" spans="1:3" x14ac:dyDescent="0.2">
      <c r="A8" s="100"/>
      <c r="B8" s="100"/>
      <c r="C8" s="100"/>
    </row>
    <row r="12" spans="1:3" x14ac:dyDescent="0.2">
      <c r="B12" s="1" t="s">
        <v>29</v>
      </c>
    </row>
    <row r="13" spans="1:3" x14ac:dyDescent="0.2">
      <c r="B13" s="1" t="s">
        <v>30</v>
      </c>
    </row>
    <row r="14" spans="1:3" x14ac:dyDescent="0.2">
      <c r="B14" s="1" t="s">
        <v>111</v>
      </c>
    </row>
    <row r="15" spans="1:3" x14ac:dyDescent="0.2">
      <c r="B15" s="1" t="s">
        <v>119</v>
      </c>
    </row>
  </sheetData>
  <printOptions horizontalCentered="1"/>
  <pageMargins left="0.39370078740157483" right="0.39370078740157483" top="0.39370078740157483" bottom="0.59055118110236227" header="0.19685039370078741" footer="0.19685039370078741"/>
  <pageSetup paperSize="9" orientation="landscape" verticalDpi="60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7573A-857E-4031-909F-E8D73E7D18BE}">
  <dimension ref="A1:AL221"/>
  <sheetViews>
    <sheetView workbookViewId="0"/>
  </sheetViews>
  <sheetFormatPr baseColWidth="10" defaultColWidth="9" defaultRowHeight="12.75" outlineLevelRow="1" x14ac:dyDescent="0.2"/>
  <cols>
    <col min="1" max="1" width="3.5" style="6" customWidth="1"/>
    <col min="2" max="2" width="3.75" style="6" customWidth="1"/>
    <col min="3" max="3" width="13.625" style="6" customWidth="1"/>
    <col min="4" max="4" width="25.25" style="6" customWidth="1"/>
    <col min="5" max="5" width="26.5" style="6" customWidth="1"/>
    <col min="6" max="6" width="16.25" style="6" customWidth="1"/>
    <col min="7" max="7" width="17.625" style="6" customWidth="1"/>
    <col min="8" max="8" width="2" style="6" customWidth="1"/>
    <col min="9" max="9" width="17" style="6" customWidth="1"/>
    <col min="10" max="15" width="17.375" style="6" customWidth="1"/>
    <col min="16" max="16" width="21.375" style="6" customWidth="1"/>
    <col min="17" max="17" width="3.75" style="6" customWidth="1"/>
    <col min="18" max="18" width="4.125" style="6" customWidth="1"/>
    <col min="19" max="19" width="3.75" style="6" customWidth="1"/>
    <col min="20" max="20" width="31" style="6" customWidth="1"/>
    <col min="21" max="21" width="1.375" style="6" customWidth="1"/>
    <col min="22" max="24" width="9" style="6"/>
    <col min="25" max="25" width="3.125" style="6" customWidth="1"/>
    <col min="26" max="27" width="11.625" style="6" customWidth="1"/>
    <col min="28" max="28" width="15.125" style="6" bestFit="1" customWidth="1"/>
    <col min="29" max="29" width="3.75" style="6" customWidth="1"/>
    <col min="30" max="30" width="4.125" style="6" customWidth="1"/>
    <col min="31" max="31" width="3.75" style="6" customWidth="1"/>
    <col min="32" max="32" width="29.875" style="6" bestFit="1" customWidth="1"/>
    <col min="33" max="33" width="10.875" style="6" bestFit="1" customWidth="1"/>
    <col min="34" max="34" width="6.625" style="6" customWidth="1"/>
    <col min="35" max="16384" width="9" style="6"/>
  </cols>
  <sheetData>
    <row r="1" spans="1:38" x14ac:dyDescent="0.2">
      <c r="A1" s="425" t="s">
        <v>467</v>
      </c>
      <c r="B1" s="426"/>
      <c r="C1" s="426"/>
    </row>
    <row r="3" spans="1:38" x14ac:dyDescent="0.2">
      <c r="A3" s="417"/>
      <c r="B3" s="3"/>
      <c r="C3" s="3"/>
      <c r="D3" s="3"/>
      <c r="E3" s="3"/>
      <c r="F3" s="3"/>
      <c r="G3" s="3"/>
      <c r="H3" s="3"/>
      <c r="I3" s="3"/>
      <c r="J3" s="3"/>
      <c r="K3" s="3"/>
      <c r="L3" s="3"/>
      <c r="M3" s="3"/>
      <c r="N3" s="3"/>
      <c r="O3" s="3"/>
      <c r="P3" s="3"/>
      <c r="Q3" s="3"/>
    </row>
    <row r="4" spans="1:38" ht="15.75" x14ac:dyDescent="0.25">
      <c r="B4" s="3"/>
      <c r="C4" s="332" t="s">
        <v>536</v>
      </c>
      <c r="D4" s="3"/>
      <c r="E4" s="3"/>
      <c r="F4" s="3"/>
      <c r="G4" s="3"/>
      <c r="H4" s="3"/>
      <c r="I4" s="3"/>
      <c r="J4" s="3"/>
      <c r="K4" s="3"/>
      <c r="L4" s="3"/>
      <c r="M4" s="3"/>
      <c r="N4" s="3"/>
      <c r="O4" s="3"/>
      <c r="P4" s="3"/>
      <c r="Q4" s="3"/>
    </row>
    <row r="5" spans="1:38" ht="23.25" customHeight="1" x14ac:dyDescent="0.2">
      <c r="B5" s="3"/>
      <c r="C5" s="3"/>
      <c r="D5" s="3"/>
      <c r="E5" s="3"/>
      <c r="F5" s="3"/>
      <c r="G5" s="3"/>
      <c r="H5" s="3"/>
      <c r="I5" s="3"/>
      <c r="J5" s="3"/>
      <c r="K5" s="3"/>
      <c r="L5" s="3"/>
      <c r="M5" s="3"/>
      <c r="N5" s="3"/>
      <c r="O5" s="3"/>
      <c r="P5" s="3"/>
      <c r="Q5" s="3"/>
    </row>
    <row r="6" spans="1:38" ht="27" customHeight="1" x14ac:dyDescent="0.2">
      <c r="B6" s="3"/>
      <c r="C6" s="3" t="s">
        <v>250</v>
      </c>
      <c r="D6" s="110"/>
      <c r="E6" s="3"/>
      <c r="F6" s="467" t="s">
        <v>458</v>
      </c>
      <c r="G6" s="467"/>
      <c r="H6" s="467"/>
      <c r="I6" s="467"/>
      <c r="J6" s="467"/>
      <c r="K6" s="467"/>
      <c r="L6" s="467"/>
      <c r="M6" s="467"/>
      <c r="N6" s="467"/>
      <c r="O6" s="467"/>
      <c r="P6" s="467"/>
      <c r="Q6" s="3"/>
    </row>
    <row r="7" spans="1:38" x14ac:dyDescent="0.2">
      <c r="B7" s="3"/>
      <c r="C7" s="3" t="s">
        <v>251</v>
      </c>
      <c r="D7" s="377"/>
      <c r="E7" s="3"/>
      <c r="F7" s="3"/>
      <c r="G7" s="3"/>
      <c r="H7" s="3"/>
      <c r="I7" s="3"/>
      <c r="J7" s="3"/>
      <c r="K7" s="3"/>
      <c r="L7" s="3"/>
      <c r="M7" s="3"/>
      <c r="N7" s="3"/>
      <c r="O7" s="3"/>
      <c r="P7" s="3"/>
      <c r="Q7" s="3"/>
    </row>
    <row r="8" spans="1:38" x14ac:dyDescent="0.2">
      <c r="B8" s="3"/>
      <c r="C8" s="3" t="s">
        <v>252</v>
      </c>
      <c r="D8" s="110"/>
      <c r="E8" s="3"/>
      <c r="F8" s="3"/>
      <c r="G8" s="3"/>
      <c r="H8" s="3"/>
      <c r="I8" s="3"/>
      <c r="J8" s="3"/>
      <c r="K8" s="3"/>
      <c r="L8" s="3"/>
      <c r="M8" s="3"/>
      <c r="N8" s="3"/>
      <c r="O8" s="3"/>
      <c r="P8" s="3"/>
      <c r="Q8" s="3"/>
      <c r="S8" s="3"/>
      <c r="T8" s="3"/>
      <c r="U8" s="3"/>
      <c r="V8" s="3"/>
      <c r="W8" s="3"/>
      <c r="X8" s="3"/>
      <c r="Y8" s="3"/>
      <c r="Z8" s="3"/>
      <c r="AA8" s="3"/>
      <c r="AB8" s="3"/>
      <c r="AC8" s="3"/>
      <c r="AE8" s="3"/>
      <c r="AF8" s="3"/>
      <c r="AG8" s="3"/>
      <c r="AH8" s="3"/>
      <c r="AI8" s="3"/>
    </row>
    <row r="9" spans="1:38" x14ac:dyDescent="0.2">
      <c r="B9" s="3"/>
      <c r="C9" s="3" t="s">
        <v>499</v>
      </c>
      <c r="D9" s="388"/>
      <c r="E9" s="3"/>
      <c r="F9" s="3"/>
      <c r="G9" s="3"/>
      <c r="H9" s="3"/>
      <c r="I9" s="3"/>
      <c r="J9" s="3"/>
      <c r="K9" s="3"/>
      <c r="L9" s="3"/>
      <c r="M9" s="3"/>
      <c r="N9" s="3"/>
      <c r="O9" s="3"/>
      <c r="P9" s="3"/>
      <c r="Q9" s="3"/>
      <c r="S9" s="3"/>
      <c r="T9" s="3"/>
      <c r="U9" s="3"/>
      <c r="V9" s="3"/>
      <c r="W9" s="3"/>
      <c r="X9" s="3"/>
      <c r="Y9" s="3"/>
      <c r="Z9" s="3"/>
      <c r="AA9" s="3"/>
      <c r="AB9" s="3"/>
      <c r="AC9" s="3"/>
      <c r="AE9" s="3"/>
      <c r="AF9" s="3"/>
      <c r="AG9" s="3"/>
      <c r="AH9" s="3"/>
      <c r="AI9" s="3"/>
    </row>
    <row r="10" spans="1:38" ht="15" x14ac:dyDescent="0.25">
      <c r="B10" s="3"/>
      <c r="C10" s="3"/>
      <c r="D10" s="381"/>
      <c r="E10" s="3"/>
      <c r="F10" s="334" t="s">
        <v>499</v>
      </c>
      <c r="G10" s="334">
        <f>D9</f>
        <v>0</v>
      </c>
      <c r="H10" s="3"/>
      <c r="I10" s="3"/>
      <c r="J10" s="3"/>
      <c r="K10" s="3"/>
      <c r="L10" s="3"/>
      <c r="M10" s="3"/>
      <c r="N10" s="3"/>
      <c r="O10" s="3"/>
      <c r="P10" s="3"/>
      <c r="Q10" s="3"/>
      <c r="S10" s="3"/>
      <c r="T10" s="333" t="s">
        <v>427</v>
      </c>
      <c r="U10" s="3"/>
      <c r="V10" s="3"/>
      <c r="W10" s="3"/>
      <c r="X10" s="3"/>
      <c r="Y10" s="3"/>
      <c r="Z10" s="3"/>
      <c r="AA10" s="3"/>
      <c r="AB10" s="3"/>
      <c r="AC10" s="3"/>
      <c r="AE10" s="3"/>
      <c r="AF10" s="333" t="s">
        <v>79</v>
      </c>
      <c r="AG10" s="3"/>
      <c r="AH10" s="3"/>
      <c r="AI10" s="3"/>
    </row>
    <row r="11" spans="1:38" ht="15" x14ac:dyDescent="0.25">
      <c r="B11" s="3"/>
      <c r="C11" s="3"/>
      <c r="D11" s="3"/>
      <c r="E11" s="3"/>
      <c r="F11" s="334" t="s">
        <v>292</v>
      </c>
      <c r="G11" s="334"/>
      <c r="H11" s="115"/>
      <c r="I11" s="115" t="s">
        <v>72</v>
      </c>
      <c r="J11" s="3"/>
      <c r="K11" s="3"/>
      <c r="L11" s="3"/>
      <c r="M11" s="3"/>
      <c r="N11" s="3"/>
      <c r="O11" s="3"/>
      <c r="P11" s="3"/>
      <c r="Q11" s="3"/>
      <c r="S11" s="3"/>
      <c r="T11" s="382">
        <f>D9</f>
        <v>0</v>
      </c>
      <c r="U11" s="3"/>
      <c r="V11" s="3"/>
      <c r="W11" s="3"/>
      <c r="X11" s="3"/>
      <c r="Y11" s="3"/>
      <c r="Z11" s="3"/>
      <c r="AA11" s="3"/>
      <c r="AB11" s="3"/>
      <c r="AC11" s="3"/>
      <c r="AE11" s="3"/>
      <c r="AF11" s="382">
        <f>D9</f>
        <v>0</v>
      </c>
      <c r="AG11" s="3"/>
      <c r="AH11" s="3"/>
      <c r="AI11" s="3"/>
    </row>
    <row r="12" spans="1:38" x14ac:dyDescent="0.2">
      <c r="B12" s="3"/>
      <c r="C12" s="3"/>
      <c r="D12" s="3"/>
      <c r="E12" s="392" t="s">
        <v>78</v>
      </c>
      <c r="F12" s="391">
        <f>'Referenz Plattenfertiger'!F12</f>
        <v>40000</v>
      </c>
      <c r="G12" s="391" t="s">
        <v>46</v>
      </c>
      <c r="H12" s="3"/>
      <c r="I12" s="110"/>
      <c r="J12" s="3" t="s">
        <v>46</v>
      </c>
      <c r="K12" s="3"/>
      <c r="L12" s="3"/>
      <c r="M12" s="3"/>
      <c r="N12" s="3"/>
      <c r="O12" s="3"/>
      <c r="P12" s="3"/>
      <c r="Q12" s="3"/>
      <c r="S12" s="3"/>
      <c r="T12" s="3"/>
      <c r="U12" s="3"/>
      <c r="V12" s="3"/>
      <c r="W12" s="3"/>
      <c r="X12" s="3"/>
      <c r="Y12" s="3"/>
      <c r="Z12" s="3"/>
      <c r="AA12" s="3"/>
      <c r="AB12" s="3"/>
      <c r="AC12" s="3"/>
      <c r="AE12" s="3"/>
      <c r="AF12" s="3"/>
      <c r="AG12" s="3"/>
      <c r="AH12" s="3"/>
      <c r="AI12" s="3"/>
    </row>
    <row r="13" spans="1:38" x14ac:dyDescent="0.2">
      <c r="B13" s="3"/>
      <c r="C13" s="3"/>
      <c r="D13" s="3"/>
      <c r="E13" s="3"/>
      <c r="F13" s="227"/>
      <c r="G13" s="227"/>
      <c r="H13" s="3"/>
      <c r="I13" s="3"/>
      <c r="J13" s="3"/>
      <c r="K13" s="3"/>
      <c r="L13" s="3"/>
      <c r="M13" s="3"/>
      <c r="N13" s="3"/>
      <c r="O13" s="3"/>
      <c r="P13" s="3"/>
      <c r="Q13" s="3"/>
      <c r="S13" s="3"/>
      <c r="T13" s="3"/>
      <c r="U13" s="3"/>
      <c r="V13" s="3"/>
      <c r="W13" s="3"/>
      <c r="X13" s="3"/>
      <c r="Y13" s="3"/>
      <c r="Z13" s="3"/>
      <c r="AA13" s="3"/>
      <c r="AB13" s="3"/>
      <c r="AC13" s="3"/>
      <c r="AE13" s="3"/>
      <c r="AF13" s="3"/>
      <c r="AG13" s="3"/>
      <c r="AH13" s="3"/>
      <c r="AI13" s="3"/>
    </row>
    <row r="14" spans="1:38" s="340" customFormat="1" ht="76.5" x14ac:dyDescent="0.2">
      <c r="B14" s="116"/>
      <c r="C14" s="24"/>
      <c r="D14" s="336"/>
      <c r="E14" s="49" t="s">
        <v>69</v>
      </c>
      <c r="F14" s="390" t="s">
        <v>74</v>
      </c>
      <c r="G14" s="390" t="s">
        <v>19</v>
      </c>
      <c r="H14" s="339"/>
      <c r="I14" s="339" t="s">
        <v>73</v>
      </c>
      <c r="J14" s="49" t="s">
        <v>19</v>
      </c>
      <c r="K14" s="49"/>
      <c r="L14" s="49"/>
      <c r="M14" s="339" t="s">
        <v>454</v>
      </c>
      <c r="N14" s="339" t="s">
        <v>455</v>
      </c>
      <c r="O14" s="49"/>
      <c r="P14" s="49" t="s">
        <v>255</v>
      </c>
      <c r="Q14" s="116"/>
      <c r="S14" s="116"/>
      <c r="T14" s="24"/>
      <c r="U14" s="24"/>
      <c r="V14" s="117" t="s">
        <v>25</v>
      </c>
      <c r="W14" s="117" t="s">
        <v>26</v>
      </c>
      <c r="X14" s="117" t="s">
        <v>27</v>
      </c>
      <c r="Y14" s="117"/>
      <c r="Z14" s="49" t="s">
        <v>80</v>
      </c>
      <c r="AA14" s="341" t="s">
        <v>37</v>
      </c>
      <c r="AB14" s="49"/>
      <c r="AC14" s="116"/>
      <c r="AE14" s="116"/>
      <c r="AF14" s="336"/>
      <c r="AG14" s="336"/>
      <c r="AH14" s="336"/>
      <c r="AI14" s="116"/>
      <c r="AJ14" s="6"/>
      <c r="AK14" s="6"/>
      <c r="AL14" s="6"/>
    </row>
    <row r="15" spans="1:38" s="340" customFormat="1" ht="14.25" x14ac:dyDescent="0.2">
      <c r="B15" s="116"/>
      <c r="C15" s="8" t="s">
        <v>71</v>
      </c>
      <c r="D15" s="116"/>
      <c r="E15" s="12"/>
      <c r="F15" s="342"/>
      <c r="G15" s="343"/>
      <c r="H15" s="344"/>
      <c r="I15" s="344"/>
      <c r="J15" s="12"/>
      <c r="K15" s="12"/>
      <c r="L15" s="12"/>
      <c r="M15" s="12"/>
      <c r="N15" s="12"/>
      <c r="O15" s="12"/>
      <c r="P15" s="116"/>
      <c r="Q15" s="116"/>
      <c r="S15" s="116"/>
      <c r="T15" s="345" t="s">
        <v>176</v>
      </c>
      <c r="U15" s="345"/>
      <c r="V15" s="346">
        <f>SUM(V16:V29)</f>
        <v>94.932355060000006</v>
      </c>
      <c r="W15" s="346">
        <f>SUM(W16:W29)</f>
        <v>171.9</v>
      </c>
      <c r="X15" s="346">
        <f>SUM(X16:X29)</f>
        <v>41.281733459999998</v>
      </c>
      <c r="Y15" s="347"/>
      <c r="Z15" s="346">
        <f>V15+W15</f>
        <v>266.83235506</v>
      </c>
      <c r="AA15" s="367">
        <f>SUM(V15:X15)</f>
        <v>308.11408852</v>
      </c>
      <c r="AB15" s="347" t="s">
        <v>149</v>
      </c>
      <c r="AC15" s="116"/>
      <c r="AE15" s="116"/>
      <c r="AF15" s="347" t="s">
        <v>108</v>
      </c>
      <c r="AG15" s="369">
        <f>SUM(AG16:AG22)</f>
        <v>109669</v>
      </c>
      <c r="AH15" s="347" t="s">
        <v>96</v>
      </c>
      <c r="AI15" s="116"/>
      <c r="AJ15" s="6"/>
      <c r="AK15" s="6"/>
      <c r="AL15" s="6"/>
    </row>
    <row r="16" spans="1:38" ht="15.75" x14ac:dyDescent="0.2">
      <c r="B16" s="3"/>
      <c r="C16" s="348"/>
      <c r="D16" s="3" t="s">
        <v>476</v>
      </c>
      <c r="E16" s="3" t="s">
        <v>29</v>
      </c>
      <c r="F16" s="335">
        <f>'Referenz Plattenfertiger'!F16</f>
        <v>188000</v>
      </c>
      <c r="G16" s="118" t="s">
        <v>38</v>
      </c>
      <c r="H16" s="9"/>
      <c r="I16" s="110"/>
      <c r="J16" s="3" t="s">
        <v>38</v>
      </c>
      <c r="K16" s="3"/>
      <c r="L16" s="3"/>
      <c r="M16" s="389"/>
      <c r="N16" s="389"/>
      <c r="O16" s="3"/>
      <c r="P16" s="3"/>
      <c r="Q16" s="3"/>
      <c r="S16" s="3"/>
      <c r="T16" s="3" t="str">
        <f>E16</f>
        <v>Erdgas</v>
      </c>
      <c r="U16" s="3"/>
      <c r="V16" s="79">
        <f>IF(NOT(ISBLANK($I16)),$I16,$F16)*IF(NOT(ISBLANK(M16)),M16,'Eingabe EF'!$G9)</f>
        <v>34.434080000000002</v>
      </c>
      <c r="W16" s="79"/>
      <c r="X16" s="79">
        <f>IF(NOT(ISBLANK($I16)),$I16,$F16)*IF(NOT(ISBLANK(N16)),N16,'Eingabe EF'!$O9)</f>
        <v>5.8938000000000006</v>
      </c>
      <c r="Y16" s="15"/>
      <c r="Z16" s="79">
        <f>V16+W16</f>
        <v>34.434080000000002</v>
      </c>
      <c r="AA16" s="81">
        <f>SUM(V16:X16)</f>
        <v>40.32788</v>
      </c>
      <c r="AB16" s="15" t="s">
        <v>148</v>
      </c>
      <c r="AC16" s="3"/>
      <c r="AE16" s="3"/>
      <c r="AF16" s="15" t="s">
        <v>29</v>
      </c>
      <c r="AG16" s="80">
        <f>(IF(NOT(ISBLANK($I16)),$I16,$F16)+IF(NOT(ISBLANK($I21)),$I21,$F21))/1000*IF(NOT(ISBLANK('Eingabe Preise'!$G10)),'Eingabe Preise'!$G10,'Eingabe Preise'!$E10)</f>
        <v>14335</v>
      </c>
      <c r="AH16" s="15" t="s">
        <v>96</v>
      </c>
      <c r="AI16" s="3"/>
    </row>
    <row r="17" spans="2:35" ht="15.75" x14ac:dyDescent="0.2">
      <c r="B17" s="3"/>
      <c r="C17" s="348"/>
      <c r="D17" s="3"/>
      <c r="E17" s="3" t="s">
        <v>30</v>
      </c>
      <c r="F17" s="335">
        <f>'Referenz Plattenfertiger'!F17</f>
        <v>24000</v>
      </c>
      <c r="G17" s="118" t="s">
        <v>41</v>
      </c>
      <c r="H17" s="9"/>
      <c r="I17" s="110"/>
      <c r="J17" s="3" t="s">
        <v>41</v>
      </c>
      <c r="K17" s="3"/>
      <c r="L17" s="3"/>
      <c r="M17" s="389"/>
      <c r="N17" s="389"/>
      <c r="O17" s="3"/>
      <c r="P17" s="3"/>
      <c r="Q17" s="3"/>
      <c r="S17" s="3"/>
      <c r="T17" s="3" t="str">
        <f>E17</f>
        <v>Heizöl</v>
      </c>
      <c r="U17" s="3"/>
      <c r="V17" s="79">
        <f>IF(NOT(ISBLANK($I17)),$I17,$F17)*IF(NOT(ISBLANK(M17)),M17,'Eingabe EF'!$G10)</f>
        <v>6.4022399999999999</v>
      </c>
      <c r="W17" s="79"/>
      <c r="X17" s="79">
        <f>IF(NOT(ISBLANK($I17)),$I17,$F17)*IF(NOT(ISBLANK(N17)),N17,'Eingabe EF'!$O10)</f>
        <v>0.949824</v>
      </c>
      <c r="Y17" s="15"/>
      <c r="Z17" s="79">
        <f t="shared" ref="Z17:Z29" si="0">V17+W17</f>
        <v>6.4022399999999999</v>
      </c>
      <c r="AA17" s="81">
        <f>SUM(V17:X17)</f>
        <v>7.3520640000000004</v>
      </c>
      <c r="AB17" s="15" t="s">
        <v>148</v>
      </c>
      <c r="AC17" s="3"/>
      <c r="AE17" s="3"/>
      <c r="AF17" s="15" t="s">
        <v>30</v>
      </c>
      <c r="AG17" s="80">
        <f>(IF(NOT(ISBLANK($I17)),$I17,$F17)+IF(NOT(ISBLANK($I22)),$I22,$F22))/1000*IF(NOT(ISBLANK('Eingabe Preise'!$G11)),'Eingabe Preise'!$G11,'Eingabe Preise'!$E11)</f>
        <v>2760</v>
      </c>
      <c r="AH17" s="15" t="s">
        <v>96</v>
      </c>
      <c r="AI17" s="3"/>
    </row>
    <row r="18" spans="2:35" ht="25.5" x14ac:dyDescent="0.2">
      <c r="B18" s="3"/>
      <c r="C18" s="348"/>
      <c r="D18" s="3"/>
      <c r="E18" s="116" t="s">
        <v>523</v>
      </c>
      <c r="F18" s="335">
        <f>'Referenz Plattenfertiger'!F18</f>
        <v>45000</v>
      </c>
      <c r="G18" s="118" t="s">
        <v>40</v>
      </c>
      <c r="H18" s="9"/>
      <c r="I18" s="110"/>
      <c r="J18" s="3" t="s">
        <v>40</v>
      </c>
      <c r="K18" s="3"/>
      <c r="L18" s="3"/>
      <c r="M18" s="389"/>
      <c r="N18" s="389"/>
      <c r="O18" s="3"/>
      <c r="P18" s="3"/>
      <c r="Q18" s="3"/>
      <c r="S18" s="3"/>
      <c r="T18" s="3" t="str">
        <f>E18</f>
        <v>Elektrische Energie (Default = deutscher Strommix)</v>
      </c>
      <c r="U18" s="3"/>
      <c r="V18" s="79"/>
      <c r="W18" s="79">
        <f>IF(NOT(ISBLANK($I18)),$I18,$F18)*IF(NOT(ISBLANK(M18)),M18,'Eingabe EF'!$K11)</f>
        <v>17.190000000000001</v>
      </c>
      <c r="X18" s="79">
        <f>IF(NOT(ISBLANK($I18)),$I18,$F18)*IF(NOT(ISBLANK(N18)),N18,'Eingabe EF'!$O11)</f>
        <v>2.52</v>
      </c>
      <c r="Y18" s="15"/>
      <c r="Z18" s="79">
        <f>V18+W18</f>
        <v>17.190000000000001</v>
      </c>
      <c r="AA18" s="81">
        <f>SUM(V18:X18)</f>
        <v>19.71</v>
      </c>
      <c r="AB18" s="15" t="s">
        <v>148</v>
      </c>
      <c r="AC18" s="3"/>
      <c r="AE18" s="3"/>
      <c r="AF18" s="15" t="s">
        <v>31</v>
      </c>
      <c r="AG18" s="80">
        <f>(IF(NOT(ISBLANK($I18)),$I18,$F18)+IF(NOT(ISBLANK($I24)),$I24,$F24))/1000*IF(NOT(ISBLANK('Eingabe Preise'!$G12)),'Eingabe Preise'!$G12,'Eingabe Preise'!$E12)</f>
        <v>77400</v>
      </c>
      <c r="AH18" s="15" t="s">
        <v>96</v>
      </c>
      <c r="AI18" s="3"/>
    </row>
    <row r="19" spans="2:35" s="372" customFormat="1" ht="25.5" x14ac:dyDescent="0.2">
      <c r="B19" s="15"/>
      <c r="C19" s="348"/>
      <c r="D19" s="15"/>
      <c r="E19" s="14" t="s">
        <v>527</v>
      </c>
      <c r="F19" s="362">
        <f>'Referenz Plattenfertiger'!F19</f>
        <v>0</v>
      </c>
      <c r="G19" s="363" t="s">
        <v>40</v>
      </c>
      <c r="H19" s="79"/>
      <c r="I19" s="272"/>
      <c r="J19" s="15" t="s">
        <v>40</v>
      </c>
      <c r="K19" s="15"/>
      <c r="L19" s="15"/>
      <c r="M19" s="463"/>
      <c r="N19" s="463"/>
      <c r="O19" s="464"/>
      <c r="P19" s="361"/>
      <c r="Q19" s="15"/>
      <c r="S19" s="15"/>
      <c r="T19" s="15" t="str">
        <f>E19</f>
        <v>Alternativer Energieträger / ggf. Eigenerzeugung</v>
      </c>
      <c r="U19" s="15"/>
      <c r="V19" s="79">
        <f>IF(NOT(ISBLANK($I19)),$I19,$F19)*M19</f>
        <v>0</v>
      </c>
      <c r="W19" s="79"/>
      <c r="X19" s="79">
        <f>IF(NOT(ISBLANK($I19)),$I19,$F19)*IF(NOT(ISBLANK(N19)),N19,0)</f>
        <v>0</v>
      </c>
      <c r="Y19" s="15"/>
      <c r="Z19" s="79">
        <f>V19+W19</f>
        <v>0</v>
      </c>
      <c r="AA19" s="81">
        <f>SUM(V19:X19)</f>
        <v>0</v>
      </c>
      <c r="AB19" s="15" t="s">
        <v>148</v>
      </c>
      <c r="AC19" s="15"/>
      <c r="AE19" s="15"/>
      <c r="AF19" s="15" t="s">
        <v>111</v>
      </c>
      <c r="AG19" s="80">
        <f>IF(NOT(ISBLANK($I25)),$I25,$F25)/1000*IF(NOT(ISBLANK('Eingabe Preise'!$G13)),'Eingabe Preise'!$G13,'Eingabe Preise'!$E13)</f>
        <v>0</v>
      </c>
      <c r="AH19" s="15" t="s">
        <v>96</v>
      </c>
      <c r="AI19" s="15"/>
    </row>
    <row r="20" spans="2:35" x14ac:dyDescent="0.2">
      <c r="B20" s="3"/>
      <c r="C20" s="348"/>
      <c r="D20" s="3"/>
      <c r="E20" s="3"/>
      <c r="F20" s="335"/>
      <c r="G20" s="118"/>
      <c r="H20" s="9"/>
      <c r="I20" s="9"/>
      <c r="J20" s="3"/>
      <c r="K20" s="3"/>
      <c r="L20" s="3"/>
      <c r="M20" s="3"/>
      <c r="N20" s="3"/>
      <c r="O20" s="3"/>
      <c r="P20" s="3"/>
      <c r="Q20" s="3"/>
      <c r="S20" s="3"/>
      <c r="T20" s="3"/>
      <c r="U20" s="3"/>
      <c r="V20" s="79"/>
      <c r="W20" s="79"/>
      <c r="X20" s="79"/>
      <c r="Y20" s="15"/>
      <c r="Z20" s="79"/>
      <c r="AA20" s="81"/>
      <c r="AB20" s="15"/>
      <c r="AC20" s="3"/>
      <c r="AE20" s="3"/>
      <c r="AF20" s="15" t="s">
        <v>112</v>
      </c>
      <c r="AG20" s="80">
        <f>I19/1000*'Eingabe Preise'!G16</f>
        <v>0</v>
      </c>
      <c r="AH20" s="15" t="s">
        <v>96</v>
      </c>
      <c r="AI20" s="3"/>
    </row>
    <row r="21" spans="2:35" ht="15.75" x14ac:dyDescent="0.2">
      <c r="B21" s="3"/>
      <c r="C21" s="348"/>
      <c r="D21" s="3" t="s">
        <v>110</v>
      </c>
      <c r="E21" s="3" t="s">
        <v>29</v>
      </c>
      <c r="F21" s="335">
        <f>'Referenz Plattenfertiger'!F21</f>
        <v>47000</v>
      </c>
      <c r="G21" s="118" t="s">
        <v>38</v>
      </c>
      <c r="H21" s="9"/>
      <c r="I21" s="110"/>
      <c r="J21" s="3" t="s">
        <v>38</v>
      </c>
      <c r="K21" s="3"/>
      <c r="L21" s="3"/>
      <c r="M21" s="389"/>
      <c r="N21" s="389"/>
      <c r="O21" s="3"/>
      <c r="P21" s="3"/>
      <c r="Q21" s="3"/>
      <c r="S21" s="3"/>
      <c r="T21" s="3" t="str">
        <f>E21</f>
        <v>Erdgas</v>
      </c>
      <c r="U21" s="3"/>
      <c r="V21" s="79">
        <f>IF(NOT(ISBLANK($I21)),$I21,$F21)*IF(NOT(ISBLANK(M21)),M21,'Eingabe EF'!$G9)</f>
        <v>8.6085200000000004</v>
      </c>
      <c r="W21" s="79"/>
      <c r="X21" s="79">
        <f>IF(NOT(ISBLANK($I21)),$I21,$F21)*IF(NOT(ISBLANK(N21)),N21,'Eingabe EF'!$O9)</f>
        <v>1.4734500000000001</v>
      </c>
      <c r="Y21" s="15"/>
      <c r="Z21" s="79">
        <f>V21+W21</f>
        <v>8.6085200000000004</v>
      </c>
      <c r="AA21" s="81">
        <f t="shared" ref="AA21:AA29" si="1">SUM(V21:X21)</f>
        <v>10.08197</v>
      </c>
      <c r="AB21" s="15" t="s">
        <v>148</v>
      </c>
      <c r="AC21" s="3"/>
      <c r="AE21" s="3"/>
      <c r="AF21" s="15" t="s">
        <v>113</v>
      </c>
      <c r="AG21" s="80">
        <f>I26/1000*'Eingabe Preise'!G17</f>
        <v>0</v>
      </c>
      <c r="AH21" s="15" t="s">
        <v>96</v>
      </c>
      <c r="AI21" s="3"/>
    </row>
    <row r="22" spans="2:35" ht="15.75" x14ac:dyDescent="0.2">
      <c r="B22" s="3"/>
      <c r="C22" s="348"/>
      <c r="D22" s="3"/>
      <c r="E22" s="3" t="s">
        <v>30</v>
      </c>
      <c r="F22" s="335">
        <f>'Referenz Plattenfertiger'!F22</f>
        <v>36000</v>
      </c>
      <c r="G22" s="363" t="s">
        <v>41</v>
      </c>
      <c r="H22" s="9"/>
      <c r="I22" s="110"/>
      <c r="J22" s="3" t="s">
        <v>41</v>
      </c>
      <c r="K22" s="3"/>
      <c r="L22" s="3"/>
      <c r="M22" s="389"/>
      <c r="N22" s="389"/>
      <c r="O22" s="3"/>
      <c r="P22" s="3"/>
      <c r="Q22" s="3"/>
      <c r="S22" s="3"/>
      <c r="T22" s="3" t="str">
        <f>E22</f>
        <v>Heizöl</v>
      </c>
      <c r="U22" s="3"/>
      <c r="V22" s="79">
        <f>IF(NOT(ISBLANK($I22)),$I22,$F22)*IF(NOT(ISBLANK(M22)),M22,'Eingabe EF'!$G10)</f>
        <v>9.6033600000000003</v>
      </c>
      <c r="W22" s="79"/>
      <c r="X22" s="79">
        <f>IF(NOT(ISBLANK($I22)),$I22,$F22)*IF(NOT(ISBLANK(N22)),N22,'Eingabe EF'!$O10)</f>
        <v>1.424736</v>
      </c>
      <c r="Y22" s="15"/>
      <c r="Z22" s="79">
        <f t="shared" ref="Z22" si="2">V22+W22</f>
        <v>9.6033600000000003</v>
      </c>
      <c r="AA22" s="81">
        <f t="shared" si="1"/>
        <v>11.028096</v>
      </c>
      <c r="AB22" s="15" t="s">
        <v>148</v>
      </c>
      <c r="AC22" s="3"/>
      <c r="AE22" s="3"/>
      <c r="AF22" s="15" t="s">
        <v>32</v>
      </c>
      <c r="AG22" s="80">
        <f>(IF(NOT(ISBLANK($I28)),$I28,$F28)+IF(NOT(ISBLANK($I29)),$I29,$F29))*IF(NOT(ISBLANK('Eingabe Preise'!$G14)),'Eingabe Preise'!$G14,'Eingabe Preise'!$E14)</f>
        <v>15174.000000000002</v>
      </c>
      <c r="AH22" s="15" t="s">
        <v>96</v>
      </c>
      <c r="AI22" s="3"/>
    </row>
    <row r="23" spans="2:35" x14ac:dyDescent="0.2">
      <c r="B23" s="3"/>
      <c r="C23" s="348"/>
      <c r="D23" s="3"/>
      <c r="E23" s="3"/>
      <c r="F23" s="363"/>
      <c r="G23" s="363"/>
      <c r="H23" s="3"/>
      <c r="I23" s="9"/>
      <c r="J23" s="3"/>
      <c r="K23" s="3"/>
      <c r="L23" s="3"/>
      <c r="M23" s="3"/>
      <c r="N23" s="3"/>
      <c r="O23" s="3"/>
      <c r="P23" s="3"/>
      <c r="Q23" s="3"/>
      <c r="S23" s="3"/>
      <c r="T23" s="3"/>
      <c r="U23" s="3"/>
      <c r="V23" s="79"/>
      <c r="W23" s="79"/>
      <c r="X23" s="79"/>
      <c r="Y23" s="15"/>
      <c r="Z23" s="79"/>
      <c r="AA23" s="81"/>
      <c r="AB23" s="15"/>
      <c r="AC23" s="3"/>
      <c r="AE23" s="3"/>
      <c r="AF23" s="15"/>
      <c r="AG23" s="80"/>
      <c r="AH23" s="15"/>
      <c r="AI23" s="3"/>
    </row>
    <row r="24" spans="2:35" ht="25.5" x14ac:dyDescent="0.2">
      <c r="B24" s="3"/>
      <c r="C24" s="348"/>
      <c r="D24" s="116" t="s">
        <v>477</v>
      </c>
      <c r="E24" s="116" t="s">
        <v>523</v>
      </c>
      <c r="F24" s="335">
        <f>'Referenz Plattenfertiger'!F24</f>
        <v>405000</v>
      </c>
      <c r="G24" s="363" t="s">
        <v>40</v>
      </c>
      <c r="H24" s="9"/>
      <c r="I24" s="110"/>
      <c r="J24" s="3" t="s">
        <v>40</v>
      </c>
      <c r="K24" s="3"/>
      <c r="L24" s="3"/>
      <c r="M24" s="389"/>
      <c r="N24" s="389"/>
      <c r="O24" s="3"/>
      <c r="P24" s="3"/>
      <c r="Q24" s="3"/>
      <c r="S24" s="3"/>
      <c r="T24" s="3" t="str">
        <f>E24</f>
        <v>Elektrische Energie (Default = deutscher Strommix)</v>
      </c>
      <c r="U24" s="3"/>
      <c r="V24" s="79"/>
      <c r="W24" s="79">
        <f>IF(NOT(ISBLANK($I24)),$I24,$F24)*IF(NOT(ISBLANK(M24)),M24,'Eingabe EF'!$K11)</f>
        <v>154.71</v>
      </c>
      <c r="X24" s="79">
        <f>IF(NOT(ISBLANK($I24)),$I24,$F24)*IF(NOT(ISBLANK(N24)),N24,'Eingabe EF'!$O11)</f>
        <v>22.68</v>
      </c>
      <c r="Y24" s="15"/>
      <c r="Z24" s="79">
        <f t="shared" si="0"/>
        <v>154.71</v>
      </c>
      <c r="AA24" s="81">
        <f t="shared" si="1"/>
        <v>177.39000000000001</v>
      </c>
      <c r="AB24" s="15" t="s">
        <v>148</v>
      </c>
      <c r="AC24" s="3"/>
      <c r="AE24" s="3"/>
      <c r="AF24" s="15"/>
      <c r="AG24" s="15"/>
      <c r="AH24" s="15"/>
      <c r="AI24" s="3"/>
    </row>
    <row r="25" spans="2:35" ht="15.75" x14ac:dyDescent="0.2">
      <c r="B25" s="3"/>
      <c r="C25" s="348"/>
      <c r="D25" s="3"/>
      <c r="E25" s="3" t="s">
        <v>111</v>
      </c>
      <c r="F25" s="335">
        <f>'Referenz Plattenfertiger'!F25</f>
        <v>0</v>
      </c>
      <c r="G25" s="363" t="s">
        <v>40</v>
      </c>
      <c r="H25" s="9"/>
      <c r="I25" s="110"/>
      <c r="J25" s="3" t="s">
        <v>40</v>
      </c>
      <c r="K25" s="3"/>
      <c r="L25" s="3"/>
      <c r="M25" s="389"/>
      <c r="N25" s="389"/>
      <c r="O25" s="3"/>
      <c r="P25" s="3"/>
      <c r="Q25" s="3"/>
      <c r="S25" s="3"/>
      <c r="T25" s="3" t="str">
        <f>E25</f>
        <v>Flüssiggas</v>
      </c>
      <c r="U25" s="3"/>
      <c r="V25" s="79">
        <f>IF(NOT(ISBLANK($I25)),$I25,$F25)*IF(NOT(ISBLANK(M25)),M25,'Eingabe EF'!$G13)</f>
        <v>0</v>
      </c>
      <c r="W25" s="79"/>
      <c r="X25" s="79">
        <f>IF(NOT(ISBLANK($I25)),$I25,$F25)*IF(NOT(ISBLANK(N25)),N25,'Eingabe EF'!$O13)</f>
        <v>0</v>
      </c>
      <c r="Y25" s="15"/>
      <c r="Z25" s="79">
        <f t="shared" si="0"/>
        <v>0</v>
      </c>
      <c r="AA25" s="81">
        <f t="shared" si="1"/>
        <v>0</v>
      </c>
      <c r="AB25" s="15" t="s">
        <v>148</v>
      </c>
      <c r="AC25" s="3"/>
      <c r="AE25" s="3"/>
      <c r="AF25" s="347" t="s">
        <v>290</v>
      </c>
      <c r="AG25" s="369">
        <f>SUM(AG26:AG28)</f>
        <v>152459.04944673795</v>
      </c>
      <c r="AH25" s="347" t="s">
        <v>96</v>
      </c>
      <c r="AI25" s="3"/>
    </row>
    <row r="26" spans="2:35" s="372" customFormat="1" ht="25.5" x14ac:dyDescent="0.2">
      <c r="B26" s="15"/>
      <c r="C26" s="348"/>
      <c r="D26" s="15"/>
      <c r="E26" s="14" t="s">
        <v>527</v>
      </c>
      <c r="F26" s="362">
        <f>'Referenz Plattenfertiger'!F26</f>
        <v>0</v>
      </c>
      <c r="G26" s="363" t="s">
        <v>40</v>
      </c>
      <c r="H26" s="79"/>
      <c r="I26" s="272"/>
      <c r="J26" s="15" t="s">
        <v>40</v>
      </c>
      <c r="K26" s="15"/>
      <c r="L26" s="15"/>
      <c r="M26" s="463"/>
      <c r="N26" s="463"/>
      <c r="O26" s="464"/>
      <c r="P26" s="361"/>
      <c r="Q26" s="15"/>
      <c r="S26" s="15"/>
      <c r="T26" s="15" t="str">
        <f>E26</f>
        <v>Alternativer Energieträger / ggf. Eigenerzeugung</v>
      </c>
      <c r="U26" s="15"/>
      <c r="V26" s="79">
        <f>IF(NOT(ISBLANK($I26)),$I26,$F26)*M26</f>
        <v>0</v>
      </c>
      <c r="W26" s="79"/>
      <c r="X26" s="79">
        <f>IF(NOT(ISBLANK($I26)),$I26,$F26)*IF(NOT(ISBLANK(N26)),N26,0)</f>
        <v>0</v>
      </c>
      <c r="Y26" s="15"/>
      <c r="Z26" s="79">
        <f>V26+W26</f>
        <v>0</v>
      </c>
      <c r="AA26" s="81">
        <f t="shared" si="1"/>
        <v>0</v>
      </c>
      <c r="AB26" s="15" t="s">
        <v>148</v>
      </c>
      <c r="AC26" s="15"/>
      <c r="AE26" s="15"/>
      <c r="AF26" s="15" t="s">
        <v>25</v>
      </c>
      <c r="AG26" s="80">
        <f>V78*IF(NOT(ISBLANK('Eingabe Preise'!$G21)),'Eingabe Preise'!$G21,'Eingabe Preise'!$E21)</f>
        <v>2373.3088765000002</v>
      </c>
      <c r="AH26" s="15" t="s">
        <v>96</v>
      </c>
      <c r="AI26" s="15"/>
    </row>
    <row r="27" spans="2:35" x14ac:dyDescent="0.2">
      <c r="B27" s="3"/>
      <c r="C27" s="348"/>
      <c r="D27" s="3"/>
      <c r="E27" s="3"/>
      <c r="F27" s="362"/>
      <c r="G27" s="362"/>
      <c r="H27" s="9"/>
      <c r="I27" s="9"/>
      <c r="J27" s="3"/>
      <c r="K27" s="3"/>
      <c r="L27" s="3"/>
      <c r="M27" s="3"/>
      <c r="N27" s="3"/>
      <c r="O27" s="3"/>
      <c r="P27" s="3"/>
      <c r="Q27" s="3"/>
      <c r="S27" s="3"/>
      <c r="T27" s="31"/>
      <c r="U27" s="31"/>
      <c r="V27" s="364"/>
      <c r="W27" s="364"/>
      <c r="X27" s="364"/>
      <c r="Y27" s="365"/>
      <c r="Z27" s="364"/>
      <c r="AA27" s="376"/>
      <c r="AB27" s="365"/>
      <c r="AC27" s="3"/>
      <c r="AE27" s="3"/>
      <c r="AF27" s="15" t="s">
        <v>26</v>
      </c>
      <c r="AG27" s="80">
        <f>W78*IF(NOT(ISBLANK('Eingabe Preise'!$G22)),'Eingabe Preise'!$G22,'Eingabe Preise'!$E22)</f>
        <v>4297.5</v>
      </c>
      <c r="AH27" s="15" t="s">
        <v>96</v>
      </c>
      <c r="AI27" s="3"/>
    </row>
    <row r="28" spans="2:35" ht="15.75" x14ac:dyDescent="0.2">
      <c r="B28" s="3"/>
      <c r="C28" s="348"/>
      <c r="D28" s="3" t="s">
        <v>478</v>
      </c>
      <c r="E28" s="3" t="s">
        <v>32</v>
      </c>
      <c r="F28" s="335">
        <f>'Referenz Plattenfertiger'!F28</f>
        <v>11000</v>
      </c>
      <c r="G28" s="363" t="s">
        <v>39</v>
      </c>
      <c r="H28" s="9"/>
      <c r="I28" s="110"/>
      <c r="J28" s="3" t="s">
        <v>39</v>
      </c>
      <c r="K28" s="3"/>
      <c r="L28" s="3"/>
      <c r="M28" s="3"/>
      <c r="N28" s="389"/>
      <c r="O28" s="3"/>
      <c r="P28" s="3"/>
      <c r="Q28" s="3"/>
      <c r="S28" s="3"/>
      <c r="T28" s="3" t="str">
        <f>E28&amp;" "&amp;D28</f>
        <v>Diesel Gabelstapler (4x) 1)</v>
      </c>
      <c r="U28" s="3"/>
      <c r="V28" s="79">
        <f>IF(NOT(ISBLANK($I28)),$I28,$F28)*IF(NOT(ISBLANK(M28)),M28,'Eingabe EF'!$G15)</f>
        <v>29.238941159999996</v>
      </c>
      <c r="W28" s="79"/>
      <c r="X28" s="79">
        <f>IF(NOT(ISBLANK($I28)),$I28,$F28)*IF(NOT(ISBLANK(N28)),N28,'Eingabe EF'!$O15)</f>
        <v>5.1658635600000009</v>
      </c>
      <c r="Y28" s="15"/>
      <c r="Z28" s="79">
        <f t="shared" si="0"/>
        <v>29.238941159999996</v>
      </c>
      <c r="AA28" s="81">
        <f t="shared" si="1"/>
        <v>34.404804719999994</v>
      </c>
      <c r="AB28" s="15" t="s">
        <v>148</v>
      </c>
      <c r="AC28" s="3"/>
      <c r="AE28" s="3"/>
      <c r="AF28" s="15" t="s">
        <v>27</v>
      </c>
      <c r="AG28" s="80">
        <f>X78*IF(NOT(ISBLANK('Eingabe Preise'!$G23)),'Eingabe Preise'!$G23,'Eingabe Preise'!$E23)</f>
        <v>145788.24057023795</v>
      </c>
      <c r="AH28" s="15" t="s">
        <v>96</v>
      </c>
      <c r="AI28" s="3"/>
    </row>
    <row r="29" spans="2:35" ht="15.75" x14ac:dyDescent="0.2">
      <c r="B29" s="3"/>
      <c r="C29" s="348"/>
      <c r="D29" s="3" t="s">
        <v>70</v>
      </c>
      <c r="E29" s="3" t="s">
        <v>32</v>
      </c>
      <c r="F29" s="335">
        <f>'Referenz Plattenfertiger'!F29</f>
        <v>2500</v>
      </c>
      <c r="G29" s="363" t="s">
        <v>39</v>
      </c>
      <c r="H29" s="9"/>
      <c r="I29" s="110"/>
      <c r="J29" s="3" t="s">
        <v>39</v>
      </c>
      <c r="K29" s="3"/>
      <c r="L29" s="3"/>
      <c r="M29" s="3"/>
      <c r="N29" s="389"/>
      <c r="O29" s="3"/>
      <c r="P29" s="3"/>
      <c r="Q29" s="3"/>
      <c r="S29" s="3"/>
      <c r="T29" s="3" t="str">
        <f>E29&amp;" "&amp;D29</f>
        <v>Diesel Radlader (1x)</v>
      </c>
      <c r="U29" s="3"/>
      <c r="V29" s="79">
        <f>IF(NOT(ISBLANK($I29)),$I29,$F29)*IF(NOT(ISBLANK('Eingabe EF'!$I15)),'Eingabe EF'!$I15,'Eingabe EF'!$G15)</f>
        <v>6.645213899999999</v>
      </c>
      <c r="W29" s="79"/>
      <c r="X29" s="79">
        <f>IF(NOT(ISBLANK($I29)),$I29,$F29)*IF(NOT(ISBLANK(N29)),N29,'Eingabe EF'!$O15)</f>
        <v>1.1740599000000003</v>
      </c>
      <c r="Y29" s="15"/>
      <c r="Z29" s="79">
        <f t="shared" si="0"/>
        <v>6.645213899999999</v>
      </c>
      <c r="AA29" s="81">
        <f t="shared" si="1"/>
        <v>7.8192737999999995</v>
      </c>
      <c r="AB29" s="15" t="s">
        <v>148</v>
      </c>
      <c r="AC29" s="3"/>
      <c r="AE29" s="3"/>
      <c r="AF29" s="15"/>
      <c r="AG29" s="15"/>
      <c r="AH29" s="15"/>
      <c r="AI29" s="3"/>
    </row>
    <row r="30" spans="2:35" ht="13.5" thickBot="1" x14ac:dyDescent="0.25">
      <c r="B30" s="3"/>
      <c r="C30" s="419"/>
      <c r="D30" s="3"/>
      <c r="E30" s="3"/>
      <c r="F30" s="362"/>
      <c r="G30" s="363"/>
      <c r="H30" s="9"/>
      <c r="I30" s="9"/>
      <c r="J30" s="3"/>
      <c r="K30" s="3"/>
      <c r="L30" s="3"/>
      <c r="M30" s="3"/>
      <c r="N30" s="3"/>
      <c r="O30" s="3"/>
      <c r="P30" s="3"/>
      <c r="Q30" s="3"/>
      <c r="S30" s="3"/>
      <c r="T30" s="3"/>
      <c r="U30" s="3"/>
      <c r="V30" s="79"/>
      <c r="W30" s="79"/>
      <c r="X30" s="79"/>
      <c r="Y30" s="15"/>
      <c r="Z30" s="79"/>
      <c r="AA30" s="81"/>
      <c r="AB30" s="15"/>
      <c r="AC30" s="3"/>
      <c r="AE30" s="3"/>
      <c r="AF30" s="370" t="s">
        <v>120</v>
      </c>
      <c r="AG30" s="371">
        <f>AG25+AG15</f>
        <v>262128.04944673795</v>
      </c>
      <c r="AH30" s="370" t="s">
        <v>96</v>
      </c>
      <c r="AI30" s="3"/>
    </row>
    <row r="31" spans="2:35" ht="15" thickTop="1" x14ac:dyDescent="0.2">
      <c r="B31" s="3"/>
      <c r="C31" s="8" t="s">
        <v>27</v>
      </c>
      <c r="D31" s="3"/>
      <c r="E31" s="3"/>
      <c r="F31" s="362"/>
      <c r="G31" s="363"/>
      <c r="H31" s="9"/>
      <c r="I31" s="9"/>
      <c r="J31" s="3"/>
      <c r="K31" s="3"/>
      <c r="L31" s="3"/>
      <c r="M31" s="3"/>
      <c r="N31" s="3"/>
      <c r="O31" s="3"/>
      <c r="P31" s="3"/>
      <c r="Q31" s="3"/>
      <c r="S31" s="3"/>
      <c r="T31" s="345" t="s">
        <v>175</v>
      </c>
      <c r="U31" s="118"/>
      <c r="V31" s="346"/>
      <c r="W31" s="346"/>
      <c r="X31" s="346">
        <f>X32+X33</f>
        <v>469.15642799999995</v>
      </c>
      <c r="Y31" s="363"/>
      <c r="Z31" s="346">
        <f>V31+W31</f>
        <v>0</v>
      </c>
      <c r="AA31" s="367">
        <f>SUM(V31:X31)</f>
        <v>469.15642799999995</v>
      </c>
      <c r="AB31" s="347" t="s">
        <v>149</v>
      </c>
      <c r="AC31" s="3"/>
      <c r="AE31" s="3"/>
      <c r="AF31" s="3"/>
      <c r="AG31" s="3"/>
      <c r="AH31" s="3"/>
      <c r="AI31" s="3"/>
    </row>
    <row r="32" spans="2:35" ht="15.75" x14ac:dyDescent="0.2">
      <c r="B32" s="3"/>
      <c r="C32" s="3"/>
      <c r="D32" s="3" t="s">
        <v>43</v>
      </c>
      <c r="E32" s="3" t="s">
        <v>32</v>
      </c>
      <c r="F32" s="335">
        <f>'Referenz Plattenfertiger'!F32</f>
        <v>35000</v>
      </c>
      <c r="G32" s="363" t="s">
        <v>39</v>
      </c>
      <c r="H32" s="9"/>
      <c r="I32" s="110"/>
      <c r="J32" s="3" t="s">
        <v>39</v>
      </c>
      <c r="K32" s="3"/>
      <c r="L32" s="3"/>
      <c r="M32" s="3"/>
      <c r="N32" s="389"/>
      <c r="O32" s="3"/>
      <c r="P32" s="3"/>
      <c r="Q32" s="3"/>
      <c r="S32" s="3"/>
      <c r="T32" s="3" t="str">
        <f>E32&amp;" "&amp;D32</f>
        <v>Diesel Transport vorgelagert</v>
      </c>
      <c r="U32" s="3"/>
      <c r="V32" s="79"/>
      <c r="W32" s="79"/>
      <c r="X32" s="79">
        <f>IF(NOT(ISBLANK($I32)),$I32,$F32)*IF(NOT(ISBLANK(N32)),N32,'Eingabe EF'!$O17)</f>
        <v>109.4698332</v>
      </c>
      <c r="Y32" s="15"/>
      <c r="Z32" s="79">
        <f>V32+W32</f>
        <v>0</v>
      </c>
      <c r="AA32" s="81">
        <f>SUM(V32:X32)</f>
        <v>109.4698332</v>
      </c>
      <c r="AB32" s="15" t="s">
        <v>148</v>
      </c>
      <c r="AC32" s="3"/>
      <c r="AE32" s="3"/>
      <c r="AF32" s="3"/>
      <c r="AG32" s="3"/>
      <c r="AH32" s="3"/>
      <c r="AI32" s="3"/>
    </row>
    <row r="33" spans="2:37" ht="15.75" x14ac:dyDescent="0.2">
      <c r="B33" s="3"/>
      <c r="C33" s="3"/>
      <c r="D33" s="8" t="s">
        <v>44</v>
      </c>
      <c r="E33" s="3" t="s">
        <v>32</v>
      </c>
      <c r="F33" s="335">
        <f>'Referenz Plattenfertiger'!F33</f>
        <v>115000</v>
      </c>
      <c r="G33" s="363" t="s">
        <v>39</v>
      </c>
      <c r="H33" s="9"/>
      <c r="I33" s="110"/>
      <c r="J33" s="3" t="s">
        <v>39</v>
      </c>
      <c r="K33" s="3"/>
      <c r="L33" s="3"/>
      <c r="M33" s="3"/>
      <c r="N33" s="389"/>
      <c r="O33" s="3"/>
      <c r="P33" s="3"/>
      <c r="Q33" s="3"/>
      <c r="S33" s="3"/>
      <c r="T33" s="3" t="str">
        <f>E33&amp;" "&amp;D33</f>
        <v>Diesel Transport nachgelagert</v>
      </c>
      <c r="U33" s="3"/>
      <c r="V33" s="79"/>
      <c r="W33" s="79"/>
      <c r="X33" s="79">
        <f>IF(NOT(ISBLANK($I33)),$I33,$F33)*IF(NOT(ISBLANK(N33)),N33,'Eingabe EF'!$O18)</f>
        <v>359.68659479999997</v>
      </c>
      <c r="Y33" s="15"/>
      <c r="Z33" s="79">
        <f>V33+W33</f>
        <v>0</v>
      </c>
      <c r="AA33" s="81">
        <f>SUM(V33:X33)</f>
        <v>359.68659479999997</v>
      </c>
      <c r="AB33" s="15" t="s">
        <v>148</v>
      </c>
      <c r="AC33" s="3"/>
    </row>
    <row r="34" spans="2:37" x14ac:dyDescent="0.2">
      <c r="B34" s="3"/>
      <c r="C34" s="3"/>
      <c r="D34" s="3"/>
      <c r="E34" s="3"/>
      <c r="F34" s="363"/>
      <c r="G34" s="363"/>
      <c r="H34" s="3"/>
      <c r="I34" s="3"/>
      <c r="J34" s="3"/>
      <c r="K34" s="3"/>
      <c r="L34" s="3"/>
      <c r="M34" s="3"/>
      <c r="N34" s="3"/>
      <c r="O34" s="3"/>
      <c r="P34" s="3"/>
      <c r="Q34" s="3"/>
      <c r="S34" s="3"/>
      <c r="T34" s="3"/>
      <c r="U34" s="3"/>
      <c r="V34" s="79"/>
      <c r="W34" s="79"/>
      <c r="X34" s="79"/>
      <c r="Y34" s="15"/>
      <c r="Z34" s="79"/>
      <c r="AA34" s="81"/>
      <c r="AB34" s="15"/>
      <c r="AC34" s="3"/>
    </row>
    <row r="35" spans="2:37" ht="14.25" x14ac:dyDescent="0.2">
      <c r="B35" s="3"/>
      <c r="C35" s="3"/>
      <c r="D35" s="8" t="s">
        <v>66</v>
      </c>
      <c r="E35" s="3"/>
      <c r="F35" s="363"/>
      <c r="G35" s="363"/>
      <c r="H35" s="3"/>
      <c r="I35" s="3"/>
      <c r="J35" s="3"/>
      <c r="K35" s="3"/>
      <c r="L35" s="3"/>
      <c r="M35" s="3"/>
      <c r="N35" s="3"/>
      <c r="O35" s="3"/>
      <c r="P35" s="3"/>
      <c r="Q35" s="3"/>
      <c r="S35" s="3"/>
      <c r="T35" s="345" t="s">
        <v>65</v>
      </c>
      <c r="U35" s="118"/>
      <c r="V35" s="346"/>
      <c r="W35" s="346"/>
      <c r="X35" s="346">
        <f>SUM(X36:X39)</f>
        <v>4548.5439999999999</v>
      </c>
      <c r="Y35" s="363"/>
      <c r="Z35" s="346">
        <f>V35+W35</f>
        <v>0</v>
      </c>
      <c r="AA35" s="367">
        <f>SUM(V35:X35)</f>
        <v>4548.5439999999999</v>
      </c>
      <c r="AB35" s="347" t="s">
        <v>149</v>
      </c>
      <c r="AC35" s="3"/>
    </row>
    <row r="36" spans="2:37" ht="15.75" x14ac:dyDescent="0.2">
      <c r="B36" s="3"/>
      <c r="C36" s="3"/>
      <c r="D36" s="3" t="s">
        <v>45</v>
      </c>
      <c r="E36" s="3"/>
      <c r="F36" s="409">
        <f>'Referenz Plattenfertiger'!F36</f>
        <v>4.5499999999999999E-2</v>
      </c>
      <c r="G36" s="363"/>
      <c r="H36" s="3"/>
      <c r="I36" s="120"/>
      <c r="J36" s="3" t="s">
        <v>447</v>
      </c>
      <c r="K36" s="385"/>
      <c r="L36" s="3" t="s">
        <v>462</v>
      </c>
      <c r="M36" s="3"/>
      <c r="N36" s="389"/>
      <c r="O36" s="3"/>
      <c r="P36" s="3"/>
      <c r="Q36" s="3"/>
      <c r="S36" s="3"/>
      <c r="T36" s="3" t="str">
        <f>D36</f>
        <v>Zement - CEM I</v>
      </c>
      <c r="U36" s="3"/>
      <c r="V36" s="79"/>
      <c r="W36" s="79"/>
      <c r="X36" s="79">
        <f>IF(NOT(ISBLANK($K36)),$K36*IF(NOT(ISBLANK(N36)),N36,'Eingabe EF'!$O21),IF(NOT(ISBLANK($I36)),$I36,$F36)*IF(NOT(ISBLANK(N36)),N36,'Eingabe EF'!$O21)*IF(NOT(ISBLANK($I$12)),$I$12,$F$12))</f>
        <v>1210.3</v>
      </c>
      <c r="Y36" s="15"/>
      <c r="Z36" s="79">
        <f>V36+W36</f>
        <v>0</v>
      </c>
      <c r="AA36" s="81">
        <f>SUM(V36:X36)</f>
        <v>1210.3</v>
      </c>
      <c r="AB36" s="15" t="s">
        <v>148</v>
      </c>
      <c r="AC36" s="3"/>
    </row>
    <row r="37" spans="2:37" ht="15.75" x14ac:dyDescent="0.2">
      <c r="B37" s="3"/>
      <c r="C37" s="3"/>
      <c r="D37" s="3" t="s">
        <v>47</v>
      </c>
      <c r="E37" s="3"/>
      <c r="F37" s="409">
        <f>'Referenz Plattenfertiger'!F37</f>
        <v>0.10919999999999999</v>
      </c>
      <c r="G37" s="363"/>
      <c r="H37" s="3"/>
      <c r="I37" s="120"/>
      <c r="J37" s="3" t="s">
        <v>447</v>
      </c>
      <c r="K37" s="385"/>
      <c r="L37" s="3" t="s">
        <v>462</v>
      </c>
      <c r="M37" s="3"/>
      <c r="N37" s="389"/>
      <c r="O37" s="3"/>
      <c r="P37" s="3"/>
      <c r="Q37" s="3"/>
      <c r="S37" s="3"/>
      <c r="T37" s="3" t="str">
        <f>D37</f>
        <v>Zement - CEM II</v>
      </c>
      <c r="U37" s="3"/>
      <c r="V37" s="79"/>
      <c r="W37" s="79"/>
      <c r="X37" s="79">
        <f>IF(NOT(ISBLANK($K37)),$K37*IF(NOT(ISBLANK(N37)),N37,'Eingabe EF'!$O22),IF(NOT(ISBLANK($I37)),$I37,$F37)*IF(NOT(ISBLANK(N37)),N37,'Eingabe EF'!$O22)*IF(NOT(ISBLANK($I$12)),$I$12,$F$12))</f>
        <v>2415.5039999999999</v>
      </c>
      <c r="Y37" s="15"/>
      <c r="Z37" s="79">
        <f>V37+W37</f>
        <v>0</v>
      </c>
      <c r="AA37" s="81">
        <f>SUM(V37:X37)</f>
        <v>2415.5039999999999</v>
      </c>
      <c r="AB37" s="15" t="s">
        <v>148</v>
      </c>
      <c r="AC37" s="3"/>
    </row>
    <row r="38" spans="2:37" ht="15.75" x14ac:dyDescent="0.2">
      <c r="B38" s="3"/>
      <c r="C38" s="3"/>
      <c r="D38" s="3" t="s">
        <v>48</v>
      </c>
      <c r="E38" s="3"/>
      <c r="F38" s="409">
        <f>'Referenz Plattenfertiger'!F38</f>
        <v>2.7299999999999998E-2</v>
      </c>
      <c r="G38" s="363"/>
      <c r="H38" s="3"/>
      <c r="I38" s="120"/>
      <c r="J38" s="3" t="s">
        <v>447</v>
      </c>
      <c r="K38" s="385"/>
      <c r="L38" s="3" t="s">
        <v>462</v>
      </c>
      <c r="M38" s="3"/>
      <c r="N38" s="389"/>
      <c r="O38" s="3"/>
      <c r="P38" s="3"/>
      <c r="Q38" s="3"/>
      <c r="S38" s="3"/>
      <c r="T38" s="3" t="str">
        <f>D38</f>
        <v>Weißzement</v>
      </c>
      <c r="U38" s="3"/>
      <c r="V38" s="79"/>
      <c r="W38" s="79"/>
      <c r="X38" s="79">
        <f>IF(NOT(ISBLANK($K38)),$K38*IF(NOT(ISBLANK(N38)),N38,'Eingabe EF'!$O23),IF(NOT(ISBLANK($I38)),$I38,$F38)*IF(NOT(ISBLANK(N38)),'Eingabe EF'!$Q23,'Eingabe EF'!$O23)*IF(NOT(ISBLANK($I$12)),$I$12,$F$12))</f>
        <v>922.7399999999999</v>
      </c>
      <c r="Y38" s="15"/>
      <c r="Z38" s="79">
        <f>V38+W38</f>
        <v>0</v>
      </c>
      <c r="AA38" s="81">
        <f>SUM(V38:X38)</f>
        <v>922.7399999999999</v>
      </c>
      <c r="AB38" s="15" t="s">
        <v>148</v>
      </c>
      <c r="AC38" s="3"/>
    </row>
    <row r="39" spans="2:37" ht="15.75" x14ac:dyDescent="0.2">
      <c r="B39" s="3"/>
      <c r="C39" s="3"/>
      <c r="D39" s="3" t="s">
        <v>147</v>
      </c>
      <c r="E39" s="3"/>
      <c r="F39" s="409">
        <f>'Referenz Plattenfertiger'!F39</f>
        <v>0</v>
      </c>
      <c r="G39" s="363"/>
      <c r="H39" s="3"/>
      <c r="I39" s="120"/>
      <c r="J39" s="3" t="s">
        <v>447</v>
      </c>
      <c r="K39" s="385"/>
      <c r="L39" s="3" t="s">
        <v>462</v>
      </c>
      <c r="M39" s="3"/>
      <c r="N39" s="389"/>
      <c r="O39" s="3"/>
      <c r="P39" s="119"/>
      <c r="Q39" s="3"/>
      <c r="S39" s="3"/>
      <c r="T39" s="3" t="str">
        <f>D39</f>
        <v>Weitere Zementsorte</v>
      </c>
      <c r="U39" s="3"/>
      <c r="V39" s="79"/>
      <c r="W39" s="79"/>
      <c r="X39" s="79">
        <f>IF(NOT(ISBLANK($K39)),$K39*N39,IF(NOT(ISBLANK($I39)),$I39,$F39)*IF(NOT(ISBLANK(N39)),N39,0)*IF(NOT(ISBLANK($I$12)),$I$12,$F$12))</f>
        <v>0</v>
      </c>
      <c r="Y39" s="15"/>
      <c r="Z39" s="79">
        <f>V39+W39</f>
        <v>0</v>
      </c>
      <c r="AA39" s="81">
        <f>SUM(V39:X39)</f>
        <v>0</v>
      </c>
      <c r="AB39" s="15" t="s">
        <v>148</v>
      </c>
      <c r="AC39" s="3"/>
    </row>
    <row r="40" spans="2:37" x14ac:dyDescent="0.2">
      <c r="B40" s="3"/>
      <c r="C40" s="3"/>
      <c r="D40" s="3"/>
      <c r="E40" s="3"/>
      <c r="F40" s="358"/>
      <c r="G40" s="363"/>
      <c r="H40" s="3"/>
      <c r="I40" s="109"/>
      <c r="J40" s="3"/>
      <c r="K40" s="3"/>
      <c r="L40" s="3"/>
      <c r="M40" s="3"/>
      <c r="N40" s="3"/>
      <c r="O40" s="3"/>
      <c r="P40" s="3"/>
      <c r="Q40" s="3"/>
      <c r="S40" s="3"/>
      <c r="T40" s="3"/>
      <c r="U40" s="3"/>
      <c r="V40" s="79"/>
      <c r="W40" s="79"/>
      <c r="X40" s="79"/>
      <c r="Y40" s="15"/>
      <c r="Z40" s="79"/>
      <c r="AA40" s="81"/>
      <c r="AB40" s="15"/>
      <c r="AC40" s="3"/>
      <c r="AJ40" s="422"/>
    </row>
    <row r="41" spans="2:37" ht="27" customHeight="1" x14ac:dyDescent="0.2">
      <c r="B41" s="3"/>
      <c r="C41" s="3"/>
      <c r="D41" s="8" t="s">
        <v>163</v>
      </c>
      <c r="E41" s="3"/>
      <c r="F41" s="358"/>
      <c r="G41" s="363"/>
      <c r="H41" s="3"/>
      <c r="I41" s="109"/>
      <c r="J41" s="3"/>
      <c r="K41" s="3"/>
      <c r="L41" s="3"/>
      <c r="M41" s="3"/>
      <c r="N41" s="3"/>
      <c r="O41" s="3"/>
      <c r="P41" s="3"/>
      <c r="Q41" s="3"/>
      <c r="S41" s="3"/>
      <c r="T41" s="375" t="str">
        <f>D41</f>
        <v>Gesteinskörnungen (Zuschlagsstoffe)</v>
      </c>
      <c r="U41" s="118"/>
      <c r="V41" s="346"/>
      <c r="W41" s="346"/>
      <c r="X41" s="346">
        <f>SUM(X42:X46)</f>
        <v>129.59200000000001</v>
      </c>
      <c r="Y41" s="363"/>
      <c r="Z41" s="346">
        <f>V41+W41</f>
        <v>0</v>
      </c>
      <c r="AA41" s="367">
        <f>SUM(V41:X41)</f>
        <v>129.59200000000001</v>
      </c>
      <c r="AB41" s="347" t="s">
        <v>149</v>
      </c>
      <c r="AC41" s="3"/>
      <c r="AI41" s="422">
        <f>AA41</f>
        <v>129.59200000000001</v>
      </c>
      <c r="AJ41" s="6" t="str">
        <f>AB41</f>
        <v>t CO2e</v>
      </c>
      <c r="AK41" s="6">
        <f>AC41</f>
        <v>0</v>
      </c>
    </row>
    <row r="42" spans="2:37" ht="15.75" x14ac:dyDescent="0.2">
      <c r="B42" s="3"/>
      <c r="C42" s="3"/>
      <c r="D42" s="3" t="s">
        <v>164</v>
      </c>
      <c r="E42" s="3"/>
      <c r="F42" s="409">
        <f>'Referenz Plattenfertiger'!F42</f>
        <v>0.66800000000000004</v>
      </c>
      <c r="G42" s="363"/>
      <c r="H42" s="3"/>
      <c r="I42" s="120"/>
      <c r="J42" s="3" t="s">
        <v>447</v>
      </c>
      <c r="K42" s="385"/>
      <c r="L42" s="3" t="s">
        <v>462</v>
      </c>
      <c r="M42" s="3"/>
      <c r="N42" s="389"/>
      <c r="O42" s="3"/>
      <c r="P42" s="3"/>
      <c r="Q42" s="3"/>
      <c r="S42" s="3"/>
      <c r="T42" s="3" t="str">
        <f>D42</f>
        <v>Sand, Kies</v>
      </c>
      <c r="U42" s="3"/>
      <c r="V42" s="79"/>
      <c r="W42" s="79"/>
      <c r="X42" s="79">
        <f>IF(NOT(ISBLANK($K42)),$K42*IF(NOT(ISBLANK(N42)),N42,'Eingabe EF'!$O27),IF(NOT(ISBLANK($I42)),$I42,$F42)*IF(NOT(ISBLANK(N42)),N42,'Eingabe EF'!$O27)*IF(NOT(ISBLANK($I$12)),$I$12,$F$12))</f>
        <v>129.59200000000001</v>
      </c>
      <c r="Y42" s="15"/>
      <c r="Z42" s="79">
        <f>V42+W42</f>
        <v>0</v>
      </c>
      <c r="AA42" s="81">
        <f>SUM(V42:X42)</f>
        <v>129.59200000000001</v>
      </c>
      <c r="AB42" s="15" t="s">
        <v>148</v>
      </c>
      <c r="AC42" s="3"/>
    </row>
    <row r="43" spans="2:37" ht="15.75" x14ac:dyDescent="0.2">
      <c r="B43" s="3"/>
      <c r="C43" s="3"/>
      <c r="D43" s="3" t="s">
        <v>165</v>
      </c>
      <c r="E43" s="3"/>
      <c r="F43" s="409">
        <f>'Referenz Plattenfertiger'!F43</f>
        <v>0</v>
      </c>
      <c r="G43" s="363"/>
      <c r="H43" s="3"/>
      <c r="I43" s="120"/>
      <c r="J43" s="3" t="s">
        <v>447</v>
      </c>
      <c r="K43" s="385"/>
      <c r="L43" s="3" t="s">
        <v>462</v>
      </c>
      <c r="M43" s="3"/>
      <c r="N43" s="389"/>
      <c r="O43" s="3"/>
      <c r="P43" s="119"/>
      <c r="Q43" s="3"/>
      <c r="S43" s="3"/>
      <c r="T43" s="3" t="str">
        <f>D43</f>
        <v>Brechsand, Splitt</v>
      </c>
      <c r="U43" s="3"/>
      <c r="V43" s="79"/>
      <c r="W43" s="79"/>
      <c r="X43" s="79">
        <f>IF(NOT(ISBLANK($K43)),$K43*N43,IF(NOT(ISBLANK($I43)),$I43,$F43)*IF(NOT(ISBLANK(N43)),N43,0)*IF(NOT(ISBLANK($I$12)),$I$12,$F$12))</f>
        <v>0</v>
      </c>
      <c r="Y43" s="15"/>
      <c r="Z43" s="79">
        <f>V43+W43</f>
        <v>0</v>
      </c>
      <c r="AA43" s="81">
        <f t="shared" ref="AA43:AA44" si="3">SUM(V43:X43)</f>
        <v>0</v>
      </c>
      <c r="AB43" s="15" t="s">
        <v>148</v>
      </c>
      <c r="AC43" s="3"/>
    </row>
    <row r="44" spans="2:37" ht="15.75" x14ac:dyDescent="0.2">
      <c r="B44" s="3"/>
      <c r="C44" s="3"/>
      <c r="D44" s="3" t="s">
        <v>166</v>
      </c>
      <c r="E44" s="3"/>
      <c r="F44" s="409">
        <f>'Referenz Plattenfertiger'!F44</f>
        <v>0</v>
      </c>
      <c r="G44" s="363"/>
      <c r="H44" s="3"/>
      <c r="I44" s="120"/>
      <c r="J44" s="3" t="s">
        <v>447</v>
      </c>
      <c r="K44" s="385"/>
      <c r="L44" s="3" t="s">
        <v>462</v>
      </c>
      <c r="M44" s="3"/>
      <c r="N44" s="389"/>
      <c r="O44" s="3"/>
      <c r="P44" s="119"/>
      <c r="Q44" s="3"/>
      <c r="S44" s="3"/>
      <c r="T44" s="3" t="str">
        <f>D44</f>
        <v>RC-Material (Sand, Splitt)</v>
      </c>
      <c r="U44" s="3"/>
      <c r="V44" s="79"/>
      <c r="W44" s="79"/>
      <c r="X44" s="79">
        <f>IF(NOT(ISBLANK($K44)),$K44*N44,IF(NOT(ISBLANK($I44)),$I44,$F44)*IF(NOT(ISBLANK(N44)),N44,0)*IF(NOT(ISBLANK($I$12)),$I$12,$F$12))</f>
        <v>0</v>
      </c>
      <c r="Y44" s="15"/>
      <c r="Z44" s="79">
        <f>V44+W44</f>
        <v>0</v>
      </c>
      <c r="AA44" s="81">
        <f t="shared" si="3"/>
        <v>0</v>
      </c>
      <c r="AB44" s="15" t="s">
        <v>148</v>
      </c>
      <c r="AC44" s="3"/>
    </row>
    <row r="45" spans="2:37" ht="15.75" x14ac:dyDescent="0.2">
      <c r="B45" s="3"/>
      <c r="C45" s="3"/>
      <c r="D45" s="360" t="s">
        <v>505</v>
      </c>
      <c r="E45" s="3"/>
      <c r="F45" s="409">
        <v>0</v>
      </c>
      <c r="G45" s="363"/>
      <c r="H45" s="3"/>
      <c r="I45" s="120"/>
      <c r="J45" s="3" t="s">
        <v>447</v>
      </c>
      <c r="K45" s="385"/>
      <c r="L45" s="3" t="s">
        <v>462</v>
      </c>
      <c r="M45" s="3"/>
      <c r="N45" s="389"/>
      <c r="O45" s="3"/>
      <c r="P45" s="119"/>
      <c r="Q45" s="3"/>
      <c r="S45" s="3"/>
      <c r="T45" s="3" t="str">
        <f t="shared" ref="T45:T46" si="4">D45</f>
        <v>Weiterer Zuschlagstoff 1</v>
      </c>
      <c r="U45" s="3"/>
      <c r="V45" s="79"/>
      <c r="W45" s="79"/>
      <c r="X45" s="79">
        <f t="shared" ref="X45:X46" si="5">IF(NOT(ISBLANK($K45)),$K45*N45,IF(NOT(ISBLANK($I45)),$I45,$F45)*IF(NOT(ISBLANK(N45)),N45,0)*IF(NOT(ISBLANK($I$12)),$I$12,$F$12))</f>
        <v>0</v>
      </c>
      <c r="Y45" s="15"/>
      <c r="Z45" s="79">
        <f t="shared" ref="Z45:Z46" si="6">V45+W45</f>
        <v>0</v>
      </c>
      <c r="AA45" s="81">
        <f t="shared" ref="AA45:AA46" si="7">SUM(V45:X45)</f>
        <v>0</v>
      </c>
      <c r="AB45" s="15" t="s">
        <v>148</v>
      </c>
      <c r="AC45" s="3"/>
    </row>
    <row r="46" spans="2:37" ht="15.75" x14ac:dyDescent="0.2">
      <c r="B46" s="3"/>
      <c r="C46" s="3"/>
      <c r="D46" s="360" t="s">
        <v>506</v>
      </c>
      <c r="E46" s="3"/>
      <c r="F46" s="409">
        <v>0</v>
      </c>
      <c r="G46" s="363"/>
      <c r="H46" s="3"/>
      <c r="I46" s="120"/>
      <c r="J46" s="3" t="s">
        <v>447</v>
      </c>
      <c r="K46" s="385"/>
      <c r="L46" s="3" t="s">
        <v>462</v>
      </c>
      <c r="M46" s="3"/>
      <c r="N46" s="389"/>
      <c r="O46" s="3"/>
      <c r="P46" s="119"/>
      <c r="Q46" s="3"/>
      <c r="S46" s="3"/>
      <c r="T46" s="3" t="str">
        <f t="shared" si="4"/>
        <v>Weiterer Zuschlagstoff 2</v>
      </c>
      <c r="U46" s="3"/>
      <c r="V46" s="79"/>
      <c r="W46" s="79"/>
      <c r="X46" s="79">
        <f t="shared" si="5"/>
        <v>0</v>
      </c>
      <c r="Y46" s="15"/>
      <c r="Z46" s="79">
        <f t="shared" si="6"/>
        <v>0</v>
      </c>
      <c r="AA46" s="81">
        <f t="shared" si="7"/>
        <v>0</v>
      </c>
      <c r="AB46" s="15" t="s">
        <v>148</v>
      </c>
      <c r="AC46" s="3"/>
    </row>
    <row r="47" spans="2:37" x14ac:dyDescent="0.2">
      <c r="B47" s="3"/>
      <c r="C47" s="3"/>
      <c r="D47" s="3"/>
      <c r="E47" s="3"/>
      <c r="F47" s="358"/>
      <c r="G47" s="363"/>
      <c r="H47" s="3"/>
      <c r="I47" s="109"/>
      <c r="J47" s="3"/>
      <c r="K47" s="3"/>
      <c r="L47" s="3"/>
      <c r="M47" s="3"/>
      <c r="N47" s="3"/>
      <c r="O47" s="3"/>
      <c r="P47" s="3"/>
      <c r="Q47" s="3"/>
      <c r="S47" s="3"/>
      <c r="T47" s="3"/>
      <c r="U47" s="3"/>
      <c r="V47" s="79"/>
      <c r="W47" s="79"/>
      <c r="X47" s="79"/>
      <c r="Y47" s="15"/>
      <c r="Z47" s="79"/>
      <c r="AA47" s="81"/>
      <c r="AB47" s="15"/>
      <c r="AC47" s="3"/>
    </row>
    <row r="48" spans="2:37" ht="14.25" x14ac:dyDescent="0.2">
      <c r="B48" s="3"/>
      <c r="C48" s="3"/>
      <c r="D48" s="3" t="s">
        <v>55</v>
      </c>
      <c r="E48" s="3"/>
      <c r="F48" s="409">
        <f>'Referenz Plattenfertiger'!F48</f>
        <v>2E-3</v>
      </c>
      <c r="G48" s="363"/>
      <c r="H48" s="3"/>
      <c r="I48" s="120"/>
      <c r="J48" s="3" t="s">
        <v>447</v>
      </c>
      <c r="K48" s="385"/>
      <c r="L48" s="3" t="s">
        <v>448</v>
      </c>
      <c r="M48" s="3"/>
      <c r="N48" s="389"/>
      <c r="O48" s="3"/>
      <c r="P48" s="3"/>
      <c r="Q48" s="3"/>
      <c r="S48" s="3"/>
      <c r="T48" s="8" t="str">
        <f>D48</f>
        <v>Farben</v>
      </c>
      <c r="U48" s="8"/>
      <c r="V48" s="366"/>
      <c r="W48" s="366"/>
      <c r="X48" s="366">
        <f>IF(NOT(ISBLANK($K48)),$K48/1000*IF(NOT(ISBLANK(N48)),N48,'Eingabe EF'!$O33),IF(NOT(ISBLANK($I48)),$I48,$F48)*IF(NOT(ISBLANK(N48)),N48,'Eingabe EF'!$O33)*IF(NOT(ISBLANK($I$12)),$I$12,$F$12))</f>
        <v>208</v>
      </c>
      <c r="Y48" s="78"/>
      <c r="Z48" s="366">
        <f>V48+W48</f>
        <v>0</v>
      </c>
      <c r="AA48" s="368">
        <f>SUM(V48:X48)</f>
        <v>208</v>
      </c>
      <c r="AB48" s="78" t="s">
        <v>149</v>
      </c>
      <c r="AC48" s="3"/>
    </row>
    <row r="49" spans="2:29" x14ac:dyDescent="0.2">
      <c r="B49" s="3"/>
      <c r="C49" s="3"/>
      <c r="D49" s="3"/>
      <c r="E49" s="3"/>
      <c r="F49" s="410"/>
      <c r="G49" s="363"/>
      <c r="H49" s="3"/>
      <c r="I49" s="3"/>
      <c r="J49" s="3"/>
      <c r="K49" s="3"/>
      <c r="L49" s="3"/>
      <c r="M49" s="3"/>
      <c r="N49" s="3"/>
      <c r="O49" s="3"/>
      <c r="P49" s="3"/>
      <c r="Q49" s="3"/>
      <c r="S49" s="3"/>
      <c r="T49" s="3"/>
      <c r="U49" s="3"/>
      <c r="V49" s="79"/>
      <c r="W49" s="79"/>
      <c r="X49" s="79"/>
      <c r="Y49" s="15"/>
      <c r="Z49" s="79"/>
      <c r="AA49" s="81"/>
      <c r="AB49" s="15"/>
      <c r="AC49" s="3"/>
    </row>
    <row r="50" spans="2:29" ht="14.25" x14ac:dyDescent="0.2">
      <c r="B50" s="3"/>
      <c r="C50" s="3"/>
      <c r="D50" s="8" t="s">
        <v>167</v>
      </c>
      <c r="E50" s="3"/>
      <c r="F50" s="410"/>
      <c r="G50" s="363"/>
      <c r="H50" s="3"/>
      <c r="I50" s="3"/>
      <c r="J50" s="3"/>
      <c r="K50" s="3"/>
      <c r="L50" s="3"/>
      <c r="M50" s="3"/>
      <c r="N50" s="3"/>
      <c r="O50" s="3"/>
      <c r="P50" s="3"/>
      <c r="Q50" s="3"/>
      <c r="S50" s="3"/>
      <c r="T50" s="345" t="str">
        <f>D50</f>
        <v>Zusatzstoffe (Füllstoffe)</v>
      </c>
      <c r="U50" s="118"/>
      <c r="V50" s="346"/>
      <c r="W50" s="346"/>
      <c r="X50" s="346">
        <f>SUM(X51:X55)</f>
        <v>81.003999999999991</v>
      </c>
      <c r="Y50" s="363"/>
      <c r="Z50" s="346">
        <f>V50+W50</f>
        <v>0</v>
      </c>
      <c r="AA50" s="367">
        <f>SUM(V50:X50)</f>
        <v>81.003999999999991</v>
      </c>
      <c r="AB50" s="347" t="s">
        <v>149</v>
      </c>
      <c r="AC50" s="3"/>
    </row>
    <row r="51" spans="2:29" ht="15.75" x14ac:dyDescent="0.2">
      <c r="B51" s="3"/>
      <c r="C51" s="3"/>
      <c r="D51" s="360" t="str">
        <f>'Referenz Plattenfertiger'!D51</f>
        <v>Flugasche</v>
      </c>
      <c r="E51" s="3"/>
      <c r="F51" s="409">
        <f>'Referenz Plattenfertiger'!F51</f>
        <v>0</v>
      </c>
      <c r="G51" s="363"/>
      <c r="H51" s="3"/>
      <c r="I51" s="120"/>
      <c r="J51" s="3" t="s">
        <v>447</v>
      </c>
      <c r="K51" s="385"/>
      <c r="L51" s="3" t="s">
        <v>462</v>
      </c>
      <c r="M51" s="3"/>
      <c r="N51" s="389"/>
      <c r="O51" s="3"/>
      <c r="P51" s="3"/>
      <c r="Q51" s="3"/>
      <c r="S51" s="3"/>
      <c r="T51" s="3" t="str">
        <f>D51</f>
        <v>Flugasche</v>
      </c>
      <c r="U51" s="3"/>
      <c r="V51" s="79"/>
      <c r="W51" s="79"/>
      <c r="X51" s="79">
        <f>IF(NOT(ISBLANK($K51)),$K51*IF(NOT(ISBLANK(N51)),N51,'Eingabe EF'!$O36),IF(NOT(ISBLANK($I51)),$I51,$F51)*IF(NOT(ISBLANK(N51)),N51,'Eingabe EF'!$O36)*IF(NOT(ISBLANK($I$12)),$I$12,$F$12))</f>
        <v>0</v>
      </c>
      <c r="Y51" s="15"/>
      <c r="Z51" s="79">
        <f>V51+W51</f>
        <v>0</v>
      </c>
      <c r="AA51" s="81">
        <f>SUM(V51:X51)</f>
        <v>0</v>
      </c>
      <c r="AB51" s="15" t="s">
        <v>148</v>
      </c>
      <c r="AC51" s="3"/>
    </row>
    <row r="52" spans="2:29" ht="15.75" x14ac:dyDescent="0.2">
      <c r="B52" s="3"/>
      <c r="C52" s="3"/>
      <c r="D52" s="360" t="str">
        <f>'Referenz Plattenfertiger'!D52</f>
        <v>Quarzsteinmehl</v>
      </c>
      <c r="E52" s="3"/>
      <c r="F52" s="409">
        <f>'Referenz Plattenfertiger'!F52</f>
        <v>5.0000000000000001E-3</v>
      </c>
      <c r="G52" s="363"/>
      <c r="H52" s="3"/>
      <c r="I52" s="120"/>
      <c r="J52" s="3" t="s">
        <v>447</v>
      </c>
      <c r="K52" s="385"/>
      <c r="L52" s="3" t="s">
        <v>462</v>
      </c>
      <c r="M52" s="3"/>
      <c r="N52" s="389"/>
      <c r="O52" s="3"/>
      <c r="P52" s="3"/>
      <c r="Q52" s="3"/>
      <c r="S52" s="3"/>
      <c r="T52" s="3" t="str">
        <f t="shared" ref="T52:T55" si="8">D52</f>
        <v>Quarzsteinmehl</v>
      </c>
      <c r="U52" s="3"/>
      <c r="V52" s="79"/>
      <c r="W52" s="79"/>
      <c r="X52" s="79">
        <f>IF(NOT(ISBLANK($K52)),$K52*IF(NOT(ISBLANK(N52)),N52,'Eingabe EF'!$O37),IF(NOT(ISBLANK($I52)),$I52,$F52)*IF(NOT(ISBLANK(N52)),N52,'Eingabe EF'!$O37)*IF(NOT(ISBLANK($I$12)),$I$12,$F$12))</f>
        <v>8.6840000000000011</v>
      </c>
      <c r="Y52" s="15"/>
      <c r="Z52" s="79">
        <f t="shared" ref="Z52:Z55" si="9">V52+W52</f>
        <v>0</v>
      </c>
      <c r="AA52" s="81">
        <f t="shared" ref="AA52:AA55" si="10">SUM(V52:X52)</f>
        <v>8.6840000000000011</v>
      </c>
      <c r="AB52" s="15" t="s">
        <v>148</v>
      </c>
      <c r="AC52" s="3"/>
    </row>
    <row r="53" spans="2:29" ht="15.75" x14ac:dyDescent="0.2">
      <c r="B53" s="3"/>
      <c r="C53" s="3"/>
      <c r="D53" s="360" t="str">
        <f>'Referenz Plattenfertiger'!D53</f>
        <v>Kalksteinmehl</v>
      </c>
      <c r="E53" s="3"/>
      <c r="F53" s="409">
        <f>'Referenz Plattenfertiger'!F53</f>
        <v>0.04</v>
      </c>
      <c r="G53" s="363"/>
      <c r="H53" s="3"/>
      <c r="I53" s="120"/>
      <c r="J53" s="3" t="s">
        <v>447</v>
      </c>
      <c r="K53" s="385"/>
      <c r="L53" s="3" t="s">
        <v>462</v>
      </c>
      <c r="M53" s="3"/>
      <c r="N53" s="389"/>
      <c r="O53" s="3"/>
      <c r="P53" s="3"/>
      <c r="Q53" s="3"/>
      <c r="S53" s="3"/>
      <c r="T53" s="3" t="str">
        <f t="shared" si="8"/>
        <v>Kalksteinmehl</v>
      </c>
      <c r="U53" s="3"/>
      <c r="V53" s="79"/>
      <c r="W53" s="79"/>
      <c r="X53" s="79">
        <f>IF(NOT(ISBLANK($K53)),$K53*IF(NOT(ISBLANK(N53)),N53,'Eingabe EF'!$O38),IF(NOT(ISBLANK($I53)),$I53,$F53)*IF(NOT(ISBLANK(N53)),N53,'Eingabe EF'!$O38)*IF(NOT(ISBLANK($I$12)),$I$12,$F$12))</f>
        <v>72.319999999999993</v>
      </c>
      <c r="Y53" s="15"/>
      <c r="Z53" s="79">
        <f t="shared" si="9"/>
        <v>0</v>
      </c>
      <c r="AA53" s="81">
        <f t="shared" si="10"/>
        <v>72.319999999999993</v>
      </c>
      <c r="AB53" s="15" t="s">
        <v>148</v>
      </c>
      <c r="AC53" s="3"/>
    </row>
    <row r="54" spans="2:29" ht="15.75" x14ac:dyDescent="0.2">
      <c r="B54" s="3"/>
      <c r="C54" s="3"/>
      <c r="D54" s="360" t="str">
        <f>'Referenz Plattenfertiger'!D54</f>
        <v>Weiterer Zusatzstoff 1</v>
      </c>
      <c r="E54" s="3"/>
      <c r="F54" s="409">
        <v>0</v>
      </c>
      <c r="G54" s="363"/>
      <c r="H54" s="3"/>
      <c r="I54" s="120"/>
      <c r="J54" s="3" t="s">
        <v>447</v>
      </c>
      <c r="K54" s="385"/>
      <c r="L54" s="3" t="s">
        <v>462</v>
      </c>
      <c r="M54" s="3"/>
      <c r="N54" s="389"/>
      <c r="O54" s="3"/>
      <c r="P54" s="3"/>
      <c r="Q54" s="3"/>
      <c r="S54" s="3"/>
      <c r="T54" s="3" t="str">
        <f t="shared" si="8"/>
        <v>Weiterer Zusatzstoff 1</v>
      </c>
      <c r="U54" s="3"/>
      <c r="V54" s="79"/>
      <c r="W54" s="79"/>
      <c r="X54" s="79">
        <f t="shared" ref="X54:X55" si="11">IF(NOT(ISBLANK($K54)),$K54*N54,IF(NOT(ISBLANK($I54)),$I54,$F54)*IF(NOT(ISBLANK(N54)),N54,0)*IF(NOT(ISBLANK($I$12)),$I$12,$F$12))</f>
        <v>0</v>
      </c>
      <c r="Y54" s="15"/>
      <c r="Z54" s="79">
        <f t="shared" si="9"/>
        <v>0</v>
      </c>
      <c r="AA54" s="81">
        <f t="shared" si="10"/>
        <v>0</v>
      </c>
      <c r="AB54" s="15" t="s">
        <v>148</v>
      </c>
      <c r="AC54" s="3"/>
    </row>
    <row r="55" spans="2:29" ht="15.75" x14ac:dyDescent="0.2">
      <c r="B55" s="3"/>
      <c r="C55" s="3"/>
      <c r="D55" s="360" t="str">
        <f>'Referenz Plattenfertiger'!D55</f>
        <v>Weiterer Zusatzstoff 2</v>
      </c>
      <c r="E55" s="3"/>
      <c r="F55" s="409">
        <v>0</v>
      </c>
      <c r="G55" s="363"/>
      <c r="H55" s="3"/>
      <c r="I55" s="120"/>
      <c r="J55" s="3" t="s">
        <v>447</v>
      </c>
      <c r="K55" s="385"/>
      <c r="L55" s="3" t="s">
        <v>462</v>
      </c>
      <c r="M55" s="3"/>
      <c r="N55" s="389"/>
      <c r="O55" s="3"/>
      <c r="P55" s="3"/>
      <c r="Q55" s="3"/>
      <c r="S55" s="3"/>
      <c r="T55" s="3" t="str">
        <f t="shared" si="8"/>
        <v>Weiterer Zusatzstoff 2</v>
      </c>
      <c r="U55" s="3"/>
      <c r="V55" s="79"/>
      <c r="W55" s="79"/>
      <c r="X55" s="79">
        <f t="shared" si="11"/>
        <v>0</v>
      </c>
      <c r="Y55" s="15"/>
      <c r="Z55" s="79">
        <f t="shared" si="9"/>
        <v>0</v>
      </c>
      <c r="AA55" s="81">
        <f t="shared" si="10"/>
        <v>0</v>
      </c>
      <c r="AB55" s="15" t="s">
        <v>148</v>
      </c>
      <c r="AC55" s="3"/>
    </row>
    <row r="56" spans="2:29" x14ac:dyDescent="0.2">
      <c r="B56" s="3"/>
      <c r="C56" s="3"/>
      <c r="D56" s="3"/>
      <c r="E56" s="3"/>
      <c r="F56" s="410"/>
      <c r="G56" s="363"/>
      <c r="H56" s="3"/>
      <c r="I56" s="3"/>
      <c r="J56" s="3"/>
      <c r="K56" s="3"/>
      <c r="L56" s="3"/>
      <c r="M56" s="3"/>
      <c r="N56" s="3"/>
      <c r="O56" s="3"/>
      <c r="P56" s="3"/>
      <c r="Q56" s="3"/>
      <c r="S56" s="3"/>
      <c r="T56" s="3"/>
      <c r="U56" s="3"/>
      <c r="V56" s="79"/>
      <c r="W56" s="79"/>
      <c r="X56" s="79"/>
      <c r="Y56" s="15"/>
      <c r="Z56" s="79"/>
      <c r="AA56" s="81"/>
      <c r="AB56" s="15"/>
      <c r="AC56" s="3"/>
    </row>
    <row r="57" spans="2:29" ht="14.25" x14ac:dyDescent="0.2">
      <c r="B57" s="3"/>
      <c r="C57" s="3"/>
      <c r="D57" s="8" t="s">
        <v>49</v>
      </c>
      <c r="E57" s="3"/>
      <c r="F57" s="409">
        <f>'Referenz Plattenfertiger'!F57</f>
        <v>2E-3</v>
      </c>
      <c r="G57" s="363"/>
      <c r="H57" s="3"/>
      <c r="I57" s="120"/>
      <c r="J57" s="3" t="s">
        <v>459</v>
      </c>
      <c r="K57" s="3"/>
      <c r="L57" s="3" t="s">
        <v>448</v>
      </c>
      <c r="M57" s="3"/>
      <c r="N57" s="3"/>
      <c r="O57" s="3"/>
      <c r="P57" s="119"/>
      <c r="Q57" s="3"/>
      <c r="S57" s="3"/>
      <c r="T57" s="345" t="s">
        <v>49</v>
      </c>
      <c r="U57" s="118"/>
      <c r="V57" s="346"/>
      <c r="W57" s="346"/>
      <c r="X57" s="346">
        <f>SUM(X58:X61)</f>
        <v>148.44746134951595</v>
      </c>
      <c r="Y57" s="363"/>
      <c r="Z57" s="346">
        <f>V57+W57</f>
        <v>0</v>
      </c>
      <c r="AA57" s="367">
        <f>SUM(V57:X57)</f>
        <v>148.44746134951595</v>
      </c>
      <c r="AB57" s="347" t="s">
        <v>149</v>
      </c>
      <c r="AC57" s="3"/>
    </row>
    <row r="58" spans="2:29" s="372" customFormat="1" ht="15.75" x14ac:dyDescent="0.2">
      <c r="B58" s="15"/>
      <c r="C58" s="15"/>
      <c r="D58" s="429" t="s">
        <v>412</v>
      </c>
      <c r="E58" s="15"/>
      <c r="F58" s="409">
        <f>'Referenz Plattenfertiger'!F58</f>
        <v>0.39213986418147667</v>
      </c>
      <c r="G58" s="359" t="s">
        <v>51</v>
      </c>
      <c r="H58" s="15"/>
      <c r="I58" s="360"/>
      <c r="J58" s="468" t="s">
        <v>449</v>
      </c>
      <c r="K58" s="385"/>
      <c r="L58" s="3" t="s">
        <v>448</v>
      </c>
      <c r="M58" s="3"/>
      <c r="N58" s="389"/>
      <c r="O58" s="3"/>
      <c r="P58" s="361"/>
      <c r="Q58" s="15"/>
      <c r="S58" s="15"/>
      <c r="T58" s="14" t="str">
        <f>D58</f>
        <v>Plastifizierer</v>
      </c>
      <c r="U58" s="15"/>
      <c r="V58" s="79"/>
      <c r="W58" s="79"/>
      <c r="X58" s="79">
        <f>IF(NOT(ISBLANK($K58)),$K58/1000*IF(NOT(ISBLANK(N58)),N58,'Eingabe EF'!$O43),IF(NOT(ISBLANK($I$57)),$I$57,$F$57)*IF(NOT(ISBLANK($I58)),$I58,$F58)*IF(NOT(ISBLANK(N58)),N58,'Eingabe EF'!$O43)*IF(NOT(ISBLANK($I$12)),$I$12,$F$12))</f>
        <v>47.997919375812742</v>
      </c>
      <c r="Y58" s="15"/>
      <c r="Z58" s="79">
        <f>V58+W58</f>
        <v>0</v>
      </c>
      <c r="AA58" s="81">
        <f>SUM(V58:X58)</f>
        <v>47.997919375812742</v>
      </c>
      <c r="AB58" s="15" t="s">
        <v>148</v>
      </c>
      <c r="AC58" s="15"/>
    </row>
    <row r="59" spans="2:29" s="372" customFormat="1" ht="15.75" x14ac:dyDescent="0.2">
      <c r="B59" s="15"/>
      <c r="C59" s="15"/>
      <c r="D59" s="429" t="s">
        <v>413</v>
      </c>
      <c r="E59" s="15"/>
      <c r="F59" s="409">
        <f>'Referenz Plattenfertiger'!F59</f>
        <v>0.164571593700332</v>
      </c>
      <c r="G59" s="359" t="s">
        <v>51</v>
      </c>
      <c r="H59" s="15"/>
      <c r="I59" s="360"/>
      <c r="J59" s="468"/>
      <c r="K59" s="385"/>
      <c r="L59" s="3" t="s">
        <v>448</v>
      </c>
      <c r="M59" s="3"/>
      <c r="N59" s="389"/>
      <c r="O59" s="3"/>
      <c r="P59" s="361"/>
      <c r="Q59" s="15"/>
      <c r="S59" s="15"/>
      <c r="T59" s="14" t="str">
        <f t="shared" ref="T59:T61" si="12">D59</f>
        <v>Luftporenbildner</v>
      </c>
      <c r="U59" s="15"/>
      <c r="V59" s="79"/>
      <c r="W59" s="79"/>
      <c r="X59" s="79">
        <f>IF(NOT(ISBLANK($K59)),$K59/1000*IF(NOT(ISBLANK(N59)),N59,'Eingabe EF'!$O44),IF(NOT(ISBLANK($I$57)),$I$57,$F$57)*IF(NOT(ISBLANK($I59)),$I59,$F59)*IF(NOT(ISBLANK(N59)),N59,'Eingabe EF'!$O44)*IF(NOT(ISBLANK($I$12)),$I$12,$F$12))</f>
        <v>5.7797543707556596</v>
      </c>
      <c r="Y59" s="15"/>
      <c r="Z59" s="79">
        <f>V59+W59</f>
        <v>0</v>
      </c>
      <c r="AA59" s="81">
        <f>SUM(V59:X59)</f>
        <v>5.7797543707556596</v>
      </c>
      <c r="AB59" s="15" t="s">
        <v>148</v>
      </c>
      <c r="AC59" s="15"/>
    </row>
    <row r="60" spans="2:29" s="372" customFormat="1" ht="15.75" x14ac:dyDescent="0.2">
      <c r="B60" s="15"/>
      <c r="C60" s="15"/>
      <c r="D60" s="429" t="s">
        <v>414</v>
      </c>
      <c r="E60" s="15"/>
      <c r="F60" s="409">
        <f>'Referenz Plattenfertiger'!F60</f>
        <v>1.4448779078167896E-4</v>
      </c>
      <c r="G60" s="359" t="s">
        <v>51</v>
      </c>
      <c r="H60" s="15"/>
      <c r="I60" s="360"/>
      <c r="J60" s="468"/>
      <c r="K60" s="385"/>
      <c r="L60" s="3" t="s">
        <v>448</v>
      </c>
      <c r="M60" s="3"/>
      <c r="N60" s="389"/>
      <c r="O60" s="3"/>
      <c r="P60" s="361"/>
      <c r="Q60" s="15"/>
      <c r="S60" s="15"/>
      <c r="T60" s="14" t="str">
        <f t="shared" si="12"/>
        <v>Stabilisierer</v>
      </c>
      <c r="U60" s="15"/>
      <c r="V60" s="79"/>
      <c r="W60" s="79"/>
      <c r="X60" s="79">
        <f>IF(NOT(ISBLANK($K60)),$K60/1000*IF(NOT(ISBLANK(N60)),N60,'Eingabe EF'!$O45),IF(NOT(ISBLANK($I$57)),$I$57,$F$57)*IF(NOT(ISBLANK($I60)),$I60,$F60)*IF(NOT(ISBLANK(N60)),N60,'Eingabe EF'!$O45)*IF(NOT(ISBLANK($I$12)),$I$12,$F$12))</f>
        <v>1.4217598612917211E-2</v>
      </c>
      <c r="Y60" s="15"/>
      <c r="Z60" s="79">
        <f>V60+W60</f>
        <v>0</v>
      </c>
      <c r="AA60" s="81">
        <f>SUM(V60:X60)</f>
        <v>1.4217598612917211E-2</v>
      </c>
      <c r="AB60" s="15" t="s">
        <v>148</v>
      </c>
      <c r="AC60" s="15"/>
    </row>
    <row r="61" spans="2:29" s="372" customFormat="1" ht="15.75" x14ac:dyDescent="0.2">
      <c r="B61" s="15"/>
      <c r="C61" s="15"/>
      <c r="D61" s="429" t="s">
        <v>415</v>
      </c>
      <c r="E61" s="15"/>
      <c r="F61" s="409">
        <f>'Referenz Plattenfertiger'!F61</f>
        <v>0.44314405432740933</v>
      </c>
      <c r="G61" s="359" t="s">
        <v>51</v>
      </c>
      <c r="H61" s="15"/>
      <c r="I61" s="360"/>
      <c r="J61" s="468"/>
      <c r="K61" s="385"/>
      <c r="L61" s="3" t="s">
        <v>448</v>
      </c>
      <c r="M61" s="3"/>
      <c r="N61" s="389"/>
      <c r="O61" s="3"/>
      <c r="P61" s="361"/>
      <c r="Q61" s="15"/>
      <c r="S61" s="15"/>
      <c r="T61" s="14" t="str">
        <f t="shared" si="12"/>
        <v>Hydrophobierer</v>
      </c>
      <c r="U61" s="15"/>
      <c r="V61" s="79"/>
      <c r="W61" s="79"/>
      <c r="X61" s="79">
        <f>IF(NOT(ISBLANK($K61)),$K61/1000*IF(NOT(ISBLANK(N61)),N61,'Eingabe EF'!$O46),IF(NOT(ISBLANK($I$57)),$I$57,$F$57)*IF(NOT(ISBLANK($I61)),$I61,$F61)*IF(NOT(ISBLANK(N61)),N61,'Eingabe EF'!$O46)*IF(NOT(ISBLANK($I$12)),$I$12,$F$12))</f>
        <v>94.655570004334635</v>
      </c>
      <c r="Y61" s="15"/>
      <c r="Z61" s="79">
        <f>V61+W61</f>
        <v>0</v>
      </c>
      <c r="AA61" s="81">
        <f>SUM(V61:X61)</f>
        <v>94.655570004334635</v>
      </c>
      <c r="AB61" s="15" t="s">
        <v>148</v>
      </c>
      <c r="AC61" s="15"/>
    </row>
    <row r="62" spans="2:29" s="372" customFormat="1" x14ac:dyDescent="0.2">
      <c r="B62" s="15"/>
      <c r="C62" s="15"/>
      <c r="D62" s="15"/>
      <c r="E62" s="15"/>
      <c r="F62" s="358"/>
      <c r="G62" s="363"/>
      <c r="H62" s="15"/>
      <c r="I62" s="373"/>
      <c r="J62" s="15"/>
      <c r="K62" s="15"/>
      <c r="L62" s="15"/>
      <c r="M62" s="3"/>
      <c r="N62" s="15"/>
      <c r="O62" s="15"/>
      <c r="P62" s="15"/>
      <c r="Q62" s="15"/>
      <c r="S62" s="15"/>
      <c r="T62" s="15"/>
      <c r="U62" s="15"/>
      <c r="V62" s="79"/>
      <c r="W62" s="79"/>
      <c r="X62" s="79"/>
      <c r="Y62" s="15"/>
      <c r="Z62" s="79"/>
      <c r="AA62" s="81"/>
      <c r="AB62" s="15"/>
      <c r="AC62" s="15"/>
    </row>
    <row r="63" spans="2:29" s="372" customFormat="1" ht="14.25" x14ac:dyDescent="0.2">
      <c r="B63" s="15"/>
      <c r="C63" s="15"/>
      <c r="D63" s="15" t="s">
        <v>99</v>
      </c>
      <c r="E63" s="15"/>
      <c r="F63" s="409">
        <f>'Referenz Plattenfertiger'!F63</f>
        <v>0.1</v>
      </c>
      <c r="G63" s="363"/>
      <c r="H63" s="15"/>
      <c r="I63" s="360"/>
      <c r="J63" s="15"/>
      <c r="K63" s="385"/>
      <c r="L63" s="15" t="s">
        <v>63</v>
      </c>
      <c r="M63" s="3"/>
      <c r="N63" s="389"/>
      <c r="O63" s="15"/>
      <c r="P63" s="15"/>
      <c r="Q63" s="15"/>
      <c r="S63" s="15"/>
      <c r="T63" s="78" t="s">
        <v>189</v>
      </c>
      <c r="U63" s="78"/>
      <c r="V63" s="366"/>
      <c r="W63" s="366"/>
      <c r="X63" s="366">
        <f>IF(NOT(ISBLANK(K63)),K63*N63,IF(NOT(ISBLANK($I63)),$I63,$F63)*IF(NOT(ISBLANK(N63)),N63)*IF(NOT(ISBLANK($I$12)),$I$12,$F$12))</f>
        <v>0</v>
      </c>
      <c r="Y63" s="78"/>
      <c r="Z63" s="366">
        <f>V63+W63</f>
        <v>0</v>
      </c>
      <c r="AA63" s="368">
        <f>SUM(V63:X63)</f>
        <v>0</v>
      </c>
      <c r="AB63" s="78" t="s">
        <v>149</v>
      </c>
      <c r="AC63" s="15"/>
    </row>
    <row r="64" spans="2:29" s="372" customFormat="1" ht="14.25" x14ac:dyDescent="0.2">
      <c r="B64" s="15"/>
      <c r="C64" s="15"/>
      <c r="D64" s="15" t="s">
        <v>62</v>
      </c>
      <c r="E64" s="15"/>
      <c r="F64" s="335">
        <f>'Referenz Plattenfertiger'!F64</f>
        <v>2000</v>
      </c>
      <c r="G64" s="363" t="s">
        <v>63</v>
      </c>
      <c r="H64" s="15"/>
      <c r="I64" s="272"/>
      <c r="J64" s="15" t="s">
        <v>63</v>
      </c>
      <c r="K64" s="15"/>
      <c r="L64" s="15"/>
      <c r="M64" s="3"/>
      <c r="N64" s="389"/>
      <c r="O64" s="15"/>
      <c r="P64" s="15"/>
      <c r="Q64" s="15"/>
      <c r="S64" s="15"/>
      <c r="T64" s="78" t="s">
        <v>62</v>
      </c>
      <c r="U64" s="78"/>
      <c r="V64" s="366"/>
      <c r="W64" s="366"/>
      <c r="X64" s="366">
        <f>IF(NOT(ISBLANK($I64)),$I64,$F64)*IF(NOT(ISBLANK(N64)),N64,'Eingabe EF'!$O49)</f>
        <v>0.54400000000000004</v>
      </c>
      <c r="Y64" s="78"/>
      <c r="Z64" s="366">
        <f>V64+W64</f>
        <v>0</v>
      </c>
      <c r="AA64" s="368">
        <f>SUM(V64:X64)</f>
        <v>0.54400000000000004</v>
      </c>
      <c r="AB64" s="78" t="s">
        <v>149</v>
      </c>
      <c r="AC64" s="15"/>
    </row>
    <row r="65" spans="2:29" x14ac:dyDescent="0.2">
      <c r="B65" s="3"/>
      <c r="C65" s="3"/>
      <c r="D65" s="3"/>
      <c r="E65" s="3"/>
      <c r="F65" s="363"/>
      <c r="G65" s="363"/>
      <c r="H65" s="3"/>
      <c r="I65" s="3"/>
      <c r="J65" s="3"/>
      <c r="K65" s="3"/>
      <c r="L65" s="3"/>
      <c r="M65" s="3"/>
      <c r="N65" s="3"/>
      <c r="O65" s="3"/>
      <c r="P65" s="3"/>
      <c r="Q65" s="3"/>
      <c r="S65" s="3"/>
      <c r="T65" s="3"/>
      <c r="U65" s="3"/>
      <c r="V65" s="81"/>
      <c r="W65" s="81"/>
      <c r="X65" s="81"/>
      <c r="Y65" s="15"/>
      <c r="Z65" s="79"/>
      <c r="AA65" s="81"/>
      <c r="AB65" s="15"/>
      <c r="AC65" s="3"/>
    </row>
    <row r="66" spans="2:29" ht="14.25" x14ac:dyDescent="0.2">
      <c r="B66" s="3"/>
      <c r="C66" s="3"/>
      <c r="D66" s="8" t="s">
        <v>168</v>
      </c>
      <c r="E66" s="3"/>
      <c r="F66" s="363"/>
      <c r="G66" s="363"/>
      <c r="H66" s="3"/>
      <c r="I66" s="3"/>
      <c r="J66" s="3"/>
      <c r="K66" s="3"/>
      <c r="L66" s="3"/>
      <c r="M66" s="3"/>
      <c r="N66" s="3"/>
      <c r="O66" s="3"/>
      <c r="P66" s="3"/>
      <c r="Q66" s="3"/>
      <c r="S66" s="3"/>
      <c r="T66" s="345" t="str">
        <f>D66</f>
        <v>Oberflächenschutzsysteme</v>
      </c>
      <c r="U66" s="118"/>
      <c r="V66" s="346"/>
      <c r="W66" s="346"/>
      <c r="X66" s="346">
        <f>SUM(X67:X69)</f>
        <v>80.47999999999999</v>
      </c>
      <c r="Y66" s="363"/>
      <c r="Z66" s="346">
        <f>V66+W66</f>
        <v>0</v>
      </c>
      <c r="AA66" s="367">
        <f>SUM(V66:X66)</f>
        <v>80.47999999999999</v>
      </c>
      <c r="AB66" s="347" t="s">
        <v>149</v>
      </c>
      <c r="AC66" s="3"/>
    </row>
    <row r="67" spans="2:29" ht="15.75" x14ac:dyDescent="0.2">
      <c r="B67" s="3"/>
      <c r="C67" s="3"/>
      <c r="D67" s="3" t="s">
        <v>169</v>
      </c>
      <c r="E67" s="3"/>
      <c r="F67" s="409">
        <f>'Referenz Plattenfertiger'!F67</f>
        <v>0</v>
      </c>
      <c r="G67" s="363"/>
      <c r="H67" s="3"/>
      <c r="I67" s="120"/>
      <c r="J67" s="3" t="s">
        <v>447</v>
      </c>
      <c r="K67" s="385"/>
      <c r="L67" s="3" t="s">
        <v>448</v>
      </c>
      <c r="M67" s="3"/>
      <c r="N67" s="389"/>
      <c r="O67" s="3"/>
      <c r="P67" s="119"/>
      <c r="Q67" s="3"/>
      <c r="S67" s="3"/>
      <c r="T67" s="3" t="str">
        <f>D67</f>
        <v>Hydrophobierung</v>
      </c>
      <c r="U67" s="3"/>
      <c r="V67" s="79"/>
      <c r="W67" s="79"/>
      <c r="X67" s="79">
        <f>IF(NOT(ISBLANK($K67)),$K67/1000*(N67),IF(NOT(ISBLANK($I67)),$I67,$F67)*(N67)*IF(NOT(ISBLANK($I$12)),$I$12,$F$12))</f>
        <v>0</v>
      </c>
      <c r="Y67" s="15"/>
      <c r="Z67" s="79">
        <f>V67+W67</f>
        <v>0</v>
      </c>
      <c r="AA67" s="81">
        <f>SUM(V67:X67)</f>
        <v>0</v>
      </c>
      <c r="AB67" s="15" t="s">
        <v>148</v>
      </c>
      <c r="AC67" s="3"/>
    </row>
    <row r="68" spans="2:29" ht="15.75" x14ac:dyDescent="0.2">
      <c r="B68" s="3"/>
      <c r="C68" s="3"/>
      <c r="D68" s="3" t="s">
        <v>60</v>
      </c>
      <c r="E68" s="3"/>
      <c r="F68" s="409">
        <f>'Referenz Plattenfertiger'!F68</f>
        <v>1E-3</v>
      </c>
      <c r="G68" s="363"/>
      <c r="H68" s="3"/>
      <c r="I68" s="120"/>
      <c r="J68" s="3" t="s">
        <v>447</v>
      </c>
      <c r="K68" s="385"/>
      <c r="L68" s="3" t="s">
        <v>448</v>
      </c>
      <c r="M68" s="3"/>
      <c r="N68" s="389"/>
      <c r="O68" s="3"/>
      <c r="P68" s="119"/>
      <c r="Q68" s="3"/>
      <c r="S68" s="3"/>
      <c r="T68" s="3" t="str">
        <f>D68</f>
        <v>Imprägniermittel  (Aushärtung über Infrarot)</v>
      </c>
      <c r="U68" s="3"/>
      <c r="V68" s="79"/>
      <c r="W68" s="79"/>
      <c r="X68" s="79">
        <f>IF(NOT(ISBLANK($K68)),$K68/1000*IF(NOT(ISBLANK(N68)),N68,'Eingabe EF'!$O53),IF(NOT(ISBLANK($I68)),$I68,$F68)*IF(NOT(ISBLANK(N68)),N68,'Eingabe EF'!$O53)*IF(NOT(ISBLANK($I$12)),$I$12,$F$12))</f>
        <v>80.47999999999999</v>
      </c>
      <c r="Y68" s="15"/>
      <c r="Z68" s="79">
        <f>V68+W68</f>
        <v>0</v>
      </c>
      <c r="AA68" s="81">
        <f>SUM(V68:X68)</f>
        <v>80.47999999999999</v>
      </c>
      <c r="AB68" s="15" t="s">
        <v>148</v>
      </c>
      <c r="AC68" s="3"/>
    </row>
    <row r="69" spans="2:29" ht="15.75" x14ac:dyDescent="0.2">
      <c r="B69" s="3"/>
      <c r="C69" s="3"/>
      <c r="D69" s="3" t="s">
        <v>170</v>
      </c>
      <c r="E69" s="3"/>
      <c r="F69" s="409">
        <f>'Referenz Plattenfertiger'!F69</f>
        <v>0</v>
      </c>
      <c r="G69" s="363"/>
      <c r="H69" s="3"/>
      <c r="I69" s="120"/>
      <c r="J69" s="3" t="s">
        <v>447</v>
      </c>
      <c r="K69" s="385"/>
      <c r="L69" s="3" t="s">
        <v>448</v>
      </c>
      <c r="M69" s="3"/>
      <c r="N69" s="389"/>
      <c r="O69" s="3"/>
      <c r="P69" s="119"/>
      <c r="Q69" s="3"/>
      <c r="S69" s="3"/>
      <c r="T69" s="3" t="str">
        <f>D69</f>
        <v>Beschichtung</v>
      </c>
      <c r="U69" s="3"/>
      <c r="V69" s="79"/>
      <c r="W69" s="79"/>
      <c r="X69" s="79">
        <f>IF(NOT(ISBLANK($K69)),$K69/1000*IF(NOT(ISBLANK(N69)),N69,N69),IF(NOT(ISBLANK($I69)),$I69,$F69)*IF(NOT(ISBLANK(N69)),N69,N69)*IF(NOT(ISBLANK($I$12)),$I$12,$F$12))</f>
        <v>0</v>
      </c>
      <c r="Y69" s="15"/>
      <c r="Z69" s="79">
        <f>V69+W69</f>
        <v>0</v>
      </c>
      <c r="AA69" s="81">
        <f>SUM(V69:X69)</f>
        <v>0</v>
      </c>
      <c r="AB69" s="15" t="s">
        <v>148</v>
      </c>
      <c r="AC69" s="3"/>
    </row>
    <row r="70" spans="2:29" x14ac:dyDescent="0.2">
      <c r="B70" s="3"/>
      <c r="C70" s="3"/>
      <c r="D70" s="3"/>
      <c r="E70" s="3"/>
      <c r="F70" s="363"/>
      <c r="G70" s="363"/>
      <c r="H70" s="3"/>
      <c r="I70" s="3"/>
      <c r="J70" s="3"/>
      <c r="K70" s="3"/>
      <c r="L70" s="3"/>
      <c r="M70" s="3"/>
      <c r="N70" s="3"/>
      <c r="O70" s="3"/>
      <c r="P70" s="3"/>
      <c r="Q70" s="3"/>
      <c r="S70" s="3"/>
      <c r="T70" s="3"/>
      <c r="U70" s="3"/>
      <c r="V70" s="81"/>
      <c r="W70" s="81"/>
      <c r="X70" s="81"/>
      <c r="Y70" s="15"/>
      <c r="Z70" s="79"/>
      <c r="AA70" s="81"/>
      <c r="AB70" s="15"/>
      <c r="AC70" s="3"/>
    </row>
    <row r="71" spans="2:29" ht="25.5" x14ac:dyDescent="0.2">
      <c r="B71" s="3"/>
      <c r="C71" s="3"/>
      <c r="D71" s="8" t="s">
        <v>171</v>
      </c>
      <c r="E71" s="3"/>
      <c r="F71" s="363"/>
      <c r="G71" s="363"/>
      <c r="H71" s="3"/>
      <c r="I71" s="3"/>
      <c r="J71" s="3"/>
      <c r="K71" s="3"/>
      <c r="L71" s="3"/>
      <c r="M71" s="3"/>
      <c r="N71" s="3"/>
      <c r="O71" s="3"/>
      <c r="P71" s="3"/>
      <c r="Q71" s="3"/>
      <c r="S71" s="3"/>
      <c r="T71" s="357" t="str">
        <f>D71</f>
        <v>Oberflächenbearbeitung (vor/nach Erhärtung)</v>
      </c>
      <c r="U71" s="118"/>
      <c r="V71" s="346"/>
      <c r="W71" s="346"/>
      <c r="X71" s="346">
        <f>SUM(X72:X74)</f>
        <v>60</v>
      </c>
      <c r="Y71" s="363"/>
      <c r="Z71" s="346">
        <f>V71+W71</f>
        <v>0</v>
      </c>
      <c r="AA71" s="367">
        <f>SUM(V71:X71)</f>
        <v>60</v>
      </c>
      <c r="AB71" s="347" t="s">
        <v>149</v>
      </c>
      <c r="AC71" s="3"/>
    </row>
    <row r="72" spans="2:29" ht="15.75" x14ac:dyDescent="0.2">
      <c r="B72" s="3"/>
      <c r="C72" s="3"/>
      <c r="D72" s="3" t="s">
        <v>64</v>
      </c>
      <c r="E72" s="3"/>
      <c r="F72" s="335">
        <f>'Referenz Plattenfertiger'!F72</f>
        <v>40</v>
      </c>
      <c r="G72" s="363" t="s">
        <v>46</v>
      </c>
      <c r="H72" s="3"/>
      <c r="I72" s="110"/>
      <c r="J72" s="3" t="s">
        <v>46</v>
      </c>
      <c r="K72" s="3"/>
      <c r="L72" s="3"/>
      <c r="M72" s="3"/>
      <c r="N72" s="389"/>
      <c r="O72" s="3"/>
      <c r="P72" s="3"/>
      <c r="Q72" s="3"/>
      <c r="S72" s="3"/>
      <c r="T72" s="3" t="str">
        <f>D72</f>
        <v>Stahlkugeln (Strahlanlage)</v>
      </c>
      <c r="U72" s="3"/>
      <c r="V72" s="79"/>
      <c r="W72" s="79"/>
      <c r="X72" s="79">
        <f>IF(NOT(ISBLANK($I72)),$I72,$F72)*IF(NOT(ISBLANK(N72)),N72,'Eingabe EF'!$O57)</f>
        <v>60</v>
      </c>
      <c r="Y72" s="15"/>
      <c r="Z72" s="79">
        <f>V72+W72</f>
        <v>0</v>
      </c>
      <c r="AA72" s="81">
        <f>SUM(V72:X72)</f>
        <v>60</v>
      </c>
      <c r="AB72" s="15" t="s">
        <v>148</v>
      </c>
      <c r="AC72" s="3"/>
    </row>
    <row r="73" spans="2:29" ht="15.75" x14ac:dyDescent="0.2">
      <c r="B73" s="3"/>
      <c r="C73" s="3"/>
      <c r="D73" s="3" t="s">
        <v>173</v>
      </c>
      <c r="E73" s="3"/>
      <c r="F73" s="335">
        <f>'Referenz Plattenfertiger'!F73</f>
        <v>0</v>
      </c>
      <c r="G73" s="363" t="s">
        <v>46</v>
      </c>
      <c r="H73" s="3"/>
      <c r="I73" s="110"/>
      <c r="J73" s="3" t="s">
        <v>46</v>
      </c>
      <c r="K73" s="3"/>
      <c r="L73" s="3"/>
      <c r="M73" s="3"/>
      <c r="N73" s="389"/>
      <c r="O73" s="3"/>
      <c r="P73" s="119"/>
      <c r="Q73" s="3"/>
      <c r="S73" s="3"/>
      <c r="T73" s="3" t="str">
        <f>D73</f>
        <v>Weitere Materialen</v>
      </c>
      <c r="U73" s="3"/>
      <c r="V73" s="79"/>
      <c r="W73" s="79"/>
      <c r="X73" s="79">
        <f>IF(NOT(ISBLANK($I73)),$I73,$F73)*IF(NOT(ISBLANK(N73)),N73,0)</f>
        <v>0</v>
      </c>
      <c r="Y73" s="15"/>
      <c r="Z73" s="79">
        <f>V73+W73</f>
        <v>0</v>
      </c>
      <c r="AA73" s="81">
        <f>SUM(V73:X73)</f>
        <v>0</v>
      </c>
      <c r="AB73" s="15" t="s">
        <v>148</v>
      </c>
      <c r="AC73" s="3"/>
    </row>
    <row r="74" spans="2:29" ht="15.75" x14ac:dyDescent="0.2">
      <c r="B74" s="3"/>
      <c r="C74" s="3"/>
      <c r="D74" s="3" t="s">
        <v>172</v>
      </c>
      <c r="E74" s="3"/>
      <c r="F74" s="335">
        <f>'Referenz Plattenfertiger'!F74</f>
        <v>0</v>
      </c>
      <c r="G74" s="363" t="s">
        <v>46</v>
      </c>
      <c r="H74" s="3"/>
      <c r="I74" s="110"/>
      <c r="J74" s="3" t="s">
        <v>46</v>
      </c>
      <c r="K74" s="3"/>
      <c r="L74" s="3"/>
      <c r="M74" s="3"/>
      <c r="N74" s="389"/>
      <c r="O74" s="3"/>
      <c r="P74" s="119"/>
      <c r="Q74" s="3"/>
      <c r="S74" s="3"/>
      <c r="T74" s="3" t="str">
        <f>D74</f>
        <v>Oberflächenbearbeitungsarten</v>
      </c>
      <c r="U74" s="3"/>
      <c r="V74" s="79"/>
      <c r="W74" s="79"/>
      <c r="X74" s="79">
        <f>IF(NOT(ISBLANK($I74)),$I74,$F74)*IF(NOT(ISBLANK(N74)),N74,0)</f>
        <v>0</v>
      </c>
      <c r="Y74" s="15"/>
      <c r="Z74" s="79">
        <f>V74+W74</f>
        <v>0</v>
      </c>
      <c r="AA74" s="81">
        <f>SUM(V74:X74)</f>
        <v>0</v>
      </c>
      <c r="AB74" s="15" t="s">
        <v>148</v>
      </c>
      <c r="AC74" s="3"/>
    </row>
    <row r="75" spans="2:29" x14ac:dyDescent="0.2">
      <c r="B75" s="3"/>
      <c r="C75" s="3"/>
      <c r="D75" s="3"/>
      <c r="E75" s="3"/>
      <c r="F75" s="363"/>
      <c r="G75" s="363"/>
      <c r="H75" s="3"/>
      <c r="I75" s="3"/>
      <c r="J75" s="3"/>
      <c r="K75" s="3"/>
      <c r="L75" s="3"/>
      <c r="M75" s="3"/>
      <c r="N75" s="3"/>
      <c r="O75" s="3"/>
      <c r="P75" s="3"/>
      <c r="Q75" s="3"/>
      <c r="S75" s="3"/>
      <c r="T75" s="3"/>
      <c r="U75" s="3"/>
      <c r="V75" s="81"/>
      <c r="W75" s="81"/>
      <c r="X75" s="81"/>
      <c r="Y75" s="15"/>
      <c r="Z75" s="79"/>
      <c r="AA75" s="81"/>
      <c r="AB75" s="15"/>
      <c r="AC75" s="3"/>
    </row>
    <row r="76" spans="2:29" ht="14.25" x14ac:dyDescent="0.2">
      <c r="B76" s="3"/>
      <c r="C76" s="3"/>
      <c r="D76" s="3" t="s">
        <v>61</v>
      </c>
      <c r="E76" s="3"/>
      <c r="F76" s="335">
        <f>'Referenz Plattenfertiger'!F76</f>
        <v>80</v>
      </c>
      <c r="G76" s="363" t="s">
        <v>46</v>
      </c>
      <c r="H76" s="3"/>
      <c r="I76" s="110"/>
      <c r="J76" s="3" t="s">
        <v>46</v>
      </c>
      <c r="K76" s="3"/>
      <c r="L76" s="3"/>
      <c r="M76" s="3"/>
      <c r="N76" s="389"/>
      <c r="O76" s="3"/>
      <c r="P76" s="3"/>
      <c r="Q76" s="3"/>
      <c r="S76" s="3"/>
      <c r="T76" s="8" t="str">
        <f>D76</f>
        <v>Verpackungsmaterial</v>
      </c>
      <c r="U76" s="8"/>
      <c r="V76" s="366"/>
      <c r="W76" s="366"/>
      <c r="X76" s="366">
        <f>IF(NOT(ISBLANK($I76)),$I76,$F76)*IF(NOT(ISBLANK(N76)),N76,'Eingabe EF'!$O61)</f>
        <v>64.48</v>
      </c>
      <c r="Y76" s="78"/>
      <c r="Z76" s="366">
        <f>V76+W76</f>
        <v>0</v>
      </c>
      <c r="AA76" s="368">
        <f>SUM(V76:X76)</f>
        <v>64.48</v>
      </c>
      <c r="AB76" s="78" t="s">
        <v>149</v>
      </c>
      <c r="AC76" s="3"/>
    </row>
    <row r="77" spans="2:29" x14ac:dyDescent="0.2">
      <c r="B77" s="3"/>
      <c r="C77" s="3"/>
      <c r="D77" s="3"/>
      <c r="E77" s="3"/>
      <c r="F77" s="3"/>
      <c r="G77" s="3"/>
      <c r="H77" s="3"/>
      <c r="I77" s="3"/>
      <c r="J77" s="3"/>
      <c r="K77" s="3"/>
      <c r="L77" s="3"/>
      <c r="M77" s="3"/>
      <c r="N77" s="3"/>
      <c r="O77" s="3"/>
      <c r="P77" s="3"/>
      <c r="Q77" s="3"/>
      <c r="S77" s="3"/>
      <c r="T77" s="3"/>
      <c r="U77" s="3"/>
      <c r="V77" s="9"/>
      <c r="W77" s="9"/>
      <c r="X77" s="9"/>
      <c r="Y77" s="3"/>
      <c r="Z77" s="9"/>
      <c r="AA77" s="9"/>
      <c r="AB77" s="3"/>
      <c r="AC77" s="3"/>
    </row>
    <row r="78" spans="2:29" ht="30.6" customHeight="1" x14ac:dyDescent="0.25">
      <c r="B78" s="3"/>
      <c r="C78" s="3"/>
      <c r="D78" s="3"/>
      <c r="E78" s="3"/>
      <c r="F78" s="3"/>
      <c r="G78" s="3"/>
      <c r="H78" s="3"/>
      <c r="I78" s="469" t="str">
        <f>IF((I36+I37+I38+I39+I42+I43+I44++I51+I52+I53+I57+I63)&gt;0,IF((I36+I37+I38+I39+I42+I43+I44+I48+I51+I52+I53+I57+I63)=100%,"","Hinweis, falls Handeingabe vorgenommen wurde: Anteile der eingegebenen Verbrauchswerte der Rohstoffe (Zeile 36-59) ergeben nicht 100 %"),"")</f>
        <v/>
      </c>
      <c r="J78" s="469"/>
      <c r="K78" s="469"/>
      <c r="L78" s="469"/>
      <c r="M78" s="469"/>
      <c r="N78" s="3"/>
      <c r="O78" s="3"/>
      <c r="P78" s="3"/>
      <c r="Q78" s="3"/>
      <c r="S78" s="3"/>
      <c r="T78" s="349" t="s">
        <v>37</v>
      </c>
      <c r="U78" s="350"/>
      <c r="V78" s="351">
        <f>SUM(V16:V77)-V41-V35-V50-V57-V66-V71-V31</f>
        <v>94.932355060000006</v>
      </c>
      <c r="W78" s="351">
        <f>SUM(W16:W77)-W41-W35-W50-W57-W66-W71-W31</f>
        <v>171.9</v>
      </c>
      <c r="X78" s="351">
        <f>SUM(X16:X77)-X41-X35-X50-X57-X66-X71-X31</f>
        <v>5831.5296228095176</v>
      </c>
      <c r="Y78" s="349"/>
      <c r="Z78" s="351">
        <f>V78+W78</f>
        <v>266.83235506</v>
      </c>
      <c r="AA78" s="351">
        <f>SUM(V78:X78)</f>
        <v>6098.3619778695174</v>
      </c>
      <c r="AB78" s="349" t="s">
        <v>149</v>
      </c>
      <c r="AC78" s="8"/>
    </row>
    <row r="79" spans="2:29" ht="15" thickBot="1" x14ac:dyDescent="0.3">
      <c r="B79" s="3"/>
      <c r="C79" s="3"/>
      <c r="D79" s="3"/>
      <c r="E79" s="3"/>
      <c r="F79" s="3"/>
      <c r="G79" s="3"/>
      <c r="H79" s="3"/>
      <c r="I79" s="352"/>
      <c r="J79" s="3"/>
      <c r="K79" s="3"/>
      <c r="L79" s="3"/>
      <c r="M79" s="3"/>
      <c r="N79" s="3"/>
      <c r="O79" s="3"/>
      <c r="P79" s="3"/>
      <c r="Q79" s="3"/>
      <c r="S79" s="3"/>
      <c r="T79" s="353"/>
      <c r="U79" s="353"/>
      <c r="V79" s="354">
        <f>V78/IF(NOT(ISBLANK($I$12)),$I$12,$F$12)</f>
        <v>2.3733088764999999E-3</v>
      </c>
      <c r="W79" s="354">
        <f>W78/IF(NOT(ISBLANK($I$12)),$I$12,$F$12)</f>
        <v>4.2975000000000001E-3</v>
      </c>
      <c r="X79" s="354">
        <f>X78/IF(NOT(ISBLANK($I$12)),$I$12,$F$12)</f>
        <v>0.14578824057023795</v>
      </c>
      <c r="Y79" s="355"/>
      <c r="Z79" s="354">
        <f>Z78/IF(NOT(ISBLANK($I$12)),$I$12,$F$12)</f>
        <v>6.6708088764999996E-3</v>
      </c>
      <c r="AA79" s="354">
        <f>AA78/IF(NOT(ISBLANK($I$12)),$I$12,$F$12)</f>
        <v>0.15245904944673794</v>
      </c>
      <c r="AB79" s="355" t="s">
        <v>150</v>
      </c>
      <c r="AC79" s="8"/>
    </row>
    <row r="80" spans="2:29" ht="13.5" thickTop="1" x14ac:dyDescent="0.2">
      <c r="B80" s="3" t="str">
        <f>IF(AND($F$16&gt;0,J16&lt;F16),"Bitte den Handeingabewert 'Reduktion' für 'Bilanzjahr +10 Jahre' auch anpassen. Dieser muss dem Werte Ihrer Handeingabe  'Bilanzjahr + 5 Jahre' entsprechen, sollte nur eine Maßnahme im  'Bilanzjahr + 5 Jahre' umgesetzt werden.","")</f>
        <v/>
      </c>
      <c r="C80" s="3"/>
      <c r="D80" s="3"/>
      <c r="E80" s="3"/>
      <c r="F80" s="3"/>
      <c r="G80" s="3"/>
      <c r="H80" s="3"/>
      <c r="I80" s="3"/>
      <c r="J80" s="3"/>
      <c r="K80" s="3"/>
      <c r="L80" s="3"/>
      <c r="M80" s="3"/>
      <c r="N80" s="3"/>
      <c r="O80" s="3"/>
      <c r="P80" s="3"/>
      <c r="Q80" s="3"/>
      <c r="S80" s="3"/>
      <c r="T80" s="3"/>
      <c r="U80" s="3"/>
      <c r="V80" s="3"/>
      <c r="W80" s="3"/>
      <c r="X80" s="3"/>
      <c r="Y80" s="3"/>
      <c r="Z80" s="3"/>
      <c r="AA80" s="3"/>
      <c r="AB80" s="3"/>
      <c r="AC80" s="3"/>
    </row>
    <row r="81" spans="2:29" ht="14.25" x14ac:dyDescent="0.2">
      <c r="B81" s="3"/>
      <c r="C81" s="34"/>
      <c r="D81" s="34" t="s">
        <v>399</v>
      </c>
      <c r="E81" s="34"/>
      <c r="F81" s="34"/>
      <c r="G81" s="34"/>
      <c r="H81" s="34"/>
      <c r="I81" s="34"/>
      <c r="J81" s="34"/>
      <c r="K81" s="3"/>
      <c r="L81" s="3"/>
      <c r="M81" s="3"/>
      <c r="N81" s="3"/>
      <c r="O81" s="3"/>
      <c r="P81" s="3"/>
      <c r="Q81" s="3"/>
      <c r="S81" s="3"/>
      <c r="T81" s="3"/>
      <c r="U81" s="3"/>
      <c r="V81" s="3"/>
      <c r="W81" s="3"/>
      <c r="X81" s="3"/>
      <c r="Y81" s="3"/>
      <c r="Z81" s="3"/>
      <c r="AA81" s="3"/>
      <c r="AB81" s="3"/>
      <c r="AC81" s="3"/>
    </row>
    <row r="82" spans="2:29" ht="14.25" x14ac:dyDescent="0.2">
      <c r="B82" s="3"/>
      <c r="C82" s="3"/>
      <c r="D82" s="3"/>
      <c r="E82" s="3"/>
      <c r="F82" s="3"/>
      <c r="G82" s="3"/>
      <c r="H82" s="3"/>
      <c r="I82" s="3"/>
      <c r="J82" s="3"/>
      <c r="K82" s="3"/>
      <c r="L82" s="3"/>
      <c r="M82" s="3"/>
      <c r="N82" s="3"/>
      <c r="O82" s="3"/>
      <c r="P82" s="3"/>
      <c r="Q82" s="3"/>
      <c r="S82" s="3"/>
      <c r="T82" s="3" t="s">
        <v>157</v>
      </c>
      <c r="U82" s="3"/>
      <c r="V82" s="3"/>
      <c r="W82" s="3"/>
      <c r="X82" s="3"/>
      <c r="Y82" s="3"/>
      <c r="Z82" s="3"/>
      <c r="AA82" s="3"/>
      <c r="AB82" s="3"/>
      <c r="AC82" s="3"/>
    </row>
    <row r="83" spans="2:29" x14ac:dyDescent="0.2">
      <c r="B83"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83" s="3"/>
      <c r="D83" s="3"/>
      <c r="E83" s="3"/>
      <c r="F83" s="3"/>
      <c r="G83" s="3"/>
      <c r="H83" s="3"/>
      <c r="I83" s="3"/>
      <c r="J83" s="3"/>
      <c r="K83" s="3"/>
      <c r="L83" s="3"/>
      <c r="M83" s="3"/>
      <c r="N83" s="3"/>
      <c r="O83" s="3"/>
      <c r="P83" s="3"/>
      <c r="Q83" s="3"/>
      <c r="S83" s="3"/>
      <c r="T83" s="3"/>
      <c r="U83" s="3"/>
      <c r="V83" s="3"/>
      <c r="W83" s="3"/>
      <c r="X83" s="3"/>
      <c r="Y83" s="3"/>
      <c r="Z83" s="3"/>
      <c r="AA83" s="3"/>
      <c r="AB83" s="3"/>
      <c r="AC83" s="3"/>
    </row>
    <row r="84" spans="2:29" hidden="1" x14ac:dyDescent="0.2">
      <c r="B84" s="3"/>
      <c r="C84" s="3"/>
      <c r="D84" s="3"/>
      <c r="E84" s="3"/>
      <c r="F84" s="3"/>
      <c r="G84" s="3"/>
      <c r="H84" s="3"/>
      <c r="I84" s="3"/>
      <c r="J84" s="3"/>
      <c r="K84" s="3"/>
      <c r="L84" s="3"/>
      <c r="M84" s="3"/>
      <c r="N84" s="3"/>
      <c r="O84" s="3"/>
      <c r="P84" s="3"/>
      <c r="Q84" s="3"/>
      <c r="S84" s="3"/>
      <c r="T84" s="3"/>
      <c r="U84" s="3"/>
      <c r="V84" s="3"/>
      <c r="W84" s="3"/>
      <c r="X84" s="3"/>
      <c r="Y84" s="3"/>
      <c r="Z84" s="3"/>
      <c r="AA84" s="3"/>
      <c r="AB84" s="3"/>
      <c r="AC84" s="3"/>
    </row>
    <row r="85" spans="2:29" hidden="1" outlineLevel="1" x14ac:dyDescent="0.2">
      <c r="D85" s="102" t="str">
        <f>IF((OR($I$39&gt;0,K39&gt;0)),"Bitte im Reiter 'Eingabe EF' einen Emissionsfaktor für die Zementsorte für aktuelles Bilanzjahr, Bilanzjahr +5 Jahre  und Bilanzjahr +10 Jahre eintragen!","")</f>
        <v/>
      </c>
    </row>
    <row r="86" spans="2:29" hidden="1" outlineLevel="1" x14ac:dyDescent="0.2">
      <c r="D86" s="102" t="str">
        <f>IF($I$19&gt;0,"Bitte im Reiter 'Eingabe EF' entsprechende Emissionsfaktoren und im Reiter 'Eingabe Preise' entsprechenden Preis für den alternativen Ergieträger Härtekammer für das Bilanzjahr, das 'Bilanzjahr +5 Jahre' und das 'Bilanzjahr +10 Jahre' eintragen!","")</f>
        <v/>
      </c>
      <c r="G86" s="6" t="s">
        <v>400</v>
      </c>
      <c r="I86" s="356">
        <f>IF(NOT(ISBLANK($I36)),$I36,$F36)+IF(NOT(ISBLANK($I37)),$I37,$F37)+IF(NOT(ISBLANK($I38)),$I38,$F38)+IF(NOT(ISBLANK($I39)),$I39,$F39)+IF(NOT(ISBLANK($I42)),$I42,$F42)+IF(NOT(ISBLANK($I43)),$I43,$F43)+IF(NOT(ISBLANK($I44)),$I44,$F44)+IF(NOT(ISBLANK($I48)),$I48,$F48)+IF(NOT(ISBLANK($I51)),$I51,$F51)+IF(NOT(ISBLANK($I52)),$I52,$F52)+IF(NOT(ISBLANK($I53)),$I53,$F53)+IF(NOT(ISBLANK($I57)),$I57,$F57)+IF(NOT(ISBLANK($I63)),$I63,$F63)+IF(NOT(ISBLANK($I67)),$I67,$F67)+IF(NOT(ISBLANK($I68)),$I68,$F68)+IF(NOT(ISBLANK($I69)),$I69,$F69)</f>
        <v>1</v>
      </c>
      <c r="P86" s="6" t="str">
        <f>IF(OR(I86&lt;100%,I86&gt;100%),"Hinweis: Die Summe der Einsatzstoffe muss 100% ergeben.","")</f>
        <v/>
      </c>
    </row>
    <row r="87" spans="2:29" hidden="1" outlineLevel="1" x14ac:dyDescent="0.2">
      <c r="D87" s="102" t="str">
        <f>IF($I$26&gt;0,"Bitte im Reiter 'Eingabe EF' entsprechende Emissionsfaktoren und im Reiter 'Eingabe Preise' entsprechenden Preis für den alternativen Ergieträger fürs restliche Werk für aktuelles Bilanzjahr, Bilanzjahr +5 Jahre und Bilanzjahr +10 Jahre eintragen!","")</f>
        <v/>
      </c>
      <c r="G87" s="6" t="s">
        <v>401</v>
      </c>
      <c r="I87" s="356">
        <f>IF(NOT(ISBLANK($I58)),$I58,$F58)+IF(NOT(ISBLANK($I59)),$I59,$F59)+IF(NOT(ISBLANK($I60)),$I60,$F60)+IF(NOT(ISBLANK($I61)),$I61,$F61)</f>
        <v>0.99999999999999967</v>
      </c>
      <c r="P87" s="6" t="str">
        <f>IF(OR(I87&lt;100%,I87&gt;100%),"Hinweis: Die Summe der Zusatzmittel muss 100% ergeben.","")</f>
        <v/>
      </c>
    </row>
    <row r="88" spans="2:29" hidden="1" outlineLevel="1" x14ac:dyDescent="0.2">
      <c r="D88" s="102" t="str">
        <f>IF(OR($K43&gt;0,$I43&gt;0),"Bitte im Reiter 'Eingabe EF' einen Emissionsfaktor für Brechsand, Splitt für aktuelles Bilanzjahr, Bilanzjahr +5 Jahre und Bilanzjahr + 10 Jahre eintragen!","")</f>
        <v/>
      </c>
    </row>
    <row r="89" spans="2:29" hidden="1" outlineLevel="1" x14ac:dyDescent="0.2">
      <c r="D89" s="102" t="str">
        <f>IF(OR($K44&gt;0,$I44&gt;0),"Bitte im Reiter 'Eingabe EF' einen Emissionsfaktor für Brechsand, Splitt für aktuelles Bilanzjahr, Bilanzjahr +5 Jahre und Bilanzjahr + 10 Jahre eintragen!","")</f>
        <v/>
      </c>
    </row>
    <row r="90" spans="2:29" hidden="1" outlineLevel="1" x14ac:dyDescent="0.2">
      <c r="D90" s="102" t="str">
        <f>IF(OR($I$67&gt;0,$K67),"Bitte im Reiter 'Eingabe EF' einen Emissionsfaktor für Hydrophobierung für aktuelles Bilanzjahr, Bilanzjahr +5 Jahre und Bilanzjahr + 10 Jahre eintragen!","")</f>
        <v/>
      </c>
    </row>
    <row r="91" spans="2:29" hidden="1" outlineLevel="1" x14ac:dyDescent="0.2">
      <c r="D91" s="102" t="str">
        <f>IF(OR($I$69&gt;0,K69&gt;0),"Bitte im Reiter 'Eingabe EF' einen Emissionsfaktor für Beschichtung für aktuelles Bilanzjahr, Bilanzjahr +5 Jahre und Bilanzjahr + 10 Jahre eintragen!","")</f>
        <v/>
      </c>
    </row>
    <row r="92" spans="2:29" hidden="1" outlineLevel="1" x14ac:dyDescent="0.2">
      <c r="D92" s="102" t="str">
        <f>IF($I$73&gt;0,"Bitte im Reiter 'Eingabe EF' einen Emissionsfaktor für 'weitere Materialen' für aktuelles Bilanzjahr, Bilanzjahr +5 Jahre und Bilanzjahr + 10 Jahre eintragen!","")</f>
        <v/>
      </c>
    </row>
    <row r="93" spans="2:29" hidden="1" outlineLevel="1" x14ac:dyDescent="0.2">
      <c r="D93" s="102" t="str">
        <f>IF($I$74&gt;0,"Bitte im Reiter 'Eingabe EF' einen Emissionsfaktor für Oberflächenbearbeitungsarten für aktuelles Bilanzjahr, Bilanzjahr +5 Jahre und Bilanzjahr + 10 Jahre eintragen!","")</f>
        <v/>
      </c>
    </row>
    <row r="94" spans="2:29" hidden="1" collapsed="1" x14ac:dyDescent="0.2">
      <c r="D94" s="6" t="str">
        <f>IF((OR($I$61&gt;0,K61&gt;0)),"Bitte im Reiter 'Eingabe EF' einen Emissionsfaktor für die Hydrophobierer für aktuelles Bilanzjahr, Bilanzjahr +5 Jahre und Bilanzjahr + 10 Jahre eintragen!","")</f>
        <v/>
      </c>
    </row>
    <row r="220" spans="29:29" x14ac:dyDescent="0.2">
      <c r="AC220" s="6" t="s">
        <v>472</v>
      </c>
    </row>
    <row r="221" spans="29:29" x14ac:dyDescent="0.2">
      <c r="AC221" s="6" t="s">
        <v>473</v>
      </c>
    </row>
  </sheetData>
  <sheetProtection algorithmName="SHA-512" hashValue="09Px9Fft7nzDwcZ5LOhseDTQRVL8lO0dnw8aa8KHw8fquUrZu0UvA1vSzIcuE9D+givH4Kxet0D3Vju+WAyVsw==" saltValue="HWt9OKlM8ljn5/z7dvtC3Q==" spinCount="100000" sheet="1" selectLockedCells="1"/>
  <mergeCells count="3">
    <mergeCell ref="F6:P6"/>
    <mergeCell ref="J58:J61"/>
    <mergeCell ref="I78:M78"/>
  </mergeCells>
  <dataValidations xWindow="765" yWindow="506" count="4">
    <dataValidation allowBlank="1" showInputMessage="1" showErrorMessage="1" prompt="Bitte Emissionsfaktoren in Spalte M und N eintragen!" sqref="I19 K39 I43:I46 K61 K67 K69 I73:I74 I69 I67 I26 I39 K43:K46 I54:I55 K54:K55" xr:uid="{24301E38-8FD3-4BAB-A729-FEA9B8D9C3C4}"/>
    <dataValidation allowBlank="1" showInputMessage="1" showErrorMessage="1" prompt="Hinweis: Die Summe der Zusatzmittel muss 100% ergeben." sqref="I58:I60" xr:uid="{8103789A-831F-445E-8BD9-3C4B1A864E2E}"/>
    <dataValidation allowBlank="1" showInputMessage="1" showErrorMessage="1" prompt="Hinweis: Die Summe der Zusatzmittel muss 100% ergeben._x000a__x000a_Bitte Emissionsfaktoren in Spalte M und N eintragen!" sqref="I61" xr:uid="{4AB5656C-399D-4F3A-B0AF-D72230BE4BE3}"/>
    <dataValidation allowBlank="1" showInputMessage="1" showErrorMessage="1" prompt="Hinweis: Falls eigener Strom-Emissionsfaktor vorhanden, z. B. Bezug von Grünstrom, in Spalte M und N eintragen." sqref="I18 I24" xr:uid="{B82864FF-2D5D-4092-8753-1101C3BF5314}"/>
  </dataValidations>
  <hyperlinks>
    <hyperlink ref="A1" location="Cockpit!A1" display="zurück zu Cockpit" xr:uid="{C9C87B90-8059-46B7-89E5-58D71A7C3261}"/>
  </hyperlinks>
  <printOptions horizontalCentered="1"/>
  <pageMargins left="0.39370078740157483" right="0.39370078740157483" top="0.39370078740157483" bottom="0.59055118110236227" header="0.19685039370078741" footer="0.19685039370078741"/>
  <pageSetup paperSize="9" scale="40" fitToWidth="3" orientation="landscape" verticalDpi="601" r:id="rId1"/>
  <colBreaks count="2" manualBreakCount="2">
    <brk id="17" max="79" man="1"/>
    <brk id="29" max="79" man="1"/>
  </colBreaks>
  <ignoredErrors>
    <ignoredError sqref="D51:D56"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C935A-8C06-4B73-AD75-ED7F764E1386}">
  <dimension ref="A1:AL96"/>
  <sheetViews>
    <sheetView workbookViewId="0"/>
  </sheetViews>
  <sheetFormatPr baseColWidth="10" defaultColWidth="9" defaultRowHeight="12.75" outlineLevelRow="1" x14ac:dyDescent="0.2"/>
  <cols>
    <col min="1" max="1" width="3.5" style="6" customWidth="1"/>
    <col min="2" max="2" width="3.75" style="6" customWidth="1"/>
    <col min="3" max="3" width="13.625" style="6" customWidth="1"/>
    <col min="4" max="4" width="25.25" style="6" customWidth="1"/>
    <col min="5" max="5" width="26.5" style="6" customWidth="1"/>
    <col min="6" max="6" width="16.25" style="6" customWidth="1"/>
    <col min="7" max="7" width="17.625" style="6" customWidth="1"/>
    <col min="8" max="8" width="2" style="6" customWidth="1"/>
    <col min="9" max="9" width="17" style="6" customWidth="1"/>
    <col min="10" max="15" width="17.375" style="6" customWidth="1"/>
    <col min="16" max="16" width="21.375" style="6" customWidth="1"/>
    <col min="17" max="17" width="3.75" style="6" customWidth="1"/>
    <col min="18" max="18" width="4.125" style="6" customWidth="1"/>
    <col min="19" max="19" width="3.75" style="6" customWidth="1"/>
    <col min="20" max="20" width="31" style="6" customWidth="1"/>
    <col min="21" max="21" width="1.375" style="6" customWidth="1"/>
    <col min="22" max="24" width="9" style="6"/>
    <col min="25" max="25" width="3.125" style="6" customWidth="1"/>
    <col min="26" max="27" width="11.625" style="6" customWidth="1"/>
    <col min="28" max="28" width="15.125" style="6" bestFit="1" customWidth="1"/>
    <col min="29" max="29" width="3.75" style="6" customWidth="1"/>
    <col min="30" max="30" width="4.125" style="6" customWidth="1"/>
    <col min="31" max="31" width="3.75" style="6" customWidth="1"/>
    <col min="32" max="32" width="29.875" style="6" bestFit="1" customWidth="1"/>
    <col min="33" max="33" width="10.875" style="6" bestFit="1" customWidth="1"/>
    <col min="34" max="34" width="6.625" style="6" customWidth="1"/>
    <col min="35" max="16384" width="9" style="6"/>
  </cols>
  <sheetData>
    <row r="1" spans="1:38" x14ac:dyDescent="0.2">
      <c r="A1" s="425" t="s">
        <v>467</v>
      </c>
    </row>
    <row r="3" spans="1:38" x14ac:dyDescent="0.2">
      <c r="B3" s="3"/>
      <c r="C3" s="3"/>
      <c r="D3" s="3"/>
      <c r="E3" s="3"/>
      <c r="F3" s="3"/>
      <c r="G3" s="3"/>
      <c r="H3" s="3"/>
      <c r="I3" s="3"/>
      <c r="J3" s="3"/>
      <c r="K3" s="3"/>
      <c r="L3" s="3"/>
      <c r="M3" s="3"/>
      <c r="N3" s="3"/>
      <c r="O3" s="3"/>
      <c r="P3" s="3"/>
      <c r="Q3" s="3"/>
    </row>
    <row r="4" spans="1:38" ht="15.75" x14ac:dyDescent="0.25">
      <c r="B4" s="3"/>
      <c r="C4" s="332" t="s">
        <v>536</v>
      </c>
      <c r="D4" s="3"/>
      <c r="E4" s="3"/>
      <c r="F4" s="3"/>
      <c r="G4" s="3"/>
      <c r="H4" s="3"/>
      <c r="I4" s="3"/>
      <c r="J4" s="3"/>
      <c r="K4" s="3"/>
      <c r="L4" s="3"/>
      <c r="M4" s="3"/>
      <c r="N4" s="3"/>
      <c r="O4" s="3"/>
      <c r="P4" s="3"/>
      <c r="Q4" s="3"/>
    </row>
    <row r="5" spans="1:38" ht="23.25" customHeight="1" x14ac:dyDescent="0.2">
      <c r="B5" s="3"/>
      <c r="C5" s="3"/>
      <c r="D5" s="3"/>
      <c r="E5" s="3"/>
      <c r="F5" s="3"/>
      <c r="G5" s="3"/>
      <c r="H5" s="3"/>
      <c r="I5" s="3"/>
      <c r="J5" s="3"/>
      <c r="K5" s="3"/>
      <c r="L5" s="3"/>
      <c r="M5" s="3"/>
      <c r="N5" s="3"/>
      <c r="O5" s="3"/>
      <c r="P5" s="3"/>
      <c r="Q5" s="3"/>
    </row>
    <row r="6" spans="1:38" ht="23.25" customHeight="1" x14ac:dyDescent="0.2">
      <c r="B6" s="3"/>
      <c r="C6" s="3" t="s">
        <v>250</v>
      </c>
      <c r="D6" s="110"/>
      <c r="E6" s="3"/>
      <c r="F6" s="467" t="s">
        <v>458</v>
      </c>
      <c r="G6" s="467"/>
      <c r="H6" s="467"/>
      <c r="I6" s="467"/>
      <c r="J6" s="467"/>
      <c r="K6" s="467"/>
      <c r="L6" s="467"/>
      <c r="M6" s="467"/>
      <c r="N6" s="467"/>
      <c r="O6" s="467"/>
      <c r="P6" s="467"/>
      <c r="Q6" s="3"/>
    </row>
    <row r="7" spans="1:38" x14ac:dyDescent="0.2">
      <c r="B7" s="3"/>
      <c r="C7" s="3" t="s">
        <v>251</v>
      </c>
      <c r="D7" s="377"/>
      <c r="E7" s="3"/>
      <c r="F7" s="3"/>
      <c r="G7" s="3"/>
      <c r="H7" s="3"/>
      <c r="I7" s="3"/>
      <c r="J7" s="3"/>
      <c r="K7" s="3"/>
      <c r="L7" s="3"/>
      <c r="M7" s="3"/>
      <c r="N7" s="3"/>
      <c r="O7" s="3"/>
      <c r="P7" s="3"/>
      <c r="Q7" s="3"/>
    </row>
    <row r="8" spans="1:38" x14ac:dyDescent="0.2">
      <c r="B8" s="3"/>
      <c r="C8" s="3" t="s">
        <v>252</v>
      </c>
      <c r="D8" s="110"/>
      <c r="E8" s="3"/>
      <c r="F8" s="3"/>
      <c r="G8" s="3"/>
      <c r="H8" s="3"/>
      <c r="I8" s="3"/>
      <c r="J8" s="3"/>
      <c r="K8" s="3"/>
      <c r="L8" s="3"/>
      <c r="M8" s="3"/>
      <c r="N8" s="3"/>
      <c r="O8" s="3"/>
      <c r="P8" s="3"/>
      <c r="Q8" s="3"/>
      <c r="S8" s="3"/>
      <c r="T8" s="3"/>
      <c r="U8" s="3"/>
      <c r="V8" s="3"/>
      <c r="W8" s="3"/>
      <c r="X8" s="3"/>
      <c r="Y8" s="3"/>
      <c r="Z8" s="3"/>
      <c r="AA8" s="3"/>
      <c r="AB8" s="3"/>
      <c r="AC8" s="3"/>
      <c r="AE8" s="3"/>
      <c r="AF8" s="3"/>
      <c r="AG8" s="3"/>
      <c r="AH8" s="3"/>
      <c r="AI8" s="3"/>
    </row>
    <row r="9" spans="1:38" x14ac:dyDescent="0.2">
      <c r="B9" s="3"/>
      <c r="C9" s="3" t="s">
        <v>499</v>
      </c>
      <c r="D9" s="388"/>
      <c r="E9" s="3"/>
      <c r="F9" s="3"/>
      <c r="G9" s="3"/>
      <c r="H9" s="3"/>
      <c r="I9" s="3"/>
      <c r="J9" s="3"/>
      <c r="K9" s="3"/>
      <c r="L9" s="3"/>
      <c r="M9" s="3"/>
      <c r="N9" s="3"/>
      <c r="O9" s="3"/>
      <c r="P9" s="3"/>
      <c r="Q9" s="3"/>
      <c r="S9" s="3"/>
      <c r="T9" s="3"/>
      <c r="U9" s="3"/>
      <c r="V9" s="3"/>
      <c r="W9" s="3"/>
      <c r="X9" s="3"/>
      <c r="Y9" s="3"/>
      <c r="Z9" s="3"/>
      <c r="AA9" s="3"/>
      <c r="AB9" s="3"/>
      <c r="AC9" s="3"/>
      <c r="AE9" s="3"/>
      <c r="AF9" s="3"/>
      <c r="AG9" s="3"/>
      <c r="AH9" s="3"/>
      <c r="AI9" s="3"/>
    </row>
    <row r="10" spans="1:38" ht="15" x14ac:dyDescent="0.25">
      <c r="B10" s="3"/>
      <c r="C10" s="3"/>
      <c r="D10" s="381"/>
      <c r="E10" s="3"/>
      <c r="F10" s="334" t="s">
        <v>499</v>
      </c>
      <c r="G10" s="334">
        <f>D9</f>
        <v>0</v>
      </c>
      <c r="H10" s="3"/>
      <c r="I10" s="3"/>
      <c r="J10" s="3"/>
      <c r="K10" s="3"/>
      <c r="L10" s="3"/>
      <c r="M10" s="3"/>
      <c r="N10" s="3"/>
      <c r="O10" s="3"/>
      <c r="P10" s="3"/>
      <c r="Q10" s="3"/>
      <c r="S10" s="3"/>
      <c r="T10" s="333" t="s">
        <v>427</v>
      </c>
      <c r="U10" s="3"/>
      <c r="V10" s="3"/>
      <c r="W10" s="3"/>
      <c r="X10" s="3"/>
      <c r="Y10" s="3"/>
      <c r="Z10" s="3"/>
      <c r="AA10" s="3"/>
      <c r="AB10" s="3"/>
      <c r="AC10" s="3"/>
      <c r="AE10" s="3"/>
      <c r="AF10" s="333" t="s">
        <v>79</v>
      </c>
      <c r="AG10" s="3"/>
      <c r="AH10" s="3"/>
      <c r="AI10" s="3"/>
    </row>
    <row r="11" spans="1:38" ht="15" x14ac:dyDescent="0.25">
      <c r="B11" s="3"/>
      <c r="C11" s="3"/>
      <c r="D11" s="3"/>
      <c r="E11" s="3"/>
      <c r="F11" s="334" t="s">
        <v>292</v>
      </c>
      <c r="G11" s="334"/>
      <c r="H11" s="115"/>
      <c r="I11" s="115" t="s">
        <v>72</v>
      </c>
      <c r="J11" s="3"/>
      <c r="K11" s="3"/>
      <c r="L11" s="3"/>
      <c r="M11" s="3"/>
      <c r="N11" s="3"/>
      <c r="O11" s="3"/>
      <c r="P11" s="3"/>
      <c r="Q11" s="3"/>
      <c r="S11" s="3"/>
      <c r="T11" s="382">
        <f>D9</f>
        <v>0</v>
      </c>
      <c r="U11" s="3"/>
      <c r="V11" s="3"/>
      <c r="W11" s="3"/>
      <c r="X11" s="3"/>
      <c r="Y11" s="3"/>
      <c r="Z11" s="3"/>
      <c r="AA11" s="3"/>
      <c r="AB11" s="3"/>
      <c r="AC11" s="3"/>
      <c r="AE11" s="3"/>
      <c r="AF11" s="382">
        <f>D9</f>
        <v>0</v>
      </c>
      <c r="AG11" s="3"/>
      <c r="AH11" s="3"/>
      <c r="AI11" s="3"/>
    </row>
    <row r="12" spans="1:38" x14ac:dyDescent="0.2">
      <c r="B12" s="3"/>
      <c r="C12" s="3"/>
      <c r="D12" s="3"/>
      <c r="E12" s="392" t="s">
        <v>78</v>
      </c>
      <c r="F12" s="391">
        <f>'Referenz Plattenfertiger'!F12</f>
        <v>40000</v>
      </c>
      <c r="G12" s="391" t="s">
        <v>46</v>
      </c>
      <c r="H12" s="3"/>
      <c r="I12" s="110"/>
      <c r="J12" s="3" t="s">
        <v>46</v>
      </c>
      <c r="K12" s="3"/>
      <c r="L12" s="3"/>
      <c r="M12" s="3"/>
      <c r="N12" s="3"/>
      <c r="O12" s="3"/>
      <c r="P12" s="3"/>
      <c r="Q12" s="3"/>
      <c r="S12" s="3"/>
      <c r="T12" s="3"/>
      <c r="U12" s="3"/>
      <c r="V12" s="3"/>
      <c r="W12" s="3"/>
      <c r="X12" s="3"/>
      <c r="Y12" s="3"/>
      <c r="Z12" s="3"/>
      <c r="AA12" s="3"/>
      <c r="AB12" s="3"/>
      <c r="AC12" s="3"/>
      <c r="AE12" s="3"/>
      <c r="AF12" s="3"/>
      <c r="AG12" s="3"/>
      <c r="AH12" s="3"/>
      <c r="AI12" s="3"/>
    </row>
    <row r="13" spans="1:38" x14ac:dyDescent="0.2">
      <c r="B13" s="3"/>
      <c r="C13" s="3"/>
      <c r="D13" s="3"/>
      <c r="E13" s="3"/>
      <c r="F13" s="227"/>
      <c r="G13" s="227"/>
      <c r="H13" s="3"/>
      <c r="I13" s="3"/>
      <c r="J13" s="3"/>
      <c r="K13" s="3"/>
      <c r="L13" s="3"/>
      <c r="M13" s="3"/>
      <c r="N13" s="3"/>
      <c r="O13" s="3"/>
      <c r="P13" s="3"/>
      <c r="Q13" s="3"/>
      <c r="S13" s="3"/>
      <c r="T13" s="3"/>
      <c r="U13" s="3"/>
      <c r="V13" s="3"/>
      <c r="W13" s="3"/>
      <c r="X13" s="3"/>
      <c r="Y13" s="3"/>
      <c r="Z13" s="3"/>
      <c r="AA13" s="3"/>
      <c r="AB13" s="3"/>
      <c r="AC13" s="3"/>
      <c r="AE13" s="3"/>
      <c r="AF13" s="3"/>
      <c r="AG13" s="3"/>
      <c r="AH13" s="3"/>
      <c r="AI13" s="3"/>
    </row>
    <row r="14" spans="1:38" s="340" customFormat="1" ht="76.5" x14ac:dyDescent="0.2">
      <c r="B14" s="116"/>
      <c r="C14" s="24"/>
      <c r="D14" s="336"/>
      <c r="E14" s="49" t="s">
        <v>69</v>
      </c>
      <c r="F14" s="390" t="s">
        <v>74</v>
      </c>
      <c r="G14" s="390" t="s">
        <v>19</v>
      </c>
      <c r="H14" s="339"/>
      <c r="I14" s="339" t="s">
        <v>73</v>
      </c>
      <c r="J14" s="49" t="s">
        <v>19</v>
      </c>
      <c r="K14" s="49"/>
      <c r="L14" s="49"/>
      <c r="M14" s="339" t="s">
        <v>454</v>
      </c>
      <c r="N14" s="339" t="s">
        <v>455</v>
      </c>
      <c r="O14" s="49"/>
      <c r="P14" s="49" t="s">
        <v>255</v>
      </c>
      <c r="Q14" s="116"/>
      <c r="S14" s="116"/>
      <c r="T14" s="24"/>
      <c r="U14" s="24"/>
      <c r="V14" s="117" t="s">
        <v>25</v>
      </c>
      <c r="W14" s="117" t="s">
        <v>26</v>
      </c>
      <c r="X14" s="117" t="s">
        <v>27</v>
      </c>
      <c r="Y14" s="117"/>
      <c r="Z14" s="49" t="s">
        <v>80</v>
      </c>
      <c r="AA14" s="341" t="s">
        <v>37</v>
      </c>
      <c r="AB14" s="49"/>
      <c r="AC14" s="116"/>
      <c r="AE14" s="116"/>
      <c r="AF14" s="336"/>
      <c r="AG14" s="336"/>
      <c r="AH14" s="336"/>
      <c r="AI14" s="116"/>
      <c r="AJ14" s="6"/>
      <c r="AK14" s="6"/>
      <c r="AL14" s="6"/>
    </row>
    <row r="15" spans="1:38" s="340" customFormat="1" ht="14.25" x14ac:dyDescent="0.2">
      <c r="B15" s="116"/>
      <c r="C15" s="8" t="s">
        <v>71</v>
      </c>
      <c r="D15" s="116"/>
      <c r="E15" s="12"/>
      <c r="F15" s="342"/>
      <c r="G15" s="343"/>
      <c r="H15" s="344"/>
      <c r="I15" s="344"/>
      <c r="J15" s="12"/>
      <c r="K15" s="12"/>
      <c r="L15" s="12"/>
      <c r="M15" s="12"/>
      <c r="N15" s="12"/>
      <c r="O15" s="12"/>
      <c r="P15" s="116"/>
      <c r="Q15" s="116"/>
      <c r="S15" s="116"/>
      <c r="T15" s="345" t="s">
        <v>176</v>
      </c>
      <c r="U15" s="345"/>
      <c r="V15" s="346">
        <f>SUM(V16:V29)</f>
        <v>94.932355060000006</v>
      </c>
      <c r="W15" s="346">
        <f>SUM(W16:W29)</f>
        <v>171.9</v>
      </c>
      <c r="X15" s="346">
        <f>SUM(X16:X29)</f>
        <v>41.281733459999998</v>
      </c>
      <c r="Y15" s="347"/>
      <c r="Z15" s="346">
        <f>V15+W15</f>
        <v>266.83235506</v>
      </c>
      <c r="AA15" s="367">
        <f>SUM(V15:X15)</f>
        <v>308.11408852</v>
      </c>
      <c r="AB15" s="347" t="s">
        <v>149</v>
      </c>
      <c r="AC15" s="116"/>
      <c r="AE15" s="116"/>
      <c r="AF15" s="347" t="s">
        <v>108</v>
      </c>
      <c r="AG15" s="369">
        <f>SUM(AG16:AG22)</f>
        <v>109669</v>
      </c>
      <c r="AH15" s="347" t="s">
        <v>96</v>
      </c>
      <c r="AI15" s="116"/>
      <c r="AJ15" s="6"/>
      <c r="AK15" s="6"/>
      <c r="AL15" s="6"/>
    </row>
    <row r="16" spans="1:38" ht="15.75" x14ac:dyDescent="0.2">
      <c r="B16" s="3"/>
      <c r="C16" s="348"/>
      <c r="D16" s="3" t="s">
        <v>476</v>
      </c>
      <c r="E16" s="3" t="s">
        <v>29</v>
      </c>
      <c r="F16" s="335">
        <f>'Referenz Plattenfertiger'!F16</f>
        <v>188000</v>
      </c>
      <c r="G16" s="118" t="s">
        <v>38</v>
      </c>
      <c r="H16" s="9"/>
      <c r="I16" s="110"/>
      <c r="J16" s="3" t="s">
        <v>38</v>
      </c>
      <c r="K16" s="3"/>
      <c r="L16" s="3"/>
      <c r="M16" s="389"/>
      <c r="N16" s="389"/>
      <c r="O16" s="3"/>
      <c r="P16" s="3"/>
      <c r="Q16" s="3"/>
      <c r="S16" s="3"/>
      <c r="T16" s="3" t="str">
        <f>E16</f>
        <v>Erdgas</v>
      </c>
      <c r="U16" s="3"/>
      <c r="V16" s="79">
        <f>IF(NOT(ISBLANK($I16)),$I16,$F16)*IF(NOT(ISBLANK(M16)),M16,'Eingabe EF'!$G9)</f>
        <v>34.434080000000002</v>
      </c>
      <c r="W16" s="79"/>
      <c r="X16" s="79">
        <f>IF(NOT(ISBLANK($I16)),$I16,$F16)*IF(NOT(ISBLANK(N16)),N16,'Eingabe EF'!$O9)</f>
        <v>5.8938000000000006</v>
      </c>
      <c r="Y16" s="15"/>
      <c r="Z16" s="79">
        <f>V16+W16</f>
        <v>34.434080000000002</v>
      </c>
      <c r="AA16" s="81">
        <f>SUM(V16:X16)</f>
        <v>40.32788</v>
      </c>
      <c r="AB16" s="15" t="s">
        <v>148</v>
      </c>
      <c r="AC16" s="3"/>
      <c r="AE16" s="3"/>
      <c r="AF16" s="15" t="s">
        <v>29</v>
      </c>
      <c r="AG16" s="80">
        <f>(IF(NOT(ISBLANK($I16)),$I16,$F16)+IF(NOT(ISBLANK($I21)),$I21,$F21))/1000*IF(NOT(ISBLANK('Eingabe Preise'!$G10)),'Eingabe Preise'!$G10,'Eingabe Preise'!$E10)</f>
        <v>14335</v>
      </c>
      <c r="AH16" s="15" t="s">
        <v>96</v>
      </c>
      <c r="AI16" s="3"/>
    </row>
    <row r="17" spans="2:35" ht="15.75" x14ac:dyDescent="0.2">
      <c r="B17" s="3"/>
      <c r="C17" s="348"/>
      <c r="D17" s="3"/>
      <c r="E17" s="3" t="s">
        <v>30</v>
      </c>
      <c r="F17" s="335">
        <f>'Referenz Plattenfertiger'!F17</f>
        <v>24000</v>
      </c>
      <c r="G17" s="118" t="s">
        <v>41</v>
      </c>
      <c r="H17" s="9"/>
      <c r="I17" s="110"/>
      <c r="J17" s="3" t="s">
        <v>41</v>
      </c>
      <c r="K17" s="3"/>
      <c r="L17" s="3"/>
      <c r="M17" s="389"/>
      <c r="N17" s="389"/>
      <c r="O17" s="3"/>
      <c r="P17" s="3"/>
      <c r="Q17" s="3"/>
      <c r="S17" s="3"/>
      <c r="T17" s="3" t="str">
        <f>E17</f>
        <v>Heizöl</v>
      </c>
      <c r="U17" s="3"/>
      <c r="V17" s="79">
        <f>IF(NOT(ISBLANK($I17)),$I17,$F17)*IF(NOT(ISBLANK(M17)),M17,'Eingabe EF'!$G10)</f>
        <v>6.4022399999999999</v>
      </c>
      <c r="W17" s="79"/>
      <c r="X17" s="79">
        <f>IF(NOT(ISBLANK($I17)),$I17,$F17)*IF(NOT(ISBLANK(N17)),N17,'Eingabe EF'!$O10)</f>
        <v>0.949824</v>
      </c>
      <c r="Y17" s="15"/>
      <c r="Z17" s="79">
        <f t="shared" ref="Z17:Z29" si="0">V17+W17</f>
        <v>6.4022399999999999</v>
      </c>
      <c r="AA17" s="81">
        <f>SUM(V17:X17)</f>
        <v>7.3520640000000004</v>
      </c>
      <c r="AB17" s="15" t="s">
        <v>148</v>
      </c>
      <c r="AC17" s="3"/>
      <c r="AE17" s="3"/>
      <c r="AF17" s="15" t="s">
        <v>30</v>
      </c>
      <c r="AG17" s="80">
        <f>(IF(NOT(ISBLANK($I17)),$I17,$F17)+IF(NOT(ISBLANK($I22)),$I22,$F22))/1000*IF(NOT(ISBLANK('Eingabe Preise'!$G11)),'Eingabe Preise'!$G11,'Eingabe Preise'!$E11)</f>
        <v>2760</v>
      </c>
      <c r="AH17" s="15" t="s">
        <v>96</v>
      </c>
      <c r="AI17" s="3"/>
    </row>
    <row r="18" spans="2:35" ht="25.5" x14ac:dyDescent="0.2">
      <c r="B18" s="3"/>
      <c r="C18" s="348"/>
      <c r="D18" s="3"/>
      <c r="E18" s="116" t="s">
        <v>523</v>
      </c>
      <c r="F18" s="335">
        <f>'Referenz Plattenfertiger'!F18</f>
        <v>45000</v>
      </c>
      <c r="G18" s="118" t="s">
        <v>40</v>
      </c>
      <c r="H18" s="9"/>
      <c r="I18" s="110"/>
      <c r="J18" s="3" t="s">
        <v>40</v>
      </c>
      <c r="K18" s="3"/>
      <c r="L18" s="3"/>
      <c r="M18" s="389"/>
      <c r="N18" s="389"/>
      <c r="O18" s="3"/>
      <c r="P18" s="3"/>
      <c r="Q18" s="3"/>
      <c r="S18" s="3"/>
      <c r="T18" s="3" t="str">
        <f>E18</f>
        <v>Elektrische Energie (Default = deutscher Strommix)</v>
      </c>
      <c r="U18" s="3"/>
      <c r="V18" s="79"/>
      <c r="W18" s="79">
        <f>IF(NOT(ISBLANK($I18)),$I18,$F18)*IF(NOT(ISBLANK(M18)),M18,'Eingabe EF'!$K11)</f>
        <v>17.190000000000001</v>
      </c>
      <c r="X18" s="79">
        <f>IF(NOT(ISBLANK($I18)),$I18,$F18)*IF(NOT(ISBLANK(N18)),N18,'Eingabe EF'!$O11)</f>
        <v>2.52</v>
      </c>
      <c r="Y18" s="15"/>
      <c r="Z18" s="79">
        <f>V18+W18</f>
        <v>17.190000000000001</v>
      </c>
      <c r="AA18" s="81">
        <f>SUM(V18:X18)</f>
        <v>19.71</v>
      </c>
      <c r="AB18" s="15" t="s">
        <v>148</v>
      </c>
      <c r="AC18" s="3"/>
      <c r="AE18" s="3"/>
      <c r="AF18" s="15" t="s">
        <v>31</v>
      </c>
      <c r="AG18" s="80">
        <f>(IF(NOT(ISBLANK($I18)),$I18,$F18)+IF(NOT(ISBLANK($I24)),$I24,$F24))/1000*IF(NOT(ISBLANK('Eingabe Preise'!$G12)),'Eingabe Preise'!$G12,'Eingabe Preise'!$E12)</f>
        <v>77400</v>
      </c>
      <c r="AH18" s="15" t="s">
        <v>96</v>
      </c>
      <c r="AI18" s="3"/>
    </row>
    <row r="19" spans="2:35" s="372" customFormat="1" ht="25.5" x14ac:dyDescent="0.2">
      <c r="B19" s="15"/>
      <c r="C19" s="348"/>
      <c r="D19" s="15"/>
      <c r="E19" s="14" t="s">
        <v>527</v>
      </c>
      <c r="F19" s="362">
        <f>'Referenz Plattenfertiger'!F19</f>
        <v>0</v>
      </c>
      <c r="G19" s="363" t="s">
        <v>40</v>
      </c>
      <c r="H19" s="79"/>
      <c r="I19" s="272"/>
      <c r="J19" s="15" t="s">
        <v>40</v>
      </c>
      <c r="K19" s="15"/>
      <c r="L19" s="15"/>
      <c r="M19" s="463"/>
      <c r="N19" s="463"/>
      <c r="O19" s="464"/>
      <c r="P19" s="361"/>
      <c r="Q19" s="15"/>
      <c r="S19" s="15"/>
      <c r="T19" s="15" t="str">
        <f>E19</f>
        <v>Alternativer Energieträger / ggf. Eigenerzeugung</v>
      </c>
      <c r="U19" s="15"/>
      <c r="V19" s="79">
        <f>IF(NOT(ISBLANK($I19)),$I19,$F19)*M19</f>
        <v>0</v>
      </c>
      <c r="W19" s="79"/>
      <c r="X19" s="79">
        <f>IF(NOT(ISBLANK($I19)),$I19,$F19)*IF(NOT(ISBLANK(N19)),N19,0)</f>
        <v>0</v>
      </c>
      <c r="Y19" s="15"/>
      <c r="Z19" s="79">
        <f>V19+W19</f>
        <v>0</v>
      </c>
      <c r="AA19" s="81">
        <f>SUM(V19:X19)</f>
        <v>0</v>
      </c>
      <c r="AB19" s="15" t="s">
        <v>148</v>
      </c>
      <c r="AC19" s="15"/>
      <c r="AE19" s="15"/>
      <c r="AF19" s="15" t="s">
        <v>111</v>
      </c>
      <c r="AG19" s="80">
        <f>IF(NOT(ISBLANK($I25)),$I25,$F25)/1000*IF(NOT(ISBLANK('Eingabe Preise'!$G13)),'Eingabe Preise'!$G13,'Eingabe Preise'!$E13)</f>
        <v>0</v>
      </c>
      <c r="AH19" s="15" t="s">
        <v>96</v>
      </c>
      <c r="AI19" s="15"/>
    </row>
    <row r="20" spans="2:35" x14ac:dyDescent="0.2">
      <c r="B20" s="3"/>
      <c r="C20" s="348"/>
      <c r="D20" s="3"/>
      <c r="E20" s="3"/>
      <c r="F20" s="335"/>
      <c r="G20" s="118"/>
      <c r="H20" s="9"/>
      <c r="I20" s="9"/>
      <c r="J20" s="3"/>
      <c r="K20" s="3"/>
      <c r="L20" s="3"/>
      <c r="M20" s="3"/>
      <c r="N20" s="3"/>
      <c r="O20" s="3"/>
      <c r="P20" s="3"/>
      <c r="Q20" s="3"/>
      <c r="S20" s="3"/>
      <c r="T20" s="3"/>
      <c r="U20" s="3"/>
      <c r="V20" s="79"/>
      <c r="W20" s="79"/>
      <c r="X20" s="79"/>
      <c r="Y20" s="15"/>
      <c r="Z20" s="79"/>
      <c r="AA20" s="81"/>
      <c r="AB20" s="15"/>
      <c r="AC20" s="3"/>
      <c r="AE20" s="3"/>
      <c r="AF20" s="15" t="s">
        <v>112</v>
      </c>
      <c r="AG20" s="80">
        <f>I19/1000*'Eingabe Preise'!G16</f>
        <v>0</v>
      </c>
      <c r="AH20" s="15" t="s">
        <v>96</v>
      </c>
      <c r="AI20" s="3"/>
    </row>
    <row r="21" spans="2:35" ht="15.75" x14ac:dyDescent="0.2">
      <c r="B21" s="3"/>
      <c r="C21" s="348"/>
      <c r="D21" s="3" t="s">
        <v>110</v>
      </c>
      <c r="E21" s="3" t="s">
        <v>29</v>
      </c>
      <c r="F21" s="335">
        <f>'Referenz Plattenfertiger'!F21</f>
        <v>47000</v>
      </c>
      <c r="G21" s="118" t="s">
        <v>38</v>
      </c>
      <c r="H21" s="9"/>
      <c r="I21" s="110"/>
      <c r="J21" s="3" t="s">
        <v>38</v>
      </c>
      <c r="K21" s="3"/>
      <c r="L21" s="3"/>
      <c r="M21" s="389"/>
      <c r="N21" s="389"/>
      <c r="O21" s="3"/>
      <c r="P21" s="3"/>
      <c r="Q21" s="3"/>
      <c r="S21" s="3"/>
      <c r="T21" s="3" t="str">
        <f>E21</f>
        <v>Erdgas</v>
      </c>
      <c r="U21" s="3"/>
      <c r="V21" s="79">
        <f>IF(NOT(ISBLANK($I21)),$I21,$F21)*IF(NOT(ISBLANK(M21)),M21,'Eingabe EF'!$G9)</f>
        <v>8.6085200000000004</v>
      </c>
      <c r="W21" s="79"/>
      <c r="X21" s="79">
        <f>IF(NOT(ISBLANK($I21)),$I21,$F21)*IF(NOT(ISBLANK(N21)),N21,'Eingabe EF'!$O9)</f>
        <v>1.4734500000000001</v>
      </c>
      <c r="Y21" s="15"/>
      <c r="Z21" s="79">
        <f>V21+W21</f>
        <v>8.6085200000000004</v>
      </c>
      <c r="AA21" s="81">
        <f t="shared" ref="AA21:AA29" si="1">SUM(V21:X21)</f>
        <v>10.08197</v>
      </c>
      <c r="AB21" s="15" t="s">
        <v>148</v>
      </c>
      <c r="AC21" s="3"/>
      <c r="AE21" s="3"/>
      <c r="AF21" s="15" t="s">
        <v>113</v>
      </c>
      <c r="AG21" s="80">
        <f>I26/1000*'Eingabe Preise'!G17</f>
        <v>0</v>
      </c>
      <c r="AH21" s="15" t="s">
        <v>96</v>
      </c>
      <c r="AI21" s="3"/>
    </row>
    <row r="22" spans="2:35" ht="15.75" x14ac:dyDescent="0.2">
      <c r="B22" s="3"/>
      <c r="C22" s="348"/>
      <c r="D22" s="3"/>
      <c r="E22" s="3" t="s">
        <v>30</v>
      </c>
      <c r="F22" s="335">
        <f>'Referenz Plattenfertiger'!F22</f>
        <v>36000</v>
      </c>
      <c r="G22" s="363" t="s">
        <v>41</v>
      </c>
      <c r="H22" s="9"/>
      <c r="I22" s="110"/>
      <c r="J22" s="3" t="s">
        <v>41</v>
      </c>
      <c r="K22" s="3"/>
      <c r="L22" s="3"/>
      <c r="M22" s="389"/>
      <c r="N22" s="389"/>
      <c r="O22" s="3"/>
      <c r="P22" s="3"/>
      <c r="Q22" s="3"/>
      <c r="S22" s="3"/>
      <c r="T22" s="3" t="str">
        <f>E22</f>
        <v>Heizöl</v>
      </c>
      <c r="U22" s="3"/>
      <c r="V22" s="79">
        <f>IF(NOT(ISBLANK($I22)),$I22,$F22)*IF(NOT(ISBLANK(M22)),M22,'Eingabe EF'!$G10)</f>
        <v>9.6033600000000003</v>
      </c>
      <c r="W22" s="79"/>
      <c r="X22" s="79">
        <f>IF(NOT(ISBLANK($I22)),$I22,$F22)*IF(NOT(ISBLANK(N22)),N22,'Eingabe EF'!$O10)</f>
        <v>1.424736</v>
      </c>
      <c r="Y22" s="15"/>
      <c r="Z22" s="79">
        <f t="shared" ref="Z22" si="2">V22+W22</f>
        <v>9.6033600000000003</v>
      </c>
      <c r="AA22" s="81">
        <f t="shared" si="1"/>
        <v>11.028096</v>
      </c>
      <c r="AB22" s="15" t="s">
        <v>148</v>
      </c>
      <c r="AC22" s="3"/>
      <c r="AE22" s="3"/>
      <c r="AF22" s="15" t="s">
        <v>32</v>
      </c>
      <c r="AG22" s="80">
        <f>(IF(NOT(ISBLANK($I28)),$I28,$F28)+IF(NOT(ISBLANK($I29)),$I29,$F29))*IF(NOT(ISBLANK('Eingabe Preise'!$G14)),'Eingabe Preise'!$G14,'Eingabe Preise'!$E14)</f>
        <v>15174.000000000002</v>
      </c>
      <c r="AH22" s="15" t="s">
        <v>96</v>
      </c>
      <c r="AI22" s="3"/>
    </row>
    <row r="23" spans="2:35" x14ac:dyDescent="0.2">
      <c r="B23" s="3"/>
      <c r="C23" s="348"/>
      <c r="D23" s="3"/>
      <c r="E23" s="3"/>
      <c r="F23" s="363"/>
      <c r="G23" s="363"/>
      <c r="H23" s="3"/>
      <c r="I23" s="9"/>
      <c r="J23" s="3"/>
      <c r="K23" s="3"/>
      <c r="L23" s="3"/>
      <c r="M23" s="3"/>
      <c r="N23" s="3"/>
      <c r="O23" s="3"/>
      <c r="P23" s="3"/>
      <c r="Q23" s="3"/>
      <c r="S23" s="3"/>
      <c r="T23" s="3"/>
      <c r="U23" s="3"/>
      <c r="V23" s="79"/>
      <c r="W23" s="79"/>
      <c r="X23" s="79"/>
      <c r="Y23" s="15"/>
      <c r="Z23" s="79"/>
      <c r="AA23" s="81"/>
      <c r="AB23" s="15"/>
      <c r="AC23" s="3"/>
      <c r="AE23" s="3"/>
      <c r="AF23" s="15"/>
      <c r="AG23" s="80"/>
      <c r="AH23" s="15"/>
      <c r="AI23" s="3"/>
    </row>
    <row r="24" spans="2:35" ht="25.5" x14ac:dyDescent="0.2">
      <c r="B24" s="3"/>
      <c r="C24" s="348"/>
      <c r="D24" s="116" t="s">
        <v>477</v>
      </c>
      <c r="E24" s="116" t="s">
        <v>523</v>
      </c>
      <c r="F24" s="335">
        <f>'Referenz Plattenfertiger'!F24</f>
        <v>405000</v>
      </c>
      <c r="G24" s="363" t="s">
        <v>40</v>
      </c>
      <c r="H24" s="9"/>
      <c r="I24" s="110"/>
      <c r="J24" s="3" t="s">
        <v>40</v>
      </c>
      <c r="K24" s="3"/>
      <c r="L24" s="3"/>
      <c r="M24" s="389"/>
      <c r="N24" s="389"/>
      <c r="O24" s="3"/>
      <c r="P24" s="3"/>
      <c r="Q24" s="3"/>
      <c r="S24" s="3"/>
      <c r="T24" s="3" t="str">
        <f>E24</f>
        <v>Elektrische Energie (Default = deutscher Strommix)</v>
      </c>
      <c r="U24" s="3"/>
      <c r="V24" s="79"/>
      <c r="W24" s="79">
        <f>IF(NOT(ISBLANK($I24)),$I24,$F24)*IF(NOT(ISBLANK(M24)),M24,'Eingabe EF'!$K11)</f>
        <v>154.71</v>
      </c>
      <c r="X24" s="79">
        <f>IF(NOT(ISBLANK($I24)),$I24,$F24)*IF(NOT(ISBLANK(N24)),N24,'Eingabe EF'!$O11)</f>
        <v>22.68</v>
      </c>
      <c r="Y24" s="15"/>
      <c r="Z24" s="79">
        <f t="shared" si="0"/>
        <v>154.71</v>
      </c>
      <c r="AA24" s="81">
        <f t="shared" si="1"/>
        <v>177.39000000000001</v>
      </c>
      <c r="AB24" s="15" t="s">
        <v>148</v>
      </c>
      <c r="AC24" s="3"/>
      <c r="AE24" s="3"/>
      <c r="AF24" s="15"/>
      <c r="AG24" s="15"/>
      <c r="AH24" s="15"/>
      <c r="AI24" s="3"/>
    </row>
    <row r="25" spans="2:35" ht="15.75" x14ac:dyDescent="0.2">
      <c r="B25" s="3"/>
      <c r="C25" s="348"/>
      <c r="D25" s="3"/>
      <c r="E25" s="3" t="s">
        <v>111</v>
      </c>
      <c r="F25" s="335">
        <f>'Referenz Plattenfertiger'!F25</f>
        <v>0</v>
      </c>
      <c r="G25" s="363" t="s">
        <v>40</v>
      </c>
      <c r="H25" s="9"/>
      <c r="I25" s="110"/>
      <c r="J25" s="3" t="s">
        <v>40</v>
      </c>
      <c r="K25" s="3"/>
      <c r="L25" s="3"/>
      <c r="M25" s="389"/>
      <c r="N25" s="389"/>
      <c r="O25" s="3"/>
      <c r="P25" s="3"/>
      <c r="Q25" s="3"/>
      <c r="S25" s="3"/>
      <c r="T25" s="3" t="str">
        <f>E25</f>
        <v>Flüssiggas</v>
      </c>
      <c r="U25" s="3"/>
      <c r="V25" s="79">
        <f>IF(NOT(ISBLANK($I25)),$I25,$F25)*IF(NOT(ISBLANK(M25)),M25,'Eingabe EF'!$G13)</f>
        <v>0</v>
      </c>
      <c r="W25" s="79"/>
      <c r="X25" s="79">
        <f>IF(NOT(ISBLANK($I25)),$I25,$F25)*IF(NOT(ISBLANK(N25)),N25,'Eingabe EF'!$O13)</f>
        <v>0</v>
      </c>
      <c r="Y25" s="15"/>
      <c r="Z25" s="79">
        <f t="shared" si="0"/>
        <v>0</v>
      </c>
      <c r="AA25" s="81">
        <f t="shared" si="1"/>
        <v>0</v>
      </c>
      <c r="AB25" s="15" t="s">
        <v>148</v>
      </c>
      <c r="AC25" s="3"/>
      <c r="AE25" s="3"/>
      <c r="AF25" s="347" t="s">
        <v>290</v>
      </c>
      <c r="AG25" s="369">
        <f>SUM(AG26:AG28)</f>
        <v>152459.04944673795</v>
      </c>
      <c r="AH25" s="347" t="s">
        <v>96</v>
      </c>
      <c r="AI25" s="3"/>
    </row>
    <row r="26" spans="2:35" s="372" customFormat="1" ht="25.5" x14ac:dyDescent="0.2">
      <c r="B26" s="15"/>
      <c r="C26" s="348"/>
      <c r="D26" s="15"/>
      <c r="E26" s="14" t="s">
        <v>527</v>
      </c>
      <c r="F26" s="362">
        <f>'Referenz Plattenfertiger'!F26</f>
        <v>0</v>
      </c>
      <c r="G26" s="363" t="s">
        <v>40</v>
      </c>
      <c r="H26" s="79"/>
      <c r="I26" s="272"/>
      <c r="J26" s="15" t="s">
        <v>40</v>
      </c>
      <c r="K26" s="15"/>
      <c r="L26" s="15"/>
      <c r="M26" s="463"/>
      <c r="N26" s="463"/>
      <c r="O26" s="464"/>
      <c r="P26" s="361"/>
      <c r="Q26" s="15"/>
      <c r="S26" s="15"/>
      <c r="T26" s="15" t="str">
        <f>E26</f>
        <v>Alternativer Energieträger / ggf. Eigenerzeugung</v>
      </c>
      <c r="U26" s="15"/>
      <c r="V26" s="79">
        <f>IF(NOT(ISBLANK($I26)),$I26,$F26)*M26</f>
        <v>0</v>
      </c>
      <c r="W26" s="79"/>
      <c r="X26" s="79">
        <f>IF(NOT(ISBLANK($I26)),$I26,$F26)*IF(NOT(ISBLANK(N26)),N26,0)</f>
        <v>0</v>
      </c>
      <c r="Y26" s="15"/>
      <c r="Z26" s="79">
        <f>V26+W26</f>
        <v>0</v>
      </c>
      <c r="AA26" s="81">
        <f t="shared" si="1"/>
        <v>0</v>
      </c>
      <c r="AB26" s="15" t="s">
        <v>148</v>
      </c>
      <c r="AC26" s="15"/>
      <c r="AE26" s="15"/>
      <c r="AF26" s="15" t="s">
        <v>25</v>
      </c>
      <c r="AG26" s="80">
        <f>V78*IF(NOT(ISBLANK('Eingabe Preise'!$G21)),'Eingabe Preise'!$G21,'Eingabe Preise'!$E21)</f>
        <v>2373.3088765000002</v>
      </c>
      <c r="AH26" s="15" t="s">
        <v>96</v>
      </c>
      <c r="AI26" s="15"/>
    </row>
    <row r="27" spans="2:35" x14ac:dyDescent="0.2">
      <c r="B27" s="3"/>
      <c r="C27" s="348"/>
      <c r="D27" s="3"/>
      <c r="E27" s="3"/>
      <c r="F27" s="362"/>
      <c r="G27" s="362"/>
      <c r="H27" s="9"/>
      <c r="I27" s="9"/>
      <c r="J27" s="3"/>
      <c r="K27" s="3"/>
      <c r="L27" s="3"/>
      <c r="M27" s="3"/>
      <c r="N27" s="3"/>
      <c r="O27" s="3"/>
      <c r="P27" s="3"/>
      <c r="Q27" s="3"/>
      <c r="S27" s="3"/>
      <c r="T27" s="31"/>
      <c r="U27" s="31"/>
      <c r="V27" s="364"/>
      <c r="W27" s="364"/>
      <c r="X27" s="364"/>
      <c r="Y27" s="365"/>
      <c r="Z27" s="364"/>
      <c r="AA27" s="376"/>
      <c r="AB27" s="365"/>
      <c r="AC27" s="3"/>
      <c r="AE27" s="3"/>
      <c r="AF27" s="15" t="s">
        <v>26</v>
      </c>
      <c r="AG27" s="80">
        <f>W78*IF(NOT(ISBLANK('Eingabe Preise'!$G22)),'Eingabe Preise'!$G22,'Eingabe Preise'!$E22)</f>
        <v>4297.5</v>
      </c>
      <c r="AH27" s="15" t="s">
        <v>96</v>
      </c>
      <c r="AI27" s="3"/>
    </row>
    <row r="28" spans="2:35" ht="15.75" x14ac:dyDescent="0.2">
      <c r="B28" s="3"/>
      <c r="C28" s="348"/>
      <c r="D28" s="3" t="s">
        <v>478</v>
      </c>
      <c r="E28" s="3" t="s">
        <v>32</v>
      </c>
      <c r="F28" s="335">
        <f>'Referenz Plattenfertiger'!F28</f>
        <v>11000</v>
      </c>
      <c r="G28" s="363" t="s">
        <v>39</v>
      </c>
      <c r="H28" s="9"/>
      <c r="I28" s="110"/>
      <c r="J28" s="3" t="s">
        <v>39</v>
      </c>
      <c r="K28" s="3"/>
      <c r="L28" s="3"/>
      <c r="M28" s="3"/>
      <c r="N28" s="389"/>
      <c r="O28" s="3"/>
      <c r="P28" s="3"/>
      <c r="Q28" s="3"/>
      <c r="S28" s="3"/>
      <c r="T28" s="3" t="str">
        <f>E28&amp;" "&amp;D28</f>
        <v>Diesel Gabelstapler (4x) 1)</v>
      </c>
      <c r="U28" s="3"/>
      <c r="V28" s="79">
        <f>IF(NOT(ISBLANK($I28)),$I28,$F28)*IF(NOT(ISBLANK(M28)),M28,'Eingabe EF'!$G15)</f>
        <v>29.238941159999996</v>
      </c>
      <c r="W28" s="79"/>
      <c r="X28" s="79">
        <f>IF(NOT(ISBLANK($I28)),$I28,$F28)*IF(NOT(ISBLANK(N28)),N28,'Eingabe EF'!$O15)</f>
        <v>5.1658635600000009</v>
      </c>
      <c r="Y28" s="15"/>
      <c r="Z28" s="79">
        <f t="shared" si="0"/>
        <v>29.238941159999996</v>
      </c>
      <c r="AA28" s="81">
        <f t="shared" si="1"/>
        <v>34.404804719999994</v>
      </c>
      <c r="AB28" s="15" t="s">
        <v>148</v>
      </c>
      <c r="AC28" s="3"/>
      <c r="AE28" s="3"/>
      <c r="AF28" s="15" t="s">
        <v>27</v>
      </c>
      <c r="AG28" s="80">
        <f>X78*IF(NOT(ISBLANK('Eingabe Preise'!$G23)),'Eingabe Preise'!$G23,'Eingabe Preise'!$E23)</f>
        <v>145788.24057023795</v>
      </c>
      <c r="AH28" s="15" t="s">
        <v>96</v>
      </c>
      <c r="AI28" s="3"/>
    </row>
    <row r="29" spans="2:35" ht="15.75" x14ac:dyDescent="0.2">
      <c r="B29" s="3"/>
      <c r="C29" s="348"/>
      <c r="D29" s="3" t="s">
        <v>70</v>
      </c>
      <c r="E29" s="3" t="s">
        <v>32</v>
      </c>
      <c r="F29" s="335">
        <f>'Referenz Plattenfertiger'!F29</f>
        <v>2500</v>
      </c>
      <c r="G29" s="363" t="s">
        <v>39</v>
      </c>
      <c r="H29" s="9"/>
      <c r="I29" s="110"/>
      <c r="J29" s="3" t="s">
        <v>39</v>
      </c>
      <c r="K29" s="3"/>
      <c r="L29" s="3"/>
      <c r="M29" s="3"/>
      <c r="N29" s="389"/>
      <c r="O29" s="3"/>
      <c r="P29" s="3"/>
      <c r="Q29" s="3"/>
      <c r="S29" s="3"/>
      <c r="T29" s="3" t="str">
        <f>E29&amp;" "&amp;D29</f>
        <v>Diesel Radlader (1x)</v>
      </c>
      <c r="U29" s="3"/>
      <c r="V29" s="79">
        <f>IF(NOT(ISBLANK($I29)),$I29,$F29)*IF(NOT(ISBLANK('Eingabe EF'!$I15)),'Eingabe EF'!$I15,'Eingabe EF'!$G15)</f>
        <v>6.645213899999999</v>
      </c>
      <c r="W29" s="79"/>
      <c r="X29" s="79">
        <f>IF(NOT(ISBLANK($I29)),$I29,$F29)*IF(NOT(ISBLANK(N29)),N29,'Eingabe EF'!$O15)</f>
        <v>1.1740599000000003</v>
      </c>
      <c r="Y29" s="15"/>
      <c r="Z29" s="79">
        <f t="shared" si="0"/>
        <v>6.645213899999999</v>
      </c>
      <c r="AA29" s="81">
        <f t="shared" si="1"/>
        <v>7.8192737999999995</v>
      </c>
      <c r="AB29" s="15" t="s">
        <v>148</v>
      </c>
      <c r="AC29" s="3"/>
      <c r="AE29" s="3"/>
      <c r="AF29" s="15"/>
      <c r="AG29" s="15"/>
      <c r="AH29" s="15"/>
      <c r="AI29" s="3"/>
    </row>
    <row r="30" spans="2:35" ht="13.5" thickBot="1" x14ac:dyDescent="0.25">
      <c r="B30" s="3"/>
      <c r="C30" s="419"/>
      <c r="D30" s="3"/>
      <c r="E30" s="3"/>
      <c r="F30" s="362"/>
      <c r="G30" s="363"/>
      <c r="H30" s="9"/>
      <c r="I30" s="9"/>
      <c r="J30" s="3"/>
      <c r="K30" s="3"/>
      <c r="L30" s="3"/>
      <c r="M30" s="3"/>
      <c r="N30" s="3"/>
      <c r="O30" s="3"/>
      <c r="P30" s="3"/>
      <c r="Q30" s="3"/>
      <c r="S30" s="3"/>
      <c r="T30" s="3"/>
      <c r="U30" s="3"/>
      <c r="V30" s="79"/>
      <c r="W30" s="79"/>
      <c r="X30" s="79"/>
      <c r="Y30" s="15"/>
      <c r="Z30" s="79"/>
      <c r="AA30" s="81"/>
      <c r="AB30" s="15"/>
      <c r="AC30" s="3"/>
      <c r="AE30" s="3"/>
      <c r="AF30" s="370" t="s">
        <v>120</v>
      </c>
      <c r="AG30" s="371">
        <f>AG25+AG15</f>
        <v>262128.04944673795</v>
      </c>
      <c r="AH30" s="370" t="s">
        <v>96</v>
      </c>
      <c r="AI30" s="3"/>
    </row>
    <row r="31" spans="2:35" ht="15" thickTop="1" x14ac:dyDescent="0.2">
      <c r="B31" s="3"/>
      <c r="C31" s="8" t="s">
        <v>27</v>
      </c>
      <c r="D31" s="3"/>
      <c r="E31" s="3"/>
      <c r="F31" s="362"/>
      <c r="G31" s="363"/>
      <c r="H31" s="9"/>
      <c r="I31" s="9"/>
      <c r="J31" s="3"/>
      <c r="K31" s="3"/>
      <c r="L31" s="3"/>
      <c r="M31" s="3"/>
      <c r="N31" s="3"/>
      <c r="O31" s="3"/>
      <c r="P31" s="3"/>
      <c r="Q31" s="3"/>
      <c r="S31" s="3"/>
      <c r="T31" s="345" t="s">
        <v>175</v>
      </c>
      <c r="U31" s="118"/>
      <c r="V31" s="346"/>
      <c r="W31" s="346"/>
      <c r="X31" s="346">
        <f>X32+X33</f>
        <v>469.15642799999995</v>
      </c>
      <c r="Y31" s="363"/>
      <c r="Z31" s="346">
        <f>V31+W31</f>
        <v>0</v>
      </c>
      <c r="AA31" s="367">
        <f>SUM(V31:X31)</f>
        <v>469.15642799999995</v>
      </c>
      <c r="AB31" s="347" t="s">
        <v>149</v>
      </c>
      <c r="AC31" s="3"/>
      <c r="AE31" s="3"/>
      <c r="AF31" s="3"/>
      <c r="AG31" s="3"/>
      <c r="AH31" s="3"/>
      <c r="AI31" s="3"/>
    </row>
    <row r="32" spans="2:35" ht="15.75" x14ac:dyDescent="0.2">
      <c r="B32" s="3"/>
      <c r="C32" s="3"/>
      <c r="D32" s="3" t="s">
        <v>43</v>
      </c>
      <c r="E32" s="3" t="s">
        <v>32</v>
      </c>
      <c r="F32" s="335">
        <f>'Referenz Plattenfertiger'!F32</f>
        <v>35000</v>
      </c>
      <c r="G32" s="363" t="s">
        <v>39</v>
      </c>
      <c r="H32" s="9"/>
      <c r="I32" s="110"/>
      <c r="J32" s="3" t="s">
        <v>39</v>
      </c>
      <c r="K32" s="3"/>
      <c r="L32" s="3"/>
      <c r="M32" s="3"/>
      <c r="N32" s="389"/>
      <c r="O32" s="3"/>
      <c r="P32" s="3"/>
      <c r="Q32" s="3"/>
      <c r="S32" s="3"/>
      <c r="T32" s="3" t="str">
        <f>E32&amp;" "&amp;D32</f>
        <v>Diesel Transport vorgelagert</v>
      </c>
      <c r="U32" s="3"/>
      <c r="V32" s="79"/>
      <c r="W32" s="79"/>
      <c r="X32" s="79">
        <f>IF(NOT(ISBLANK($I32)),$I32,$F32)*IF(NOT(ISBLANK(N32)),N32,'Eingabe EF'!$O17)</f>
        <v>109.4698332</v>
      </c>
      <c r="Y32" s="15"/>
      <c r="Z32" s="79">
        <f>V32+W32</f>
        <v>0</v>
      </c>
      <c r="AA32" s="81">
        <f>SUM(V32:X32)</f>
        <v>109.4698332</v>
      </c>
      <c r="AB32" s="15" t="s">
        <v>148</v>
      </c>
      <c r="AC32" s="3"/>
      <c r="AE32" s="3"/>
      <c r="AF32" s="3"/>
      <c r="AG32" s="3"/>
      <c r="AH32" s="3"/>
      <c r="AI32" s="3"/>
    </row>
    <row r="33" spans="2:37" ht="15.75" x14ac:dyDescent="0.2">
      <c r="B33" s="3"/>
      <c r="C33" s="3"/>
      <c r="D33" s="8" t="s">
        <v>44</v>
      </c>
      <c r="E33" s="3" t="s">
        <v>32</v>
      </c>
      <c r="F33" s="335">
        <f>'Referenz Plattenfertiger'!F33</f>
        <v>115000</v>
      </c>
      <c r="G33" s="363" t="s">
        <v>39</v>
      </c>
      <c r="H33" s="9"/>
      <c r="I33" s="110"/>
      <c r="J33" s="3" t="s">
        <v>39</v>
      </c>
      <c r="K33" s="3"/>
      <c r="L33" s="3"/>
      <c r="M33" s="3"/>
      <c r="N33" s="389"/>
      <c r="O33" s="3"/>
      <c r="P33" s="3"/>
      <c r="Q33" s="3"/>
      <c r="S33" s="3"/>
      <c r="T33" s="3" t="str">
        <f>E33&amp;" "&amp;D33</f>
        <v>Diesel Transport nachgelagert</v>
      </c>
      <c r="U33" s="3"/>
      <c r="V33" s="79"/>
      <c r="W33" s="79"/>
      <c r="X33" s="79">
        <f>IF(NOT(ISBLANK($I33)),$I33,$F33)*IF(NOT(ISBLANK(N33)),N33,'Eingabe EF'!$O18)</f>
        <v>359.68659479999997</v>
      </c>
      <c r="Y33" s="15"/>
      <c r="Z33" s="79">
        <f>V33+W33</f>
        <v>0</v>
      </c>
      <c r="AA33" s="81">
        <f>SUM(V33:X33)</f>
        <v>359.68659479999997</v>
      </c>
      <c r="AB33" s="15" t="s">
        <v>148</v>
      </c>
      <c r="AC33" s="3"/>
    </row>
    <row r="34" spans="2:37" x14ac:dyDescent="0.2">
      <c r="B34" s="3"/>
      <c r="C34" s="3"/>
      <c r="D34" s="3"/>
      <c r="E34" s="3"/>
      <c r="F34" s="363"/>
      <c r="G34" s="363"/>
      <c r="H34" s="3"/>
      <c r="I34" s="3"/>
      <c r="J34" s="3"/>
      <c r="K34" s="3"/>
      <c r="L34" s="3"/>
      <c r="M34" s="3"/>
      <c r="N34" s="3"/>
      <c r="O34" s="3"/>
      <c r="P34" s="3"/>
      <c r="Q34" s="3"/>
      <c r="S34" s="3"/>
      <c r="T34" s="3"/>
      <c r="U34" s="3"/>
      <c r="V34" s="79"/>
      <c r="W34" s="79"/>
      <c r="X34" s="79"/>
      <c r="Y34" s="15"/>
      <c r="Z34" s="79"/>
      <c r="AA34" s="81"/>
      <c r="AB34" s="15"/>
      <c r="AC34" s="3"/>
    </row>
    <row r="35" spans="2:37" ht="14.25" x14ac:dyDescent="0.2">
      <c r="B35" s="3"/>
      <c r="C35" s="3"/>
      <c r="D35" s="8" t="s">
        <v>66</v>
      </c>
      <c r="E35" s="3"/>
      <c r="F35" s="363"/>
      <c r="G35" s="363"/>
      <c r="H35" s="3"/>
      <c r="I35" s="3"/>
      <c r="J35" s="3"/>
      <c r="K35" s="3"/>
      <c r="L35" s="3"/>
      <c r="M35" s="3"/>
      <c r="N35" s="3"/>
      <c r="O35" s="3"/>
      <c r="P35" s="3"/>
      <c r="Q35" s="3"/>
      <c r="S35" s="3"/>
      <c r="T35" s="345" t="s">
        <v>65</v>
      </c>
      <c r="U35" s="118"/>
      <c r="V35" s="346"/>
      <c r="W35" s="346"/>
      <c r="X35" s="346">
        <f>SUM(X36:X39)</f>
        <v>4548.5439999999999</v>
      </c>
      <c r="Y35" s="363"/>
      <c r="Z35" s="346">
        <f>V35+W35</f>
        <v>0</v>
      </c>
      <c r="AA35" s="367">
        <f>SUM(V35:X35)</f>
        <v>4548.5439999999999</v>
      </c>
      <c r="AB35" s="347" t="s">
        <v>149</v>
      </c>
      <c r="AC35" s="3"/>
    </row>
    <row r="36" spans="2:37" ht="15.75" x14ac:dyDescent="0.2">
      <c r="B36" s="3"/>
      <c r="C36" s="3"/>
      <c r="D36" s="3" t="s">
        <v>45</v>
      </c>
      <c r="E36" s="3"/>
      <c r="F36" s="409">
        <f>'Referenz Plattenfertiger'!F36</f>
        <v>4.5499999999999999E-2</v>
      </c>
      <c r="G36" s="363"/>
      <c r="H36" s="3"/>
      <c r="I36" s="120"/>
      <c r="J36" s="3" t="s">
        <v>447</v>
      </c>
      <c r="K36" s="385"/>
      <c r="L36" s="3" t="s">
        <v>462</v>
      </c>
      <c r="M36" s="3"/>
      <c r="N36" s="389"/>
      <c r="O36" s="3"/>
      <c r="P36" s="3"/>
      <c r="Q36" s="3"/>
      <c r="S36" s="3"/>
      <c r="T36" s="3" t="str">
        <f>D36</f>
        <v>Zement - CEM I</v>
      </c>
      <c r="U36" s="3"/>
      <c r="V36" s="79"/>
      <c r="W36" s="79"/>
      <c r="X36" s="79">
        <f>IF(NOT(ISBLANK($K36)),$K36*IF(NOT(ISBLANK(N36)),N36,'Eingabe EF'!$O21),IF(NOT(ISBLANK($I36)),$I36,$F36)*IF(NOT(ISBLANK(N36)),N36,'Eingabe EF'!$O21)*IF(NOT(ISBLANK($I$12)),$I$12,$F$12))</f>
        <v>1210.3</v>
      </c>
      <c r="Y36" s="15"/>
      <c r="Z36" s="79">
        <f>V36+W36</f>
        <v>0</v>
      </c>
      <c r="AA36" s="81">
        <f>SUM(V36:X36)</f>
        <v>1210.3</v>
      </c>
      <c r="AB36" s="15" t="s">
        <v>148</v>
      </c>
      <c r="AC36" s="3"/>
    </row>
    <row r="37" spans="2:37" ht="15.75" x14ac:dyDescent="0.2">
      <c r="B37" s="3"/>
      <c r="C37" s="3"/>
      <c r="D37" s="3" t="s">
        <v>47</v>
      </c>
      <c r="E37" s="3"/>
      <c r="F37" s="409">
        <f>'Referenz Plattenfertiger'!F37</f>
        <v>0.10919999999999999</v>
      </c>
      <c r="G37" s="363"/>
      <c r="H37" s="3"/>
      <c r="I37" s="120"/>
      <c r="J37" s="3" t="s">
        <v>447</v>
      </c>
      <c r="K37" s="385"/>
      <c r="L37" s="3" t="s">
        <v>462</v>
      </c>
      <c r="M37" s="3"/>
      <c r="N37" s="389"/>
      <c r="O37" s="3"/>
      <c r="P37" s="3"/>
      <c r="Q37" s="3"/>
      <c r="S37" s="3"/>
      <c r="T37" s="3" t="str">
        <f>D37</f>
        <v>Zement - CEM II</v>
      </c>
      <c r="U37" s="3"/>
      <c r="V37" s="79"/>
      <c r="W37" s="79"/>
      <c r="X37" s="79">
        <f>IF(NOT(ISBLANK($K37)),$K37*IF(NOT(ISBLANK(N37)),N37,'Eingabe EF'!$O22),IF(NOT(ISBLANK($I37)),$I37,$F37)*IF(NOT(ISBLANK(N37)),N37,'Eingabe EF'!$O22)*IF(NOT(ISBLANK($I$12)),$I$12,$F$12))</f>
        <v>2415.5039999999999</v>
      </c>
      <c r="Y37" s="15"/>
      <c r="Z37" s="79">
        <f>V37+W37</f>
        <v>0</v>
      </c>
      <c r="AA37" s="81">
        <f>SUM(V37:X37)</f>
        <v>2415.5039999999999</v>
      </c>
      <c r="AB37" s="15" t="s">
        <v>148</v>
      </c>
      <c r="AC37" s="3"/>
    </row>
    <row r="38" spans="2:37" ht="15.75" x14ac:dyDescent="0.2">
      <c r="B38" s="3"/>
      <c r="C38" s="3"/>
      <c r="D38" s="3" t="s">
        <v>48</v>
      </c>
      <c r="E38" s="3"/>
      <c r="F38" s="409">
        <f>'Referenz Plattenfertiger'!F38</f>
        <v>2.7299999999999998E-2</v>
      </c>
      <c r="G38" s="363"/>
      <c r="H38" s="3"/>
      <c r="I38" s="120"/>
      <c r="J38" s="3" t="s">
        <v>447</v>
      </c>
      <c r="K38" s="385"/>
      <c r="L38" s="3" t="s">
        <v>462</v>
      </c>
      <c r="M38" s="3"/>
      <c r="N38" s="389"/>
      <c r="O38" s="3"/>
      <c r="P38" s="3"/>
      <c r="Q38" s="3"/>
      <c r="S38" s="3"/>
      <c r="T38" s="3" t="str">
        <f>D38</f>
        <v>Weißzement</v>
      </c>
      <c r="U38" s="3"/>
      <c r="V38" s="79"/>
      <c r="W38" s="79"/>
      <c r="X38" s="79">
        <f>IF(NOT(ISBLANK($K38)),$K38*IF(NOT(ISBLANK(N38)),N38,'Eingabe EF'!$O23),IF(NOT(ISBLANK($I38)),$I38,$F38)*IF(NOT(ISBLANK(N38)),'Eingabe EF'!$Q23,'Eingabe EF'!$O23)*IF(NOT(ISBLANK($I$12)),$I$12,$F$12))</f>
        <v>922.7399999999999</v>
      </c>
      <c r="Y38" s="15"/>
      <c r="Z38" s="79">
        <f>V38+W38</f>
        <v>0</v>
      </c>
      <c r="AA38" s="81">
        <f>SUM(V38:X38)</f>
        <v>922.7399999999999</v>
      </c>
      <c r="AB38" s="15" t="s">
        <v>148</v>
      </c>
      <c r="AC38" s="3"/>
    </row>
    <row r="39" spans="2:37" ht="15.75" x14ac:dyDescent="0.2">
      <c r="B39" s="3"/>
      <c r="C39" s="3"/>
      <c r="D39" s="3" t="s">
        <v>147</v>
      </c>
      <c r="E39" s="3"/>
      <c r="F39" s="409">
        <f>'Referenz Plattenfertiger'!F39</f>
        <v>0</v>
      </c>
      <c r="G39" s="363"/>
      <c r="H39" s="3"/>
      <c r="I39" s="120"/>
      <c r="J39" s="3" t="s">
        <v>447</v>
      </c>
      <c r="K39" s="385"/>
      <c r="L39" s="3" t="s">
        <v>462</v>
      </c>
      <c r="M39" s="3"/>
      <c r="N39" s="389"/>
      <c r="O39" s="3"/>
      <c r="P39" s="119"/>
      <c r="Q39" s="3"/>
      <c r="S39" s="3"/>
      <c r="T39" s="3" t="str">
        <f>D39</f>
        <v>Weitere Zementsorte</v>
      </c>
      <c r="U39" s="3"/>
      <c r="V39" s="79"/>
      <c r="W39" s="79"/>
      <c r="X39" s="79">
        <f>IF(NOT(ISBLANK($K39)),$K39*N39,IF(NOT(ISBLANK($I39)),$I39,$F39)*IF(NOT(ISBLANK(N39)),N39,0)*IF(NOT(ISBLANK($I$12)),$I$12,$F$12))</f>
        <v>0</v>
      </c>
      <c r="Y39" s="15"/>
      <c r="Z39" s="79">
        <f>V39+W39</f>
        <v>0</v>
      </c>
      <c r="AA39" s="81">
        <f>SUM(V39:X39)</f>
        <v>0</v>
      </c>
      <c r="AB39" s="15" t="s">
        <v>148</v>
      </c>
      <c r="AC39" s="3"/>
    </row>
    <row r="40" spans="2:37" x14ac:dyDescent="0.2">
      <c r="B40" s="3"/>
      <c r="C40" s="3"/>
      <c r="D40" s="3"/>
      <c r="E40" s="3"/>
      <c r="F40" s="358"/>
      <c r="G40" s="363"/>
      <c r="H40" s="3"/>
      <c r="I40" s="109"/>
      <c r="J40" s="3"/>
      <c r="K40" s="3"/>
      <c r="L40" s="3"/>
      <c r="M40" s="3"/>
      <c r="N40" s="3"/>
      <c r="O40" s="3"/>
      <c r="P40" s="3"/>
      <c r="Q40" s="3"/>
      <c r="S40" s="3"/>
      <c r="T40" s="3"/>
      <c r="U40" s="3"/>
      <c r="V40" s="79"/>
      <c r="W40" s="79"/>
      <c r="X40" s="79"/>
      <c r="Y40" s="15"/>
      <c r="Z40" s="79"/>
      <c r="AA40" s="81"/>
      <c r="AB40" s="15"/>
      <c r="AC40" s="3"/>
      <c r="AJ40" s="422"/>
    </row>
    <row r="41" spans="2:37" ht="27" customHeight="1" x14ac:dyDescent="0.2">
      <c r="B41" s="3"/>
      <c r="C41" s="3"/>
      <c r="D41" s="8" t="s">
        <v>163</v>
      </c>
      <c r="E41" s="3"/>
      <c r="F41" s="358"/>
      <c r="G41" s="363"/>
      <c r="H41" s="3"/>
      <c r="I41" s="109"/>
      <c r="J41" s="3"/>
      <c r="K41" s="3"/>
      <c r="L41" s="3"/>
      <c r="M41" s="3"/>
      <c r="N41" s="3"/>
      <c r="O41" s="3"/>
      <c r="P41" s="3"/>
      <c r="Q41" s="3"/>
      <c r="S41" s="3"/>
      <c r="T41" s="375" t="str">
        <f>D41</f>
        <v>Gesteinskörnungen (Zuschlagsstoffe)</v>
      </c>
      <c r="U41" s="118"/>
      <c r="V41" s="346"/>
      <c r="W41" s="346"/>
      <c r="X41" s="346">
        <f>SUM(X42:X46)</f>
        <v>129.59200000000001</v>
      </c>
      <c r="Y41" s="363"/>
      <c r="Z41" s="346">
        <f>V41+W41</f>
        <v>0</v>
      </c>
      <c r="AA41" s="367">
        <f>SUM(V41:X41)</f>
        <v>129.59200000000001</v>
      </c>
      <c r="AB41" s="347" t="s">
        <v>149</v>
      </c>
      <c r="AC41" s="3"/>
      <c r="AI41" s="422">
        <f>AA41</f>
        <v>129.59200000000001</v>
      </c>
      <c r="AJ41" s="6" t="str">
        <f>AB41</f>
        <v>t CO2e</v>
      </c>
      <c r="AK41" s="6">
        <f>AC41</f>
        <v>0</v>
      </c>
    </row>
    <row r="42" spans="2:37" ht="15.75" x14ac:dyDescent="0.2">
      <c r="B42" s="3"/>
      <c r="C42" s="3"/>
      <c r="D42" s="3" t="s">
        <v>164</v>
      </c>
      <c r="E42" s="3"/>
      <c r="F42" s="409">
        <f>'Referenz Plattenfertiger'!F42</f>
        <v>0.66800000000000004</v>
      </c>
      <c r="G42" s="363"/>
      <c r="H42" s="3"/>
      <c r="I42" s="120"/>
      <c r="J42" s="3" t="s">
        <v>447</v>
      </c>
      <c r="K42" s="385"/>
      <c r="L42" s="3" t="s">
        <v>462</v>
      </c>
      <c r="M42" s="3"/>
      <c r="N42" s="389"/>
      <c r="O42" s="3"/>
      <c r="P42" s="3"/>
      <c r="Q42" s="3"/>
      <c r="S42" s="3"/>
      <c r="T42" s="3" t="str">
        <f>D42</f>
        <v>Sand, Kies</v>
      </c>
      <c r="U42" s="3"/>
      <c r="V42" s="79"/>
      <c r="W42" s="79"/>
      <c r="X42" s="79">
        <f>IF(NOT(ISBLANK($K42)),$K42*IF(NOT(ISBLANK(N42)),N42,'Eingabe EF'!$O27),IF(NOT(ISBLANK($I42)),$I42,$F42)*IF(NOT(ISBLANK(N42)),N42,'Eingabe EF'!$O27)*IF(NOT(ISBLANK($I$12)),$I$12,$F$12))</f>
        <v>129.59200000000001</v>
      </c>
      <c r="Y42" s="15"/>
      <c r="Z42" s="79">
        <f>V42+W42</f>
        <v>0</v>
      </c>
      <c r="AA42" s="81">
        <f>SUM(V42:X42)</f>
        <v>129.59200000000001</v>
      </c>
      <c r="AB42" s="15" t="s">
        <v>148</v>
      </c>
      <c r="AC42" s="3"/>
    </row>
    <row r="43" spans="2:37" ht="15.75" x14ac:dyDescent="0.2">
      <c r="B43" s="3"/>
      <c r="C43" s="3"/>
      <c r="D43" s="3" t="s">
        <v>165</v>
      </c>
      <c r="E43" s="3"/>
      <c r="F43" s="409">
        <f>'Referenz Plattenfertiger'!F43</f>
        <v>0</v>
      </c>
      <c r="G43" s="363"/>
      <c r="H43" s="3"/>
      <c r="I43" s="120"/>
      <c r="J43" s="3" t="s">
        <v>447</v>
      </c>
      <c r="K43" s="385"/>
      <c r="L43" s="3" t="s">
        <v>462</v>
      </c>
      <c r="M43" s="3"/>
      <c r="N43" s="389"/>
      <c r="O43" s="3"/>
      <c r="P43" s="119"/>
      <c r="Q43" s="3"/>
      <c r="S43" s="3"/>
      <c r="T43" s="3" t="str">
        <f>D43</f>
        <v>Brechsand, Splitt</v>
      </c>
      <c r="U43" s="3"/>
      <c r="V43" s="79"/>
      <c r="W43" s="79"/>
      <c r="X43" s="79">
        <f>IF(NOT(ISBLANK($K43)),$K43*N43,IF(NOT(ISBLANK($I43)),$I43,$F43)*IF(NOT(ISBLANK(N43)),N43,0)*IF(NOT(ISBLANK($I$12)),$I$12,$F$12))</f>
        <v>0</v>
      </c>
      <c r="Y43" s="15"/>
      <c r="Z43" s="79">
        <f>V43+W43</f>
        <v>0</v>
      </c>
      <c r="AA43" s="81">
        <f t="shared" ref="AA43:AA44" si="3">SUM(V43:X43)</f>
        <v>0</v>
      </c>
      <c r="AB43" s="15" t="s">
        <v>148</v>
      </c>
      <c r="AC43" s="3"/>
    </row>
    <row r="44" spans="2:37" ht="15.75" x14ac:dyDescent="0.2">
      <c r="B44" s="3"/>
      <c r="C44" s="3"/>
      <c r="D44" s="3" t="s">
        <v>166</v>
      </c>
      <c r="E44" s="3"/>
      <c r="F44" s="409">
        <f>'Referenz Plattenfertiger'!F44</f>
        <v>0</v>
      </c>
      <c r="G44" s="363"/>
      <c r="H44" s="3"/>
      <c r="I44" s="120"/>
      <c r="J44" s="3" t="s">
        <v>447</v>
      </c>
      <c r="K44" s="385"/>
      <c r="L44" s="3" t="s">
        <v>462</v>
      </c>
      <c r="M44" s="3"/>
      <c r="N44" s="389"/>
      <c r="O44" s="3"/>
      <c r="P44" s="119"/>
      <c r="Q44" s="3"/>
      <c r="S44" s="3"/>
      <c r="T44" s="3" t="str">
        <f>D44</f>
        <v>RC-Material (Sand, Splitt)</v>
      </c>
      <c r="U44" s="3"/>
      <c r="V44" s="79"/>
      <c r="W44" s="79"/>
      <c r="X44" s="79">
        <f>IF(NOT(ISBLANK($K44)),$K44*N44,IF(NOT(ISBLANK($I44)),$I44,$F44)*IF(NOT(ISBLANK(N44)),N44,0)*IF(NOT(ISBLANK($I$12)),$I$12,$F$12))</f>
        <v>0</v>
      </c>
      <c r="Y44" s="15"/>
      <c r="Z44" s="79">
        <f>V44+W44</f>
        <v>0</v>
      </c>
      <c r="AA44" s="81">
        <f t="shared" si="3"/>
        <v>0</v>
      </c>
      <c r="AB44" s="15" t="s">
        <v>148</v>
      </c>
      <c r="AC44" s="3"/>
    </row>
    <row r="45" spans="2:37" ht="15.75" x14ac:dyDescent="0.2">
      <c r="B45" s="3"/>
      <c r="C45" s="3"/>
      <c r="D45" s="360" t="s">
        <v>505</v>
      </c>
      <c r="E45" s="3"/>
      <c r="F45" s="409">
        <v>0</v>
      </c>
      <c r="G45" s="363"/>
      <c r="H45" s="3"/>
      <c r="I45" s="120"/>
      <c r="J45" s="3" t="s">
        <v>447</v>
      </c>
      <c r="K45" s="385"/>
      <c r="L45" s="3" t="s">
        <v>462</v>
      </c>
      <c r="M45" s="3"/>
      <c r="N45" s="389"/>
      <c r="O45" s="3"/>
      <c r="P45" s="119"/>
      <c r="Q45" s="3"/>
      <c r="S45" s="3"/>
      <c r="T45" s="3" t="str">
        <f t="shared" ref="T45:T46" si="4">D45</f>
        <v>Weiterer Zuschlagstoff 1</v>
      </c>
      <c r="U45" s="3"/>
      <c r="V45" s="79"/>
      <c r="W45" s="79"/>
      <c r="X45" s="79">
        <f t="shared" ref="X45:X46" si="5">IF(NOT(ISBLANK($K45)),$K45*N45,IF(NOT(ISBLANK($I45)),$I45,$F45)*IF(NOT(ISBLANK(N45)),N45,0)*IF(NOT(ISBLANK($I$12)),$I$12,$F$12))</f>
        <v>0</v>
      </c>
      <c r="Y45" s="15"/>
      <c r="Z45" s="79">
        <f t="shared" ref="Z45:Z46" si="6">V45+W45</f>
        <v>0</v>
      </c>
      <c r="AA45" s="81">
        <f t="shared" ref="AA45:AA46" si="7">SUM(V45:X45)</f>
        <v>0</v>
      </c>
      <c r="AB45" s="15" t="s">
        <v>148</v>
      </c>
      <c r="AC45" s="3"/>
    </row>
    <row r="46" spans="2:37" ht="15.75" x14ac:dyDescent="0.2">
      <c r="B46" s="3"/>
      <c r="C46" s="3"/>
      <c r="D46" s="360" t="s">
        <v>506</v>
      </c>
      <c r="E46" s="3"/>
      <c r="F46" s="409">
        <v>0</v>
      </c>
      <c r="G46" s="363"/>
      <c r="H46" s="3"/>
      <c r="I46" s="120"/>
      <c r="J46" s="3" t="s">
        <v>447</v>
      </c>
      <c r="K46" s="385"/>
      <c r="L46" s="3" t="s">
        <v>462</v>
      </c>
      <c r="M46" s="3"/>
      <c r="N46" s="389"/>
      <c r="O46" s="3"/>
      <c r="P46" s="119"/>
      <c r="Q46" s="3"/>
      <c r="S46" s="3"/>
      <c r="T46" s="3" t="str">
        <f t="shared" si="4"/>
        <v>Weiterer Zuschlagstoff 2</v>
      </c>
      <c r="U46" s="3"/>
      <c r="V46" s="79"/>
      <c r="W46" s="79"/>
      <c r="X46" s="79">
        <f t="shared" si="5"/>
        <v>0</v>
      </c>
      <c r="Y46" s="15"/>
      <c r="Z46" s="79">
        <f t="shared" si="6"/>
        <v>0</v>
      </c>
      <c r="AA46" s="81">
        <f t="shared" si="7"/>
        <v>0</v>
      </c>
      <c r="AB46" s="15" t="s">
        <v>148</v>
      </c>
      <c r="AC46" s="3"/>
    </row>
    <row r="47" spans="2:37" x14ac:dyDescent="0.2">
      <c r="B47" s="3"/>
      <c r="C47" s="3"/>
      <c r="D47" s="3"/>
      <c r="E47" s="3"/>
      <c r="F47" s="358"/>
      <c r="G47" s="363"/>
      <c r="H47" s="3"/>
      <c r="I47" s="109"/>
      <c r="J47" s="3"/>
      <c r="K47" s="3"/>
      <c r="L47" s="3"/>
      <c r="M47" s="3"/>
      <c r="N47" s="3"/>
      <c r="O47" s="3"/>
      <c r="P47" s="3"/>
      <c r="Q47" s="3"/>
      <c r="S47" s="3"/>
      <c r="T47" s="3"/>
      <c r="U47" s="3"/>
      <c r="V47" s="79"/>
      <c r="W47" s="79"/>
      <c r="X47" s="79"/>
      <c r="Y47" s="15"/>
      <c r="Z47" s="79"/>
      <c r="AA47" s="81"/>
      <c r="AB47" s="15"/>
      <c r="AC47" s="3"/>
    </row>
    <row r="48" spans="2:37" ht="14.25" x14ac:dyDescent="0.2">
      <c r="B48" s="3"/>
      <c r="C48" s="3"/>
      <c r="D48" s="3" t="s">
        <v>55</v>
      </c>
      <c r="E48" s="3"/>
      <c r="F48" s="409">
        <f>'Referenz Plattenfertiger'!F48</f>
        <v>2E-3</v>
      </c>
      <c r="G48" s="363"/>
      <c r="H48" s="3"/>
      <c r="I48" s="120"/>
      <c r="J48" s="3" t="s">
        <v>447</v>
      </c>
      <c r="K48" s="385"/>
      <c r="L48" s="3" t="s">
        <v>448</v>
      </c>
      <c r="M48" s="3"/>
      <c r="N48" s="389"/>
      <c r="O48" s="3"/>
      <c r="P48" s="3"/>
      <c r="Q48" s="3"/>
      <c r="S48" s="3"/>
      <c r="T48" s="8" t="str">
        <f>D48</f>
        <v>Farben</v>
      </c>
      <c r="U48" s="8"/>
      <c r="V48" s="366"/>
      <c r="W48" s="366"/>
      <c r="X48" s="366">
        <f>IF(NOT(ISBLANK($K48)),$K48/1000*IF(NOT(ISBLANK(N48)),N48,'Eingabe EF'!$O33),IF(NOT(ISBLANK($I48)),$I48,$F48)*IF(NOT(ISBLANK(N48)),N48,'Eingabe EF'!$O33)*IF(NOT(ISBLANK($I$12)),$I$12,$F$12))</f>
        <v>208</v>
      </c>
      <c r="Y48" s="78"/>
      <c r="Z48" s="366">
        <f>V48+W48</f>
        <v>0</v>
      </c>
      <c r="AA48" s="368">
        <f>SUM(V48:X48)</f>
        <v>208</v>
      </c>
      <c r="AB48" s="78" t="s">
        <v>149</v>
      </c>
      <c r="AC48" s="3"/>
    </row>
    <row r="49" spans="2:29" x14ac:dyDescent="0.2">
      <c r="B49" s="3"/>
      <c r="C49" s="3"/>
      <c r="D49" s="3"/>
      <c r="E49" s="3"/>
      <c r="F49" s="410"/>
      <c r="G49" s="363"/>
      <c r="H49" s="3"/>
      <c r="I49" s="3"/>
      <c r="J49" s="3"/>
      <c r="K49" s="3"/>
      <c r="L49" s="3"/>
      <c r="M49" s="3"/>
      <c r="N49" s="3"/>
      <c r="O49" s="3"/>
      <c r="P49" s="3"/>
      <c r="Q49" s="3"/>
      <c r="S49" s="3"/>
      <c r="T49" s="3"/>
      <c r="U49" s="3"/>
      <c r="V49" s="79"/>
      <c r="W49" s="79"/>
      <c r="X49" s="79"/>
      <c r="Y49" s="15"/>
      <c r="Z49" s="79"/>
      <c r="AA49" s="81"/>
      <c r="AB49" s="15"/>
      <c r="AC49" s="3"/>
    </row>
    <row r="50" spans="2:29" ht="14.25" x14ac:dyDescent="0.2">
      <c r="B50" s="3"/>
      <c r="C50" s="3"/>
      <c r="D50" s="8" t="s">
        <v>167</v>
      </c>
      <c r="E50" s="3"/>
      <c r="F50" s="410"/>
      <c r="G50" s="363"/>
      <c r="H50" s="3"/>
      <c r="I50" s="3"/>
      <c r="J50" s="3"/>
      <c r="K50" s="3"/>
      <c r="L50" s="3"/>
      <c r="M50" s="3"/>
      <c r="N50" s="3"/>
      <c r="O50" s="3"/>
      <c r="P50" s="3"/>
      <c r="Q50" s="3"/>
      <c r="S50" s="3"/>
      <c r="T50" s="345" t="str">
        <f>D50</f>
        <v>Zusatzstoffe (Füllstoffe)</v>
      </c>
      <c r="U50" s="118"/>
      <c r="V50" s="346"/>
      <c r="W50" s="346"/>
      <c r="X50" s="346">
        <f>SUM(X51:X55)</f>
        <v>81.003999999999991</v>
      </c>
      <c r="Y50" s="363"/>
      <c r="Z50" s="346">
        <f>V50+W50</f>
        <v>0</v>
      </c>
      <c r="AA50" s="367">
        <f>SUM(V50:X50)</f>
        <v>81.003999999999991</v>
      </c>
      <c r="AB50" s="347" t="s">
        <v>149</v>
      </c>
      <c r="AC50" s="3"/>
    </row>
    <row r="51" spans="2:29" ht="15.75" x14ac:dyDescent="0.2">
      <c r="B51" s="3"/>
      <c r="C51" s="3"/>
      <c r="D51" s="360" t="str">
        <f>'Referenz Plattenfertiger'!D51</f>
        <v>Flugasche</v>
      </c>
      <c r="E51" s="3"/>
      <c r="F51" s="409">
        <f>'Referenz Plattenfertiger'!F51</f>
        <v>0</v>
      </c>
      <c r="G51" s="363"/>
      <c r="H51" s="3"/>
      <c r="I51" s="120"/>
      <c r="J51" s="3" t="s">
        <v>447</v>
      </c>
      <c r="K51" s="385"/>
      <c r="L51" s="3" t="s">
        <v>462</v>
      </c>
      <c r="M51" s="3"/>
      <c r="N51" s="389"/>
      <c r="O51" s="3"/>
      <c r="P51" s="3"/>
      <c r="Q51" s="3"/>
      <c r="S51" s="3"/>
      <c r="T51" s="3" t="str">
        <f>D51</f>
        <v>Flugasche</v>
      </c>
      <c r="U51" s="3"/>
      <c r="V51" s="79"/>
      <c r="W51" s="79"/>
      <c r="X51" s="79">
        <f>IF(NOT(ISBLANK($K51)),$K51*IF(NOT(ISBLANK(N51)),N51,'Eingabe EF'!$O36),IF(NOT(ISBLANK($I51)),$I51,$F51)*IF(NOT(ISBLANK(N51)),N51,'Eingabe EF'!$O36)*IF(NOT(ISBLANK($I$12)),$I$12,$F$12))</f>
        <v>0</v>
      </c>
      <c r="Y51" s="15"/>
      <c r="Z51" s="79">
        <f>V51+W51</f>
        <v>0</v>
      </c>
      <c r="AA51" s="81">
        <f>SUM(V51:X51)</f>
        <v>0</v>
      </c>
      <c r="AB51" s="15" t="s">
        <v>148</v>
      </c>
      <c r="AC51" s="3"/>
    </row>
    <row r="52" spans="2:29" ht="15.75" x14ac:dyDescent="0.2">
      <c r="B52" s="3"/>
      <c r="C52" s="3"/>
      <c r="D52" s="360" t="str">
        <f>'Referenz Plattenfertiger'!D52</f>
        <v>Quarzsteinmehl</v>
      </c>
      <c r="E52" s="3"/>
      <c r="F52" s="409">
        <f>'Referenz Plattenfertiger'!F52</f>
        <v>5.0000000000000001E-3</v>
      </c>
      <c r="G52" s="363"/>
      <c r="H52" s="3"/>
      <c r="I52" s="120"/>
      <c r="J52" s="3" t="s">
        <v>447</v>
      </c>
      <c r="K52" s="385"/>
      <c r="L52" s="3" t="s">
        <v>462</v>
      </c>
      <c r="M52" s="3"/>
      <c r="N52" s="389"/>
      <c r="O52" s="3"/>
      <c r="P52" s="3"/>
      <c r="Q52" s="3"/>
      <c r="S52" s="3"/>
      <c r="T52" s="3" t="str">
        <f t="shared" ref="T52:T55" si="8">D52</f>
        <v>Quarzsteinmehl</v>
      </c>
      <c r="U52" s="3"/>
      <c r="V52" s="79"/>
      <c r="W52" s="79"/>
      <c r="X52" s="79">
        <f>IF(NOT(ISBLANK($K52)),$K52*IF(NOT(ISBLANK(N52)),N52,'Eingabe EF'!$O37),IF(NOT(ISBLANK($I52)),$I52,$F52)*IF(NOT(ISBLANK(N52)),N52,'Eingabe EF'!$O37)*IF(NOT(ISBLANK($I$12)),$I$12,$F$12))</f>
        <v>8.6840000000000011</v>
      </c>
      <c r="Y52" s="15"/>
      <c r="Z52" s="79">
        <f t="shared" ref="Z52:Z55" si="9">V52+W52</f>
        <v>0</v>
      </c>
      <c r="AA52" s="81">
        <f>SUM(V52:X52)</f>
        <v>8.6840000000000011</v>
      </c>
      <c r="AB52" s="15" t="s">
        <v>148</v>
      </c>
      <c r="AC52" s="3"/>
    </row>
    <row r="53" spans="2:29" ht="15.75" x14ac:dyDescent="0.2">
      <c r="B53" s="3"/>
      <c r="C53" s="3"/>
      <c r="D53" s="360" t="str">
        <f>'Referenz Plattenfertiger'!D53</f>
        <v>Kalksteinmehl</v>
      </c>
      <c r="E53" s="3"/>
      <c r="F53" s="409">
        <f>'Referenz Plattenfertiger'!F53</f>
        <v>0.04</v>
      </c>
      <c r="G53" s="363"/>
      <c r="H53" s="3"/>
      <c r="I53" s="120"/>
      <c r="J53" s="3" t="s">
        <v>447</v>
      </c>
      <c r="K53" s="385"/>
      <c r="L53" s="3" t="s">
        <v>462</v>
      </c>
      <c r="M53" s="3"/>
      <c r="N53" s="389"/>
      <c r="O53" s="3"/>
      <c r="P53" s="3"/>
      <c r="Q53" s="3"/>
      <c r="S53" s="3"/>
      <c r="T53" s="3" t="str">
        <f t="shared" si="8"/>
        <v>Kalksteinmehl</v>
      </c>
      <c r="U53" s="3"/>
      <c r="V53" s="79"/>
      <c r="W53" s="79"/>
      <c r="X53" s="79">
        <f>IF(NOT(ISBLANK($K53)),$K53*IF(NOT(ISBLANK(N53)),N53,'Eingabe EF'!$O38),IF(NOT(ISBLANK($I53)),$I53,$F53)*IF(NOT(ISBLANK(N53)),N53,'Eingabe EF'!$O38)*IF(NOT(ISBLANK($I$12)),$I$12,$F$12))</f>
        <v>72.319999999999993</v>
      </c>
      <c r="Y53" s="15"/>
      <c r="Z53" s="79">
        <f t="shared" si="9"/>
        <v>0</v>
      </c>
      <c r="AA53" s="81">
        <f>SUM(V53:X53)</f>
        <v>72.319999999999993</v>
      </c>
      <c r="AB53" s="15" t="s">
        <v>148</v>
      </c>
      <c r="AC53" s="3"/>
    </row>
    <row r="54" spans="2:29" ht="15.75" x14ac:dyDescent="0.2">
      <c r="B54" s="3"/>
      <c r="C54" s="3"/>
      <c r="D54" s="360" t="str">
        <f>'Referenz Plattenfertiger'!D54</f>
        <v>Weiterer Zusatzstoff 1</v>
      </c>
      <c r="E54" s="3"/>
      <c r="F54" s="409">
        <v>0</v>
      </c>
      <c r="G54" s="363"/>
      <c r="H54" s="3"/>
      <c r="I54" s="120"/>
      <c r="J54" s="3" t="s">
        <v>447</v>
      </c>
      <c r="K54" s="385"/>
      <c r="L54" s="3" t="s">
        <v>462</v>
      </c>
      <c r="M54" s="3"/>
      <c r="N54" s="389"/>
      <c r="O54" s="3"/>
      <c r="P54" s="3"/>
      <c r="Q54" s="3"/>
      <c r="S54" s="3"/>
      <c r="T54" s="3" t="str">
        <f t="shared" si="8"/>
        <v>Weiterer Zusatzstoff 1</v>
      </c>
      <c r="U54" s="3"/>
      <c r="V54" s="79"/>
      <c r="W54" s="79"/>
      <c r="X54" s="79">
        <f t="shared" ref="X54:X55" si="10">IF(NOT(ISBLANK($K54)),$K54*N54,IF(NOT(ISBLANK($I54)),$I54,$F54)*IF(NOT(ISBLANK(N54)),N54,0)*IF(NOT(ISBLANK($I$12)),$I$12,$F$12))</f>
        <v>0</v>
      </c>
      <c r="Y54" s="15"/>
      <c r="Z54" s="79">
        <f t="shared" si="9"/>
        <v>0</v>
      </c>
      <c r="AA54" s="81">
        <f t="shared" ref="AA54:AA55" si="11">SUM(V54:X54)</f>
        <v>0</v>
      </c>
      <c r="AB54" s="15" t="s">
        <v>148</v>
      </c>
      <c r="AC54" s="3"/>
    </row>
    <row r="55" spans="2:29" ht="15.75" x14ac:dyDescent="0.2">
      <c r="B55" s="3"/>
      <c r="C55" s="3"/>
      <c r="D55" s="360" t="str">
        <f>'Referenz Plattenfertiger'!D55</f>
        <v>Weiterer Zusatzstoff 2</v>
      </c>
      <c r="E55" s="3"/>
      <c r="F55" s="409">
        <v>0</v>
      </c>
      <c r="G55" s="363"/>
      <c r="H55" s="3"/>
      <c r="I55" s="120"/>
      <c r="J55" s="3" t="s">
        <v>447</v>
      </c>
      <c r="K55" s="385"/>
      <c r="L55" s="3" t="s">
        <v>462</v>
      </c>
      <c r="M55" s="3"/>
      <c r="N55" s="389"/>
      <c r="O55" s="3"/>
      <c r="P55" s="3"/>
      <c r="Q55" s="3"/>
      <c r="S55" s="3"/>
      <c r="T55" s="3" t="str">
        <f t="shared" si="8"/>
        <v>Weiterer Zusatzstoff 2</v>
      </c>
      <c r="U55" s="3"/>
      <c r="V55" s="79"/>
      <c r="W55" s="79"/>
      <c r="X55" s="79">
        <f t="shared" si="10"/>
        <v>0</v>
      </c>
      <c r="Y55" s="15"/>
      <c r="Z55" s="79">
        <f t="shared" si="9"/>
        <v>0</v>
      </c>
      <c r="AA55" s="81">
        <f t="shared" si="11"/>
        <v>0</v>
      </c>
      <c r="AB55" s="15" t="s">
        <v>148</v>
      </c>
      <c r="AC55" s="3"/>
    </row>
    <row r="56" spans="2:29" x14ac:dyDescent="0.2">
      <c r="B56" s="3"/>
      <c r="C56" s="3"/>
      <c r="D56" s="3"/>
      <c r="E56" s="3"/>
      <c r="F56" s="410"/>
      <c r="G56" s="363"/>
      <c r="H56" s="3"/>
      <c r="I56" s="3"/>
      <c r="J56" s="3"/>
      <c r="K56" s="3"/>
      <c r="L56" s="3"/>
      <c r="M56" s="3"/>
      <c r="N56" s="3"/>
      <c r="O56" s="3"/>
      <c r="P56" s="3"/>
      <c r="Q56" s="3"/>
      <c r="S56" s="3"/>
      <c r="T56" s="3"/>
      <c r="U56" s="3"/>
      <c r="V56" s="79"/>
      <c r="W56" s="79"/>
      <c r="X56" s="79"/>
      <c r="Y56" s="15"/>
      <c r="Z56" s="79"/>
      <c r="AA56" s="81"/>
      <c r="AB56" s="15"/>
      <c r="AC56" s="3"/>
    </row>
    <row r="57" spans="2:29" ht="14.25" x14ac:dyDescent="0.2">
      <c r="B57" s="3"/>
      <c r="C57" s="3"/>
      <c r="D57" s="8" t="s">
        <v>49</v>
      </c>
      <c r="E57" s="3"/>
      <c r="F57" s="409">
        <f>'Referenz Plattenfertiger'!F57</f>
        <v>2E-3</v>
      </c>
      <c r="G57" s="363"/>
      <c r="H57" s="3"/>
      <c r="I57" s="120"/>
      <c r="J57" s="3" t="s">
        <v>459</v>
      </c>
      <c r="K57" s="3"/>
      <c r="L57" s="3" t="s">
        <v>448</v>
      </c>
      <c r="M57" s="3"/>
      <c r="N57" s="3"/>
      <c r="O57" s="3"/>
      <c r="P57" s="119"/>
      <c r="Q57" s="3"/>
      <c r="S57" s="3"/>
      <c r="T57" s="345" t="s">
        <v>49</v>
      </c>
      <c r="U57" s="118"/>
      <c r="V57" s="346"/>
      <c r="W57" s="346"/>
      <c r="X57" s="346">
        <f>SUM(X58:X61)</f>
        <v>148.44746134951595</v>
      </c>
      <c r="Y57" s="363"/>
      <c r="Z57" s="346">
        <f>V57+W57</f>
        <v>0</v>
      </c>
      <c r="AA57" s="367">
        <f>SUM(V57:X57)</f>
        <v>148.44746134951595</v>
      </c>
      <c r="AB57" s="347" t="s">
        <v>149</v>
      </c>
      <c r="AC57" s="3"/>
    </row>
    <row r="58" spans="2:29" s="372" customFormat="1" ht="15.75" x14ac:dyDescent="0.2">
      <c r="B58" s="15"/>
      <c r="C58" s="15"/>
      <c r="D58" s="429" t="s">
        <v>412</v>
      </c>
      <c r="E58" s="15"/>
      <c r="F58" s="409">
        <f>'Referenz Plattenfertiger'!F58</f>
        <v>0.39213986418147667</v>
      </c>
      <c r="G58" s="359" t="s">
        <v>51</v>
      </c>
      <c r="H58" s="15"/>
      <c r="I58" s="360"/>
      <c r="J58" s="468" t="s">
        <v>449</v>
      </c>
      <c r="K58" s="385"/>
      <c r="L58" s="3" t="s">
        <v>448</v>
      </c>
      <c r="M58" s="3"/>
      <c r="N58" s="389"/>
      <c r="O58" s="3"/>
      <c r="P58" s="361"/>
      <c r="Q58" s="15"/>
      <c r="S58" s="15"/>
      <c r="T58" s="14" t="str">
        <f>D58</f>
        <v>Plastifizierer</v>
      </c>
      <c r="U58" s="15"/>
      <c r="V58" s="79"/>
      <c r="W58" s="79"/>
      <c r="X58" s="79">
        <f>IF(NOT(ISBLANK($K58)),$K58/1000*IF(NOT(ISBLANK(N58)),N58,'Eingabe EF'!$O43),IF(NOT(ISBLANK($I$57)),$I$57,$F$57)*IF(NOT(ISBLANK($I58)),$I58,$F58)*IF(NOT(ISBLANK(N58)),N58,'Eingabe EF'!$O43)*IF(NOT(ISBLANK($I$12)),$I$12,$F$12))</f>
        <v>47.997919375812742</v>
      </c>
      <c r="Y58" s="15"/>
      <c r="Z58" s="79">
        <f>V58+W58</f>
        <v>0</v>
      </c>
      <c r="AA58" s="81">
        <f>SUM(V58:X58)</f>
        <v>47.997919375812742</v>
      </c>
      <c r="AB58" s="15" t="s">
        <v>148</v>
      </c>
      <c r="AC58" s="15"/>
    </row>
    <row r="59" spans="2:29" s="372" customFormat="1" ht="15.75" x14ac:dyDescent="0.2">
      <c r="B59" s="15"/>
      <c r="C59" s="15"/>
      <c r="D59" s="429" t="s">
        <v>413</v>
      </c>
      <c r="E59" s="15"/>
      <c r="F59" s="409">
        <f>'Referenz Plattenfertiger'!F59</f>
        <v>0.164571593700332</v>
      </c>
      <c r="G59" s="359" t="s">
        <v>51</v>
      </c>
      <c r="H59" s="15"/>
      <c r="I59" s="360"/>
      <c r="J59" s="468"/>
      <c r="K59" s="385"/>
      <c r="L59" s="3" t="s">
        <v>448</v>
      </c>
      <c r="M59" s="3"/>
      <c r="N59" s="389"/>
      <c r="O59" s="3"/>
      <c r="P59" s="361"/>
      <c r="Q59" s="15"/>
      <c r="S59" s="15"/>
      <c r="T59" s="14" t="str">
        <f t="shared" ref="T59:T61" si="12">D59</f>
        <v>Luftporenbildner</v>
      </c>
      <c r="U59" s="15"/>
      <c r="V59" s="79"/>
      <c r="W59" s="79"/>
      <c r="X59" s="79">
        <f>IF(NOT(ISBLANK($K59)),$K59/1000*IF(NOT(ISBLANK(N59)),N59,'Eingabe EF'!$O44),IF(NOT(ISBLANK($I$57)),$I$57,$F$57)*IF(NOT(ISBLANK($I59)),$I59,$F59)*IF(NOT(ISBLANK(N59)),N59,'Eingabe EF'!$O44)*IF(NOT(ISBLANK($I$12)),$I$12,$F$12))</f>
        <v>5.7797543707556596</v>
      </c>
      <c r="Y59" s="15"/>
      <c r="Z59" s="79">
        <f>V59+W59</f>
        <v>0</v>
      </c>
      <c r="AA59" s="81">
        <f>SUM(V59:X59)</f>
        <v>5.7797543707556596</v>
      </c>
      <c r="AB59" s="15" t="s">
        <v>148</v>
      </c>
      <c r="AC59" s="15"/>
    </row>
    <row r="60" spans="2:29" s="372" customFormat="1" ht="15.75" x14ac:dyDescent="0.2">
      <c r="B60" s="15"/>
      <c r="C60" s="15"/>
      <c r="D60" s="429" t="s">
        <v>414</v>
      </c>
      <c r="E60" s="15"/>
      <c r="F60" s="409">
        <f>'Referenz Plattenfertiger'!F60</f>
        <v>1.4448779078167896E-4</v>
      </c>
      <c r="G60" s="359" t="s">
        <v>51</v>
      </c>
      <c r="H60" s="15"/>
      <c r="I60" s="360"/>
      <c r="J60" s="468"/>
      <c r="K60" s="385"/>
      <c r="L60" s="3" t="s">
        <v>448</v>
      </c>
      <c r="M60" s="3"/>
      <c r="N60" s="389"/>
      <c r="O60" s="3"/>
      <c r="P60" s="361"/>
      <c r="Q60" s="15"/>
      <c r="S60" s="15"/>
      <c r="T60" s="14" t="str">
        <f t="shared" si="12"/>
        <v>Stabilisierer</v>
      </c>
      <c r="U60" s="15"/>
      <c r="V60" s="79"/>
      <c r="W60" s="79"/>
      <c r="X60" s="79">
        <f>IF(NOT(ISBLANK($K60)),$K60/1000*IF(NOT(ISBLANK(N60)),N60,'Eingabe EF'!$O45),IF(NOT(ISBLANK($I$57)),$I$57,$F$57)*IF(NOT(ISBLANK($I60)),$I60,$F60)*IF(NOT(ISBLANK(N60)),N60,'Eingabe EF'!$O45)*IF(NOT(ISBLANK($I$12)),$I$12,$F$12))</f>
        <v>1.4217598612917211E-2</v>
      </c>
      <c r="Y60" s="15"/>
      <c r="Z60" s="79">
        <f>V60+W60</f>
        <v>0</v>
      </c>
      <c r="AA60" s="81">
        <f>SUM(V60:X60)</f>
        <v>1.4217598612917211E-2</v>
      </c>
      <c r="AB60" s="15" t="s">
        <v>148</v>
      </c>
      <c r="AC60" s="15"/>
    </row>
    <row r="61" spans="2:29" s="372" customFormat="1" ht="15.75" x14ac:dyDescent="0.2">
      <c r="B61" s="15"/>
      <c r="C61" s="15"/>
      <c r="D61" s="429" t="s">
        <v>415</v>
      </c>
      <c r="E61" s="15"/>
      <c r="F61" s="409">
        <f>'Referenz Plattenfertiger'!F61</f>
        <v>0.44314405432740933</v>
      </c>
      <c r="G61" s="359" t="s">
        <v>51</v>
      </c>
      <c r="H61" s="15"/>
      <c r="I61" s="360"/>
      <c r="J61" s="468"/>
      <c r="K61" s="385"/>
      <c r="L61" s="3" t="s">
        <v>448</v>
      </c>
      <c r="M61" s="3"/>
      <c r="N61" s="389"/>
      <c r="O61" s="3"/>
      <c r="P61" s="361"/>
      <c r="Q61" s="15"/>
      <c r="S61" s="15"/>
      <c r="T61" s="14" t="str">
        <f t="shared" si="12"/>
        <v>Hydrophobierer</v>
      </c>
      <c r="U61" s="15"/>
      <c r="V61" s="79"/>
      <c r="W61" s="79"/>
      <c r="X61" s="79">
        <f>IF(NOT(ISBLANK($K61)),$K61/1000*IF(NOT(ISBLANK(N61)),N61,'Eingabe EF'!$O46),IF(NOT(ISBLANK($I$57)),$I$57,$F$57)*IF(NOT(ISBLANK($I61)),$I61,$F61)*IF(NOT(ISBLANK(N61)),N61,'Eingabe EF'!$O46)*IF(NOT(ISBLANK($I$12)),$I$12,$F$12))</f>
        <v>94.655570004334635</v>
      </c>
      <c r="Y61" s="15"/>
      <c r="Z61" s="79">
        <f>V61+W61</f>
        <v>0</v>
      </c>
      <c r="AA61" s="81">
        <f>SUM(V61:X61)</f>
        <v>94.655570004334635</v>
      </c>
      <c r="AB61" s="15" t="s">
        <v>148</v>
      </c>
      <c r="AC61" s="15"/>
    </row>
    <row r="62" spans="2:29" s="372" customFormat="1" x14ac:dyDescent="0.2">
      <c r="B62" s="15"/>
      <c r="C62" s="15"/>
      <c r="D62" s="15"/>
      <c r="E62" s="15"/>
      <c r="F62" s="358"/>
      <c r="G62" s="363"/>
      <c r="H62" s="15"/>
      <c r="I62" s="373"/>
      <c r="J62" s="15"/>
      <c r="K62" s="15"/>
      <c r="L62" s="15"/>
      <c r="M62" s="3"/>
      <c r="N62" s="15"/>
      <c r="O62" s="15"/>
      <c r="P62" s="15"/>
      <c r="Q62" s="15"/>
      <c r="S62" s="15"/>
      <c r="T62" s="15"/>
      <c r="U62" s="15"/>
      <c r="V62" s="79"/>
      <c r="W62" s="79"/>
      <c r="X62" s="79"/>
      <c r="Y62" s="15"/>
      <c r="Z62" s="79"/>
      <c r="AA62" s="81"/>
      <c r="AB62" s="15"/>
      <c r="AC62" s="15"/>
    </row>
    <row r="63" spans="2:29" s="372" customFormat="1" ht="14.25" x14ac:dyDescent="0.2">
      <c r="B63" s="15"/>
      <c r="C63" s="15"/>
      <c r="D63" s="15" t="s">
        <v>99</v>
      </c>
      <c r="E63" s="15"/>
      <c r="F63" s="409">
        <f>'Referenz Plattenfertiger'!F63</f>
        <v>0.1</v>
      </c>
      <c r="G63" s="363"/>
      <c r="H63" s="15"/>
      <c r="I63" s="360"/>
      <c r="J63" s="15"/>
      <c r="K63" s="385"/>
      <c r="L63" s="15" t="s">
        <v>63</v>
      </c>
      <c r="M63" s="3"/>
      <c r="N63" s="389"/>
      <c r="O63" s="15"/>
      <c r="P63" s="15"/>
      <c r="Q63" s="15"/>
      <c r="S63" s="15"/>
      <c r="T63" s="78" t="s">
        <v>189</v>
      </c>
      <c r="U63" s="78"/>
      <c r="V63" s="366"/>
      <c r="W63" s="366"/>
      <c r="X63" s="366">
        <f>IF(NOT(ISBLANK(K63)),K63*N63,IF(NOT(ISBLANK($I63)),$I63,$F63)*IF(NOT(ISBLANK(N63)),N63)*IF(NOT(ISBLANK($I$12)),$I$12,$F$12))</f>
        <v>0</v>
      </c>
      <c r="Y63" s="78"/>
      <c r="Z63" s="366">
        <f>V63+W63</f>
        <v>0</v>
      </c>
      <c r="AA63" s="368">
        <f>SUM(V63:X63)</f>
        <v>0</v>
      </c>
      <c r="AB63" s="78" t="s">
        <v>149</v>
      </c>
      <c r="AC63" s="15"/>
    </row>
    <row r="64" spans="2:29" s="372" customFormat="1" ht="14.25" x14ac:dyDescent="0.2">
      <c r="B64" s="15"/>
      <c r="C64" s="15"/>
      <c r="D64" s="15" t="s">
        <v>62</v>
      </c>
      <c r="E64" s="15"/>
      <c r="F64" s="335">
        <f>'Referenz Plattenfertiger'!F64</f>
        <v>2000</v>
      </c>
      <c r="G64" s="363" t="s">
        <v>63</v>
      </c>
      <c r="H64" s="15"/>
      <c r="I64" s="272"/>
      <c r="J64" s="15" t="s">
        <v>63</v>
      </c>
      <c r="K64" s="15"/>
      <c r="L64" s="15"/>
      <c r="M64" s="3"/>
      <c r="N64" s="389"/>
      <c r="O64" s="15"/>
      <c r="P64" s="15"/>
      <c r="Q64" s="15"/>
      <c r="S64" s="15"/>
      <c r="T64" s="78" t="s">
        <v>62</v>
      </c>
      <c r="U64" s="78"/>
      <c r="V64" s="366"/>
      <c r="W64" s="366"/>
      <c r="X64" s="366">
        <f>IF(NOT(ISBLANK($I64)),$I64,$F64)*IF(NOT(ISBLANK(N64)),N64,'Eingabe EF'!$O49)</f>
        <v>0.54400000000000004</v>
      </c>
      <c r="Y64" s="78"/>
      <c r="Z64" s="366">
        <f>V64+W64</f>
        <v>0</v>
      </c>
      <c r="AA64" s="368">
        <f>SUM(V64:X64)</f>
        <v>0.54400000000000004</v>
      </c>
      <c r="AB64" s="78" t="s">
        <v>149</v>
      </c>
      <c r="AC64" s="15"/>
    </row>
    <row r="65" spans="2:29" x14ac:dyDescent="0.2">
      <c r="B65" s="3"/>
      <c r="C65" s="3"/>
      <c r="D65" s="3"/>
      <c r="E65" s="3"/>
      <c r="F65" s="363"/>
      <c r="G65" s="363"/>
      <c r="H65" s="3"/>
      <c r="I65" s="3"/>
      <c r="J65" s="3"/>
      <c r="K65" s="3"/>
      <c r="L65" s="3"/>
      <c r="M65" s="3"/>
      <c r="N65" s="3"/>
      <c r="O65" s="3"/>
      <c r="P65" s="3"/>
      <c r="Q65" s="3"/>
      <c r="S65" s="3"/>
      <c r="T65" s="3"/>
      <c r="U65" s="3"/>
      <c r="V65" s="81"/>
      <c r="W65" s="81"/>
      <c r="X65" s="81"/>
      <c r="Y65" s="15"/>
      <c r="Z65" s="79"/>
      <c r="AA65" s="81"/>
      <c r="AB65" s="15"/>
      <c r="AC65" s="3"/>
    </row>
    <row r="66" spans="2:29" ht="14.25" x14ac:dyDescent="0.2">
      <c r="B66" s="3"/>
      <c r="C66" s="3"/>
      <c r="D66" s="8" t="s">
        <v>168</v>
      </c>
      <c r="E66" s="3"/>
      <c r="F66" s="363"/>
      <c r="G66" s="363"/>
      <c r="H66" s="3"/>
      <c r="I66" s="3"/>
      <c r="J66" s="3"/>
      <c r="K66" s="3"/>
      <c r="L66" s="3"/>
      <c r="M66" s="3"/>
      <c r="N66" s="3"/>
      <c r="O66" s="3"/>
      <c r="P66" s="3"/>
      <c r="Q66" s="3"/>
      <c r="S66" s="3"/>
      <c r="T66" s="345" t="str">
        <f>D66</f>
        <v>Oberflächenschutzsysteme</v>
      </c>
      <c r="U66" s="118"/>
      <c r="V66" s="346"/>
      <c r="W66" s="346"/>
      <c r="X66" s="346">
        <f>SUM(X67:X69)</f>
        <v>80.47999999999999</v>
      </c>
      <c r="Y66" s="363"/>
      <c r="Z66" s="346">
        <f>V66+W66</f>
        <v>0</v>
      </c>
      <c r="AA66" s="367">
        <f>SUM(V66:X66)</f>
        <v>80.47999999999999</v>
      </c>
      <c r="AB66" s="347" t="s">
        <v>149</v>
      </c>
      <c r="AC66" s="3"/>
    </row>
    <row r="67" spans="2:29" ht="15.75" x14ac:dyDescent="0.2">
      <c r="B67" s="3"/>
      <c r="C67" s="3"/>
      <c r="D67" s="3" t="s">
        <v>169</v>
      </c>
      <c r="E67" s="3"/>
      <c r="F67" s="409">
        <f>'Referenz Plattenfertiger'!F67</f>
        <v>0</v>
      </c>
      <c r="G67" s="363"/>
      <c r="H67" s="3"/>
      <c r="I67" s="120"/>
      <c r="J67" s="3" t="s">
        <v>447</v>
      </c>
      <c r="K67" s="385"/>
      <c r="L67" s="3" t="s">
        <v>448</v>
      </c>
      <c r="M67" s="3"/>
      <c r="N67" s="389"/>
      <c r="O67" s="3"/>
      <c r="P67" s="119"/>
      <c r="Q67" s="3"/>
      <c r="S67" s="3"/>
      <c r="T67" s="3" t="str">
        <f>D67</f>
        <v>Hydrophobierung</v>
      </c>
      <c r="U67" s="3"/>
      <c r="V67" s="79"/>
      <c r="W67" s="79"/>
      <c r="X67" s="79">
        <f>IF(NOT(ISBLANK($K67)),$K67/1000*(N67),IF(NOT(ISBLANK($I67)),$I67,$F67)*(N67)*IF(NOT(ISBLANK($I$12)),$I$12,$F$12))</f>
        <v>0</v>
      </c>
      <c r="Y67" s="15"/>
      <c r="Z67" s="79">
        <f>V67+W67</f>
        <v>0</v>
      </c>
      <c r="AA67" s="81">
        <f>SUM(V67:X67)</f>
        <v>0</v>
      </c>
      <c r="AB67" s="15" t="s">
        <v>148</v>
      </c>
      <c r="AC67" s="3"/>
    </row>
    <row r="68" spans="2:29" ht="15.75" x14ac:dyDescent="0.2">
      <c r="B68" s="3"/>
      <c r="C68" s="3"/>
      <c r="D68" s="3" t="s">
        <v>60</v>
      </c>
      <c r="E68" s="3"/>
      <c r="F68" s="409">
        <f>'Referenz Plattenfertiger'!F68</f>
        <v>1E-3</v>
      </c>
      <c r="G68" s="363"/>
      <c r="H68" s="3"/>
      <c r="I68" s="120"/>
      <c r="J68" s="3" t="s">
        <v>447</v>
      </c>
      <c r="K68" s="385"/>
      <c r="L68" s="3" t="s">
        <v>448</v>
      </c>
      <c r="M68" s="3"/>
      <c r="N68" s="389"/>
      <c r="O68" s="3"/>
      <c r="P68" s="119"/>
      <c r="Q68" s="3"/>
      <c r="S68" s="3"/>
      <c r="T68" s="3" t="str">
        <f>D68</f>
        <v>Imprägniermittel  (Aushärtung über Infrarot)</v>
      </c>
      <c r="U68" s="3"/>
      <c r="V68" s="79"/>
      <c r="W68" s="79"/>
      <c r="X68" s="79">
        <f>IF(NOT(ISBLANK($K68)),$K68/1000*IF(NOT(ISBLANK(N68)),N68,'Eingabe EF'!$O53),IF(NOT(ISBLANK($I68)),$I68,$F68)*IF(NOT(ISBLANK(N68)),N68,'Eingabe EF'!$O53)*IF(NOT(ISBLANK($I$12)),$I$12,$F$12))</f>
        <v>80.47999999999999</v>
      </c>
      <c r="Y68" s="15"/>
      <c r="Z68" s="79">
        <f>V68+W68</f>
        <v>0</v>
      </c>
      <c r="AA68" s="81">
        <f>SUM(V68:X68)</f>
        <v>80.47999999999999</v>
      </c>
      <c r="AB68" s="15" t="s">
        <v>148</v>
      </c>
      <c r="AC68" s="3"/>
    </row>
    <row r="69" spans="2:29" ht="15.75" x14ac:dyDescent="0.2">
      <c r="B69" s="3"/>
      <c r="C69" s="3"/>
      <c r="D69" s="3" t="s">
        <v>170</v>
      </c>
      <c r="E69" s="3"/>
      <c r="F69" s="409">
        <f>'Referenz Plattenfertiger'!F69</f>
        <v>0</v>
      </c>
      <c r="G69" s="363"/>
      <c r="H69" s="3"/>
      <c r="I69" s="120"/>
      <c r="J69" s="3" t="s">
        <v>447</v>
      </c>
      <c r="K69" s="385"/>
      <c r="L69" s="3" t="s">
        <v>448</v>
      </c>
      <c r="M69" s="3"/>
      <c r="N69" s="389"/>
      <c r="O69" s="3"/>
      <c r="P69" s="119"/>
      <c r="Q69" s="3"/>
      <c r="S69" s="3"/>
      <c r="T69" s="3" t="str">
        <f>D69</f>
        <v>Beschichtung</v>
      </c>
      <c r="U69" s="3"/>
      <c r="V69" s="79"/>
      <c r="W69" s="79"/>
      <c r="X69" s="79">
        <f>IF(NOT(ISBLANK($K69)),$K69/1000*IF(NOT(ISBLANK(N69)),N69,N69),IF(NOT(ISBLANK($I69)),$I69,$F69)*IF(NOT(ISBLANK(N69)),N69,N69)*IF(NOT(ISBLANK($I$12)),$I$12,$F$12))</f>
        <v>0</v>
      </c>
      <c r="Y69" s="15"/>
      <c r="Z69" s="79">
        <f>V69+W69</f>
        <v>0</v>
      </c>
      <c r="AA69" s="81">
        <f>SUM(V69:X69)</f>
        <v>0</v>
      </c>
      <c r="AB69" s="15" t="s">
        <v>148</v>
      </c>
      <c r="AC69" s="3"/>
    </row>
    <row r="70" spans="2:29" x14ac:dyDescent="0.2">
      <c r="B70" s="3"/>
      <c r="C70" s="3"/>
      <c r="D70" s="3"/>
      <c r="E70" s="3"/>
      <c r="F70" s="363"/>
      <c r="G70" s="363"/>
      <c r="H70" s="3"/>
      <c r="I70" s="3"/>
      <c r="J70" s="3"/>
      <c r="K70" s="3"/>
      <c r="L70" s="3"/>
      <c r="M70" s="3"/>
      <c r="N70" s="3"/>
      <c r="O70" s="3"/>
      <c r="P70" s="3"/>
      <c r="Q70" s="3"/>
      <c r="S70" s="3"/>
      <c r="T70" s="3"/>
      <c r="U70" s="3"/>
      <c r="V70" s="81"/>
      <c r="W70" s="81"/>
      <c r="X70" s="81"/>
      <c r="Y70" s="15"/>
      <c r="Z70" s="79"/>
      <c r="AA70" s="81"/>
      <c r="AB70" s="15"/>
      <c r="AC70" s="3"/>
    </row>
    <row r="71" spans="2:29" ht="25.5" x14ac:dyDescent="0.2">
      <c r="B71" s="3"/>
      <c r="C71" s="3"/>
      <c r="D71" s="8" t="s">
        <v>171</v>
      </c>
      <c r="E71" s="3"/>
      <c r="F71" s="363"/>
      <c r="G71" s="363"/>
      <c r="H71" s="3"/>
      <c r="I71" s="3"/>
      <c r="J71" s="3"/>
      <c r="K71" s="3"/>
      <c r="L71" s="3"/>
      <c r="M71" s="3"/>
      <c r="N71" s="3"/>
      <c r="O71" s="3"/>
      <c r="P71" s="3"/>
      <c r="Q71" s="3"/>
      <c r="S71" s="3"/>
      <c r="T71" s="357" t="str">
        <f>D71</f>
        <v>Oberflächenbearbeitung (vor/nach Erhärtung)</v>
      </c>
      <c r="U71" s="118"/>
      <c r="V71" s="346"/>
      <c r="W71" s="346"/>
      <c r="X71" s="346">
        <f>SUM(X72:X74)</f>
        <v>60</v>
      </c>
      <c r="Y71" s="363"/>
      <c r="Z71" s="346">
        <f>V71+W71</f>
        <v>0</v>
      </c>
      <c r="AA71" s="367">
        <f>SUM(V71:X71)</f>
        <v>60</v>
      </c>
      <c r="AB71" s="347" t="s">
        <v>149</v>
      </c>
      <c r="AC71" s="3"/>
    </row>
    <row r="72" spans="2:29" ht="15.75" x14ac:dyDescent="0.2">
      <c r="B72" s="3"/>
      <c r="C72" s="3"/>
      <c r="D72" s="3" t="s">
        <v>64</v>
      </c>
      <c r="E72" s="3"/>
      <c r="F72" s="335">
        <f>'Referenz Plattenfertiger'!F72</f>
        <v>40</v>
      </c>
      <c r="G72" s="363" t="s">
        <v>46</v>
      </c>
      <c r="H72" s="3"/>
      <c r="I72" s="110"/>
      <c r="J72" s="3" t="s">
        <v>46</v>
      </c>
      <c r="K72" s="3"/>
      <c r="L72" s="3"/>
      <c r="M72" s="3"/>
      <c r="N72" s="389"/>
      <c r="O72" s="3"/>
      <c r="P72" s="3"/>
      <c r="Q72" s="3"/>
      <c r="S72" s="3"/>
      <c r="T72" s="3" t="str">
        <f>D72</f>
        <v>Stahlkugeln (Strahlanlage)</v>
      </c>
      <c r="U72" s="3"/>
      <c r="V72" s="79"/>
      <c r="W72" s="79"/>
      <c r="X72" s="79">
        <f>IF(NOT(ISBLANK($I72)),$I72,$F72)*IF(NOT(ISBLANK(N72)),N72,'Eingabe EF'!$O57)</f>
        <v>60</v>
      </c>
      <c r="Y72" s="15"/>
      <c r="Z72" s="79">
        <f>V72+W72</f>
        <v>0</v>
      </c>
      <c r="AA72" s="81">
        <f>SUM(V72:X72)</f>
        <v>60</v>
      </c>
      <c r="AB72" s="15" t="s">
        <v>148</v>
      </c>
      <c r="AC72" s="3"/>
    </row>
    <row r="73" spans="2:29" ht="15.75" x14ac:dyDescent="0.2">
      <c r="B73" s="3"/>
      <c r="C73" s="3"/>
      <c r="D73" s="3" t="s">
        <v>173</v>
      </c>
      <c r="E73" s="3"/>
      <c r="F73" s="335">
        <f>'Referenz Plattenfertiger'!F73</f>
        <v>0</v>
      </c>
      <c r="G73" s="363" t="s">
        <v>46</v>
      </c>
      <c r="H73" s="3"/>
      <c r="I73" s="110"/>
      <c r="J73" s="3" t="s">
        <v>46</v>
      </c>
      <c r="K73" s="3"/>
      <c r="L73" s="3"/>
      <c r="M73" s="3"/>
      <c r="N73" s="389"/>
      <c r="O73" s="3"/>
      <c r="P73" s="119"/>
      <c r="Q73" s="3"/>
      <c r="S73" s="3"/>
      <c r="T73" s="3" t="str">
        <f>D73</f>
        <v>Weitere Materialen</v>
      </c>
      <c r="U73" s="3"/>
      <c r="V73" s="79"/>
      <c r="W73" s="79"/>
      <c r="X73" s="79">
        <f>IF(NOT(ISBLANK($I73)),$I73,$F73)*IF(NOT(ISBLANK(N73)),N73,0)</f>
        <v>0</v>
      </c>
      <c r="Y73" s="15"/>
      <c r="Z73" s="79">
        <f>V73+W73</f>
        <v>0</v>
      </c>
      <c r="AA73" s="81">
        <f>SUM(V73:X73)</f>
        <v>0</v>
      </c>
      <c r="AB73" s="15" t="s">
        <v>148</v>
      </c>
      <c r="AC73" s="3"/>
    </row>
    <row r="74" spans="2:29" ht="15.75" x14ac:dyDescent="0.2">
      <c r="B74" s="3"/>
      <c r="C74" s="3"/>
      <c r="D74" s="3" t="s">
        <v>172</v>
      </c>
      <c r="E74" s="3"/>
      <c r="F74" s="335">
        <f>'Referenz Plattenfertiger'!F74</f>
        <v>0</v>
      </c>
      <c r="G74" s="363" t="s">
        <v>46</v>
      </c>
      <c r="H74" s="3"/>
      <c r="I74" s="110"/>
      <c r="J74" s="3" t="s">
        <v>46</v>
      </c>
      <c r="K74" s="3"/>
      <c r="L74" s="3"/>
      <c r="M74" s="3"/>
      <c r="N74" s="389"/>
      <c r="O74" s="3"/>
      <c r="P74" s="119"/>
      <c r="Q74" s="3"/>
      <c r="S74" s="3"/>
      <c r="T74" s="3" t="str">
        <f>D74</f>
        <v>Oberflächenbearbeitungsarten</v>
      </c>
      <c r="U74" s="3"/>
      <c r="V74" s="79"/>
      <c r="W74" s="79"/>
      <c r="X74" s="79">
        <f>IF(NOT(ISBLANK($I74)),$I74,$F74)*IF(NOT(ISBLANK(N74)),N74,0)</f>
        <v>0</v>
      </c>
      <c r="Y74" s="15"/>
      <c r="Z74" s="79">
        <f>V74+W74</f>
        <v>0</v>
      </c>
      <c r="AA74" s="81">
        <f>SUM(V74:X74)</f>
        <v>0</v>
      </c>
      <c r="AB74" s="15" t="s">
        <v>148</v>
      </c>
      <c r="AC74" s="3"/>
    </row>
    <row r="75" spans="2:29" x14ac:dyDescent="0.2">
      <c r="B75" s="3"/>
      <c r="C75" s="3"/>
      <c r="D75" s="3"/>
      <c r="E75" s="3"/>
      <c r="F75" s="363"/>
      <c r="G75" s="363"/>
      <c r="H75" s="3"/>
      <c r="I75" s="3"/>
      <c r="J75" s="3"/>
      <c r="K75" s="3"/>
      <c r="L75" s="3"/>
      <c r="M75" s="3"/>
      <c r="N75" s="3"/>
      <c r="O75" s="3"/>
      <c r="P75" s="3"/>
      <c r="Q75" s="3"/>
      <c r="S75" s="3"/>
      <c r="T75" s="3"/>
      <c r="U75" s="3"/>
      <c r="V75" s="81"/>
      <c r="W75" s="81"/>
      <c r="X75" s="81"/>
      <c r="Y75" s="15"/>
      <c r="Z75" s="79"/>
      <c r="AA75" s="81"/>
      <c r="AB75" s="15"/>
      <c r="AC75" s="3"/>
    </row>
    <row r="76" spans="2:29" ht="14.25" x14ac:dyDescent="0.2">
      <c r="B76" s="3"/>
      <c r="C76" s="3"/>
      <c r="D76" s="3" t="s">
        <v>61</v>
      </c>
      <c r="E76" s="3"/>
      <c r="F76" s="335">
        <f>'Referenz Plattenfertiger'!F76</f>
        <v>80</v>
      </c>
      <c r="G76" s="363" t="s">
        <v>46</v>
      </c>
      <c r="H76" s="3"/>
      <c r="I76" s="110"/>
      <c r="J76" s="3" t="s">
        <v>46</v>
      </c>
      <c r="K76" s="3"/>
      <c r="L76" s="3"/>
      <c r="M76" s="3"/>
      <c r="N76" s="389"/>
      <c r="O76" s="3"/>
      <c r="P76" s="3"/>
      <c r="Q76" s="3"/>
      <c r="S76" s="3"/>
      <c r="T76" s="8" t="str">
        <f>D76</f>
        <v>Verpackungsmaterial</v>
      </c>
      <c r="U76" s="8"/>
      <c r="V76" s="366"/>
      <c r="W76" s="366"/>
      <c r="X76" s="366">
        <f>IF(NOT(ISBLANK($I76)),$I76,$F76)*IF(NOT(ISBLANK(N76)),N76,'Eingabe EF'!$O61)</f>
        <v>64.48</v>
      </c>
      <c r="Y76" s="78"/>
      <c r="Z76" s="366">
        <f>V76+W76</f>
        <v>0</v>
      </c>
      <c r="AA76" s="368">
        <f>SUM(V76:X76)</f>
        <v>64.48</v>
      </c>
      <c r="AB76" s="78" t="s">
        <v>149</v>
      </c>
      <c r="AC76" s="3"/>
    </row>
    <row r="77" spans="2:29" x14ac:dyDescent="0.2">
      <c r="B77" s="3"/>
      <c r="C77" s="3"/>
      <c r="D77" s="3"/>
      <c r="E77" s="3"/>
      <c r="F77" s="3"/>
      <c r="G77" s="3"/>
      <c r="H77" s="3"/>
      <c r="I77" s="3"/>
      <c r="J77" s="3"/>
      <c r="K77" s="3"/>
      <c r="L77" s="3"/>
      <c r="M77" s="3"/>
      <c r="N77" s="3"/>
      <c r="O77" s="3"/>
      <c r="P77" s="3"/>
      <c r="Q77" s="3"/>
      <c r="S77" s="3"/>
      <c r="T77" s="3"/>
      <c r="U77" s="3"/>
      <c r="V77" s="9"/>
      <c r="W77" s="9"/>
      <c r="X77" s="9"/>
      <c r="Y77" s="3"/>
      <c r="Z77" s="9"/>
      <c r="AA77" s="9"/>
      <c r="AB77" s="3"/>
      <c r="AC77" s="3"/>
    </row>
    <row r="78" spans="2:29" ht="26.45" customHeight="1" x14ac:dyDescent="0.25">
      <c r="B78" s="3"/>
      <c r="C78" s="3"/>
      <c r="D78" s="3"/>
      <c r="E78" s="3"/>
      <c r="F78" s="3"/>
      <c r="G78" s="3"/>
      <c r="H78" s="3"/>
      <c r="I78" s="469" t="str">
        <f>IF((I36+I37+I38+I39+I42+I43+I44++I51+I52+I53+I57+I63)&gt;0,IF((I36+I37+I38+I39+I42+I43+I44+I48+I51+I52+I53+I57+I63)=100%,"","Hinweis, falls Handeingabe vorgenommen wurde: Anteile der eingegebenen Verbrauchswerte der Rohstoffe (Zeile 36-59) ergeben nicht 100 %"),"")</f>
        <v/>
      </c>
      <c r="J78" s="469"/>
      <c r="K78" s="469"/>
      <c r="L78" s="469"/>
      <c r="M78" s="469"/>
      <c r="N78" s="3"/>
      <c r="O78" s="3"/>
      <c r="P78" s="3"/>
      <c r="Q78" s="3"/>
      <c r="S78" s="3"/>
      <c r="T78" s="349" t="s">
        <v>37</v>
      </c>
      <c r="U78" s="350"/>
      <c r="V78" s="351">
        <f>SUM(V16:V77)-V41-V35-V50-V57-V66-V71-V31</f>
        <v>94.932355060000006</v>
      </c>
      <c r="W78" s="351">
        <f>SUM(W16:W77)-W41-W35-W50-W57-W66-W71-W31</f>
        <v>171.9</v>
      </c>
      <c r="X78" s="351">
        <f>SUM(X16:X77)-X41-X35-X50-X57-X66-X71-X31</f>
        <v>5831.5296228095176</v>
      </c>
      <c r="Y78" s="349"/>
      <c r="Z78" s="351">
        <f>V78+W78</f>
        <v>266.83235506</v>
      </c>
      <c r="AA78" s="351">
        <f>SUM(V78:X78)</f>
        <v>6098.3619778695174</v>
      </c>
      <c r="AB78" s="349" t="s">
        <v>149</v>
      </c>
      <c r="AC78" s="8"/>
    </row>
    <row r="79" spans="2:29" ht="15" thickBot="1" x14ac:dyDescent="0.3">
      <c r="B79" s="3"/>
      <c r="C79" s="3"/>
      <c r="D79" s="3"/>
      <c r="E79" s="3"/>
      <c r="F79" s="3"/>
      <c r="G79" s="3"/>
      <c r="H79" s="3"/>
      <c r="I79" s="352"/>
      <c r="J79" s="3"/>
      <c r="K79" s="3"/>
      <c r="L79" s="3"/>
      <c r="M79" s="3"/>
      <c r="N79" s="3"/>
      <c r="O79" s="3"/>
      <c r="P79" s="3"/>
      <c r="Q79" s="3"/>
      <c r="S79" s="3"/>
      <c r="T79" s="353"/>
      <c r="U79" s="353"/>
      <c r="V79" s="354">
        <f>V78/IF(NOT(ISBLANK($I$12)),$I$12,$F$12)</f>
        <v>2.3733088764999999E-3</v>
      </c>
      <c r="W79" s="354">
        <f>W78/IF(NOT(ISBLANK($I$12)),$I$12,$F$12)</f>
        <v>4.2975000000000001E-3</v>
      </c>
      <c r="X79" s="354">
        <f>X78/IF(NOT(ISBLANK($I$12)),$I$12,$F$12)</f>
        <v>0.14578824057023795</v>
      </c>
      <c r="Y79" s="355"/>
      <c r="Z79" s="354">
        <f>Z78/IF(NOT(ISBLANK($I$12)),$I$12,$F$12)</f>
        <v>6.6708088764999996E-3</v>
      </c>
      <c r="AA79" s="354">
        <f>AA78/IF(NOT(ISBLANK($I$12)),$I$12,$F$12)</f>
        <v>0.15245904944673794</v>
      </c>
      <c r="AB79" s="355" t="s">
        <v>150</v>
      </c>
      <c r="AC79" s="8"/>
    </row>
    <row r="80" spans="2:29" ht="13.5" thickTop="1" x14ac:dyDescent="0.2">
      <c r="B80" s="3" t="str">
        <f>IF(AND($F$16&gt;0,J16&lt;F16),"Bitte den Handeingabewert 'Reduktion' für 'Bilanzjahr +10 Jahre' auch anpassen. Dieser muss dem Werte Ihrer Handeingabe  'Bilanzjahr + 5 Jahre' entsprechen, sollte nur eine Maßnahme im  'Bilanzjahr + 5 Jahre' umgesetzt werden.","")</f>
        <v/>
      </c>
      <c r="C80" s="3"/>
      <c r="D80" s="3"/>
      <c r="E80" s="3"/>
      <c r="F80" s="3"/>
      <c r="G80" s="3"/>
      <c r="H80" s="3"/>
      <c r="I80" s="3"/>
      <c r="J80" s="3"/>
      <c r="K80" s="3"/>
      <c r="L80" s="3"/>
      <c r="M80" s="3"/>
      <c r="N80" s="3"/>
      <c r="O80" s="3"/>
      <c r="P80" s="3"/>
      <c r="Q80" s="3"/>
      <c r="S80" s="3"/>
      <c r="T80" s="3"/>
      <c r="U80" s="3"/>
      <c r="V80" s="3"/>
      <c r="W80" s="3"/>
      <c r="X80" s="3"/>
      <c r="Y80" s="3"/>
      <c r="Z80" s="3"/>
      <c r="AA80" s="3"/>
      <c r="AB80" s="3"/>
      <c r="AC80" s="3"/>
    </row>
    <row r="81" spans="2:29" ht="14.25" x14ac:dyDescent="0.2">
      <c r="B81" s="3"/>
      <c r="C81" s="34"/>
      <c r="D81" s="34" t="s">
        <v>399</v>
      </c>
      <c r="E81" s="34"/>
      <c r="F81" s="34"/>
      <c r="G81" s="34"/>
      <c r="H81" s="34"/>
      <c r="I81" s="34"/>
      <c r="J81" s="34"/>
      <c r="K81" s="3"/>
      <c r="L81" s="3"/>
      <c r="M81" s="3"/>
      <c r="N81" s="3"/>
      <c r="O81" s="3"/>
      <c r="P81" s="3"/>
      <c r="Q81" s="3"/>
      <c r="S81" s="3"/>
      <c r="T81" s="3"/>
      <c r="U81" s="3"/>
      <c r="V81" s="3"/>
      <c r="W81" s="3"/>
      <c r="X81" s="3"/>
      <c r="Y81" s="3"/>
      <c r="Z81" s="3"/>
      <c r="AA81" s="3"/>
      <c r="AB81" s="3"/>
      <c r="AC81" s="3"/>
    </row>
    <row r="82" spans="2:29" ht="14.25" x14ac:dyDescent="0.2">
      <c r="B82" s="3"/>
      <c r="C82" s="3"/>
      <c r="D82" s="3"/>
      <c r="E82" s="3"/>
      <c r="F82" s="3"/>
      <c r="G82" s="3"/>
      <c r="H82" s="3"/>
      <c r="I82" s="3"/>
      <c r="J82" s="3"/>
      <c r="K82" s="3"/>
      <c r="L82" s="3"/>
      <c r="M82" s="3"/>
      <c r="N82" s="3"/>
      <c r="O82" s="3"/>
      <c r="P82" s="3"/>
      <c r="Q82" s="3"/>
      <c r="S82" s="3"/>
      <c r="T82" s="3" t="s">
        <v>157</v>
      </c>
      <c r="U82" s="3"/>
      <c r="V82" s="3"/>
      <c r="W82" s="3"/>
      <c r="X82" s="3"/>
      <c r="Y82" s="3"/>
      <c r="Z82" s="3"/>
      <c r="AA82" s="3"/>
      <c r="AB82" s="3"/>
      <c r="AC82" s="3"/>
    </row>
    <row r="83" spans="2:29" x14ac:dyDescent="0.2">
      <c r="B83"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83" s="3"/>
      <c r="D83" s="3"/>
      <c r="E83" s="3"/>
      <c r="F83" s="3"/>
      <c r="G83" s="3"/>
      <c r="H83" s="3"/>
      <c r="I83" s="3"/>
      <c r="J83" s="3"/>
      <c r="K83" s="3"/>
      <c r="L83" s="3"/>
      <c r="M83" s="3"/>
      <c r="N83" s="3"/>
      <c r="O83" s="3"/>
      <c r="P83" s="3"/>
      <c r="Q83" s="3"/>
      <c r="S83" s="3"/>
      <c r="T83" s="3"/>
      <c r="U83" s="3"/>
      <c r="V83" s="3"/>
      <c r="W83" s="3"/>
      <c r="X83" s="3"/>
      <c r="Y83" s="3"/>
      <c r="Z83" s="3"/>
      <c r="AA83" s="3"/>
      <c r="AB83" s="3"/>
      <c r="AC83" s="3"/>
    </row>
    <row r="84" spans="2:29" hidden="1" x14ac:dyDescent="0.2">
      <c r="B84" s="3"/>
      <c r="C84" s="3"/>
      <c r="D84" s="3"/>
      <c r="E84" s="3"/>
      <c r="F84" s="3"/>
      <c r="G84" s="3"/>
      <c r="H84" s="3"/>
      <c r="I84" s="3"/>
      <c r="J84" s="3"/>
      <c r="K84" s="3"/>
      <c r="L84" s="3"/>
      <c r="M84" s="3"/>
      <c r="N84" s="3"/>
      <c r="O84" s="3"/>
      <c r="P84" s="3"/>
      <c r="Q84" s="3"/>
      <c r="S84" s="3"/>
      <c r="T84" s="3"/>
      <c r="U84" s="3"/>
      <c r="V84" s="3"/>
      <c r="W84" s="3"/>
      <c r="X84" s="3"/>
      <c r="Y84" s="3"/>
      <c r="Z84" s="3"/>
      <c r="AA84" s="3"/>
      <c r="AB84" s="3"/>
      <c r="AC84" s="3"/>
    </row>
    <row r="85" spans="2:29" hidden="1" outlineLevel="1" x14ac:dyDescent="0.2">
      <c r="D85" s="102" t="str">
        <f>IF((OR($I$39&gt;0,K39&gt;0)),"Bitte im Reiter 'Eingabe EF' einen Emissionsfaktor für die Zementsorte für aktuelles Bilanzjahr, Bilanzjahr +5 Jahre  und Bilanzjahr +10 Jahre eintragen!","")</f>
        <v/>
      </c>
    </row>
    <row r="86" spans="2:29" hidden="1" outlineLevel="1" x14ac:dyDescent="0.2">
      <c r="D86" s="102" t="str">
        <f>IF($I$19&gt;0,"Bitte im Reiter 'Eingabe EF' entsprechende Emissionsfaktoren und im Reiter 'Eingabe Preise' entsprechenden Preis für den alternativen Ergieträger Härtekammer für das Bilanzjahr, das 'Bilanzjahr +5 Jahre' und das 'Bilanzjahr +10 Jahre' eintragen!","")</f>
        <v/>
      </c>
      <c r="G86" s="6" t="s">
        <v>400</v>
      </c>
      <c r="I86" s="356">
        <f>IF(NOT(ISBLANK($I36)),$I36,$F36)+IF(NOT(ISBLANK($I37)),$I37,$F37)+IF(NOT(ISBLANK($I38)),$I38,$F38)+IF(NOT(ISBLANK($I39)),$I39,$F39)+IF(NOT(ISBLANK($I42)),$I42,$F42)+IF(NOT(ISBLANK($I43)),$I43,$F43)+IF(NOT(ISBLANK($I44)),$I44,$F44)+IF(NOT(ISBLANK($I48)),$I48,$F48)+IF(NOT(ISBLANK($I51)),$I51,$F51)+IF(NOT(ISBLANK($I52)),$I52,$F52)+IF(NOT(ISBLANK($I53)),$I53,$F53)+IF(NOT(ISBLANK($I57)),$I57,$F57)+IF(NOT(ISBLANK($I63)),$I63,$F63)+IF(NOT(ISBLANK($I67)),$I67,$F67)+IF(NOT(ISBLANK($I68)),$I68,$F68)+IF(NOT(ISBLANK($I69)),$I69,$F69)</f>
        <v>1</v>
      </c>
      <c r="P86" s="6" t="str">
        <f>IF(OR(I86&lt;100%,I86&gt;100%),"Hinweis: Die Summe der Einsatzstoffe muss 100% ergeben.","")</f>
        <v/>
      </c>
    </row>
    <row r="87" spans="2:29" hidden="1" outlineLevel="1" x14ac:dyDescent="0.2">
      <c r="D87" s="102" t="str">
        <f>IF($I$26&gt;0,"Bitte im Reiter 'Eingabe EF' entsprechende Emissionsfaktoren und im Reiter 'Eingabe Preise' entsprechenden Preis für den alternativen Ergieträger fürs restliche Werk für aktuelles Bilanzjahr, Bilanzjahr +5 Jahre und Bilanzjahr +10 Jahre eintragen!","")</f>
        <v/>
      </c>
      <c r="G87" s="6" t="s">
        <v>401</v>
      </c>
      <c r="I87" s="356">
        <f>IF(NOT(ISBLANK($I58)),$I58,$F58)+IF(NOT(ISBLANK($I59)),$I59,$F59)+IF(NOT(ISBLANK($I60)),$I60,$F60)+IF(NOT(ISBLANK($I61)),$I61,$F61)</f>
        <v>0.99999999999999967</v>
      </c>
      <c r="P87" s="6" t="str">
        <f>IF(OR(I87&lt;100%,I87&gt;100%),"Hinweis: Die Summe der Zusatzmittel muss 100% ergeben.","")</f>
        <v/>
      </c>
    </row>
    <row r="88" spans="2:29" hidden="1" outlineLevel="1" x14ac:dyDescent="0.2">
      <c r="D88" s="102" t="str">
        <f>IF(OR($K43&gt;0,$I43&gt;0),"Bitte im Reiter 'Eingabe EF' einen Emissionsfaktor für Brechsand, Splitt für aktuelles Bilanzjahr, Bilanzjahr +5 Jahre und Bilanzjahr + 10 Jahre eintragen!","")</f>
        <v/>
      </c>
    </row>
    <row r="89" spans="2:29" hidden="1" outlineLevel="1" x14ac:dyDescent="0.2">
      <c r="D89" s="102" t="str">
        <f>IF(OR($K44&gt;0,$I44&gt;0),"Bitte im Reiter 'Eingabe EF' einen Emissionsfaktor für Brechsand, Splitt für aktuelles Bilanzjahr, Bilanzjahr +5 Jahre und Bilanzjahr + 10 Jahre eintragen!","")</f>
        <v/>
      </c>
    </row>
    <row r="90" spans="2:29" hidden="1" outlineLevel="1" x14ac:dyDescent="0.2">
      <c r="D90" s="102" t="str">
        <f>IF(OR($I$67&gt;0,$K67),"Bitte im Reiter 'Eingabe EF' einen Emissionsfaktor für Hydrophobierung für aktuelles Bilanzjahr, Bilanzjahr +5 Jahre und Bilanzjahr + 10 Jahre eintragen!","")</f>
        <v/>
      </c>
    </row>
    <row r="91" spans="2:29" hidden="1" outlineLevel="1" x14ac:dyDescent="0.2">
      <c r="D91" s="102" t="str">
        <f>IF(OR($I$69&gt;0,K69&gt;0),"Bitte im Reiter 'Eingabe EF' einen Emissionsfaktor für Beschichtung für aktuelles Bilanzjahr, Bilanzjahr +5 Jahre und Bilanzjahr + 10 Jahre eintragen!","")</f>
        <v/>
      </c>
    </row>
    <row r="92" spans="2:29" hidden="1" outlineLevel="1" x14ac:dyDescent="0.2">
      <c r="D92" s="102" t="str">
        <f>IF($I$73&gt;0,"Bitte im Reiter 'Eingabe EF' einen Emissionsfaktor für 'weitere Materialen' für aktuelles Bilanzjahr, Bilanzjahr +5 Jahre und Bilanzjahr + 10 Jahre eintragen!","")</f>
        <v/>
      </c>
    </row>
    <row r="93" spans="2:29" hidden="1" outlineLevel="1" x14ac:dyDescent="0.2">
      <c r="D93" s="102" t="str">
        <f>IF($I$74&gt;0,"Bitte im Reiter 'Eingabe EF' einen Emissionsfaktor für Oberflächenbearbeitungsarten für aktuelles Bilanzjahr, Bilanzjahr +5 Jahre und Bilanzjahr + 10 Jahre eintragen!","")</f>
        <v/>
      </c>
    </row>
    <row r="94" spans="2:29" hidden="1" collapsed="1" x14ac:dyDescent="0.2">
      <c r="D94" s="6" t="str">
        <f>IF((OR($I$61&gt;0,K61&gt;0)),"Bitte im Reiter 'Eingabe EF' einen Emissionsfaktor für die Hydrophobierer für aktuelles Bilanzjahr, Bilanzjahr +5 Jahre und Bilanzjahr + 10 Jahre eintragen!","")</f>
        <v/>
      </c>
    </row>
    <row r="95" spans="2:29" hidden="1" x14ac:dyDescent="0.2"/>
    <row r="96" spans="2:29" hidden="1" x14ac:dyDescent="0.2"/>
  </sheetData>
  <sheetProtection algorithmName="SHA-512" hashValue="wAaj/k81K+LC5z/hdU9pd042q49X3fCRFebXTbtsSNtvr3R08BepKHvLZG/oTp3rStozA11ZCszOHagUH2fwDg==" saltValue="bL88KwjGGzKjoWPi2Wnikg==" spinCount="100000" sheet="1" selectLockedCells="1"/>
  <mergeCells count="3">
    <mergeCell ref="J58:J61"/>
    <mergeCell ref="F6:P6"/>
    <mergeCell ref="I78:M78"/>
  </mergeCells>
  <dataValidations count="5">
    <dataValidation allowBlank="1" showInputMessage="1" showErrorMessage="1" prompt="Bitte Emissionsfaktoren in Spalte M und N eintragen!" sqref="I19 K39 I43:I46 K61 K67 K69 I73:I74 I69 I67 I26 K43:K46 I54:I55 K54:K55" xr:uid="{EA505507-32BF-4CB5-9459-CDB7E2B7D11A}"/>
    <dataValidation allowBlank="1" showInputMessage="1" showErrorMessage="1" prompt="Bitte Emissionsfaktoren in Spalte M und N eintragen!_x000a__x000a_" sqref="I39" xr:uid="{9D18A0DC-C85A-4774-9438-FFBB67820B50}"/>
    <dataValidation allowBlank="1" showInputMessage="1" showErrorMessage="1" prompt="Hinweis: Die Summe der Zusatzmittel muss 100% ergeben." sqref="I58:I60" xr:uid="{054B591B-5A2B-4523-BA06-0C00B1EE0A5D}"/>
    <dataValidation allowBlank="1" showInputMessage="1" showErrorMessage="1" prompt="Hinweis: Die Summe der Zusatzmittel muss 100% ergeben._x000a__x000a_Bitte Emissionsfaktoren in Spalte M und N eintragen!" sqref="I61" xr:uid="{1D6E9CBA-C3E7-489C-B633-218AA5BC9444}"/>
    <dataValidation allowBlank="1" showInputMessage="1" showErrorMessage="1" prompt="Hinweis: Falls eigener Strom-Emissionsfaktor vorhanden, z. B. Bezug von Grünstrom, in Spalte M und N eintragen." sqref="I18 I24" xr:uid="{6E7D320C-F60B-4732-B84C-04F22D3F7D13}"/>
  </dataValidations>
  <hyperlinks>
    <hyperlink ref="A1" location="Cockpit!A1" display="zurück zu Cockpit" xr:uid="{D4A30084-D37F-46D7-8AE1-DBF821205CAB}"/>
  </hyperlinks>
  <printOptions horizontalCentered="1"/>
  <pageMargins left="0.39370078740157483" right="0.39370078740157483" top="0.39370078740157483" bottom="0.59055118110236227" header="0.19685039370078741" footer="0.19685039370078741"/>
  <pageSetup paperSize="9" scale="40" fitToWidth="3" orientation="landscape" verticalDpi="601" r:id="rId1"/>
  <colBreaks count="2" manualBreakCount="2">
    <brk id="17" max="79" man="1"/>
    <brk id="29" max="79" man="1"/>
  </colBreaks>
  <ignoredErrors>
    <ignoredError sqref="D51:D5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9CEFF-5D61-4D22-870F-5EB2A7FFAA06}">
  <dimension ref="A1:AL94"/>
  <sheetViews>
    <sheetView workbookViewId="0"/>
  </sheetViews>
  <sheetFormatPr baseColWidth="10" defaultColWidth="9" defaultRowHeight="12.75" outlineLevelRow="1" x14ac:dyDescent="0.2"/>
  <cols>
    <col min="1" max="1" width="3.5" style="6" customWidth="1"/>
    <col min="2" max="2" width="3.75" style="6" customWidth="1"/>
    <col min="3" max="3" width="13.625" style="6" customWidth="1"/>
    <col min="4" max="4" width="25.25" style="6" customWidth="1"/>
    <col min="5" max="5" width="26.5" style="6" customWidth="1"/>
    <col min="6" max="6" width="16.25" style="6" customWidth="1"/>
    <col min="7" max="7" width="17.625" style="6" customWidth="1"/>
    <col min="8" max="8" width="2" style="6" customWidth="1"/>
    <col min="9" max="9" width="17" style="6" customWidth="1"/>
    <col min="10" max="15" width="17.375" style="6" customWidth="1"/>
    <col min="16" max="16" width="21.375" style="6" customWidth="1"/>
    <col min="17" max="17" width="3.75" style="6" customWidth="1"/>
    <col min="18" max="18" width="4.125" style="6" customWidth="1"/>
    <col min="19" max="19" width="3.75" style="6" customWidth="1"/>
    <col min="20" max="20" width="31" style="6" customWidth="1"/>
    <col min="21" max="21" width="1.375" style="6" customWidth="1"/>
    <col min="22" max="24" width="9" style="6"/>
    <col min="25" max="25" width="3.125" style="6" customWidth="1"/>
    <col min="26" max="27" width="11.625" style="6" customWidth="1"/>
    <col min="28" max="28" width="15.125" style="6" bestFit="1" customWidth="1"/>
    <col min="29" max="29" width="3.75" style="6" customWidth="1"/>
    <col min="30" max="30" width="4.125" style="6" customWidth="1"/>
    <col min="31" max="31" width="3.75" style="6" customWidth="1"/>
    <col min="32" max="32" width="29.875" style="6" bestFit="1" customWidth="1"/>
    <col min="33" max="33" width="10.875" style="6" bestFit="1" customWidth="1"/>
    <col min="34" max="34" width="6.625" style="6" customWidth="1"/>
    <col min="35" max="16384" width="9" style="6"/>
  </cols>
  <sheetData>
    <row r="1" spans="1:38" x14ac:dyDescent="0.2">
      <c r="A1" s="425" t="s">
        <v>467</v>
      </c>
    </row>
    <row r="3" spans="1:38" x14ac:dyDescent="0.2">
      <c r="B3" s="3"/>
      <c r="C3" s="3"/>
      <c r="D3" s="3"/>
      <c r="E3" s="3"/>
      <c r="F3" s="3"/>
      <c r="G3" s="3"/>
      <c r="H3" s="3"/>
      <c r="I3" s="3"/>
      <c r="J3" s="3"/>
      <c r="K3" s="3"/>
      <c r="L3" s="3"/>
      <c r="M3" s="3"/>
      <c r="N3" s="3"/>
      <c r="O3" s="3"/>
      <c r="P3" s="3"/>
      <c r="Q3" s="3"/>
    </row>
    <row r="4" spans="1:38" ht="15.75" x14ac:dyDescent="0.25">
      <c r="B4" s="3"/>
      <c r="C4" s="332" t="s">
        <v>536</v>
      </c>
      <c r="D4" s="3"/>
      <c r="E4" s="3"/>
      <c r="F4" s="3"/>
      <c r="G4" s="3"/>
      <c r="H4" s="3"/>
      <c r="I4" s="3"/>
      <c r="J4" s="3"/>
      <c r="K4" s="3"/>
      <c r="L4" s="3"/>
      <c r="M4" s="3"/>
      <c r="N4" s="3"/>
      <c r="O4" s="3"/>
      <c r="P4" s="3"/>
      <c r="Q4" s="3"/>
    </row>
    <row r="5" spans="1:38" ht="23.25" customHeight="1" x14ac:dyDescent="0.2">
      <c r="B5" s="3"/>
      <c r="C5" s="3"/>
      <c r="D5" s="3"/>
      <c r="E5" s="3"/>
      <c r="F5" s="3"/>
      <c r="G5" s="3"/>
      <c r="H5" s="3"/>
      <c r="I5" s="3"/>
      <c r="J5" s="3"/>
      <c r="K5" s="3"/>
      <c r="L5" s="3"/>
      <c r="M5" s="3"/>
      <c r="N5" s="3"/>
      <c r="O5" s="3"/>
      <c r="P5" s="3"/>
      <c r="Q5" s="3"/>
    </row>
    <row r="6" spans="1:38" ht="27.75" customHeight="1" x14ac:dyDescent="0.2">
      <c r="B6" s="3"/>
      <c r="C6" s="3" t="s">
        <v>250</v>
      </c>
      <c r="D6" s="110"/>
      <c r="E6" s="3"/>
      <c r="F6" s="467" t="s">
        <v>458</v>
      </c>
      <c r="G6" s="467"/>
      <c r="H6" s="467"/>
      <c r="I6" s="467"/>
      <c r="J6" s="467"/>
      <c r="K6" s="467"/>
      <c r="L6" s="467"/>
      <c r="M6" s="467"/>
      <c r="N6" s="467"/>
      <c r="O6" s="467"/>
      <c r="P6" s="467"/>
      <c r="Q6" s="3"/>
    </row>
    <row r="7" spans="1:38" x14ac:dyDescent="0.2">
      <c r="B7" s="3"/>
      <c r="C7" s="3" t="s">
        <v>251</v>
      </c>
      <c r="D7" s="377"/>
      <c r="E7" s="3"/>
      <c r="F7" s="3"/>
      <c r="G7" s="3"/>
      <c r="H7" s="3"/>
      <c r="I7" s="3"/>
      <c r="J7" s="3"/>
      <c r="K7" s="3"/>
      <c r="L7" s="3"/>
      <c r="M7" s="3"/>
      <c r="N7" s="3"/>
      <c r="O7" s="3"/>
      <c r="P7" s="3"/>
      <c r="Q7" s="3"/>
    </row>
    <row r="8" spans="1:38" x14ac:dyDescent="0.2">
      <c r="B8" s="3"/>
      <c r="C8" s="3" t="s">
        <v>252</v>
      </c>
      <c r="D8" s="110"/>
      <c r="E8" s="3"/>
      <c r="F8" s="3"/>
      <c r="G8" s="3"/>
      <c r="H8" s="3"/>
      <c r="I8" s="3"/>
      <c r="J8" s="3"/>
      <c r="K8" s="3"/>
      <c r="L8" s="3"/>
      <c r="M8" s="3"/>
      <c r="N8" s="3"/>
      <c r="O8" s="3"/>
      <c r="P8" s="3"/>
      <c r="Q8" s="3"/>
      <c r="S8" s="3"/>
      <c r="T8" s="3"/>
      <c r="U8" s="3"/>
      <c r="V8" s="3"/>
      <c r="W8" s="3"/>
      <c r="X8" s="3"/>
      <c r="Y8" s="3"/>
      <c r="Z8" s="3"/>
      <c r="AA8" s="3"/>
      <c r="AB8" s="3"/>
      <c r="AC8" s="3"/>
      <c r="AE8" s="3"/>
      <c r="AF8" s="3"/>
      <c r="AG8" s="3"/>
      <c r="AH8" s="3"/>
      <c r="AI8" s="3"/>
    </row>
    <row r="9" spans="1:38" x14ac:dyDescent="0.2">
      <c r="B9" s="3"/>
      <c r="C9" s="3" t="s">
        <v>499</v>
      </c>
      <c r="D9" s="388"/>
      <c r="E9" s="3"/>
      <c r="F9" s="3"/>
      <c r="G9" s="3"/>
      <c r="H9" s="3"/>
      <c r="I9" s="3"/>
      <c r="J9" s="3"/>
      <c r="K9" s="3"/>
      <c r="L9" s="3"/>
      <c r="M9" s="3"/>
      <c r="N9" s="3"/>
      <c r="O9" s="3"/>
      <c r="P9" s="3"/>
      <c r="Q9" s="3"/>
      <c r="S9" s="3"/>
      <c r="T9" s="3"/>
      <c r="U9" s="3"/>
      <c r="V9" s="3"/>
      <c r="W9" s="3"/>
      <c r="X9" s="3"/>
      <c r="Y9" s="3"/>
      <c r="Z9" s="3"/>
      <c r="AA9" s="3"/>
      <c r="AB9" s="3"/>
      <c r="AC9" s="3"/>
      <c r="AE9" s="3"/>
      <c r="AF9" s="3"/>
      <c r="AG9" s="3"/>
      <c r="AH9" s="3"/>
      <c r="AI9" s="3"/>
    </row>
    <row r="10" spans="1:38" ht="15" x14ac:dyDescent="0.25">
      <c r="B10" s="3"/>
      <c r="C10" s="3"/>
      <c r="D10" s="381"/>
      <c r="E10" s="3"/>
      <c r="F10" s="334" t="s">
        <v>499</v>
      </c>
      <c r="G10" s="334">
        <f>D9</f>
        <v>0</v>
      </c>
      <c r="H10" s="3"/>
      <c r="I10" s="3"/>
      <c r="J10" s="3"/>
      <c r="K10" s="3"/>
      <c r="L10" s="3"/>
      <c r="M10" s="3"/>
      <c r="N10" s="3"/>
      <c r="O10" s="3"/>
      <c r="P10" s="3"/>
      <c r="Q10" s="3"/>
      <c r="S10" s="3"/>
      <c r="T10" s="333" t="s">
        <v>427</v>
      </c>
      <c r="U10" s="3"/>
      <c r="V10" s="3"/>
      <c r="W10" s="3"/>
      <c r="X10" s="3"/>
      <c r="Y10" s="3"/>
      <c r="Z10" s="3"/>
      <c r="AA10" s="3"/>
      <c r="AB10" s="3"/>
      <c r="AC10" s="3"/>
      <c r="AE10" s="3"/>
      <c r="AF10" s="333" t="s">
        <v>79</v>
      </c>
      <c r="AG10" s="3"/>
      <c r="AH10" s="3"/>
      <c r="AI10" s="3"/>
    </row>
    <row r="11" spans="1:38" ht="15" x14ac:dyDescent="0.25">
      <c r="B11" s="3"/>
      <c r="C11" s="3"/>
      <c r="D11" s="3"/>
      <c r="E11" s="3"/>
      <c r="F11" s="334" t="s">
        <v>292</v>
      </c>
      <c r="G11" s="334"/>
      <c r="H11" s="115"/>
      <c r="I11" s="115" t="s">
        <v>72</v>
      </c>
      <c r="J11" s="3"/>
      <c r="K11" s="3"/>
      <c r="L11" s="3"/>
      <c r="M11" s="3"/>
      <c r="N11" s="3"/>
      <c r="O11" s="3"/>
      <c r="P11" s="3"/>
      <c r="Q11" s="3"/>
      <c r="S11" s="3"/>
      <c r="T11" s="382">
        <f>D9</f>
        <v>0</v>
      </c>
      <c r="U11" s="3"/>
      <c r="V11" s="3"/>
      <c r="W11" s="3"/>
      <c r="X11" s="3"/>
      <c r="Y11" s="3"/>
      <c r="Z11" s="3"/>
      <c r="AA11" s="3"/>
      <c r="AB11" s="3"/>
      <c r="AC11" s="3"/>
      <c r="AE11" s="3"/>
      <c r="AF11" s="382">
        <f>D9</f>
        <v>0</v>
      </c>
      <c r="AG11" s="3"/>
      <c r="AH11" s="3"/>
      <c r="AI11" s="3"/>
    </row>
    <row r="12" spans="1:38" x14ac:dyDescent="0.2">
      <c r="B12" s="3"/>
      <c r="C12" s="3"/>
      <c r="D12" s="3"/>
      <c r="E12" s="392" t="s">
        <v>78</v>
      </c>
      <c r="F12" s="391">
        <f>'Referenz Plattenfertiger'!F12</f>
        <v>40000</v>
      </c>
      <c r="G12" s="391" t="s">
        <v>46</v>
      </c>
      <c r="H12" s="3"/>
      <c r="I12" s="110"/>
      <c r="J12" s="3" t="s">
        <v>46</v>
      </c>
      <c r="K12" s="3"/>
      <c r="L12" s="3"/>
      <c r="M12" s="3"/>
      <c r="N12" s="3"/>
      <c r="O12" s="3"/>
      <c r="P12" s="3"/>
      <c r="Q12" s="3"/>
      <c r="S12" s="3"/>
      <c r="T12" s="3"/>
      <c r="U12" s="3"/>
      <c r="V12" s="3"/>
      <c r="W12" s="3"/>
      <c r="X12" s="3"/>
      <c r="Y12" s="3"/>
      <c r="Z12" s="3"/>
      <c r="AA12" s="3"/>
      <c r="AB12" s="3"/>
      <c r="AC12" s="3"/>
      <c r="AE12" s="3"/>
      <c r="AF12" s="3"/>
      <c r="AG12" s="3"/>
      <c r="AH12" s="3"/>
      <c r="AI12" s="3"/>
    </row>
    <row r="13" spans="1:38" x14ac:dyDescent="0.2">
      <c r="B13" s="3"/>
      <c r="C13" s="3"/>
      <c r="D13" s="3"/>
      <c r="E13" s="3"/>
      <c r="F13" s="227"/>
      <c r="G13" s="227"/>
      <c r="H13" s="3"/>
      <c r="I13" s="3"/>
      <c r="J13" s="3"/>
      <c r="K13" s="3"/>
      <c r="L13" s="3"/>
      <c r="M13" s="3"/>
      <c r="N13" s="3"/>
      <c r="O13" s="3"/>
      <c r="P13" s="3"/>
      <c r="Q13" s="3"/>
      <c r="S13" s="3"/>
      <c r="T13" s="3"/>
      <c r="U13" s="3"/>
      <c r="V13" s="3"/>
      <c r="W13" s="3"/>
      <c r="X13" s="3"/>
      <c r="Y13" s="3"/>
      <c r="Z13" s="3"/>
      <c r="AA13" s="3"/>
      <c r="AB13" s="3"/>
      <c r="AC13" s="3"/>
      <c r="AE13" s="3"/>
      <c r="AF13" s="3"/>
      <c r="AG13" s="3"/>
      <c r="AH13" s="3"/>
      <c r="AI13" s="3"/>
    </row>
    <row r="14" spans="1:38" s="340" customFormat="1" ht="76.5" x14ac:dyDescent="0.2">
      <c r="B14" s="116"/>
      <c r="C14" s="24"/>
      <c r="D14" s="336"/>
      <c r="E14" s="49" t="s">
        <v>69</v>
      </c>
      <c r="F14" s="390" t="s">
        <v>74</v>
      </c>
      <c r="G14" s="390" t="s">
        <v>19</v>
      </c>
      <c r="H14" s="339"/>
      <c r="I14" s="339" t="s">
        <v>73</v>
      </c>
      <c r="J14" s="49" t="s">
        <v>19</v>
      </c>
      <c r="K14" s="49"/>
      <c r="L14" s="49"/>
      <c r="M14" s="339" t="s">
        <v>454</v>
      </c>
      <c r="N14" s="339" t="s">
        <v>455</v>
      </c>
      <c r="O14" s="49"/>
      <c r="P14" s="49" t="s">
        <v>255</v>
      </c>
      <c r="Q14" s="116"/>
      <c r="S14" s="116"/>
      <c r="T14" s="24"/>
      <c r="U14" s="24"/>
      <c r="V14" s="117" t="s">
        <v>25</v>
      </c>
      <c r="W14" s="117" t="s">
        <v>26</v>
      </c>
      <c r="X14" s="117" t="s">
        <v>27</v>
      </c>
      <c r="Y14" s="117"/>
      <c r="Z14" s="49" t="s">
        <v>80</v>
      </c>
      <c r="AA14" s="341" t="s">
        <v>37</v>
      </c>
      <c r="AB14" s="49"/>
      <c r="AC14" s="116"/>
      <c r="AE14" s="116"/>
      <c r="AF14" s="336"/>
      <c r="AG14" s="336"/>
      <c r="AH14" s="336"/>
      <c r="AI14" s="116"/>
      <c r="AJ14" s="6"/>
      <c r="AK14" s="6"/>
      <c r="AL14" s="6"/>
    </row>
    <row r="15" spans="1:38" s="340" customFormat="1" ht="14.25" x14ac:dyDescent="0.2">
      <c r="B15" s="116"/>
      <c r="C15" s="8" t="s">
        <v>71</v>
      </c>
      <c r="D15" s="116"/>
      <c r="E15" s="12"/>
      <c r="F15" s="342"/>
      <c r="G15" s="343"/>
      <c r="H15" s="344"/>
      <c r="I15" s="344"/>
      <c r="J15" s="12"/>
      <c r="K15" s="12"/>
      <c r="L15" s="12"/>
      <c r="M15" s="12"/>
      <c r="N15" s="12"/>
      <c r="O15" s="12"/>
      <c r="P15" s="116"/>
      <c r="Q15" s="116"/>
      <c r="S15" s="116"/>
      <c r="T15" s="345" t="s">
        <v>176</v>
      </c>
      <c r="U15" s="345"/>
      <c r="V15" s="346">
        <f>SUM(V16:V29)</f>
        <v>94.932355060000006</v>
      </c>
      <c r="W15" s="346">
        <f>SUM(W16:W29)</f>
        <v>171.9</v>
      </c>
      <c r="X15" s="346">
        <f>SUM(X16:X29)</f>
        <v>41.281733459999998</v>
      </c>
      <c r="Y15" s="347"/>
      <c r="Z15" s="346">
        <f>V15+W15</f>
        <v>266.83235506</v>
      </c>
      <c r="AA15" s="367">
        <f>SUM(V15:X15)</f>
        <v>308.11408852</v>
      </c>
      <c r="AB15" s="347" t="s">
        <v>149</v>
      </c>
      <c r="AC15" s="116"/>
      <c r="AE15" s="116"/>
      <c r="AF15" s="347" t="s">
        <v>108</v>
      </c>
      <c r="AG15" s="369">
        <f>SUM(AG16:AG22)</f>
        <v>109669</v>
      </c>
      <c r="AH15" s="347" t="s">
        <v>96</v>
      </c>
      <c r="AI15" s="116"/>
      <c r="AJ15" s="6"/>
      <c r="AK15" s="6"/>
      <c r="AL15" s="6"/>
    </row>
    <row r="16" spans="1:38" ht="15.75" x14ac:dyDescent="0.2">
      <c r="B16" s="3"/>
      <c r="C16" s="348"/>
      <c r="D16" s="3" t="s">
        <v>476</v>
      </c>
      <c r="E16" s="3" t="s">
        <v>29</v>
      </c>
      <c r="F16" s="335">
        <f>'Referenz Plattenfertiger'!F16</f>
        <v>188000</v>
      </c>
      <c r="G16" s="118" t="s">
        <v>38</v>
      </c>
      <c r="H16" s="9"/>
      <c r="I16" s="110"/>
      <c r="J16" s="3" t="s">
        <v>38</v>
      </c>
      <c r="K16" s="3"/>
      <c r="L16" s="3"/>
      <c r="M16" s="389"/>
      <c r="N16" s="389"/>
      <c r="O16" s="3"/>
      <c r="P16" s="3"/>
      <c r="Q16" s="3"/>
      <c r="S16" s="3"/>
      <c r="T16" s="3" t="str">
        <f>E16</f>
        <v>Erdgas</v>
      </c>
      <c r="U16" s="3"/>
      <c r="V16" s="79">
        <f>IF(NOT(ISBLANK($I16)),$I16,$F16)*IF(NOT(ISBLANK(M16)),M16,'Eingabe EF'!$G9)</f>
        <v>34.434080000000002</v>
      </c>
      <c r="W16" s="79"/>
      <c r="X16" s="79">
        <f>IF(NOT(ISBLANK($I16)),$I16,$F16)*IF(NOT(ISBLANK(N16)),N16,'Eingabe EF'!$O9)</f>
        <v>5.8938000000000006</v>
      </c>
      <c r="Y16" s="15"/>
      <c r="Z16" s="79">
        <f>V16+W16</f>
        <v>34.434080000000002</v>
      </c>
      <c r="AA16" s="81">
        <f>SUM(V16:X16)</f>
        <v>40.32788</v>
      </c>
      <c r="AB16" s="15" t="s">
        <v>148</v>
      </c>
      <c r="AC16" s="3"/>
      <c r="AE16" s="3"/>
      <c r="AF16" s="15" t="s">
        <v>29</v>
      </c>
      <c r="AG16" s="80">
        <f>(IF(NOT(ISBLANK($I16)),$I16,$F16)+IF(NOT(ISBLANK($I21)),$I21,$F21))/1000*IF(NOT(ISBLANK('Eingabe Preise'!$G10)),'Eingabe Preise'!$G10,'Eingabe Preise'!$E10)</f>
        <v>14335</v>
      </c>
      <c r="AH16" s="15" t="s">
        <v>96</v>
      </c>
      <c r="AI16" s="3"/>
    </row>
    <row r="17" spans="2:35" ht="15.75" x14ac:dyDescent="0.2">
      <c r="B17" s="3"/>
      <c r="C17" s="348"/>
      <c r="D17" s="3"/>
      <c r="E17" s="3" t="s">
        <v>30</v>
      </c>
      <c r="F17" s="335">
        <f>'Referenz Plattenfertiger'!F17</f>
        <v>24000</v>
      </c>
      <c r="G17" s="118" t="s">
        <v>41</v>
      </c>
      <c r="H17" s="9"/>
      <c r="I17" s="110"/>
      <c r="J17" s="3" t="s">
        <v>41</v>
      </c>
      <c r="K17" s="3"/>
      <c r="L17" s="3"/>
      <c r="M17" s="389"/>
      <c r="N17" s="389"/>
      <c r="O17" s="3"/>
      <c r="P17" s="3"/>
      <c r="Q17" s="3"/>
      <c r="S17" s="3"/>
      <c r="T17" s="3" t="str">
        <f>E17</f>
        <v>Heizöl</v>
      </c>
      <c r="U17" s="3"/>
      <c r="V17" s="79">
        <f>IF(NOT(ISBLANK($I17)),$I17,$F17)*IF(NOT(ISBLANK(M17)),M17,'Eingabe EF'!$G10)</f>
        <v>6.4022399999999999</v>
      </c>
      <c r="W17" s="79"/>
      <c r="X17" s="79">
        <f>IF(NOT(ISBLANK($I17)),$I17,$F17)*IF(NOT(ISBLANK(N17)),N17,'Eingabe EF'!$O10)</f>
        <v>0.949824</v>
      </c>
      <c r="Y17" s="15"/>
      <c r="Z17" s="79">
        <f t="shared" ref="Z17:Z29" si="0">V17+W17</f>
        <v>6.4022399999999999</v>
      </c>
      <c r="AA17" s="81">
        <f>SUM(V17:X17)</f>
        <v>7.3520640000000004</v>
      </c>
      <c r="AB17" s="15" t="s">
        <v>148</v>
      </c>
      <c r="AC17" s="3"/>
      <c r="AE17" s="3"/>
      <c r="AF17" s="15" t="s">
        <v>30</v>
      </c>
      <c r="AG17" s="80">
        <f>(IF(NOT(ISBLANK($I17)),$I17,$F17)+IF(NOT(ISBLANK($I22)),$I22,$F22))/1000*IF(NOT(ISBLANK('Eingabe Preise'!$G11)),'Eingabe Preise'!$G11,'Eingabe Preise'!$E11)</f>
        <v>2760</v>
      </c>
      <c r="AH17" s="15" t="s">
        <v>96</v>
      </c>
      <c r="AI17" s="3"/>
    </row>
    <row r="18" spans="2:35" ht="25.5" x14ac:dyDescent="0.2">
      <c r="B18" s="3"/>
      <c r="C18" s="348"/>
      <c r="D18" s="3"/>
      <c r="E18" s="116" t="s">
        <v>523</v>
      </c>
      <c r="F18" s="335">
        <f>'Referenz Plattenfertiger'!F18</f>
        <v>45000</v>
      </c>
      <c r="G18" s="118" t="s">
        <v>40</v>
      </c>
      <c r="H18" s="9"/>
      <c r="I18" s="110"/>
      <c r="J18" s="3" t="s">
        <v>40</v>
      </c>
      <c r="K18" s="3"/>
      <c r="L18" s="3"/>
      <c r="M18" s="389"/>
      <c r="N18" s="389"/>
      <c r="O18" s="3"/>
      <c r="P18" s="3"/>
      <c r="Q18" s="3"/>
      <c r="S18" s="3"/>
      <c r="T18" s="3" t="str">
        <f>E18</f>
        <v>Elektrische Energie (Default = deutscher Strommix)</v>
      </c>
      <c r="U18" s="3"/>
      <c r="V18" s="79"/>
      <c r="W18" s="79">
        <f>IF(NOT(ISBLANK($I18)),$I18,$F18)*IF(NOT(ISBLANK(M18)),M18,'Eingabe EF'!$K11)</f>
        <v>17.190000000000001</v>
      </c>
      <c r="X18" s="79">
        <f>IF(NOT(ISBLANK($I18)),$I18,$F18)*IF(NOT(ISBLANK(N18)),N18,'Eingabe EF'!$O11)</f>
        <v>2.52</v>
      </c>
      <c r="Y18" s="15"/>
      <c r="Z18" s="79">
        <f>V18+W18</f>
        <v>17.190000000000001</v>
      </c>
      <c r="AA18" s="81">
        <f>SUM(V18:X18)</f>
        <v>19.71</v>
      </c>
      <c r="AB18" s="15" t="s">
        <v>148</v>
      </c>
      <c r="AC18" s="3"/>
      <c r="AE18" s="3"/>
      <c r="AF18" s="15" t="s">
        <v>31</v>
      </c>
      <c r="AG18" s="80">
        <f>(IF(NOT(ISBLANK($I18)),$I18,$F18)+IF(NOT(ISBLANK($I24)),$I24,$F24))/1000*IF(NOT(ISBLANK('Eingabe Preise'!$G12)),'Eingabe Preise'!$G12,'Eingabe Preise'!$E12)</f>
        <v>77400</v>
      </c>
      <c r="AH18" s="15" t="s">
        <v>96</v>
      </c>
      <c r="AI18" s="3"/>
    </row>
    <row r="19" spans="2:35" s="372" customFormat="1" ht="25.5" x14ac:dyDescent="0.2">
      <c r="B19" s="15"/>
      <c r="C19" s="348"/>
      <c r="D19" s="15"/>
      <c r="E19" s="14" t="s">
        <v>527</v>
      </c>
      <c r="F19" s="362">
        <f>'Referenz Plattenfertiger'!F19</f>
        <v>0</v>
      </c>
      <c r="G19" s="363" t="s">
        <v>40</v>
      </c>
      <c r="H19" s="79"/>
      <c r="I19" s="272"/>
      <c r="J19" s="15" t="s">
        <v>40</v>
      </c>
      <c r="K19" s="15"/>
      <c r="L19" s="15"/>
      <c r="M19" s="463"/>
      <c r="N19" s="463"/>
      <c r="O19" s="464"/>
      <c r="P19" s="361"/>
      <c r="Q19" s="15"/>
      <c r="S19" s="15"/>
      <c r="T19" s="15" t="str">
        <f>E19</f>
        <v>Alternativer Energieträger / ggf. Eigenerzeugung</v>
      </c>
      <c r="U19" s="15"/>
      <c r="V19" s="79">
        <f>IF(NOT(ISBLANK($I19)),$I19,$F19)*M19</f>
        <v>0</v>
      </c>
      <c r="W19" s="79"/>
      <c r="X19" s="79">
        <f>IF(NOT(ISBLANK($I19)),$I19,$F19)*IF(NOT(ISBLANK(N19)),N19,0)</f>
        <v>0</v>
      </c>
      <c r="Y19" s="15"/>
      <c r="Z19" s="79">
        <f>V19+W19</f>
        <v>0</v>
      </c>
      <c r="AA19" s="81">
        <f>SUM(V19:X19)</f>
        <v>0</v>
      </c>
      <c r="AB19" s="15" t="s">
        <v>148</v>
      </c>
      <c r="AC19" s="15"/>
      <c r="AE19" s="15"/>
      <c r="AF19" s="15" t="s">
        <v>111</v>
      </c>
      <c r="AG19" s="80">
        <f>IF(NOT(ISBLANK($I25)),$I25,$F25)/1000*IF(NOT(ISBLANK('Eingabe Preise'!$G13)),'Eingabe Preise'!$G13,'Eingabe Preise'!$E13)</f>
        <v>0</v>
      </c>
      <c r="AH19" s="15" t="s">
        <v>96</v>
      </c>
      <c r="AI19" s="15"/>
    </row>
    <row r="20" spans="2:35" x14ac:dyDescent="0.2">
      <c r="B20" s="3"/>
      <c r="C20" s="348"/>
      <c r="D20" s="3"/>
      <c r="E20" s="3"/>
      <c r="F20" s="335"/>
      <c r="G20" s="118"/>
      <c r="H20" s="9"/>
      <c r="I20" s="9"/>
      <c r="J20" s="3"/>
      <c r="K20" s="3"/>
      <c r="L20" s="3"/>
      <c r="M20" s="3"/>
      <c r="N20" s="3"/>
      <c r="O20" s="3"/>
      <c r="P20" s="3"/>
      <c r="Q20" s="3"/>
      <c r="S20" s="3"/>
      <c r="T20" s="3"/>
      <c r="U20" s="3"/>
      <c r="V20" s="79"/>
      <c r="W20" s="79"/>
      <c r="X20" s="79"/>
      <c r="Y20" s="15"/>
      <c r="Z20" s="79"/>
      <c r="AA20" s="81"/>
      <c r="AB20" s="15"/>
      <c r="AC20" s="3"/>
      <c r="AE20" s="3"/>
      <c r="AF20" s="15" t="s">
        <v>112</v>
      </c>
      <c r="AG20" s="80">
        <f>I19/1000*'Eingabe Preise'!G16</f>
        <v>0</v>
      </c>
      <c r="AH20" s="15" t="s">
        <v>96</v>
      </c>
      <c r="AI20" s="3"/>
    </row>
    <row r="21" spans="2:35" ht="15.75" x14ac:dyDescent="0.2">
      <c r="B21" s="3"/>
      <c r="C21" s="348"/>
      <c r="D21" s="3" t="s">
        <v>110</v>
      </c>
      <c r="E21" s="3" t="s">
        <v>29</v>
      </c>
      <c r="F21" s="335">
        <f>'Referenz Plattenfertiger'!F21</f>
        <v>47000</v>
      </c>
      <c r="G21" s="118" t="s">
        <v>38</v>
      </c>
      <c r="H21" s="9"/>
      <c r="I21" s="110"/>
      <c r="J21" s="3" t="s">
        <v>38</v>
      </c>
      <c r="K21" s="3"/>
      <c r="L21" s="3"/>
      <c r="M21" s="389"/>
      <c r="N21" s="389"/>
      <c r="O21" s="3"/>
      <c r="P21" s="3"/>
      <c r="Q21" s="3"/>
      <c r="S21" s="3"/>
      <c r="T21" s="3" t="str">
        <f>E21</f>
        <v>Erdgas</v>
      </c>
      <c r="U21" s="3"/>
      <c r="V21" s="79">
        <f>IF(NOT(ISBLANK($I21)),$I21,$F21)*IF(NOT(ISBLANK(M21)),M21,'Eingabe EF'!$G9)</f>
        <v>8.6085200000000004</v>
      </c>
      <c r="W21" s="79"/>
      <c r="X21" s="79">
        <f>IF(NOT(ISBLANK($I21)),$I21,$F21)*IF(NOT(ISBLANK(N21)),N21,'Eingabe EF'!$O9)</f>
        <v>1.4734500000000001</v>
      </c>
      <c r="Y21" s="15"/>
      <c r="Z21" s="79">
        <f>V21+W21</f>
        <v>8.6085200000000004</v>
      </c>
      <c r="AA21" s="81">
        <f t="shared" ref="AA21:AA29" si="1">SUM(V21:X21)</f>
        <v>10.08197</v>
      </c>
      <c r="AB21" s="15" t="s">
        <v>148</v>
      </c>
      <c r="AC21" s="3"/>
      <c r="AE21" s="3"/>
      <c r="AF21" s="15" t="s">
        <v>113</v>
      </c>
      <c r="AG21" s="80">
        <f>I26/1000*'Eingabe Preise'!G17</f>
        <v>0</v>
      </c>
      <c r="AH21" s="15" t="s">
        <v>96</v>
      </c>
      <c r="AI21" s="3"/>
    </row>
    <row r="22" spans="2:35" ht="15.75" x14ac:dyDescent="0.2">
      <c r="B22" s="3"/>
      <c r="C22" s="348"/>
      <c r="D22" s="3"/>
      <c r="E22" s="3" t="s">
        <v>30</v>
      </c>
      <c r="F22" s="335">
        <f>'Referenz Plattenfertiger'!F22</f>
        <v>36000</v>
      </c>
      <c r="G22" s="363" t="s">
        <v>41</v>
      </c>
      <c r="H22" s="9"/>
      <c r="I22" s="110"/>
      <c r="J22" s="3" t="s">
        <v>41</v>
      </c>
      <c r="K22" s="3"/>
      <c r="L22" s="3"/>
      <c r="M22" s="389"/>
      <c r="N22" s="389"/>
      <c r="O22" s="3"/>
      <c r="P22" s="3"/>
      <c r="Q22" s="3"/>
      <c r="S22" s="3"/>
      <c r="T22" s="3" t="str">
        <f>E22</f>
        <v>Heizöl</v>
      </c>
      <c r="U22" s="3"/>
      <c r="V22" s="79">
        <f>IF(NOT(ISBLANK($I22)),$I22,$F22)*IF(NOT(ISBLANK(M22)),M22,'Eingabe EF'!$G10)</f>
        <v>9.6033600000000003</v>
      </c>
      <c r="W22" s="79"/>
      <c r="X22" s="79">
        <f>IF(NOT(ISBLANK($I22)),$I22,$F22)*IF(NOT(ISBLANK(N22)),N22,'Eingabe EF'!$O10)</f>
        <v>1.424736</v>
      </c>
      <c r="Y22" s="15"/>
      <c r="Z22" s="79">
        <f t="shared" ref="Z22" si="2">V22+W22</f>
        <v>9.6033600000000003</v>
      </c>
      <c r="AA22" s="81">
        <f t="shared" si="1"/>
        <v>11.028096</v>
      </c>
      <c r="AB22" s="15" t="s">
        <v>148</v>
      </c>
      <c r="AC22" s="3"/>
      <c r="AE22" s="3"/>
      <c r="AF22" s="15" t="s">
        <v>32</v>
      </c>
      <c r="AG22" s="80">
        <f>(IF(NOT(ISBLANK($I28)),$I28,$F28)+IF(NOT(ISBLANK($I29)),$I29,$F29))*IF(NOT(ISBLANK('Eingabe Preise'!$G14)),'Eingabe Preise'!$G14,'Eingabe Preise'!$E14)</f>
        <v>15174.000000000002</v>
      </c>
      <c r="AH22" s="15" t="s">
        <v>96</v>
      </c>
      <c r="AI22" s="3"/>
    </row>
    <row r="23" spans="2:35" x14ac:dyDescent="0.2">
      <c r="B23" s="3"/>
      <c r="C23" s="348"/>
      <c r="D23" s="3"/>
      <c r="E23" s="3"/>
      <c r="F23" s="363"/>
      <c r="G23" s="363"/>
      <c r="H23" s="3"/>
      <c r="I23" s="9"/>
      <c r="J23" s="3"/>
      <c r="K23" s="3"/>
      <c r="L23" s="3"/>
      <c r="M23" s="3"/>
      <c r="N23" s="3"/>
      <c r="O23" s="3"/>
      <c r="P23" s="3"/>
      <c r="Q23" s="3"/>
      <c r="S23" s="3"/>
      <c r="T23" s="3"/>
      <c r="U23" s="3"/>
      <c r="V23" s="79"/>
      <c r="W23" s="79"/>
      <c r="X23" s="79"/>
      <c r="Y23" s="15"/>
      <c r="Z23" s="79"/>
      <c r="AA23" s="81"/>
      <c r="AB23" s="15"/>
      <c r="AC23" s="3"/>
      <c r="AE23" s="3"/>
      <c r="AF23" s="15"/>
      <c r="AG23" s="80"/>
      <c r="AH23" s="15"/>
      <c r="AI23" s="3"/>
    </row>
    <row r="24" spans="2:35" ht="25.5" x14ac:dyDescent="0.2">
      <c r="B24" s="3"/>
      <c r="C24" s="348"/>
      <c r="D24" s="116" t="s">
        <v>477</v>
      </c>
      <c r="E24" s="116" t="s">
        <v>523</v>
      </c>
      <c r="F24" s="335">
        <f>'Referenz Plattenfertiger'!F24</f>
        <v>405000</v>
      </c>
      <c r="G24" s="363" t="s">
        <v>40</v>
      </c>
      <c r="H24" s="9"/>
      <c r="I24" s="110"/>
      <c r="J24" s="3" t="s">
        <v>40</v>
      </c>
      <c r="K24" s="3"/>
      <c r="L24" s="3"/>
      <c r="M24" s="389"/>
      <c r="N24" s="389"/>
      <c r="O24" s="3"/>
      <c r="P24" s="3"/>
      <c r="Q24" s="3"/>
      <c r="S24" s="3"/>
      <c r="T24" s="3" t="str">
        <f>E24</f>
        <v>Elektrische Energie (Default = deutscher Strommix)</v>
      </c>
      <c r="U24" s="3"/>
      <c r="V24" s="79"/>
      <c r="W24" s="79">
        <f>IF(NOT(ISBLANK($I24)),$I24,$F24)*IF(NOT(ISBLANK(M24)),M24,'Eingabe EF'!$K11)</f>
        <v>154.71</v>
      </c>
      <c r="X24" s="79">
        <f>IF(NOT(ISBLANK($I24)),$I24,$F24)*IF(NOT(ISBLANK(N24)),N24,'Eingabe EF'!$O11)</f>
        <v>22.68</v>
      </c>
      <c r="Y24" s="15"/>
      <c r="Z24" s="79">
        <f t="shared" si="0"/>
        <v>154.71</v>
      </c>
      <c r="AA24" s="81">
        <f t="shared" si="1"/>
        <v>177.39000000000001</v>
      </c>
      <c r="AB24" s="15" t="s">
        <v>148</v>
      </c>
      <c r="AC24" s="3"/>
      <c r="AE24" s="3"/>
      <c r="AF24" s="15"/>
      <c r="AG24" s="15"/>
      <c r="AH24" s="15"/>
      <c r="AI24" s="3"/>
    </row>
    <row r="25" spans="2:35" s="372" customFormat="1" ht="15.75" x14ac:dyDescent="0.2">
      <c r="B25" s="15"/>
      <c r="C25" s="348"/>
      <c r="D25" s="15"/>
      <c r="E25" s="15" t="s">
        <v>111</v>
      </c>
      <c r="F25" s="362">
        <f>'Referenz Plattenfertiger'!F25</f>
        <v>0</v>
      </c>
      <c r="G25" s="363" t="s">
        <v>40</v>
      </c>
      <c r="H25" s="79"/>
      <c r="I25" s="272"/>
      <c r="J25" s="15" t="s">
        <v>40</v>
      </c>
      <c r="K25" s="15"/>
      <c r="L25" s="15"/>
      <c r="M25" s="463"/>
      <c r="N25" s="463"/>
      <c r="O25" s="15"/>
      <c r="P25" s="15"/>
      <c r="Q25" s="15"/>
      <c r="S25" s="15"/>
      <c r="T25" s="15" t="str">
        <f>E25</f>
        <v>Flüssiggas</v>
      </c>
      <c r="U25" s="15"/>
      <c r="V25" s="79">
        <f>IF(NOT(ISBLANK($I25)),$I25,$F25)*IF(NOT(ISBLANK(M25)),M25,'Eingabe EF'!$G13)</f>
        <v>0</v>
      </c>
      <c r="W25" s="79"/>
      <c r="X25" s="79">
        <f>IF(NOT(ISBLANK($I25)),$I25,$F25)*IF(NOT(ISBLANK(N25)),N25,'Eingabe EF'!$O13)</f>
        <v>0</v>
      </c>
      <c r="Y25" s="15"/>
      <c r="Z25" s="79">
        <f t="shared" si="0"/>
        <v>0</v>
      </c>
      <c r="AA25" s="81">
        <f t="shared" si="1"/>
        <v>0</v>
      </c>
      <c r="AB25" s="15" t="s">
        <v>148</v>
      </c>
      <c r="AC25" s="15"/>
      <c r="AE25" s="15"/>
      <c r="AF25" s="347" t="s">
        <v>290</v>
      </c>
      <c r="AG25" s="369">
        <f>SUM(AG26:AG28)</f>
        <v>152459.04944673795</v>
      </c>
      <c r="AH25" s="347" t="s">
        <v>96</v>
      </c>
      <c r="AI25" s="15"/>
    </row>
    <row r="26" spans="2:35" s="372" customFormat="1" ht="25.5" x14ac:dyDescent="0.2">
      <c r="B26" s="15"/>
      <c r="C26" s="348"/>
      <c r="D26" s="15"/>
      <c r="E26" s="14" t="s">
        <v>527</v>
      </c>
      <c r="F26" s="362">
        <f>'Referenz Plattenfertiger'!F26</f>
        <v>0</v>
      </c>
      <c r="G26" s="363" t="s">
        <v>40</v>
      </c>
      <c r="H26" s="79"/>
      <c r="I26" s="272"/>
      <c r="J26" s="15" t="s">
        <v>40</v>
      </c>
      <c r="K26" s="15"/>
      <c r="L26" s="15"/>
      <c r="M26" s="463"/>
      <c r="N26" s="463"/>
      <c r="O26" s="464"/>
      <c r="P26" s="361"/>
      <c r="Q26" s="15"/>
      <c r="S26" s="15"/>
      <c r="T26" s="15" t="str">
        <f>E26</f>
        <v>Alternativer Energieträger / ggf. Eigenerzeugung</v>
      </c>
      <c r="U26" s="15"/>
      <c r="V26" s="79">
        <f>IF(NOT(ISBLANK($I26)),$I26,$F26)*M26</f>
        <v>0</v>
      </c>
      <c r="W26" s="79"/>
      <c r="X26" s="79">
        <f>IF(NOT(ISBLANK($I26)),$I26,$F26)*IF(NOT(ISBLANK(N26)),N26,0)</f>
        <v>0</v>
      </c>
      <c r="Y26" s="15"/>
      <c r="Z26" s="79">
        <f>V26+W26</f>
        <v>0</v>
      </c>
      <c r="AA26" s="81">
        <f t="shared" si="1"/>
        <v>0</v>
      </c>
      <c r="AB26" s="15" t="s">
        <v>148</v>
      </c>
      <c r="AC26" s="15"/>
      <c r="AE26" s="15"/>
      <c r="AF26" s="15" t="s">
        <v>25</v>
      </c>
      <c r="AG26" s="80">
        <f>V78*IF(NOT(ISBLANK('Eingabe Preise'!$G21)),'Eingabe Preise'!$G21,'Eingabe Preise'!$E21)</f>
        <v>2373.3088765000002</v>
      </c>
      <c r="AH26" s="15" t="s">
        <v>96</v>
      </c>
      <c r="AI26" s="15"/>
    </row>
    <row r="27" spans="2:35" x14ac:dyDescent="0.2">
      <c r="B27" s="3"/>
      <c r="C27" s="348"/>
      <c r="D27" s="3"/>
      <c r="E27" s="3"/>
      <c r="F27" s="362"/>
      <c r="G27" s="362"/>
      <c r="H27" s="9"/>
      <c r="I27" s="9"/>
      <c r="J27" s="3"/>
      <c r="K27" s="3"/>
      <c r="L27" s="3"/>
      <c r="M27" s="3"/>
      <c r="N27" s="3"/>
      <c r="O27" s="3"/>
      <c r="P27" s="3"/>
      <c r="Q27" s="3"/>
      <c r="S27" s="3"/>
      <c r="T27" s="31"/>
      <c r="U27" s="31"/>
      <c r="V27" s="364"/>
      <c r="W27" s="364"/>
      <c r="X27" s="364"/>
      <c r="Y27" s="365"/>
      <c r="Z27" s="364"/>
      <c r="AA27" s="376"/>
      <c r="AB27" s="365"/>
      <c r="AC27" s="3"/>
      <c r="AE27" s="3"/>
      <c r="AF27" s="15" t="s">
        <v>26</v>
      </c>
      <c r="AG27" s="80">
        <f>W78*IF(NOT(ISBLANK('Eingabe Preise'!$G22)),'Eingabe Preise'!$G22,'Eingabe Preise'!$E22)</f>
        <v>4297.5</v>
      </c>
      <c r="AH27" s="15" t="s">
        <v>96</v>
      </c>
      <c r="AI27" s="3"/>
    </row>
    <row r="28" spans="2:35" ht="15.75" x14ac:dyDescent="0.2">
      <c r="B28" s="3"/>
      <c r="C28" s="348"/>
      <c r="D28" s="3" t="s">
        <v>478</v>
      </c>
      <c r="E28" s="3" t="s">
        <v>32</v>
      </c>
      <c r="F28" s="335">
        <f>'Referenz Plattenfertiger'!F28</f>
        <v>11000</v>
      </c>
      <c r="G28" s="363" t="s">
        <v>39</v>
      </c>
      <c r="H28" s="9"/>
      <c r="I28" s="110"/>
      <c r="J28" s="3" t="s">
        <v>39</v>
      </c>
      <c r="K28" s="3"/>
      <c r="L28" s="3"/>
      <c r="M28" s="3"/>
      <c r="N28" s="389"/>
      <c r="O28" s="3"/>
      <c r="P28" s="3"/>
      <c r="Q28" s="3"/>
      <c r="S28" s="3"/>
      <c r="T28" s="3" t="str">
        <f>E28&amp;" "&amp;D28</f>
        <v>Diesel Gabelstapler (4x) 1)</v>
      </c>
      <c r="U28" s="3"/>
      <c r="V28" s="79">
        <f>IF(NOT(ISBLANK($I28)),$I28,$F28)*IF(NOT(ISBLANK(M28)),M28,'Eingabe EF'!$G15)</f>
        <v>29.238941159999996</v>
      </c>
      <c r="W28" s="79"/>
      <c r="X28" s="79">
        <f>IF(NOT(ISBLANK($I28)),$I28,$F28)*IF(NOT(ISBLANK(N28)),N28,'Eingabe EF'!$O15)</f>
        <v>5.1658635600000009</v>
      </c>
      <c r="Y28" s="15"/>
      <c r="Z28" s="79">
        <f t="shared" si="0"/>
        <v>29.238941159999996</v>
      </c>
      <c r="AA28" s="81">
        <f t="shared" si="1"/>
        <v>34.404804719999994</v>
      </c>
      <c r="AB28" s="15" t="s">
        <v>148</v>
      </c>
      <c r="AC28" s="3"/>
      <c r="AE28" s="3"/>
      <c r="AF28" s="15" t="s">
        <v>27</v>
      </c>
      <c r="AG28" s="80">
        <f>X78*IF(NOT(ISBLANK('Eingabe Preise'!$G23)),'Eingabe Preise'!$G23,'Eingabe Preise'!$E23)</f>
        <v>145788.24057023795</v>
      </c>
      <c r="AH28" s="15" t="s">
        <v>96</v>
      </c>
      <c r="AI28" s="3"/>
    </row>
    <row r="29" spans="2:35" ht="15.75" x14ac:dyDescent="0.2">
      <c r="B29" s="3"/>
      <c r="C29" s="348"/>
      <c r="D29" s="3" t="s">
        <v>70</v>
      </c>
      <c r="E29" s="3" t="s">
        <v>32</v>
      </c>
      <c r="F29" s="335">
        <f>'Referenz Plattenfertiger'!F29</f>
        <v>2500</v>
      </c>
      <c r="G29" s="363" t="s">
        <v>39</v>
      </c>
      <c r="H29" s="9"/>
      <c r="I29" s="110"/>
      <c r="J29" s="3" t="s">
        <v>39</v>
      </c>
      <c r="K29" s="3"/>
      <c r="L29" s="3"/>
      <c r="M29" s="3"/>
      <c r="N29" s="389"/>
      <c r="O29" s="3"/>
      <c r="P29" s="3"/>
      <c r="Q29" s="3"/>
      <c r="S29" s="3"/>
      <c r="T29" s="3" t="str">
        <f>E29&amp;" "&amp;D29</f>
        <v>Diesel Radlader (1x)</v>
      </c>
      <c r="U29" s="3"/>
      <c r="V29" s="79">
        <f>IF(NOT(ISBLANK($I29)),$I29,$F29)*IF(NOT(ISBLANK('Eingabe EF'!$I15)),'Eingabe EF'!$I15,'Eingabe EF'!$G15)</f>
        <v>6.645213899999999</v>
      </c>
      <c r="W29" s="79"/>
      <c r="X29" s="79">
        <f>IF(NOT(ISBLANK($I29)),$I29,$F29)*IF(NOT(ISBLANK(N29)),N29,'Eingabe EF'!$O15)</f>
        <v>1.1740599000000003</v>
      </c>
      <c r="Y29" s="15"/>
      <c r="Z29" s="79">
        <f t="shared" si="0"/>
        <v>6.645213899999999</v>
      </c>
      <c r="AA29" s="81">
        <f t="shared" si="1"/>
        <v>7.8192737999999995</v>
      </c>
      <c r="AB29" s="15" t="s">
        <v>148</v>
      </c>
      <c r="AC29" s="3"/>
      <c r="AE29" s="3"/>
      <c r="AF29" s="15"/>
      <c r="AG29" s="15"/>
      <c r="AH29" s="15"/>
      <c r="AI29" s="3"/>
    </row>
    <row r="30" spans="2:35" ht="13.5" thickBot="1" x14ac:dyDescent="0.25">
      <c r="B30" s="3"/>
      <c r="C30" s="419"/>
      <c r="D30" s="3"/>
      <c r="E30" s="3"/>
      <c r="F30" s="362"/>
      <c r="G30" s="363"/>
      <c r="H30" s="9"/>
      <c r="I30" s="9"/>
      <c r="J30" s="3"/>
      <c r="K30" s="3"/>
      <c r="L30" s="3"/>
      <c r="M30" s="3"/>
      <c r="N30" s="3"/>
      <c r="O30" s="3"/>
      <c r="P30" s="3"/>
      <c r="Q30" s="3"/>
      <c r="S30" s="3"/>
      <c r="T30" s="3"/>
      <c r="U30" s="3"/>
      <c r="V30" s="79"/>
      <c r="W30" s="79"/>
      <c r="X30" s="79"/>
      <c r="Y30" s="15"/>
      <c r="Z30" s="79"/>
      <c r="AA30" s="81"/>
      <c r="AB30" s="15"/>
      <c r="AC30" s="3"/>
      <c r="AE30" s="3"/>
      <c r="AF30" s="370" t="s">
        <v>120</v>
      </c>
      <c r="AG30" s="371">
        <f>AG25+AG15</f>
        <v>262128.04944673795</v>
      </c>
      <c r="AH30" s="370" t="s">
        <v>96</v>
      </c>
      <c r="AI30" s="3"/>
    </row>
    <row r="31" spans="2:35" ht="15" thickTop="1" x14ac:dyDescent="0.2">
      <c r="B31" s="3"/>
      <c r="C31" s="8" t="s">
        <v>27</v>
      </c>
      <c r="D31" s="3"/>
      <c r="E31" s="3"/>
      <c r="F31" s="362"/>
      <c r="G31" s="363"/>
      <c r="H31" s="9"/>
      <c r="I31" s="9"/>
      <c r="J31" s="3"/>
      <c r="K31" s="3"/>
      <c r="L31" s="3"/>
      <c r="M31" s="3"/>
      <c r="N31" s="3"/>
      <c r="O31" s="3"/>
      <c r="P31" s="3"/>
      <c r="Q31" s="3"/>
      <c r="S31" s="3"/>
      <c r="T31" s="345" t="s">
        <v>175</v>
      </c>
      <c r="U31" s="118"/>
      <c r="V31" s="346"/>
      <c r="W31" s="346"/>
      <c r="X31" s="346">
        <f>X32+X33</f>
        <v>469.15642799999995</v>
      </c>
      <c r="Y31" s="363"/>
      <c r="Z31" s="346">
        <f>V31+W31</f>
        <v>0</v>
      </c>
      <c r="AA31" s="367">
        <f>SUM(V31:X31)</f>
        <v>469.15642799999995</v>
      </c>
      <c r="AB31" s="347" t="s">
        <v>149</v>
      </c>
      <c r="AC31" s="3"/>
      <c r="AE31" s="3"/>
      <c r="AF31" s="3"/>
      <c r="AG31" s="3"/>
      <c r="AH31" s="3"/>
      <c r="AI31" s="3"/>
    </row>
    <row r="32" spans="2:35" ht="15.75" x14ac:dyDescent="0.2">
      <c r="B32" s="3"/>
      <c r="C32" s="3"/>
      <c r="D32" s="3" t="s">
        <v>43</v>
      </c>
      <c r="E32" s="3" t="s">
        <v>32</v>
      </c>
      <c r="F32" s="335">
        <f>'Referenz Plattenfertiger'!F32</f>
        <v>35000</v>
      </c>
      <c r="G32" s="363" t="s">
        <v>39</v>
      </c>
      <c r="H32" s="9"/>
      <c r="I32" s="110"/>
      <c r="J32" s="3" t="s">
        <v>39</v>
      </c>
      <c r="K32" s="3"/>
      <c r="L32" s="3"/>
      <c r="M32" s="3"/>
      <c r="N32" s="389"/>
      <c r="O32" s="3"/>
      <c r="P32" s="3"/>
      <c r="Q32" s="3"/>
      <c r="S32" s="3"/>
      <c r="T32" s="3" t="str">
        <f>E32&amp;" "&amp;D32</f>
        <v>Diesel Transport vorgelagert</v>
      </c>
      <c r="U32" s="3"/>
      <c r="V32" s="79"/>
      <c r="W32" s="79"/>
      <c r="X32" s="79">
        <f>IF(NOT(ISBLANK($I32)),$I32,$F32)*IF(NOT(ISBLANK(N32)),N32,'Eingabe EF'!$O17)</f>
        <v>109.4698332</v>
      </c>
      <c r="Y32" s="15"/>
      <c r="Z32" s="79">
        <f>V32+W32</f>
        <v>0</v>
      </c>
      <c r="AA32" s="81">
        <f>SUM(V32:X32)</f>
        <v>109.4698332</v>
      </c>
      <c r="AB32" s="15" t="s">
        <v>148</v>
      </c>
      <c r="AC32" s="3"/>
      <c r="AE32" s="3"/>
      <c r="AF32" s="3"/>
      <c r="AG32" s="3"/>
      <c r="AH32" s="3"/>
      <c r="AI32" s="3"/>
    </row>
    <row r="33" spans="2:37" ht="15.75" x14ac:dyDescent="0.2">
      <c r="B33" s="3"/>
      <c r="C33" s="3"/>
      <c r="D33" s="8" t="s">
        <v>44</v>
      </c>
      <c r="E33" s="3" t="s">
        <v>32</v>
      </c>
      <c r="F33" s="335">
        <f>'Referenz Plattenfertiger'!F33</f>
        <v>115000</v>
      </c>
      <c r="G33" s="363" t="s">
        <v>39</v>
      </c>
      <c r="H33" s="9"/>
      <c r="I33" s="110"/>
      <c r="J33" s="3" t="s">
        <v>39</v>
      </c>
      <c r="K33" s="3"/>
      <c r="L33" s="3"/>
      <c r="M33" s="3"/>
      <c r="N33" s="389"/>
      <c r="O33" s="3"/>
      <c r="P33" s="3"/>
      <c r="Q33" s="3"/>
      <c r="S33" s="3"/>
      <c r="T33" s="3" t="str">
        <f>E33&amp;" "&amp;D33</f>
        <v>Diesel Transport nachgelagert</v>
      </c>
      <c r="U33" s="3"/>
      <c r="V33" s="79"/>
      <c r="W33" s="79"/>
      <c r="X33" s="79">
        <f>IF(NOT(ISBLANK($I33)),$I33,$F33)*IF(NOT(ISBLANK(N33)),N33,'Eingabe EF'!$O18)</f>
        <v>359.68659479999997</v>
      </c>
      <c r="Y33" s="15"/>
      <c r="Z33" s="79">
        <f>V33+W33</f>
        <v>0</v>
      </c>
      <c r="AA33" s="81">
        <f>SUM(V33:X33)</f>
        <v>359.68659479999997</v>
      </c>
      <c r="AB33" s="15" t="s">
        <v>148</v>
      </c>
      <c r="AC33" s="3"/>
    </row>
    <row r="34" spans="2:37" x14ac:dyDescent="0.2">
      <c r="B34" s="3"/>
      <c r="C34" s="3"/>
      <c r="D34" s="3"/>
      <c r="E34" s="3"/>
      <c r="F34" s="363"/>
      <c r="G34" s="363"/>
      <c r="H34" s="3"/>
      <c r="I34" s="3"/>
      <c r="J34" s="3"/>
      <c r="K34" s="3"/>
      <c r="L34" s="3"/>
      <c r="M34" s="3"/>
      <c r="N34" s="3"/>
      <c r="O34" s="3"/>
      <c r="P34" s="3"/>
      <c r="Q34" s="3"/>
      <c r="S34" s="3"/>
      <c r="T34" s="3"/>
      <c r="U34" s="3"/>
      <c r="V34" s="79"/>
      <c r="W34" s="79"/>
      <c r="X34" s="79"/>
      <c r="Y34" s="15"/>
      <c r="Z34" s="79"/>
      <c r="AA34" s="81"/>
      <c r="AB34" s="15"/>
      <c r="AC34" s="3"/>
    </row>
    <row r="35" spans="2:37" ht="14.25" x14ac:dyDescent="0.2">
      <c r="B35" s="3"/>
      <c r="C35" s="3"/>
      <c r="D35" s="8" t="s">
        <v>66</v>
      </c>
      <c r="E35" s="3"/>
      <c r="F35" s="363"/>
      <c r="G35" s="363"/>
      <c r="H35" s="3"/>
      <c r="I35" s="3"/>
      <c r="J35" s="3"/>
      <c r="K35" s="3"/>
      <c r="L35" s="3"/>
      <c r="M35" s="3"/>
      <c r="N35" s="3"/>
      <c r="O35" s="3"/>
      <c r="P35" s="3"/>
      <c r="Q35" s="3"/>
      <c r="S35" s="3"/>
      <c r="T35" s="345" t="s">
        <v>65</v>
      </c>
      <c r="U35" s="118"/>
      <c r="V35" s="346"/>
      <c r="W35" s="346"/>
      <c r="X35" s="346">
        <f>SUM(X36:X39)</f>
        <v>4548.5439999999999</v>
      </c>
      <c r="Y35" s="363"/>
      <c r="Z35" s="346">
        <f>V35+W35</f>
        <v>0</v>
      </c>
      <c r="AA35" s="367">
        <f>SUM(V35:X35)</f>
        <v>4548.5439999999999</v>
      </c>
      <c r="AB35" s="347" t="s">
        <v>149</v>
      </c>
      <c r="AC35" s="3"/>
    </row>
    <row r="36" spans="2:37" ht="15.75" x14ac:dyDescent="0.2">
      <c r="B36" s="3"/>
      <c r="C36" s="3"/>
      <c r="D36" s="3" t="s">
        <v>45</v>
      </c>
      <c r="E36" s="3"/>
      <c r="F36" s="409">
        <f>'Referenz Plattenfertiger'!F36</f>
        <v>4.5499999999999999E-2</v>
      </c>
      <c r="G36" s="363"/>
      <c r="H36" s="3"/>
      <c r="I36" s="120"/>
      <c r="J36" s="3" t="s">
        <v>447</v>
      </c>
      <c r="K36" s="385"/>
      <c r="L36" s="3" t="s">
        <v>462</v>
      </c>
      <c r="M36" s="3"/>
      <c r="N36" s="389"/>
      <c r="O36" s="3"/>
      <c r="P36" s="3"/>
      <c r="Q36" s="3"/>
      <c r="S36" s="3"/>
      <c r="T36" s="3" t="str">
        <f>D36</f>
        <v>Zement - CEM I</v>
      </c>
      <c r="U36" s="3"/>
      <c r="V36" s="79"/>
      <c r="W36" s="79"/>
      <c r="X36" s="79">
        <f>IF(NOT(ISBLANK($K36)),$K36*IF(NOT(ISBLANK(N36)),N36,'Eingabe EF'!$O21),IF(NOT(ISBLANK($I36)),$I36,$F36)*IF(NOT(ISBLANK(N36)),N36,'Eingabe EF'!$O21)*IF(NOT(ISBLANK($I$12)),$I$12,$F$12))</f>
        <v>1210.3</v>
      </c>
      <c r="Y36" s="15"/>
      <c r="Z36" s="79">
        <f>V36+W36</f>
        <v>0</v>
      </c>
      <c r="AA36" s="81">
        <f>SUM(V36:X36)</f>
        <v>1210.3</v>
      </c>
      <c r="AB36" s="15" t="s">
        <v>148</v>
      </c>
      <c r="AC36" s="3"/>
    </row>
    <row r="37" spans="2:37" ht="15.75" x14ac:dyDescent="0.2">
      <c r="B37" s="3"/>
      <c r="C37" s="3"/>
      <c r="D37" s="3" t="s">
        <v>47</v>
      </c>
      <c r="E37" s="3"/>
      <c r="F37" s="409">
        <f>'Referenz Plattenfertiger'!F37</f>
        <v>0.10919999999999999</v>
      </c>
      <c r="G37" s="363"/>
      <c r="H37" s="3"/>
      <c r="I37" s="120"/>
      <c r="J37" s="3" t="s">
        <v>447</v>
      </c>
      <c r="K37" s="385"/>
      <c r="L37" s="3" t="s">
        <v>462</v>
      </c>
      <c r="M37" s="3"/>
      <c r="N37" s="389"/>
      <c r="O37" s="3"/>
      <c r="P37" s="3"/>
      <c r="Q37" s="3"/>
      <c r="S37" s="3"/>
      <c r="T37" s="3" t="str">
        <f>D37</f>
        <v>Zement - CEM II</v>
      </c>
      <c r="U37" s="3"/>
      <c r="V37" s="79"/>
      <c r="W37" s="79"/>
      <c r="X37" s="79">
        <f>IF(NOT(ISBLANK($K37)),$K37*IF(NOT(ISBLANK(N37)),N37,'Eingabe EF'!$O22),IF(NOT(ISBLANK($I37)),$I37,$F37)*IF(NOT(ISBLANK(N37)),N37,'Eingabe EF'!$O22)*IF(NOT(ISBLANK($I$12)),$I$12,$F$12))</f>
        <v>2415.5039999999999</v>
      </c>
      <c r="Y37" s="15"/>
      <c r="Z37" s="79">
        <f>V37+W37</f>
        <v>0</v>
      </c>
      <c r="AA37" s="81">
        <f>SUM(V37:X37)</f>
        <v>2415.5039999999999</v>
      </c>
      <c r="AB37" s="15" t="s">
        <v>148</v>
      </c>
      <c r="AC37" s="3"/>
    </row>
    <row r="38" spans="2:37" ht="15.75" x14ac:dyDescent="0.2">
      <c r="B38" s="3"/>
      <c r="C38" s="3"/>
      <c r="D38" s="3" t="s">
        <v>48</v>
      </c>
      <c r="E38" s="3"/>
      <c r="F38" s="409">
        <f>'Referenz Plattenfertiger'!F38</f>
        <v>2.7299999999999998E-2</v>
      </c>
      <c r="G38" s="363"/>
      <c r="H38" s="3"/>
      <c r="I38" s="120"/>
      <c r="J38" s="3" t="s">
        <v>447</v>
      </c>
      <c r="K38" s="385"/>
      <c r="L38" s="3" t="s">
        <v>462</v>
      </c>
      <c r="M38" s="3"/>
      <c r="N38" s="389"/>
      <c r="O38" s="3"/>
      <c r="P38" s="3"/>
      <c r="Q38" s="3"/>
      <c r="S38" s="3"/>
      <c r="T38" s="3" t="str">
        <f>D38</f>
        <v>Weißzement</v>
      </c>
      <c r="U38" s="3"/>
      <c r="V38" s="79"/>
      <c r="W38" s="79"/>
      <c r="X38" s="79">
        <f>IF(NOT(ISBLANK($K38)),$K38*IF(NOT(ISBLANK(N38)),N38,'Eingabe EF'!$O23),IF(NOT(ISBLANK($I38)),$I38,$F38)*IF(NOT(ISBLANK(N38)),'Eingabe EF'!$Q23,'Eingabe EF'!$O23)*IF(NOT(ISBLANK($I$12)),$I$12,$F$12))</f>
        <v>922.7399999999999</v>
      </c>
      <c r="Y38" s="15"/>
      <c r="Z38" s="79">
        <f>V38+W38</f>
        <v>0</v>
      </c>
      <c r="AA38" s="81">
        <f>SUM(V38:X38)</f>
        <v>922.7399999999999</v>
      </c>
      <c r="AB38" s="15" t="s">
        <v>148</v>
      </c>
      <c r="AC38" s="3"/>
    </row>
    <row r="39" spans="2:37" ht="15.75" x14ac:dyDescent="0.2">
      <c r="B39" s="3"/>
      <c r="C39" s="3"/>
      <c r="D39" s="3" t="s">
        <v>147</v>
      </c>
      <c r="E39" s="3"/>
      <c r="F39" s="409">
        <f>'Referenz Plattenfertiger'!F39</f>
        <v>0</v>
      </c>
      <c r="G39" s="363"/>
      <c r="H39" s="3"/>
      <c r="I39" s="120"/>
      <c r="J39" s="3" t="s">
        <v>447</v>
      </c>
      <c r="K39" s="385"/>
      <c r="L39" s="3" t="s">
        <v>462</v>
      </c>
      <c r="M39" s="3"/>
      <c r="N39" s="389"/>
      <c r="O39" s="3"/>
      <c r="P39" s="119"/>
      <c r="Q39" s="3"/>
      <c r="S39" s="3"/>
      <c r="T39" s="3" t="str">
        <f>D39</f>
        <v>Weitere Zementsorte</v>
      </c>
      <c r="U39" s="3"/>
      <c r="V39" s="79"/>
      <c r="W39" s="79"/>
      <c r="X39" s="79">
        <f>IF(NOT(ISBLANK($K39)),$K39*N39,IF(NOT(ISBLANK($I39)),$I39,$F39)*IF(NOT(ISBLANK(N39)),N39,0)*IF(NOT(ISBLANK($I$12)),$I$12,$F$12))</f>
        <v>0</v>
      </c>
      <c r="Y39" s="15"/>
      <c r="Z39" s="79">
        <f>V39+W39</f>
        <v>0</v>
      </c>
      <c r="AA39" s="81">
        <f>SUM(V39:X39)</f>
        <v>0</v>
      </c>
      <c r="AB39" s="15" t="s">
        <v>148</v>
      </c>
      <c r="AC39" s="3"/>
    </row>
    <row r="40" spans="2:37" x14ac:dyDescent="0.2">
      <c r="B40" s="3"/>
      <c r="C40" s="3"/>
      <c r="D40" s="3"/>
      <c r="E40" s="3"/>
      <c r="F40" s="358"/>
      <c r="G40" s="363"/>
      <c r="H40" s="3"/>
      <c r="I40" s="109"/>
      <c r="J40" s="3"/>
      <c r="K40" s="3"/>
      <c r="L40" s="3"/>
      <c r="M40" s="3"/>
      <c r="N40" s="3"/>
      <c r="O40" s="3"/>
      <c r="P40" s="3"/>
      <c r="Q40" s="3"/>
      <c r="S40" s="3"/>
      <c r="T40" s="3"/>
      <c r="U40" s="3"/>
      <c r="V40" s="79"/>
      <c r="W40" s="79"/>
      <c r="X40" s="79"/>
      <c r="Y40" s="15"/>
      <c r="Z40" s="79"/>
      <c r="AA40" s="81"/>
      <c r="AB40" s="15"/>
      <c r="AC40" s="3"/>
      <c r="AJ40" s="422"/>
    </row>
    <row r="41" spans="2:37" ht="27" customHeight="1" x14ac:dyDescent="0.2">
      <c r="B41" s="3"/>
      <c r="C41" s="3"/>
      <c r="D41" s="8" t="s">
        <v>163</v>
      </c>
      <c r="E41" s="3"/>
      <c r="F41" s="358"/>
      <c r="G41" s="363"/>
      <c r="H41" s="3"/>
      <c r="I41" s="109"/>
      <c r="J41" s="3"/>
      <c r="K41" s="3"/>
      <c r="L41" s="3"/>
      <c r="M41" s="3"/>
      <c r="N41" s="3"/>
      <c r="O41" s="3"/>
      <c r="P41" s="3"/>
      <c r="Q41" s="3"/>
      <c r="S41" s="3"/>
      <c r="T41" s="375" t="str">
        <f>D41</f>
        <v>Gesteinskörnungen (Zuschlagsstoffe)</v>
      </c>
      <c r="U41" s="118"/>
      <c r="V41" s="346"/>
      <c r="W41" s="346"/>
      <c r="X41" s="346">
        <f>SUM(X42:X46)</f>
        <v>129.59200000000001</v>
      </c>
      <c r="Y41" s="363"/>
      <c r="Z41" s="346">
        <f>V41+W41</f>
        <v>0</v>
      </c>
      <c r="AA41" s="367">
        <f>SUM(V41:X41)</f>
        <v>129.59200000000001</v>
      </c>
      <c r="AB41" s="347" t="s">
        <v>149</v>
      </c>
      <c r="AC41" s="3"/>
      <c r="AI41" s="422">
        <f>AA41</f>
        <v>129.59200000000001</v>
      </c>
      <c r="AJ41" s="6" t="str">
        <f>AB41</f>
        <v>t CO2e</v>
      </c>
      <c r="AK41" s="6">
        <f>AC41</f>
        <v>0</v>
      </c>
    </row>
    <row r="42" spans="2:37" ht="15.75" x14ac:dyDescent="0.2">
      <c r="B42" s="3"/>
      <c r="C42" s="3"/>
      <c r="D42" s="3" t="s">
        <v>164</v>
      </c>
      <c r="E42" s="3"/>
      <c r="F42" s="409">
        <f>'Referenz Plattenfertiger'!F42</f>
        <v>0.66800000000000004</v>
      </c>
      <c r="G42" s="363"/>
      <c r="H42" s="3"/>
      <c r="I42" s="120"/>
      <c r="J42" s="3" t="s">
        <v>447</v>
      </c>
      <c r="K42" s="385"/>
      <c r="L42" s="3" t="s">
        <v>462</v>
      </c>
      <c r="M42" s="3"/>
      <c r="N42" s="389"/>
      <c r="O42" s="3"/>
      <c r="P42" s="3"/>
      <c r="Q42" s="3"/>
      <c r="S42" s="3"/>
      <c r="T42" s="3" t="str">
        <f>D42</f>
        <v>Sand, Kies</v>
      </c>
      <c r="U42" s="3"/>
      <c r="V42" s="79"/>
      <c r="W42" s="79"/>
      <c r="X42" s="79">
        <f>IF(NOT(ISBLANK($K42)),$K42*IF(NOT(ISBLANK(N42)),N42,'Eingabe EF'!$O27),IF(NOT(ISBLANK($I42)),$I42,$F42)*IF(NOT(ISBLANK(N42)),N42,'Eingabe EF'!$O27)*IF(NOT(ISBLANK($I$12)),$I$12,$F$12))</f>
        <v>129.59200000000001</v>
      </c>
      <c r="Y42" s="15"/>
      <c r="Z42" s="79">
        <f>V42+W42</f>
        <v>0</v>
      </c>
      <c r="AA42" s="81">
        <f>SUM(V42:X42)</f>
        <v>129.59200000000001</v>
      </c>
      <c r="AB42" s="15" t="s">
        <v>148</v>
      </c>
      <c r="AC42" s="3"/>
    </row>
    <row r="43" spans="2:37" ht="15.75" x14ac:dyDescent="0.2">
      <c r="B43" s="3"/>
      <c r="C43" s="3"/>
      <c r="D43" s="3" t="s">
        <v>165</v>
      </c>
      <c r="E43" s="3"/>
      <c r="F43" s="409">
        <f>'Referenz Plattenfertiger'!F43</f>
        <v>0</v>
      </c>
      <c r="G43" s="363"/>
      <c r="H43" s="3"/>
      <c r="I43" s="120"/>
      <c r="J43" s="3" t="s">
        <v>447</v>
      </c>
      <c r="K43" s="385"/>
      <c r="L43" s="3" t="s">
        <v>462</v>
      </c>
      <c r="M43" s="3"/>
      <c r="N43" s="389"/>
      <c r="O43" s="3"/>
      <c r="P43" s="119"/>
      <c r="Q43" s="3"/>
      <c r="S43" s="3"/>
      <c r="T43" s="3" t="str">
        <f>D43</f>
        <v>Brechsand, Splitt</v>
      </c>
      <c r="U43" s="3"/>
      <c r="V43" s="79"/>
      <c r="W43" s="79"/>
      <c r="X43" s="79">
        <f>IF(NOT(ISBLANK($K43)),$K43*N43,IF(NOT(ISBLANK($I43)),$I43,$F43)*IF(NOT(ISBLANK(N43)),N43,0)*IF(NOT(ISBLANK($I$12)),$I$12,$F$12))</f>
        <v>0</v>
      </c>
      <c r="Y43" s="15"/>
      <c r="Z43" s="79">
        <f>V43+W43</f>
        <v>0</v>
      </c>
      <c r="AA43" s="81">
        <f t="shared" ref="AA43:AA44" si="3">SUM(V43:X43)</f>
        <v>0</v>
      </c>
      <c r="AB43" s="15" t="s">
        <v>148</v>
      </c>
      <c r="AC43" s="3"/>
    </row>
    <row r="44" spans="2:37" ht="15.75" x14ac:dyDescent="0.2">
      <c r="B44" s="3"/>
      <c r="C44" s="3"/>
      <c r="D44" s="3" t="s">
        <v>166</v>
      </c>
      <c r="E44" s="3"/>
      <c r="F44" s="409">
        <f>'Referenz Plattenfertiger'!F44</f>
        <v>0</v>
      </c>
      <c r="G44" s="363"/>
      <c r="H44" s="3"/>
      <c r="I44" s="120"/>
      <c r="J44" s="3" t="s">
        <v>447</v>
      </c>
      <c r="K44" s="385"/>
      <c r="L44" s="3" t="s">
        <v>462</v>
      </c>
      <c r="M44" s="3"/>
      <c r="N44" s="389"/>
      <c r="O44" s="3"/>
      <c r="P44" s="119"/>
      <c r="Q44" s="3"/>
      <c r="S44" s="3"/>
      <c r="T44" s="3" t="str">
        <f>D44</f>
        <v>RC-Material (Sand, Splitt)</v>
      </c>
      <c r="U44" s="3"/>
      <c r="V44" s="79"/>
      <c r="W44" s="79"/>
      <c r="X44" s="79">
        <f>IF(NOT(ISBLANK($K44)),$K44*N44,IF(NOT(ISBLANK($I44)),$I44,$F44)*IF(NOT(ISBLANK(N44)),N44,0)*IF(NOT(ISBLANK($I$12)),$I$12,$F$12))</f>
        <v>0</v>
      </c>
      <c r="Y44" s="15"/>
      <c r="Z44" s="79">
        <f>V44+W44</f>
        <v>0</v>
      </c>
      <c r="AA44" s="81">
        <f t="shared" si="3"/>
        <v>0</v>
      </c>
      <c r="AB44" s="15" t="s">
        <v>148</v>
      </c>
      <c r="AC44" s="3"/>
    </row>
    <row r="45" spans="2:37" ht="15.75" x14ac:dyDescent="0.2">
      <c r="B45" s="3"/>
      <c r="C45" s="3"/>
      <c r="D45" s="360" t="s">
        <v>505</v>
      </c>
      <c r="E45" s="3"/>
      <c r="F45" s="409">
        <v>0</v>
      </c>
      <c r="G45" s="363"/>
      <c r="H45" s="3"/>
      <c r="I45" s="120"/>
      <c r="J45" s="3" t="s">
        <v>447</v>
      </c>
      <c r="K45" s="385"/>
      <c r="L45" s="3" t="s">
        <v>462</v>
      </c>
      <c r="M45" s="3"/>
      <c r="N45" s="389"/>
      <c r="O45" s="3"/>
      <c r="P45" s="119"/>
      <c r="Q45" s="3"/>
      <c r="S45" s="3"/>
      <c r="T45" s="3" t="str">
        <f t="shared" ref="T45:T46" si="4">D45</f>
        <v>Weiterer Zuschlagstoff 1</v>
      </c>
      <c r="U45" s="3"/>
      <c r="V45" s="79"/>
      <c r="W45" s="79"/>
      <c r="X45" s="79">
        <f t="shared" ref="X45:X46" si="5">IF(NOT(ISBLANK($K45)),$K45*N45,IF(NOT(ISBLANK($I45)),$I45,$F45)*IF(NOT(ISBLANK(N45)),N45,0)*IF(NOT(ISBLANK($I$12)),$I$12,$F$12))</f>
        <v>0</v>
      </c>
      <c r="Y45" s="15"/>
      <c r="Z45" s="79">
        <f t="shared" ref="Z45:Z46" si="6">V45+W45</f>
        <v>0</v>
      </c>
      <c r="AA45" s="81">
        <f t="shared" ref="AA45:AA46" si="7">SUM(V45:X45)</f>
        <v>0</v>
      </c>
      <c r="AB45" s="15" t="s">
        <v>148</v>
      </c>
      <c r="AC45" s="3"/>
    </row>
    <row r="46" spans="2:37" ht="15.75" x14ac:dyDescent="0.2">
      <c r="B46" s="3"/>
      <c r="C46" s="3"/>
      <c r="D46" s="360" t="s">
        <v>506</v>
      </c>
      <c r="E46" s="3"/>
      <c r="F46" s="409">
        <v>0</v>
      </c>
      <c r="G46" s="363"/>
      <c r="H46" s="3"/>
      <c r="I46" s="120"/>
      <c r="J46" s="3" t="s">
        <v>447</v>
      </c>
      <c r="K46" s="385"/>
      <c r="L46" s="3" t="s">
        <v>462</v>
      </c>
      <c r="M46" s="3"/>
      <c r="N46" s="389"/>
      <c r="O46" s="3"/>
      <c r="P46" s="119"/>
      <c r="Q46" s="3"/>
      <c r="S46" s="3"/>
      <c r="T46" s="3" t="str">
        <f t="shared" si="4"/>
        <v>Weiterer Zuschlagstoff 2</v>
      </c>
      <c r="U46" s="3"/>
      <c r="V46" s="79"/>
      <c r="W46" s="79"/>
      <c r="X46" s="79">
        <f t="shared" si="5"/>
        <v>0</v>
      </c>
      <c r="Y46" s="15"/>
      <c r="Z46" s="79">
        <f t="shared" si="6"/>
        <v>0</v>
      </c>
      <c r="AA46" s="81">
        <f t="shared" si="7"/>
        <v>0</v>
      </c>
      <c r="AB46" s="15" t="s">
        <v>148</v>
      </c>
      <c r="AC46" s="3"/>
    </row>
    <row r="47" spans="2:37" x14ac:dyDescent="0.2">
      <c r="B47" s="3"/>
      <c r="C47" s="3"/>
      <c r="D47" s="3"/>
      <c r="E47" s="3"/>
      <c r="F47" s="358"/>
      <c r="G47" s="363"/>
      <c r="H47" s="3"/>
      <c r="I47" s="109"/>
      <c r="J47" s="3"/>
      <c r="K47" s="3"/>
      <c r="L47" s="3"/>
      <c r="M47" s="3"/>
      <c r="N47" s="3"/>
      <c r="O47" s="3"/>
      <c r="P47" s="3"/>
      <c r="Q47" s="3"/>
      <c r="S47" s="3"/>
      <c r="T47" s="3"/>
      <c r="U47" s="3"/>
      <c r="V47" s="79"/>
      <c r="W47" s="79"/>
      <c r="X47" s="79"/>
      <c r="Y47" s="15"/>
      <c r="Z47" s="79"/>
      <c r="AA47" s="81"/>
      <c r="AB47" s="15"/>
      <c r="AC47" s="3"/>
    </row>
    <row r="48" spans="2:37" ht="14.25" x14ac:dyDescent="0.2">
      <c r="B48" s="3"/>
      <c r="C48" s="3"/>
      <c r="D48" s="3" t="s">
        <v>55</v>
      </c>
      <c r="E48" s="3"/>
      <c r="F48" s="409">
        <f>'Referenz Plattenfertiger'!F48</f>
        <v>2E-3</v>
      </c>
      <c r="G48" s="363"/>
      <c r="H48" s="3"/>
      <c r="I48" s="120"/>
      <c r="J48" s="3" t="s">
        <v>447</v>
      </c>
      <c r="K48" s="385"/>
      <c r="L48" s="3" t="s">
        <v>448</v>
      </c>
      <c r="M48" s="3"/>
      <c r="N48" s="389"/>
      <c r="O48" s="3"/>
      <c r="P48" s="3"/>
      <c r="Q48" s="3"/>
      <c r="S48" s="3"/>
      <c r="T48" s="8" t="str">
        <f>D48</f>
        <v>Farben</v>
      </c>
      <c r="U48" s="8"/>
      <c r="V48" s="366"/>
      <c r="W48" s="366"/>
      <c r="X48" s="366">
        <f>IF(NOT(ISBLANK($K48)),$K48/1000*IF(NOT(ISBLANK(N48)),N48,'Eingabe EF'!$O33),IF(NOT(ISBLANK($I48)),$I48,$F48)*IF(NOT(ISBLANK(N48)),N48,'Eingabe EF'!$O33)*IF(NOT(ISBLANK($I$12)),$I$12,$F$12))</f>
        <v>208</v>
      </c>
      <c r="Y48" s="78"/>
      <c r="Z48" s="366">
        <f>V48+W48</f>
        <v>0</v>
      </c>
      <c r="AA48" s="368">
        <f>SUM(V48:X48)</f>
        <v>208</v>
      </c>
      <c r="AB48" s="78" t="s">
        <v>149</v>
      </c>
      <c r="AC48" s="3"/>
    </row>
    <row r="49" spans="2:29" x14ac:dyDescent="0.2">
      <c r="B49" s="3"/>
      <c r="C49" s="3"/>
      <c r="D49" s="3"/>
      <c r="E49" s="3"/>
      <c r="F49" s="410"/>
      <c r="G49" s="363"/>
      <c r="H49" s="3"/>
      <c r="I49" s="3"/>
      <c r="J49" s="3"/>
      <c r="K49" s="3"/>
      <c r="L49" s="3"/>
      <c r="M49" s="3"/>
      <c r="N49" s="3"/>
      <c r="O49" s="3"/>
      <c r="P49" s="3"/>
      <c r="Q49" s="3"/>
      <c r="S49" s="3"/>
      <c r="T49" s="3"/>
      <c r="U49" s="3"/>
      <c r="V49" s="79"/>
      <c r="W49" s="79"/>
      <c r="X49" s="79"/>
      <c r="Y49" s="15"/>
      <c r="Z49" s="79"/>
      <c r="AA49" s="81"/>
      <c r="AB49" s="15"/>
      <c r="AC49" s="3"/>
    </row>
    <row r="50" spans="2:29" ht="14.25" x14ac:dyDescent="0.2">
      <c r="B50" s="3"/>
      <c r="C50" s="3"/>
      <c r="D50" s="8" t="s">
        <v>167</v>
      </c>
      <c r="E50" s="3"/>
      <c r="F50" s="410"/>
      <c r="G50" s="363"/>
      <c r="H50" s="3"/>
      <c r="I50" s="3"/>
      <c r="J50" s="3"/>
      <c r="K50" s="3"/>
      <c r="L50" s="3"/>
      <c r="M50" s="3"/>
      <c r="N50" s="3"/>
      <c r="O50" s="3"/>
      <c r="P50" s="3"/>
      <c r="Q50" s="3"/>
      <c r="S50" s="3"/>
      <c r="T50" s="345" t="str">
        <f>D50</f>
        <v>Zusatzstoffe (Füllstoffe)</v>
      </c>
      <c r="U50" s="118"/>
      <c r="V50" s="346"/>
      <c r="W50" s="346"/>
      <c r="X50" s="346">
        <f>SUM(X51:X55)</f>
        <v>81.003999999999991</v>
      </c>
      <c r="Y50" s="363"/>
      <c r="Z50" s="346">
        <f>V50+W50</f>
        <v>0</v>
      </c>
      <c r="AA50" s="367">
        <f>SUM(V50:X50)</f>
        <v>81.003999999999991</v>
      </c>
      <c r="AB50" s="347" t="s">
        <v>149</v>
      </c>
      <c r="AC50" s="3"/>
    </row>
    <row r="51" spans="2:29" ht="15.75" x14ac:dyDescent="0.2">
      <c r="B51" s="3"/>
      <c r="C51" s="3"/>
      <c r="D51" s="360" t="str">
        <f>'Referenz Plattenfertiger'!D51</f>
        <v>Flugasche</v>
      </c>
      <c r="E51" s="3"/>
      <c r="F51" s="409">
        <f>'Referenz Plattenfertiger'!F51</f>
        <v>0</v>
      </c>
      <c r="G51" s="363"/>
      <c r="H51" s="3"/>
      <c r="I51" s="120"/>
      <c r="J51" s="3" t="s">
        <v>447</v>
      </c>
      <c r="K51" s="385"/>
      <c r="L51" s="3" t="s">
        <v>462</v>
      </c>
      <c r="M51" s="3"/>
      <c r="N51" s="389"/>
      <c r="O51" s="3"/>
      <c r="P51" s="3"/>
      <c r="Q51" s="3"/>
      <c r="S51" s="3"/>
      <c r="T51" s="3" t="str">
        <f>D51</f>
        <v>Flugasche</v>
      </c>
      <c r="U51" s="3"/>
      <c r="V51" s="79"/>
      <c r="W51" s="79"/>
      <c r="X51" s="79">
        <f>IF(NOT(ISBLANK($K51)),$K51*IF(NOT(ISBLANK(N51)),N51,'Eingabe EF'!$O36),IF(NOT(ISBLANK($I51)),$I51,$F51)*IF(NOT(ISBLANK(N51)),N51,'Eingabe EF'!$O36)*IF(NOT(ISBLANK($I$12)),$I$12,$F$12))</f>
        <v>0</v>
      </c>
      <c r="Y51" s="15"/>
      <c r="Z51" s="79">
        <f>V51+W51</f>
        <v>0</v>
      </c>
      <c r="AA51" s="81">
        <f>SUM(V51:X51)</f>
        <v>0</v>
      </c>
      <c r="AB51" s="15" t="s">
        <v>148</v>
      </c>
      <c r="AC51" s="3"/>
    </row>
    <row r="52" spans="2:29" ht="15.75" x14ac:dyDescent="0.2">
      <c r="B52" s="3"/>
      <c r="C52" s="3"/>
      <c r="D52" s="360" t="str">
        <f>'Referenz Plattenfertiger'!D52</f>
        <v>Quarzsteinmehl</v>
      </c>
      <c r="E52" s="3"/>
      <c r="F52" s="409">
        <f>'Referenz Plattenfertiger'!F52</f>
        <v>5.0000000000000001E-3</v>
      </c>
      <c r="G52" s="363"/>
      <c r="H52" s="3"/>
      <c r="I52" s="120"/>
      <c r="J52" s="3" t="s">
        <v>447</v>
      </c>
      <c r="K52" s="385"/>
      <c r="L52" s="3" t="s">
        <v>462</v>
      </c>
      <c r="M52" s="3"/>
      <c r="N52" s="389"/>
      <c r="O52" s="3"/>
      <c r="P52" s="3"/>
      <c r="Q52" s="3"/>
      <c r="S52" s="3"/>
      <c r="T52" s="3" t="str">
        <f t="shared" ref="T52:T55" si="8">D52</f>
        <v>Quarzsteinmehl</v>
      </c>
      <c r="U52" s="3"/>
      <c r="V52" s="79"/>
      <c r="W52" s="79"/>
      <c r="X52" s="79">
        <f>IF(NOT(ISBLANK($K52)),$K52*IF(NOT(ISBLANK(N52)),N52,'Eingabe EF'!$O37),IF(NOT(ISBLANK($I52)),$I52,$F52)*IF(NOT(ISBLANK(N52)),N52,'Eingabe EF'!$O37)*IF(NOT(ISBLANK($I$12)),$I$12,$F$12))</f>
        <v>8.6840000000000011</v>
      </c>
      <c r="Y52" s="15"/>
      <c r="Z52" s="79">
        <f t="shared" ref="Z52:Z55" si="9">V52+W52</f>
        <v>0</v>
      </c>
      <c r="AA52" s="81">
        <f>SUM(V52:X52)</f>
        <v>8.6840000000000011</v>
      </c>
      <c r="AB52" s="15" t="s">
        <v>148</v>
      </c>
      <c r="AC52" s="3"/>
    </row>
    <row r="53" spans="2:29" ht="15.75" x14ac:dyDescent="0.2">
      <c r="B53" s="3"/>
      <c r="C53" s="3"/>
      <c r="D53" s="360" t="str">
        <f>'Referenz Plattenfertiger'!D53</f>
        <v>Kalksteinmehl</v>
      </c>
      <c r="E53" s="3"/>
      <c r="F53" s="409">
        <f>'Referenz Plattenfertiger'!F53</f>
        <v>0.04</v>
      </c>
      <c r="G53" s="363"/>
      <c r="H53" s="3"/>
      <c r="I53" s="120"/>
      <c r="J53" s="3" t="s">
        <v>447</v>
      </c>
      <c r="K53" s="385"/>
      <c r="L53" s="3" t="s">
        <v>462</v>
      </c>
      <c r="M53" s="3"/>
      <c r="N53" s="389"/>
      <c r="O53" s="3"/>
      <c r="P53" s="3"/>
      <c r="Q53" s="3"/>
      <c r="S53" s="3"/>
      <c r="T53" s="3" t="str">
        <f t="shared" si="8"/>
        <v>Kalksteinmehl</v>
      </c>
      <c r="U53" s="3"/>
      <c r="V53" s="79"/>
      <c r="W53" s="79"/>
      <c r="X53" s="79">
        <f>IF(NOT(ISBLANK($K53)),$K53*IF(NOT(ISBLANK(N53)),N53,'Eingabe EF'!$O38),IF(NOT(ISBLANK($I53)),$I53,$F53)*IF(NOT(ISBLANK(N53)),N53,'Eingabe EF'!$O38)*IF(NOT(ISBLANK($I$12)),$I$12,$F$12))</f>
        <v>72.319999999999993</v>
      </c>
      <c r="Y53" s="15"/>
      <c r="Z53" s="79">
        <f t="shared" si="9"/>
        <v>0</v>
      </c>
      <c r="AA53" s="81">
        <f>SUM(V53:X53)</f>
        <v>72.319999999999993</v>
      </c>
      <c r="AB53" s="15" t="s">
        <v>148</v>
      </c>
      <c r="AC53" s="3"/>
    </row>
    <row r="54" spans="2:29" ht="15.75" x14ac:dyDescent="0.2">
      <c r="B54" s="3"/>
      <c r="C54" s="3"/>
      <c r="D54" s="360" t="str">
        <f>'Referenz Plattenfertiger'!D54</f>
        <v>Weiterer Zusatzstoff 1</v>
      </c>
      <c r="E54" s="3"/>
      <c r="F54" s="409">
        <v>0</v>
      </c>
      <c r="G54" s="363"/>
      <c r="H54" s="3"/>
      <c r="I54" s="120"/>
      <c r="J54" s="3" t="s">
        <v>447</v>
      </c>
      <c r="K54" s="385"/>
      <c r="L54" s="3" t="s">
        <v>462</v>
      </c>
      <c r="M54" s="3"/>
      <c r="N54" s="389"/>
      <c r="O54" s="3"/>
      <c r="P54" s="3"/>
      <c r="Q54" s="3"/>
      <c r="S54" s="3"/>
      <c r="T54" s="3" t="str">
        <f t="shared" si="8"/>
        <v>Weiterer Zusatzstoff 1</v>
      </c>
      <c r="U54" s="3"/>
      <c r="V54" s="79"/>
      <c r="W54" s="79"/>
      <c r="X54" s="79">
        <f t="shared" ref="X54:X55" si="10">IF(NOT(ISBLANK($K54)),$K54*N54,IF(NOT(ISBLANK($I54)),$I54,$F54)*IF(NOT(ISBLANK(N54)),N54,0)*IF(NOT(ISBLANK($I$12)),$I$12,$F$12))</f>
        <v>0</v>
      </c>
      <c r="Y54" s="15"/>
      <c r="Z54" s="79">
        <f t="shared" si="9"/>
        <v>0</v>
      </c>
      <c r="AA54" s="81">
        <f t="shared" ref="AA54:AA55" si="11">SUM(V54:X54)</f>
        <v>0</v>
      </c>
      <c r="AB54" s="15" t="s">
        <v>148</v>
      </c>
      <c r="AC54" s="3"/>
    </row>
    <row r="55" spans="2:29" ht="15.75" x14ac:dyDescent="0.2">
      <c r="B55" s="3"/>
      <c r="C55" s="3"/>
      <c r="D55" s="360" t="str">
        <f>'Referenz Plattenfertiger'!D55</f>
        <v>Weiterer Zusatzstoff 2</v>
      </c>
      <c r="E55" s="3"/>
      <c r="F55" s="409">
        <v>0</v>
      </c>
      <c r="G55" s="363"/>
      <c r="H55" s="3"/>
      <c r="I55" s="120"/>
      <c r="J55" s="3" t="s">
        <v>447</v>
      </c>
      <c r="K55" s="385"/>
      <c r="L55" s="3" t="s">
        <v>462</v>
      </c>
      <c r="M55" s="3"/>
      <c r="N55" s="389"/>
      <c r="O55" s="3"/>
      <c r="P55" s="3"/>
      <c r="Q55" s="3"/>
      <c r="S55" s="3"/>
      <c r="T55" s="3" t="str">
        <f t="shared" si="8"/>
        <v>Weiterer Zusatzstoff 2</v>
      </c>
      <c r="U55" s="3"/>
      <c r="V55" s="79"/>
      <c r="W55" s="79"/>
      <c r="X55" s="79">
        <f t="shared" si="10"/>
        <v>0</v>
      </c>
      <c r="Y55" s="15"/>
      <c r="Z55" s="79">
        <f t="shared" si="9"/>
        <v>0</v>
      </c>
      <c r="AA55" s="81">
        <f t="shared" si="11"/>
        <v>0</v>
      </c>
      <c r="AB55" s="15" t="s">
        <v>148</v>
      </c>
      <c r="AC55" s="3"/>
    </row>
    <row r="56" spans="2:29" x14ac:dyDescent="0.2">
      <c r="B56" s="3"/>
      <c r="C56" s="3"/>
      <c r="D56" s="3"/>
      <c r="E56" s="3"/>
      <c r="F56" s="410"/>
      <c r="G56" s="363"/>
      <c r="H56" s="3"/>
      <c r="I56" s="3"/>
      <c r="J56" s="3"/>
      <c r="K56" s="3"/>
      <c r="L56" s="3"/>
      <c r="M56" s="3"/>
      <c r="N56" s="3"/>
      <c r="O56" s="3"/>
      <c r="P56" s="3"/>
      <c r="Q56" s="3"/>
      <c r="S56" s="3"/>
      <c r="T56" s="3"/>
      <c r="U56" s="3"/>
      <c r="V56" s="79"/>
      <c r="W56" s="79"/>
      <c r="X56" s="79"/>
      <c r="Y56" s="15"/>
      <c r="Z56" s="79"/>
      <c r="AA56" s="81"/>
      <c r="AB56" s="15"/>
      <c r="AC56" s="3"/>
    </row>
    <row r="57" spans="2:29" ht="14.25" x14ac:dyDescent="0.2">
      <c r="B57" s="3"/>
      <c r="C57" s="3"/>
      <c r="D57" s="8" t="s">
        <v>49</v>
      </c>
      <c r="E57" s="3"/>
      <c r="F57" s="409">
        <f>'Referenz Plattenfertiger'!F57</f>
        <v>2E-3</v>
      </c>
      <c r="G57" s="363"/>
      <c r="H57" s="3"/>
      <c r="I57" s="120"/>
      <c r="J57" s="3" t="s">
        <v>459</v>
      </c>
      <c r="K57" s="3"/>
      <c r="L57" s="3" t="s">
        <v>448</v>
      </c>
      <c r="M57" s="3"/>
      <c r="N57" s="3"/>
      <c r="O57" s="3"/>
      <c r="P57" s="119"/>
      <c r="Q57" s="3"/>
      <c r="S57" s="3"/>
      <c r="T57" s="345" t="s">
        <v>49</v>
      </c>
      <c r="U57" s="118"/>
      <c r="V57" s="346"/>
      <c r="W57" s="346"/>
      <c r="X57" s="346">
        <f>SUM(X58:X61)</f>
        <v>148.44746134951595</v>
      </c>
      <c r="Y57" s="363"/>
      <c r="Z57" s="346">
        <f>V57+W57</f>
        <v>0</v>
      </c>
      <c r="AA57" s="367">
        <f>SUM(V57:X57)</f>
        <v>148.44746134951595</v>
      </c>
      <c r="AB57" s="347" t="s">
        <v>149</v>
      </c>
      <c r="AC57" s="3"/>
    </row>
    <row r="58" spans="2:29" s="372" customFormat="1" ht="15.75" x14ac:dyDescent="0.2">
      <c r="B58" s="15"/>
      <c r="C58" s="15"/>
      <c r="D58" s="429" t="s">
        <v>412</v>
      </c>
      <c r="E58" s="15"/>
      <c r="F58" s="409">
        <f>'Referenz Plattenfertiger'!F58</f>
        <v>0.39213986418147667</v>
      </c>
      <c r="G58" s="359" t="s">
        <v>51</v>
      </c>
      <c r="H58" s="15"/>
      <c r="I58" s="360"/>
      <c r="J58" s="468" t="s">
        <v>449</v>
      </c>
      <c r="K58" s="385"/>
      <c r="L58" s="3" t="s">
        <v>448</v>
      </c>
      <c r="M58" s="3"/>
      <c r="N58" s="389"/>
      <c r="O58" s="3"/>
      <c r="P58" s="361"/>
      <c r="Q58" s="15"/>
      <c r="S58" s="15"/>
      <c r="T58" s="14" t="str">
        <f>D58</f>
        <v>Plastifizierer</v>
      </c>
      <c r="U58" s="15"/>
      <c r="V58" s="79"/>
      <c r="W58" s="79"/>
      <c r="X58" s="79">
        <f>IF(NOT(ISBLANK($K58)),$K58/1000*IF(NOT(ISBLANK(N58)),N58,'Eingabe EF'!$O43),IF(NOT(ISBLANK($I$57)),$I$57,$F$57)*IF(NOT(ISBLANK($I58)),$I58,$F58)*IF(NOT(ISBLANK(N58)),N58,'Eingabe EF'!$O43)*IF(NOT(ISBLANK($I$12)),$I$12,$F$12))</f>
        <v>47.997919375812742</v>
      </c>
      <c r="Y58" s="15"/>
      <c r="Z58" s="79">
        <f>V58+W58</f>
        <v>0</v>
      </c>
      <c r="AA58" s="81">
        <f>SUM(V58:X58)</f>
        <v>47.997919375812742</v>
      </c>
      <c r="AB58" s="15" t="s">
        <v>148</v>
      </c>
      <c r="AC58" s="15"/>
    </row>
    <row r="59" spans="2:29" s="372" customFormat="1" ht="15.75" x14ac:dyDescent="0.2">
      <c r="B59" s="15"/>
      <c r="C59" s="15"/>
      <c r="D59" s="429" t="s">
        <v>413</v>
      </c>
      <c r="E59" s="15"/>
      <c r="F59" s="409">
        <f>'Referenz Plattenfertiger'!F59</f>
        <v>0.164571593700332</v>
      </c>
      <c r="G59" s="359" t="s">
        <v>51</v>
      </c>
      <c r="H59" s="15"/>
      <c r="I59" s="360"/>
      <c r="J59" s="468"/>
      <c r="K59" s="385"/>
      <c r="L59" s="3" t="s">
        <v>448</v>
      </c>
      <c r="M59" s="3"/>
      <c r="N59" s="389"/>
      <c r="O59" s="3"/>
      <c r="P59" s="361"/>
      <c r="Q59" s="15"/>
      <c r="S59" s="15"/>
      <c r="T59" s="14" t="str">
        <f t="shared" ref="T59:T61" si="12">D59</f>
        <v>Luftporenbildner</v>
      </c>
      <c r="U59" s="15"/>
      <c r="V59" s="79"/>
      <c r="W59" s="79"/>
      <c r="X59" s="79">
        <f>IF(NOT(ISBLANK($K59)),$K59/1000*IF(NOT(ISBLANK(N59)),N59,'Eingabe EF'!$O44),IF(NOT(ISBLANK($I$57)),$I$57,$F$57)*IF(NOT(ISBLANK($I59)),$I59,$F59)*IF(NOT(ISBLANK(N59)),N59,'Eingabe EF'!$O44)*IF(NOT(ISBLANK($I$12)),$I$12,$F$12))</f>
        <v>5.7797543707556596</v>
      </c>
      <c r="Y59" s="15"/>
      <c r="Z59" s="79">
        <f>V59+W59</f>
        <v>0</v>
      </c>
      <c r="AA59" s="81">
        <f>SUM(V59:X59)</f>
        <v>5.7797543707556596</v>
      </c>
      <c r="AB59" s="15" t="s">
        <v>148</v>
      </c>
      <c r="AC59" s="15"/>
    </row>
    <row r="60" spans="2:29" s="372" customFormat="1" ht="15.75" x14ac:dyDescent="0.2">
      <c r="B60" s="15"/>
      <c r="C60" s="15"/>
      <c r="D60" s="429" t="s">
        <v>414</v>
      </c>
      <c r="E60" s="15"/>
      <c r="F60" s="409">
        <f>'Referenz Plattenfertiger'!F60</f>
        <v>1.4448779078167896E-4</v>
      </c>
      <c r="G60" s="359" t="s">
        <v>51</v>
      </c>
      <c r="H60" s="15"/>
      <c r="I60" s="360"/>
      <c r="J60" s="468"/>
      <c r="K60" s="385"/>
      <c r="L60" s="3" t="s">
        <v>448</v>
      </c>
      <c r="M60" s="3"/>
      <c r="N60" s="389"/>
      <c r="O60" s="3"/>
      <c r="P60" s="361"/>
      <c r="Q60" s="15"/>
      <c r="S60" s="15"/>
      <c r="T60" s="14" t="str">
        <f t="shared" si="12"/>
        <v>Stabilisierer</v>
      </c>
      <c r="U60" s="15"/>
      <c r="V60" s="79"/>
      <c r="W60" s="79"/>
      <c r="X60" s="79">
        <f>IF(NOT(ISBLANK($K60)),$K60/1000*IF(NOT(ISBLANK(N60)),N60,'Eingabe EF'!$O45),IF(NOT(ISBLANK($I$57)),$I$57,$F$57)*IF(NOT(ISBLANK($I60)),$I60,$F60)*IF(NOT(ISBLANK(N60)),N60,'Eingabe EF'!$O45)*IF(NOT(ISBLANK($I$12)),$I$12,$F$12))</f>
        <v>1.4217598612917211E-2</v>
      </c>
      <c r="Y60" s="15"/>
      <c r="Z60" s="79">
        <f>V60+W60</f>
        <v>0</v>
      </c>
      <c r="AA60" s="81">
        <f>SUM(V60:X60)</f>
        <v>1.4217598612917211E-2</v>
      </c>
      <c r="AB60" s="15" t="s">
        <v>148</v>
      </c>
      <c r="AC60" s="15"/>
    </row>
    <row r="61" spans="2:29" s="372" customFormat="1" ht="15.75" x14ac:dyDescent="0.2">
      <c r="B61" s="15"/>
      <c r="C61" s="15"/>
      <c r="D61" s="429" t="s">
        <v>415</v>
      </c>
      <c r="E61" s="15"/>
      <c r="F61" s="409">
        <f>'Referenz Plattenfertiger'!F61</f>
        <v>0.44314405432740933</v>
      </c>
      <c r="G61" s="359" t="s">
        <v>51</v>
      </c>
      <c r="H61" s="15"/>
      <c r="I61" s="360"/>
      <c r="J61" s="468"/>
      <c r="K61" s="385"/>
      <c r="L61" s="3" t="s">
        <v>448</v>
      </c>
      <c r="M61" s="3"/>
      <c r="N61" s="389"/>
      <c r="O61" s="3"/>
      <c r="P61" s="361"/>
      <c r="Q61" s="15"/>
      <c r="S61" s="15"/>
      <c r="T61" s="14" t="str">
        <f t="shared" si="12"/>
        <v>Hydrophobierer</v>
      </c>
      <c r="U61" s="15"/>
      <c r="V61" s="79"/>
      <c r="W61" s="79"/>
      <c r="X61" s="79">
        <f>IF(NOT(ISBLANK($K61)),$K61/1000*IF(NOT(ISBLANK(N61)),N61,'Eingabe EF'!$O46),IF(NOT(ISBLANK($I$57)),$I$57,$F$57)*IF(NOT(ISBLANK($I61)),$I61,$F61)*IF(NOT(ISBLANK(N61)),N61,'Eingabe EF'!$O46)*IF(NOT(ISBLANK($I$12)),$I$12,$F$12))</f>
        <v>94.655570004334635</v>
      </c>
      <c r="Y61" s="15"/>
      <c r="Z61" s="79">
        <f>V61+W61</f>
        <v>0</v>
      </c>
      <c r="AA61" s="81">
        <f>SUM(V61:X61)</f>
        <v>94.655570004334635</v>
      </c>
      <c r="AB61" s="15" t="s">
        <v>148</v>
      </c>
      <c r="AC61" s="15"/>
    </row>
    <row r="62" spans="2:29" s="372" customFormat="1" x14ac:dyDescent="0.2">
      <c r="B62" s="15"/>
      <c r="C62" s="15"/>
      <c r="D62" s="15"/>
      <c r="E62" s="15"/>
      <c r="F62" s="358"/>
      <c r="G62" s="363"/>
      <c r="H62" s="15"/>
      <c r="I62" s="373"/>
      <c r="J62" s="15"/>
      <c r="K62" s="15"/>
      <c r="L62" s="15"/>
      <c r="M62" s="3"/>
      <c r="N62" s="15"/>
      <c r="O62" s="15"/>
      <c r="P62" s="15"/>
      <c r="Q62" s="15"/>
      <c r="S62" s="15"/>
      <c r="T62" s="15"/>
      <c r="U62" s="15"/>
      <c r="V62" s="79"/>
      <c r="W62" s="79"/>
      <c r="X62" s="79"/>
      <c r="Y62" s="15"/>
      <c r="Z62" s="79"/>
      <c r="AA62" s="81"/>
      <c r="AB62" s="15"/>
      <c r="AC62" s="15"/>
    </row>
    <row r="63" spans="2:29" s="372" customFormat="1" ht="14.25" x14ac:dyDescent="0.2">
      <c r="B63" s="15"/>
      <c r="C63" s="15"/>
      <c r="D63" s="15" t="s">
        <v>99</v>
      </c>
      <c r="E63" s="15"/>
      <c r="F63" s="409">
        <f>'Referenz Plattenfertiger'!F63</f>
        <v>0.1</v>
      </c>
      <c r="G63" s="363"/>
      <c r="H63" s="15"/>
      <c r="I63" s="360"/>
      <c r="J63" s="15"/>
      <c r="K63" s="15"/>
      <c r="L63" s="15"/>
      <c r="M63" s="3"/>
      <c r="N63" s="389"/>
      <c r="O63" s="15"/>
      <c r="P63" s="15"/>
      <c r="Q63" s="15"/>
      <c r="S63" s="15"/>
      <c r="T63" s="78" t="s">
        <v>189</v>
      </c>
      <c r="U63" s="78"/>
      <c r="V63" s="366"/>
      <c r="W63" s="366"/>
      <c r="X63" s="366">
        <f>IF(NOT(ISBLANK(K63)),K63*N63,IF(NOT(ISBLANK($I63)),$I63,$F63)*IF(NOT(ISBLANK(N63)),N63)*IF(NOT(ISBLANK($I$12)),$I$12,$F$12))</f>
        <v>0</v>
      </c>
      <c r="Y63" s="78"/>
      <c r="Z63" s="366">
        <f>V63+W63</f>
        <v>0</v>
      </c>
      <c r="AA63" s="368">
        <f>SUM(V63:X63)</f>
        <v>0</v>
      </c>
      <c r="AB63" s="78" t="s">
        <v>149</v>
      </c>
      <c r="AC63" s="15"/>
    </row>
    <row r="64" spans="2:29" s="372" customFormat="1" ht="14.25" x14ac:dyDescent="0.2">
      <c r="B64" s="15"/>
      <c r="C64" s="15"/>
      <c r="D64" s="15" t="s">
        <v>62</v>
      </c>
      <c r="E64" s="15"/>
      <c r="F64" s="335">
        <f>'Referenz Plattenfertiger'!F64</f>
        <v>2000</v>
      </c>
      <c r="G64" s="363" t="s">
        <v>63</v>
      </c>
      <c r="H64" s="15"/>
      <c r="I64" s="272"/>
      <c r="J64" s="15" t="s">
        <v>63</v>
      </c>
      <c r="K64" s="15"/>
      <c r="L64" s="15"/>
      <c r="M64" s="3"/>
      <c r="N64" s="389"/>
      <c r="O64" s="15"/>
      <c r="P64" s="15"/>
      <c r="Q64" s="15"/>
      <c r="S64" s="15"/>
      <c r="T64" s="78" t="s">
        <v>62</v>
      </c>
      <c r="U64" s="78"/>
      <c r="V64" s="366"/>
      <c r="W64" s="366"/>
      <c r="X64" s="366">
        <f>IF(NOT(ISBLANK($I64)),$I64,$F64)*IF(NOT(ISBLANK(N64)),N64,'Eingabe EF'!$O49)</f>
        <v>0.54400000000000004</v>
      </c>
      <c r="Y64" s="78"/>
      <c r="Z64" s="366">
        <f>V64+W64</f>
        <v>0</v>
      </c>
      <c r="AA64" s="368">
        <f>SUM(V64:X64)</f>
        <v>0.54400000000000004</v>
      </c>
      <c r="AB64" s="78" t="s">
        <v>149</v>
      </c>
      <c r="AC64" s="15"/>
    </row>
    <row r="65" spans="2:29" x14ac:dyDescent="0.2">
      <c r="B65" s="3"/>
      <c r="C65" s="3"/>
      <c r="D65" s="3"/>
      <c r="E65" s="3"/>
      <c r="F65" s="363"/>
      <c r="G65" s="363"/>
      <c r="H65" s="3"/>
      <c r="I65" s="3"/>
      <c r="J65" s="3"/>
      <c r="K65" s="3"/>
      <c r="L65" s="3"/>
      <c r="M65" s="3"/>
      <c r="N65" s="3"/>
      <c r="O65" s="3"/>
      <c r="P65" s="3"/>
      <c r="Q65" s="3"/>
      <c r="S65" s="3"/>
      <c r="T65" s="3"/>
      <c r="U65" s="3"/>
      <c r="V65" s="81"/>
      <c r="W65" s="81"/>
      <c r="X65" s="81"/>
      <c r="Y65" s="15"/>
      <c r="Z65" s="79"/>
      <c r="AA65" s="81"/>
      <c r="AB65" s="15"/>
      <c r="AC65" s="3"/>
    </row>
    <row r="66" spans="2:29" ht="14.25" x14ac:dyDescent="0.2">
      <c r="B66" s="3"/>
      <c r="C66" s="3"/>
      <c r="D66" s="8" t="s">
        <v>168</v>
      </c>
      <c r="E66" s="3"/>
      <c r="F66" s="363"/>
      <c r="G66" s="363"/>
      <c r="H66" s="3"/>
      <c r="I66" s="3"/>
      <c r="J66" s="3"/>
      <c r="K66" s="3"/>
      <c r="L66" s="3"/>
      <c r="M66" s="3"/>
      <c r="N66" s="3"/>
      <c r="O66" s="3"/>
      <c r="P66" s="3"/>
      <c r="Q66" s="3"/>
      <c r="S66" s="3"/>
      <c r="T66" s="345" t="str">
        <f>D66</f>
        <v>Oberflächenschutzsysteme</v>
      </c>
      <c r="U66" s="118"/>
      <c r="V66" s="346"/>
      <c r="W66" s="346"/>
      <c r="X66" s="346">
        <f>SUM(X67:X69)</f>
        <v>80.47999999999999</v>
      </c>
      <c r="Y66" s="363"/>
      <c r="Z66" s="346">
        <f>V66+W66</f>
        <v>0</v>
      </c>
      <c r="AA66" s="367">
        <f>SUM(V66:X66)</f>
        <v>80.47999999999999</v>
      </c>
      <c r="AB66" s="347" t="s">
        <v>149</v>
      </c>
      <c r="AC66" s="3"/>
    </row>
    <row r="67" spans="2:29" ht="15.75" x14ac:dyDescent="0.2">
      <c r="B67" s="3"/>
      <c r="C67" s="3"/>
      <c r="D67" s="3" t="s">
        <v>169</v>
      </c>
      <c r="E67" s="3"/>
      <c r="F67" s="409">
        <f>'Referenz Plattenfertiger'!F67</f>
        <v>0</v>
      </c>
      <c r="G67" s="363"/>
      <c r="H67" s="3"/>
      <c r="I67" s="120"/>
      <c r="J67" s="3" t="s">
        <v>447</v>
      </c>
      <c r="K67" s="385"/>
      <c r="L67" s="3" t="s">
        <v>448</v>
      </c>
      <c r="M67" s="3"/>
      <c r="N67" s="389"/>
      <c r="O67" s="3"/>
      <c r="P67" s="119"/>
      <c r="Q67" s="3"/>
      <c r="S67" s="3"/>
      <c r="T67" s="3" t="str">
        <f>D67</f>
        <v>Hydrophobierung</v>
      </c>
      <c r="U67" s="3"/>
      <c r="V67" s="79"/>
      <c r="W67" s="79"/>
      <c r="X67" s="79">
        <f>IF(NOT(ISBLANK($K67)),$K67/1000*(N67),IF(NOT(ISBLANK($I67)),$I67,$F67)*(N67)*IF(NOT(ISBLANK($I$12)),$I$12,$F$12))</f>
        <v>0</v>
      </c>
      <c r="Y67" s="15"/>
      <c r="Z67" s="79">
        <f>V67+W67</f>
        <v>0</v>
      </c>
      <c r="AA67" s="81">
        <f>SUM(V67:X67)</f>
        <v>0</v>
      </c>
      <c r="AB67" s="15" t="s">
        <v>148</v>
      </c>
      <c r="AC67" s="3"/>
    </row>
    <row r="68" spans="2:29" ht="15.75" x14ac:dyDescent="0.2">
      <c r="B68" s="3"/>
      <c r="C68" s="3"/>
      <c r="D68" s="3" t="s">
        <v>60</v>
      </c>
      <c r="E68" s="3"/>
      <c r="F68" s="409">
        <f>'Referenz Plattenfertiger'!F68</f>
        <v>1E-3</v>
      </c>
      <c r="G68" s="363"/>
      <c r="H68" s="3"/>
      <c r="I68" s="120"/>
      <c r="J68" s="3" t="s">
        <v>447</v>
      </c>
      <c r="K68" s="385"/>
      <c r="L68" s="3" t="s">
        <v>448</v>
      </c>
      <c r="M68" s="3"/>
      <c r="N68" s="389"/>
      <c r="O68" s="3"/>
      <c r="P68" s="119"/>
      <c r="Q68" s="3"/>
      <c r="S68" s="3"/>
      <c r="T68" s="3" t="str">
        <f>D68</f>
        <v>Imprägniermittel  (Aushärtung über Infrarot)</v>
      </c>
      <c r="U68" s="3"/>
      <c r="V68" s="79"/>
      <c r="W68" s="79"/>
      <c r="X68" s="79">
        <f>IF(NOT(ISBLANK($K68)),$K68/1000*IF(NOT(ISBLANK(N68)),N68,'Eingabe EF'!$O53),IF(NOT(ISBLANK($I68)),$I68,$F68)*IF(NOT(ISBLANK(N68)),N68,'Eingabe EF'!$O53)*IF(NOT(ISBLANK($I$12)),$I$12,$F$12))</f>
        <v>80.47999999999999</v>
      </c>
      <c r="Y68" s="15"/>
      <c r="Z68" s="79">
        <f>V68+W68</f>
        <v>0</v>
      </c>
      <c r="AA68" s="81">
        <f>SUM(V68:X68)</f>
        <v>80.47999999999999</v>
      </c>
      <c r="AB68" s="15" t="s">
        <v>148</v>
      </c>
      <c r="AC68" s="3"/>
    </row>
    <row r="69" spans="2:29" ht="15.75" x14ac:dyDescent="0.2">
      <c r="B69" s="3"/>
      <c r="C69" s="3"/>
      <c r="D69" s="3" t="s">
        <v>170</v>
      </c>
      <c r="E69" s="3"/>
      <c r="F69" s="409">
        <f>'Referenz Plattenfertiger'!F69</f>
        <v>0</v>
      </c>
      <c r="G69" s="363"/>
      <c r="H69" s="3"/>
      <c r="I69" s="120"/>
      <c r="J69" s="3" t="s">
        <v>447</v>
      </c>
      <c r="K69" s="385"/>
      <c r="L69" s="3" t="s">
        <v>448</v>
      </c>
      <c r="M69" s="3"/>
      <c r="N69" s="389"/>
      <c r="O69" s="3"/>
      <c r="P69" s="119"/>
      <c r="Q69" s="3"/>
      <c r="S69" s="3"/>
      <c r="T69" s="3" t="str">
        <f>D69</f>
        <v>Beschichtung</v>
      </c>
      <c r="U69" s="3"/>
      <c r="V69" s="79"/>
      <c r="W69" s="79"/>
      <c r="X69" s="79">
        <f>IF(NOT(ISBLANK($K69)),$K69/1000*IF(NOT(ISBLANK(N69)),N69,N69),IF(NOT(ISBLANK($I69)),$I69,$F69)*IF(NOT(ISBLANK(N69)),N69,N69)*IF(NOT(ISBLANK($I$12)),$I$12,$F$12))</f>
        <v>0</v>
      </c>
      <c r="Y69" s="15"/>
      <c r="Z69" s="79">
        <f>V69+W69</f>
        <v>0</v>
      </c>
      <c r="AA69" s="81">
        <f>SUM(V69:X69)</f>
        <v>0</v>
      </c>
      <c r="AB69" s="15" t="s">
        <v>148</v>
      </c>
      <c r="AC69" s="3"/>
    </row>
    <row r="70" spans="2:29" x14ac:dyDescent="0.2">
      <c r="B70" s="3"/>
      <c r="C70" s="3"/>
      <c r="D70" s="3"/>
      <c r="E70" s="3"/>
      <c r="F70" s="363"/>
      <c r="G70" s="363"/>
      <c r="H70" s="3"/>
      <c r="I70" s="3"/>
      <c r="J70" s="3"/>
      <c r="K70" s="3"/>
      <c r="L70" s="3"/>
      <c r="M70" s="3"/>
      <c r="N70" s="3"/>
      <c r="O70" s="3"/>
      <c r="P70" s="3"/>
      <c r="Q70" s="3"/>
      <c r="S70" s="3"/>
      <c r="T70" s="3"/>
      <c r="U70" s="3"/>
      <c r="V70" s="81"/>
      <c r="W70" s="81"/>
      <c r="X70" s="81"/>
      <c r="Y70" s="15"/>
      <c r="Z70" s="79"/>
      <c r="AA70" s="81"/>
      <c r="AB70" s="15"/>
      <c r="AC70" s="3"/>
    </row>
    <row r="71" spans="2:29" ht="25.5" x14ac:dyDescent="0.2">
      <c r="B71" s="3"/>
      <c r="C71" s="3"/>
      <c r="D71" s="8" t="s">
        <v>171</v>
      </c>
      <c r="E71" s="3"/>
      <c r="F71" s="363"/>
      <c r="G71" s="363"/>
      <c r="H71" s="3"/>
      <c r="I71" s="3"/>
      <c r="J71" s="3"/>
      <c r="K71" s="3"/>
      <c r="L71" s="3"/>
      <c r="M71" s="3"/>
      <c r="N71" s="3"/>
      <c r="O71" s="3"/>
      <c r="P71" s="3"/>
      <c r="Q71" s="3"/>
      <c r="S71" s="3"/>
      <c r="T71" s="357" t="str">
        <f>D71</f>
        <v>Oberflächenbearbeitung (vor/nach Erhärtung)</v>
      </c>
      <c r="U71" s="118"/>
      <c r="V71" s="346"/>
      <c r="W71" s="346"/>
      <c r="X71" s="346">
        <f>SUM(X72:X74)</f>
        <v>60</v>
      </c>
      <c r="Y71" s="363"/>
      <c r="Z71" s="346">
        <f>V71+W71</f>
        <v>0</v>
      </c>
      <c r="AA71" s="367">
        <f>SUM(V71:X71)</f>
        <v>60</v>
      </c>
      <c r="AB71" s="347" t="s">
        <v>149</v>
      </c>
      <c r="AC71" s="3"/>
    </row>
    <row r="72" spans="2:29" ht="15.75" x14ac:dyDescent="0.2">
      <c r="B72" s="3"/>
      <c r="C72" s="3"/>
      <c r="D72" s="3" t="s">
        <v>64</v>
      </c>
      <c r="E72" s="3"/>
      <c r="F72" s="335">
        <f>'Referenz Plattenfertiger'!F72</f>
        <v>40</v>
      </c>
      <c r="G72" s="363" t="s">
        <v>46</v>
      </c>
      <c r="H72" s="3"/>
      <c r="I72" s="110"/>
      <c r="J72" s="3" t="s">
        <v>46</v>
      </c>
      <c r="K72" s="3"/>
      <c r="L72" s="3"/>
      <c r="M72" s="3"/>
      <c r="N72" s="389"/>
      <c r="O72" s="3"/>
      <c r="P72" s="3"/>
      <c r="Q72" s="3"/>
      <c r="S72" s="3"/>
      <c r="T72" s="3" t="str">
        <f>D72</f>
        <v>Stahlkugeln (Strahlanlage)</v>
      </c>
      <c r="U72" s="3"/>
      <c r="V72" s="79"/>
      <c r="W72" s="79"/>
      <c r="X72" s="79">
        <f>IF(NOT(ISBLANK($I72)),$I72,$F72)*IF(NOT(ISBLANK(N72)),N72,'Eingabe EF'!$O57)</f>
        <v>60</v>
      </c>
      <c r="Y72" s="15"/>
      <c r="Z72" s="79">
        <f>V72+W72</f>
        <v>0</v>
      </c>
      <c r="AA72" s="81">
        <f>SUM(V72:X72)</f>
        <v>60</v>
      </c>
      <c r="AB72" s="15" t="s">
        <v>148</v>
      </c>
      <c r="AC72" s="3"/>
    </row>
    <row r="73" spans="2:29" ht="15.75" x14ac:dyDescent="0.2">
      <c r="B73" s="3"/>
      <c r="C73" s="3"/>
      <c r="D73" s="3" t="s">
        <v>173</v>
      </c>
      <c r="E73" s="3"/>
      <c r="F73" s="335">
        <f>'Referenz Plattenfertiger'!F73</f>
        <v>0</v>
      </c>
      <c r="G73" s="363" t="s">
        <v>46</v>
      </c>
      <c r="H73" s="3"/>
      <c r="I73" s="110"/>
      <c r="J73" s="3" t="s">
        <v>46</v>
      </c>
      <c r="K73" s="3"/>
      <c r="L73" s="3"/>
      <c r="M73" s="3"/>
      <c r="N73" s="389"/>
      <c r="O73" s="3"/>
      <c r="P73" s="119"/>
      <c r="Q73" s="3"/>
      <c r="S73" s="3"/>
      <c r="T73" s="3" t="str">
        <f>D73</f>
        <v>Weitere Materialen</v>
      </c>
      <c r="U73" s="3"/>
      <c r="V73" s="79"/>
      <c r="W73" s="79"/>
      <c r="X73" s="79">
        <f>IF(NOT(ISBLANK($I73)),$I73,$F73)*IF(NOT(ISBLANK(N73)),N73,0)</f>
        <v>0</v>
      </c>
      <c r="Y73" s="15"/>
      <c r="Z73" s="79">
        <f>V73+W73</f>
        <v>0</v>
      </c>
      <c r="AA73" s="81">
        <f>SUM(V73:X73)</f>
        <v>0</v>
      </c>
      <c r="AB73" s="15" t="s">
        <v>148</v>
      </c>
      <c r="AC73" s="3"/>
    </row>
    <row r="74" spans="2:29" ht="15.75" x14ac:dyDescent="0.2">
      <c r="B74" s="3"/>
      <c r="C74" s="3"/>
      <c r="D74" s="3" t="s">
        <v>172</v>
      </c>
      <c r="E74" s="3"/>
      <c r="F74" s="335">
        <f>'Referenz Plattenfertiger'!F74</f>
        <v>0</v>
      </c>
      <c r="G74" s="363" t="s">
        <v>46</v>
      </c>
      <c r="H74" s="3"/>
      <c r="I74" s="110"/>
      <c r="J74" s="3" t="s">
        <v>46</v>
      </c>
      <c r="K74" s="3"/>
      <c r="L74" s="3"/>
      <c r="M74" s="3"/>
      <c r="N74" s="389"/>
      <c r="O74" s="3"/>
      <c r="P74" s="119"/>
      <c r="Q74" s="3"/>
      <c r="S74" s="3"/>
      <c r="T74" s="3" t="str">
        <f>D74</f>
        <v>Oberflächenbearbeitungsarten</v>
      </c>
      <c r="U74" s="3"/>
      <c r="V74" s="79"/>
      <c r="W74" s="79"/>
      <c r="X74" s="79">
        <f>IF(NOT(ISBLANK($I74)),$I74,$F74)*IF(NOT(ISBLANK(N74)),N74,0)</f>
        <v>0</v>
      </c>
      <c r="Y74" s="15"/>
      <c r="Z74" s="79">
        <f>V74+W74</f>
        <v>0</v>
      </c>
      <c r="AA74" s="81">
        <f>SUM(V74:X74)</f>
        <v>0</v>
      </c>
      <c r="AB74" s="15" t="s">
        <v>148</v>
      </c>
      <c r="AC74" s="3"/>
    </row>
    <row r="75" spans="2:29" x14ac:dyDescent="0.2">
      <c r="B75" s="3"/>
      <c r="C75" s="3"/>
      <c r="D75" s="3"/>
      <c r="E75" s="3"/>
      <c r="F75" s="363"/>
      <c r="G75" s="363"/>
      <c r="H75" s="3"/>
      <c r="I75" s="3"/>
      <c r="J75" s="3"/>
      <c r="K75" s="3"/>
      <c r="L75" s="3"/>
      <c r="M75" s="3"/>
      <c r="N75" s="3"/>
      <c r="O75" s="3"/>
      <c r="P75" s="3"/>
      <c r="Q75" s="3"/>
      <c r="S75" s="3"/>
      <c r="T75" s="3"/>
      <c r="U75" s="3"/>
      <c r="V75" s="81"/>
      <c r="W75" s="81"/>
      <c r="X75" s="81"/>
      <c r="Y75" s="15"/>
      <c r="Z75" s="79"/>
      <c r="AA75" s="81"/>
      <c r="AB75" s="15"/>
      <c r="AC75" s="3"/>
    </row>
    <row r="76" spans="2:29" ht="14.25" x14ac:dyDescent="0.2">
      <c r="B76" s="3"/>
      <c r="C76" s="3"/>
      <c r="D76" s="3" t="s">
        <v>61</v>
      </c>
      <c r="E76" s="3"/>
      <c r="F76" s="335">
        <f>'Referenz Plattenfertiger'!F76</f>
        <v>80</v>
      </c>
      <c r="G76" s="363" t="s">
        <v>46</v>
      </c>
      <c r="H76" s="3"/>
      <c r="I76" s="110"/>
      <c r="J76" s="3" t="s">
        <v>46</v>
      </c>
      <c r="K76" s="3"/>
      <c r="L76" s="3"/>
      <c r="M76" s="3"/>
      <c r="N76" s="389"/>
      <c r="O76" s="3"/>
      <c r="P76" s="3"/>
      <c r="Q76" s="3"/>
      <c r="S76" s="3"/>
      <c r="T76" s="8" t="str">
        <f>D76</f>
        <v>Verpackungsmaterial</v>
      </c>
      <c r="U76" s="8"/>
      <c r="V76" s="366"/>
      <c r="W76" s="366"/>
      <c r="X76" s="366">
        <f>IF(NOT(ISBLANK($I76)),$I76,$F76)*IF(NOT(ISBLANK(N76)),N76,'Eingabe EF'!$O61)</f>
        <v>64.48</v>
      </c>
      <c r="Y76" s="78"/>
      <c r="Z76" s="366">
        <f>V76+W76</f>
        <v>0</v>
      </c>
      <c r="AA76" s="368">
        <f>SUM(V76:X76)</f>
        <v>64.48</v>
      </c>
      <c r="AB76" s="78" t="s">
        <v>149</v>
      </c>
      <c r="AC76" s="3"/>
    </row>
    <row r="77" spans="2:29" x14ac:dyDescent="0.2">
      <c r="B77" s="3"/>
      <c r="C77" s="3"/>
      <c r="D77" s="3"/>
      <c r="E77" s="3"/>
      <c r="F77" s="3"/>
      <c r="G77" s="3"/>
      <c r="H77" s="3"/>
      <c r="I77" s="3"/>
      <c r="J77" s="3"/>
      <c r="K77" s="3"/>
      <c r="L77" s="3"/>
      <c r="M77" s="3"/>
      <c r="N77" s="3"/>
      <c r="O77" s="3"/>
      <c r="P77" s="3"/>
      <c r="Q77" s="3"/>
      <c r="S77" s="3"/>
      <c r="T77" s="3"/>
      <c r="U77" s="3"/>
      <c r="V77" s="9"/>
      <c r="W77" s="9"/>
      <c r="X77" s="9"/>
      <c r="Y77" s="3"/>
      <c r="Z77" s="9"/>
      <c r="AA77" s="9"/>
      <c r="AB77" s="3"/>
      <c r="AC77" s="3"/>
    </row>
    <row r="78" spans="2:29" ht="27" customHeight="1" x14ac:dyDescent="0.25">
      <c r="B78" s="3"/>
      <c r="C78" s="3"/>
      <c r="D78" s="3"/>
      <c r="E78" s="3"/>
      <c r="F78" s="3"/>
      <c r="G78" s="3"/>
      <c r="H78" s="3"/>
      <c r="I78" s="469" t="str">
        <f>IF((I36+I37+I38+I39+I42+I43+I44++I51+I52+I53+I57+I63)&gt;0,IF((I36+I37+I38+I39+I42+I43+I44+I48+I51+I52+I53+I57+I63)=100%,"","Hinweis, falls Handeingabe vorgenommen wurde: Anteile der eingegebenen Verbrauchswerte der Rohstoffe (Zeile 36-59) ergeben nicht 100 %"),"")</f>
        <v/>
      </c>
      <c r="J78" s="469"/>
      <c r="K78" s="469"/>
      <c r="L78" s="469"/>
      <c r="M78" s="469"/>
      <c r="N78" s="3"/>
      <c r="O78" s="3"/>
      <c r="P78" s="3"/>
      <c r="Q78" s="3"/>
      <c r="S78" s="3"/>
      <c r="T78" s="349" t="s">
        <v>37</v>
      </c>
      <c r="U78" s="350"/>
      <c r="V78" s="351">
        <f>SUM(V16:V77)-V41-V35-V50-V57-V66-V71-V31</f>
        <v>94.932355060000006</v>
      </c>
      <c r="W78" s="351">
        <f>SUM(W16:W77)-W41-W35-W50-W57-W66-W71-W31</f>
        <v>171.9</v>
      </c>
      <c r="X78" s="351">
        <f>SUM(X16:X77)-X41-X35-X50-X57-X66-X71-X31</f>
        <v>5831.5296228095176</v>
      </c>
      <c r="Y78" s="349"/>
      <c r="Z78" s="351">
        <f>V78+W78</f>
        <v>266.83235506</v>
      </c>
      <c r="AA78" s="351">
        <f>SUM(V78:X78)</f>
        <v>6098.3619778695174</v>
      </c>
      <c r="AB78" s="349" t="s">
        <v>149</v>
      </c>
      <c r="AC78" s="8"/>
    </row>
    <row r="79" spans="2:29" ht="15" thickBot="1" x14ac:dyDescent="0.3">
      <c r="B79" s="3"/>
      <c r="C79" s="3"/>
      <c r="D79" s="3"/>
      <c r="E79" s="3"/>
      <c r="F79" s="3"/>
      <c r="G79" s="3"/>
      <c r="H79" s="3"/>
      <c r="I79" s="352"/>
      <c r="J79" s="3"/>
      <c r="K79" s="3"/>
      <c r="L79" s="3"/>
      <c r="M79" s="3"/>
      <c r="N79" s="3"/>
      <c r="O79" s="3"/>
      <c r="P79" s="3"/>
      <c r="Q79" s="3"/>
      <c r="S79" s="3"/>
      <c r="T79" s="353"/>
      <c r="U79" s="353"/>
      <c r="V79" s="354">
        <f>V78/IF(NOT(ISBLANK($I$12)),$I$12,$F$12)</f>
        <v>2.3733088764999999E-3</v>
      </c>
      <c r="W79" s="354">
        <f>W78/IF(NOT(ISBLANK($I$12)),$I$12,$F$12)</f>
        <v>4.2975000000000001E-3</v>
      </c>
      <c r="X79" s="354">
        <f>X78/IF(NOT(ISBLANK($I$12)),$I$12,$F$12)</f>
        <v>0.14578824057023795</v>
      </c>
      <c r="Y79" s="355"/>
      <c r="Z79" s="354">
        <f>Z78/IF(NOT(ISBLANK($I$12)),$I$12,$F$12)</f>
        <v>6.6708088764999996E-3</v>
      </c>
      <c r="AA79" s="354">
        <f>AA78/IF(NOT(ISBLANK($I$12)),$I$12,$F$12)</f>
        <v>0.15245904944673794</v>
      </c>
      <c r="AB79" s="355" t="s">
        <v>150</v>
      </c>
      <c r="AC79" s="8"/>
    </row>
    <row r="80" spans="2:29" ht="13.5" thickTop="1" x14ac:dyDescent="0.2">
      <c r="B80" s="3" t="str">
        <f>IF(AND($F$16&gt;0,J16&lt;F16),"Bitte den Handeingabewert 'Reduktion' für 'Bilanzjahr +10 Jahre' auch anpassen. Dieser muss dem Werte Ihrer Handeingabe  'Bilanzjahr + 5 Jahre' entsprechen, sollte nur eine Maßnahme im  'Bilanzjahr + 5 Jahre' umgesetzt werden.","")</f>
        <v/>
      </c>
      <c r="C80" s="3"/>
      <c r="D80" s="3"/>
      <c r="E80" s="3"/>
      <c r="F80" s="3"/>
      <c r="G80" s="3"/>
      <c r="H80" s="3"/>
      <c r="I80" s="3"/>
      <c r="J80" s="3"/>
      <c r="K80" s="3"/>
      <c r="L80" s="3"/>
      <c r="M80" s="3"/>
      <c r="N80" s="3"/>
      <c r="O80" s="3"/>
      <c r="P80" s="3"/>
      <c r="Q80" s="3"/>
      <c r="S80" s="3"/>
      <c r="T80" s="3"/>
      <c r="U80" s="3"/>
      <c r="V80" s="3"/>
      <c r="W80" s="3"/>
      <c r="X80" s="3"/>
      <c r="Y80" s="3"/>
      <c r="Z80" s="3"/>
      <c r="AA80" s="3"/>
      <c r="AB80" s="3"/>
      <c r="AC80" s="3"/>
    </row>
    <row r="81" spans="2:29" ht="14.25" x14ac:dyDescent="0.2">
      <c r="B81" s="3"/>
      <c r="C81" s="34"/>
      <c r="D81" s="34" t="s">
        <v>399</v>
      </c>
      <c r="E81" s="34"/>
      <c r="F81" s="34"/>
      <c r="G81" s="34"/>
      <c r="H81" s="34"/>
      <c r="I81" s="34"/>
      <c r="J81" s="34"/>
      <c r="K81" s="3"/>
      <c r="L81" s="3"/>
      <c r="M81" s="3"/>
      <c r="N81" s="3"/>
      <c r="O81" s="3"/>
      <c r="P81" s="3"/>
      <c r="Q81" s="3"/>
      <c r="S81" s="3"/>
      <c r="T81" s="3"/>
      <c r="U81" s="3"/>
      <c r="V81" s="3"/>
      <c r="W81" s="3"/>
      <c r="X81" s="3"/>
      <c r="Y81" s="3"/>
      <c r="Z81" s="3"/>
      <c r="AA81" s="3"/>
      <c r="AB81" s="3"/>
      <c r="AC81" s="3"/>
    </row>
    <row r="82" spans="2:29" ht="14.25" x14ac:dyDescent="0.2">
      <c r="B82" s="3"/>
      <c r="C82" s="3"/>
      <c r="D82" s="3"/>
      <c r="E82" s="3"/>
      <c r="F82" s="3"/>
      <c r="G82" s="3"/>
      <c r="H82" s="3"/>
      <c r="I82" s="3"/>
      <c r="J82" s="3"/>
      <c r="K82" s="3"/>
      <c r="L82" s="3"/>
      <c r="M82" s="3"/>
      <c r="N82" s="3"/>
      <c r="O82" s="3"/>
      <c r="P82" s="3"/>
      <c r="Q82" s="3"/>
      <c r="S82" s="3"/>
      <c r="T82" s="3" t="s">
        <v>157</v>
      </c>
      <c r="U82" s="3"/>
      <c r="V82" s="3"/>
      <c r="W82" s="3"/>
      <c r="X82" s="3"/>
      <c r="Y82" s="3"/>
      <c r="Z82" s="3"/>
      <c r="AA82" s="3"/>
      <c r="AB82" s="3"/>
      <c r="AC82" s="3"/>
    </row>
    <row r="83" spans="2:29" x14ac:dyDescent="0.2">
      <c r="B83"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83" s="3"/>
      <c r="D83" s="3"/>
      <c r="E83" s="3"/>
      <c r="F83" s="3"/>
      <c r="G83" s="3"/>
      <c r="H83" s="3"/>
      <c r="I83" s="3"/>
      <c r="J83" s="3"/>
      <c r="K83" s="3"/>
      <c r="L83" s="3"/>
      <c r="M83" s="3"/>
      <c r="N83" s="3"/>
      <c r="O83" s="3"/>
      <c r="P83" s="3"/>
      <c r="Q83" s="3"/>
      <c r="S83" s="3"/>
      <c r="T83" s="3"/>
      <c r="U83" s="3"/>
      <c r="V83" s="3"/>
      <c r="W83" s="3"/>
      <c r="X83" s="3"/>
      <c r="Y83" s="3"/>
      <c r="Z83" s="3"/>
      <c r="AA83" s="3"/>
      <c r="AB83" s="3"/>
      <c r="AC83" s="3"/>
    </row>
    <row r="84" spans="2:29" hidden="1" x14ac:dyDescent="0.2">
      <c r="B84" s="3"/>
      <c r="C84" s="3"/>
      <c r="D84" s="3"/>
      <c r="E84" s="3"/>
      <c r="F84" s="3"/>
      <c r="G84" s="3"/>
      <c r="H84" s="3"/>
      <c r="I84" s="3"/>
      <c r="J84" s="3"/>
      <c r="K84" s="3"/>
      <c r="L84" s="3"/>
      <c r="M84" s="3"/>
      <c r="N84" s="3"/>
      <c r="O84" s="3"/>
      <c r="P84" s="3"/>
      <c r="Q84" s="3"/>
      <c r="S84" s="3"/>
      <c r="T84" s="3"/>
      <c r="U84" s="3"/>
      <c r="V84" s="3"/>
      <c r="W84" s="3"/>
      <c r="X84" s="3"/>
      <c r="Y84" s="3"/>
      <c r="Z84" s="3"/>
      <c r="AA84" s="3"/>
      <c r="AB84" s="3"/>
      <c r="AC84" s="3"/>
    </row>
    <row r="85" spans="2:29" hidden="1" outlineLevel="1" x14ac:dyDescent="0.2">
      <c r="D85" s="102" t="str">
        <f>IF((OR($I$39&gt;0,K39&gt;0)),"Bitte im Reiter 'Eingabe EF' einen Emissionsfaktor für die Zementsorte für aktuelles Bilanzjahr, Bilanzjahr +5 Jahre  und Bilanzjahr +10 Jahre eintragen!","")</f>
        <v/>
      </c>
    </row>
    <row r="86" spans="2:29" hidden="1" outlineLevel="1" x14ac:dyDescent="0.2">
      <c r="D86" s="102" t="str">
        <f>IF($I$19&gt;0,"Bitte im Reiter 'Eingabe EF' entsprechende Emissionsfaktoren und im Reiter 'Eingabe Preise' entsprechenden Preis für den alternativen Ergieträger Härtekammer für das Bilanzjahr, das 'Bilanzjahr +5 Jahre' und das 'Bilanzjahr +10 Jahre' eintragen!","")</f>
        <v/>
      </c>
      <c r="G86" s="6" t="s">
        <v>400</v>
      </c>
      <c r="I86" s="356">
        <f>IF(NOT(ISBLANK($I36)),$I36,$F36)+IF(NOT(ISBLANK($I37)),$I37,$F37)+IF(NOT(ISBLANK($I38)),$I38,$F38)+IF(NOT(ISBLANK($I39)),$I39,$F39)+IF(NOT(ISBLANK($I42)),$I42,$F42)+IF(NOT(ISBLANK($I43)),$I43,$F43)+IF(NOT(ISBLANK($I44)),$I44,$F44)+IF(NOT(ISBLANK($I48)),$I48,$F48)+IF(NOT(ISBLANK($I51)),$I51,$F51)+IF(NOT(ISBLANK($I52)),$I52,$F52)+IF(NOT(ISBLANK($I53)),$I53,$F53)+IF(NOT(ISBLANK($I57)),$I57,$F57)+IF(NOT(ISBLANK($I63)),$I63,$F63)+IF(NOT(ISBLANK($I67)),$I67,$F67)+IF(NOT(ISBLANK($I68)),$I68,$F68)+IF(NOT(ISBLANK($I69)),$I69,$F69)</f>
        <v>1</v>
      </c>
      <c r="P86" s="6" t="str">
        <f>IF(OR(I86&lt;100%,I86&gt;100%),"Hinweis: Die Summe der Einsatzstoffe muss 100% ergeben.","")</f>
        <v/>
      </c>
    </row>
    <row r="87" spans="2:29" hidden="1" outlineLevel="1" x14ac:dyDescent="0.2">
      <c r="D87" s="102" t="str">
        <f>IF($I$26&gt;0,"Bitte im Reiter 'Eingabe EF' entsprechende Emissionsfaktoren und im Reiter 'Eingabe Preise' entsprechenden Preis für den alternativen Ergieträger fürs restliche Werk für aktuelles Bilanzjahr, Bilanzjahr +5 Jahre und Bilanzjahr +10 Jahre eintragen!","")</f>
        <v/>
      </c>
      <c r="G87" s="6" t="s">
        <v>401</v>
      </c>
      <c r="I87" s="356">
        <f>IF(NOT(ISBLANK($I58)),$I58,$F58)+IF(NOT(ISBLANK($I59)),$I59,$F59)+IF(NOT(ISBLANK($I60)),$I60,$F60)+IF(NOT(ISBLANK($I61)),$I61,$F61)</f>
        <v>0.99999999999999967</v>
      </c>
      <c r="P87" s="6" t="str">
        <f>IF(OR(I87&lt;100%,I87&gt;100%),"Hinweis: Die Summe der Zusatzmittel muss 100% ergeben.","")</f>
        <v/>
      </c>
    </row>
    <row r="88" spans="2:29" hidden="1" outlineLevel="1" x14ac:dyDescent="0.2">
      <c r="D88" s="102" t="str">
        <f>IF(OR($K43&gt;0,$I43&gt;0),"Bitte im Reiter 'Eingabe EF' einen Emissionsfaktor für Brechsand, Splitt für aktuelles Bilanzjahr, Bilanzjahr +5 Jahre und Bilanzjahr + 10 Jahre eintragen!","")</f>
        <v/>
      </c>
    </row>
    <row r="89" spans="2:29" hidden="1" outlineLevel="1" x14ac:dyDescent="0.2">
      <c r="D89" s="102" t="str">
        <f>IF(OR($K44&gt;0,$I44&gt;0),"Bitte im Reiter 'Eingabe EF' einen Emissionsfaktor für Brechsand, Splitt für aktuelles Bilanzjahr, Bilanzjahr +5 Jahre und Bilanzjahr + 10 Jahre eintragen!","")</f>
        <v/>
      </c>
    </row>
    <row r="90" spans="2:29" hidden="1" outlineLevel="1" x14ac:dyDescent="0.2">
      <c r="D90" s="102" t="str">
        <f>IF(OR($I$67&gt;0,$K67),"Bitte im Reiter 'Eingabe EF' einen Emissionsfaktor für Hydrophobierung für aktuelles Bilanzjahr, Bilanzjahr +5 Jahre und Bilanzjahr + 10 Jahre eintragen!","")</f>
        <v/>
      </c>
    </row>
    <row r="91" spans="2:29" hidden="1" outlineLevel="1" x14ac:dyDescent="0.2">
      <c r="D91" s="102" t="str">
        <f>IF(OR($I$69&gt;0,K69&gt;0),"Bitte im Reiter 'Eingabe EF' einen Emissionsfaktor für Beschichtung für aktuelles Bilanzjahr, Bilanzjahr +5 Jahre und Bilanzjahr + 10 Jahre eintragen!","")</f>
        <v/>
      </c>
    </row>
    <row r="92" spans="2:29" hidden="1" outlineLevel="1" x14ac:dyDescent="0.2">
      <c r="D92" s="102" t="str">
        <f>IF($I$73&gt;0,"Bitte im Reiter 'Eingabe EF' einen Emissionsfaktor für 'weitere Materialen' für aktuelles Bilanzjahr, Bilanzjahr +5 Jahre und Bilanzjahr + 10 Jahre eintragen!","")</f>
        <v/>
      </c>
    </row>
    <row r="93" spans="2:29" hidden="1" outlineLevel="1" x14ac:dyDescent="0.2">
      <c r="D93" s="102" t="str">
        <f>IF($I$74&gt;0,"Bitte im Reiter 'Eingabe EF' einen Emissionsfaktor für Oberflächenbearbeitungsarten für aktuelles Bilanzjahr, Bilanzjahr +5 Jahre und Bilanzjahr + 10 Jahre eintragen!","")</f>
        <v/>
      </c>
    </row>
    <row r="94" spans="2:29" hidden="1" collapsed="1" x14ac:dyDescent="0.2">
      <c r="D94" s="6" t="str">
        <f>IF((OR($I$61&gt;0,K61&gt;0)),"Bitte im Reiter 'Eingabe EF' einen Emissionsfaktor für die Hydrophobierer für aktuelles Bilanzjahr, Bilanzjahr +5 Jahre und Bilanzjahr + 10 Jahre eintragen!","")</f>
        <v/>
      </c>
    </row>
  </sheetData>
  <sheetProtection algorithmName="SHA-512" hashValue="86HBBSBFlpGEWKyaKhQxoEbKXX28v/UmDFCQdm5nj5mVNSzEimUwP03HP75+Y5f9ArKMhx2YIZptuSq1USCi5Q==" saltValue="zE8yYFS2vXSp291AcRj94w==" spinCount="100000" sheet="1" selectLockedCells="1"/>
  <mergeCells count="3">
    <mergeCell ref="J58:J61"/>
    <mergeCell ref="F6:P6"/>
    <mergeCell ref="I78:M78"/>
  </mergeCells>
  <dataValidations count="4">
    <dataValidation allowBlank="1" showInputMessage="1" showErrorMessage="1" prompt="Bitte Emissionsfaktoren in Spalte M und N eintragen!" sqref="I19 K39 I43:I46 K61 K67 K69 I73:I74 I69 I67 I26 I39 K43:K46 I54:I55 K54:K55" xr:uid="{CE923231-B2B0-41DC-B81B-D59F00D62A7C}"/>
    <dataValidation allowBlank="1" showInputMessage="1" showErrorMessage="1" prompt="Hinweis: Die Summe der Zusatzmittel muss 100% ergeben." sqref="I58:I60" xr:uid="{FEECF717-DB3E-47B8-AA52-592F3EF7233B}"/>
    <dataValidation allowBlank="1" showInputMessage="1" showErrorMessage="1" prompt="Hinweis: Die Summe der Zusatzmittel muss 100% ergeben._x000a__x000a_Bitte Emissionsfaktoren in Spalte M und N eintragen!" sqref="I61" xr:uid="{D74454D4-E538-4897-8D33-49DD95CA5309}"/>
    <dataValidation allowBlank="1" showInputMessage="1" showErrorMessage="1" prompt="Hinweis: Falls eigener Strom-Emissionsfaktor vorhanden, z. B. Bezug von Grünstrom, in Spalte M und N eintragen." sqref="I18 I24" xr:uid="{EB7A5763-E4A9-4772-8A51-6A897BE15FB3}"/>
  </dataValidations>
  <hyperlinks>
    <hyperlink ref="A1" location="Cockpit!A1" display="zurück zu Cockpit" xr:uid="{D19EA34A-57DE-462A-8DA2-57043AAAC030}"/>
  </hyperlinks>
  <printOptions horizontalCentered="1"/>
  <pageMargins left="0.39370078740157483" right="0.39370078740157483" top="0.39370078740157483" bottom="0.59055118110236227" header="0.19685039370078741" footer="0.19685039370078741"/>
  <pageSetup paperSize="9" scale="40" fitToWidth="3" orientation="landscape" verticalDpi="601" r:id="rId1"/>
  <colBreaks count="2" manualBreakCount="2">
    <brk id="17" max="79" man="1"/>
    <brk id="29" max="79" man="1"/>
  </colBreaks>
  <ignoredErrors>
    <ignoredError sqref="D51:D55" unlocked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A0D9F-B2D2-4A50-B234-C48AF5562E47}">
  <dimension ref="A1:AL94"/>
  <sheetViews>
    <sheetView workbookViewId="0"/>
  </sheetViews>
  <sheetFormatPr baseColWidth="10" defaultColWidth="9" defaultRowHeight="12.75" outlineLevelRow="1" x14ac:dyDescent="0.2"/>
  <cols>
    <col min="1" max="1" width="3.5" style="6" customWidth="1"/>
    <col min="2" max="2" width="3.75" style="6" customWidth="1"/>
    <col min="3" max="3" width="13.625" style="6" customWidth="1"/>
    <col min="4" max="4" width="25.25" style="6" customWidth="1"/>
    <col min="5" max="5" width="26.5" style="6" customWidth="1"/>
    <col min="6" max="6" width="16.25" style="6" customWidth="1"/>
    <col min="7" max="7" width="17.625" style="6" customWidth="1"/>
    <col min="8" max="8" width="2" style="6" customWidth="1"/>
    <col min="9" max="9" width="17" style="6" customWidth="1"/>
    <col min="10" max="15" width="17.375" style="6" customWidth="1"/>
    <col min="16" max="16" width="21.375" style="6" customWidth="1"/>
    <col min="17" max="17" width="3.75" style="6" customWidth="1"/>
    <col min="18" max="18" width="4.125" style="6" customWidth="1"/>
    <col min="19" max="19" width="3.75" style="6" customWidth="1"/>
    <col min="20" max="20" width="31" style="6" customWidth="1"/>
    <col min="21" max="21" width="1.375" style="6" customWidth="1"/>
    <col min="22" max="24" width="9" style="6"/>
    <col min="25" max="25" width="3.125" style="6" customWidth="1"/>
    <col min="26" max="27" width="11.625" style="6" customWidth="1"/>
    <col min="28" max="28" width="15.125" style="6" bestFit="1" customWidth="1"/>
    <col min="29" max="29" width="3.75" style="6" customWidth="1"/>
    <col min="30" max="30" width="4.125" style="6" customWidth="1"/>
    <col min="31" max="31" width="3.75" style="6" customWidth="1"/>
    <col min="32" max="32" width="29.875" style="6" bestFit="1" customWidth="1"/>
    <col min="33" max="33" width="10.875" style="6" bestFit="1" customWidth="1"/>
    <col min="34" max="34" width="6.625" style="6" customWidth="1"/>
    <col min="35" max="16384" width="9" style="6"/>
  </cols>
  <sheetData>
    <row r="1" spans="1:38" x14ac:dyDescent="0.2">
      <c r="A1" s="425" t="s">
        <v>467</v>
      </c>
    </row>
    <row r="3" spans="1:38" x14ac:dyDescent="0.2">
      <c r="B3" s="3"/>
      <c r="C3" s="3"/>
      <c r="D3" s="3"/>
      <c r="E3" s="3"/>
      <c r="F3" s="3"/>
      <c r="G3" s="3"/>
      <c r="H3" s="3"/>
      <c r="I3" s="3"/>
      <c r="J3" s="3"/>
      <c r="K3" s="3"/>
      <c r="L3" s="3"/>
      <c r="M3" s="3"/>
      <c r="N3" s="3"/>
      <c r="O3" s="3"/>
      <c r="P3" s="3"/>
      <c r="Q3" s="3"/>
    </row>
    <row r="4" spans="1:38" ht="15.75" x14ac:dyDescent="0.25">
      <c r="B4" s="3"/>
      <c r="C4" s="332" t="s">
        <v>536</v>
      </c>
      <c r="D4" s="3"/>
      <c r="E4" s="3"/>
      <c r="F4" s="3"/>
      <c r="G4" s="3"/>
      <c r="H4" s="3"/>
      <c r="I4" s="3"/>
      <c r="J4" s="3"/>
      <c r="K4" s="3"/>
      <c r="L4" s="3"/>
      <c r="M4" s="3"/>
      <c r="N4" s="3"/>
      <c r="O4" s="3"/>
      <c r="P4" s="3"/>
      <c r="Q4" s="3"/>
    </row>
    <row r="5" spans="1:38" ht="23.25" customHeight="1" x14ac:dyDescent="0.2">
      <c r="B5" s="3"/>
      <c r="C5" s="3"/>
      <c r="D5" s="3"/>
      <c r="E5" s="3"/>
      <c r="F5" s="3"/>
      <c r="G5" s="3"/>
      <c r="H5" s="3"/>
      <c r="I5" s="3"/>
      <c r="J5" s="3"/>
      <c r="K5" s="3"/>
      <c r="L5" s="3"/>
      <c r="M5" s="3"/>
      <c r="N5" s="3"/>
      <c r="O5" s="3"/>
      <c r="P5" s="3"/>
      <c r="Q5" s="3"/>
    </row>
    <row r="6" spans="1:38" ht="27" customHeight="1" x14ac:dyDescent="0.2">
      <c r="B6" s="3"/>
      <c r="C6" s="3" t="s">
        <v>250</v>
      </c>
      <c r="D6" s="110"/>
      <c r="E6" s="3"/>
      <c r="F6" s="467" t="s">
        <v>458</v>
      </c>
      <c r="G6" s="467"/>
      <c r="H6" s="467"/>
      <c r="I6" s="467"/>
      <c r="J6" s="467"/>
      <c r="K6" s="467"/>
      <c r="L6" s="467"/>
      <c r="M6" s="467"/>
      <c r="N6" s="467"/>
      <c r="O6" s="467"/>
      <c r="P6" s="467"/>
      <c r="Q6" s="3"/>
    </row>
    <row r="7" spans="1:38" x14ac:dyDescent="0.2">
      <c r="B7" s="3"/>
      <c r="C7" s="3" t="s">
        <v>251</v>
      </c>
      <c r="D7" s="377"/>
      <c r="E7" s="3"/>
      <c r="F7" s="3"/>
      <c r="G7" s="3"/>
      <c r="H7" s="3"/>
      <c r="I7" s="3"/>
      <c r="J7" s="3"/>
      <c r="K7" s="3"/>
      <c r="L7" s="3"/>
      <c r="M7" s="3"/>
      <c r="N7" s="3"/>
      <c r="O7" s="3"/>
      <c r="P7" s="3"/>
      <c r="Q7" s="3"/>
    </row>
    <row r="8" spans="1:38" x14ac:dyDescent="0.2">
      <c r="B8" s="3"/>
      <c r="C8" s="3" t="s">
        <v>252</v>
      </c>
      <c r="D8" s="110"/>
      <c r="E8" s="3"/>
      <c r="F8" s="3"/>
      <c r="G8" s="3"/>
      <c r="H8" s="3"/>
      <c r="I8" s="3"/>
      <c r="J8" s="3"/>
      <c r="K8" s="3"/>
      <c r="L8" s="3"/>
      <c r="M8" s="3"/>
      <c r="N8" s="3"/>
      <c r="O8" s="3"/>
      <c r="P8" s="3"/>
      <c r="Q8" s="3"/>
      <c r="S8" s="3"/>
      <c r="T8" s="3"/>
      <c r="U8" s="3"/>
      <c r="V8" s="3"/>
      <c r="W8" s="3"/>
      <c r="X8" s="3"/>
      <c r="Y8" s="3"/>
      <c r="Z8" s="3"/>
      <c r="AA8" s="3"/>
      <c r="AB8" s="3"/>
      <c r="AC8" s="3"/>
      <c r="AE8" s="3"/>
      <c r="AF8" s="3"/>
      <c r="AG8" s="3"/>
      <c r="AH8" s="3"/>
      <c r="AI8" s="3"/>
    </row>
    <row r="9" spans="1:38" x14ac:dyDescent="0.2">
      <c r="B9" s="3"/>
      <c r="C9" s="3" t="s">
        <v>499</v>
      </c>
      <c r="D9" s="388"/>
      <c r="E9" s="3"/>
      <c r="F9" s="3"/>
      <c r="G9" s="3"/>
      <c r="H9" s="3"/>
      <c r="I9" s="3"/>
      <c r="J9" s="3"/>
      <c r="K9" s="3"/>
      <c r="L9" s="3"/>
      <c r="M9" s="3"/>
      <c r="N9" s="3"/>
      <c r="O9" s="3"/>
      <c r="P9" s="3"/>
      <c r="Q9" s="3"/>
      <c r="S9" s="3"/>
      <c r="T9" s="3"/>
      <c r="U9" s="3"/>
      <c r="V9" s="3"/>
      <c r="W9" s="3"/>
      <c r="X9" s="3"/>
      <c r="Y9" s="3"/>
      <c r="Z9" s="3"/>
      <c r="AA9" s="3"/>
      <c r="AB9" s="3"/>
      <c r="AC9" s="3"/>
      <c r="AE9" s="3"/>
      <c r="AF9" s="3"/>
      <c r="AG9" s="3"/>
      <c r="AH9" s="3"/>
      <c r="AI9" s="3"/>
    </row>
    <row r="10" spans="1:38" ht="15" x14ac:dyDescent="0.25">
      <c r="B10" s="3"/>
      <c r="C10" s="3"/>
      <c r="D10" s="381"/>
      <c r="E10" s="3"/>
      <c r="F10" s="334" t="s">
        <v>499</v>
      </c>
      <c r="G10" s="334">
        <f>D9</f>
        <v>0</v>
      </c>
      <c r="H10" s="3"/>
      <c r="I10" s="3"/>
      <c r="J10" s="3"/>
      <c r="K10" s="3"/>
      <c r="L10" s="3"/>
      <c r="M10" s="3"/>
      <c r="N10" s="3"/>
      <c r="O10" s="3"/>
      <c r="P10" s="3"/>
      <c r="Q10" s="3"/>
      <c r="S10" s="3"/>
      <c r="T10" s="333" t="s">
        <v>427</v>
      </c>
      <c r="U10" s="3"/>
      <c r="V10" s="3"/>
      <c r="W10" s="3"/>
      <c r="X10" s="3"/>
      <c r="Y10" s="3"/>
      <c r="Z10" s="3"/>
      <c r="AA10" s="3"/>
      <c r="AB10" s="3"/>
      <c r="AC10" s="3"/>
      <c r="AE10" s="3"/>
      <c r="AF10" s="333" t="s">
        <v>79</v>
      </c>
      <c r="AG10" s="3"/>
      <c r="AH10" s="3"/>
      <c r="AI10" s="3"/>
    </row>
    <row r="11" spans="1:38" ht="15" x14ac:dyDescent="0.25">
      <c r="B11" s="3"/>
      <c r="C11" s="3"/>
      <c r="D11" s="3"/>
      <c r="E11" s="3"/>
      <c r="F11" s="334" t="s">
        <v>292</v>
      </c>
      <c r="G11" s="334"/>
      <c r="H11" s="115"/>
      <c r="I11" s="115" t="s">
        <v>72</v>
      </c>
      <c r="J11" s="3"/>
      <c r="K11" s="3"/>
      <c r="L11" s="3"/>
      <c r="M11" s="3"/>
      <c r="N11" s="3"/>
      <c r="O11" s="3"/>
      <c r="P11" s="3"/>
      <c r="Q11" s="3"/>
      <c r="S11" s="3"/>
      <c r="T11" s="382">
        <f>D9</f>
        <v>0</v>
      </c>
      <c r="U11" s="3"/>
      <c r="V11" s="3"/>
      <c r="W11" s="3"/>
      <c r="X11" s="3"/>
      <c r="Y11" s="3"/>
      <c r="Z11" s="3"/>
      <c r="AA11" s="3"/>
      <c r="AB11" s="3"/>
      <c r="AC11" s="3"/>
      <c r="AE11" s="3"/>
      <c r="AF11" s="382">
        <f>D9</f>
        <v>0</v>
      </c>
      <c r="AG11" s="3"/>
      <c r="AH11" s="3"/>
      <c r="AI11" s="3"/>
    </row>
    <row r="12" spans="1:38" x14ac:dyDescent="0.2">
      <c r="B12" s="3"/>
      <c r="C12" s="3"/>
      <c r="D12" s="3"/>
      <c r="E12" s="392" t="s">
        <v>78</v>
      </c>
      <c r="F12" s="391">
        <f>'Referenz Plattenfertiger'!F12</f>
        <v>40000</v>
      </c>
      <c r="G12" s="391" t="s">
        <v>46</v>
      </c>
      <c r="H12" s="3"/>
      <c r="I12" s="110"/>
      <c r="J12" s="3" t="s">
        <v>46</v>
      </c>
      <c r="K12" s="3"/>
      <c r="L12" s="3"/>
      <c r="M12" s="3"/>
      <c r="N12" s="3"/>
      <c r="O12" s="3"/>
      <c r="P12" s="3"/>
      <c r="Q12" s="3"/>
      <c r="S12" s="3"/>
      <c r="T12" s="3"/>
      <c r="U12" s="3"/>
      <c r="V12" s="3"/>
      <c r="W12" s="3"/>
      <c r="X12" s="3"/>
      <c r="Y12" s="3"/>
      <c r="Z12" s="3"/>
      <c r="AA12" s="3"/>
      <c r="AB12" s="3"/>
      <c r="AC12" s="3"/>
      <c r="AE12" s="3"/>
      <c r="AF12" s="3"/>
      <c r="AG12" s="3"/>
      <c r="AH12" s="3"/>
      <c r="AI12" s="3"/>
    </row>
    <row r="13" spans="1:38" x14ac:dyDescent="0.2">
      <c r="B13" s="3"/>
      <c r="C13" s="3"/>
      <c r="D13" s="3"/>
      <c r="E13" s="3"/>
      <c r="F13" s="227"/>
      <c r="G13" s="227"/>
      <c r="H13" s="3"/>
      <c r="I13" s="3"/>
      <c r="J13" s="3"/>
      <c r="K13" s="3"/>
      <c r="L13" s="3"/>
      <c r="M13" s="3"/>
      <c r="N13" s="3"/>
      <c r="O13" s="3"/>
      <c r="P13" s="3"/>
      <c r="Q13" s="3"/>
      <c r="S13" s="3"/>
      <c r="T13" s="3"/>
      <c r="U13" s="3"/>
      <c r="V13" s="3"/>
      <c r="W13" s="3"/>
      <c r="X13" s="3"/>
      <c r="Y13" s="3"/>
      <c r="Z13" s="3"/>
      <c r="AA13" s="3"/>
      <c r="AB13" s="3"/>
      <c r="AC13" s="3"/>
      <c r="AE13" s="3"/>
      <c r="AF13" s="3"/>
      <c r="AG13" s="3"/>
      <c r="AH13" s="3"/>
      <c r="AI13" s="3"/>
    </row>
    <row r="14" spans="1:38" s="340" customFormat="1" ht="76.5" x14ac:dyDescent="0.2">
      <c r="B14" s="116"/>
      <c r="C14" s="24"/>
      <c r="D14" s="336"/>
      <c r="E14" s="49" t="s">
        <v>69</v>
      </c>
      <c r="F14" s="390" t="s">
        <v>74</v>
      </c>
      <c r="G14" s="390" t="s">
        <v>19</v>
      </c>
      <c r="H14" s="339"/>
      <c r="I14" s="339" t="s">
        <v>73</v>
      </c>
      <c r="J14" s="49" t="s">
        <v>19</v>
      </c>
      <c r="K14" s="49"/>
      <c r="L14" s="49"/>
      <c r="M14" s="339" t="s">
        <v>454</v>
      </c>
      <c r="N14" s="339" t="s">
        <v>455</v>
      </c>
      <c r="O14" s="49"/>
      <c r="P14" s="49" t="s">
        <v>255</v>
      </c>
      <c r="Q14" s="116"/>
      <c r="S14" s="116"/>
      <c r="T14" s="24"/>
      <c r="U14" s="24"/>
      <c r="V14" s="117" t="s">
        <v>25</v>
      </c>
      <c r="W14" s="117" t="s">
        <v>26</v>
      </c>
      <c r="X14" s="117" t="s">
        <v>27</v>
      </c>
      <c r="Y14" s="117"/>
      <c r="Z14" s="49" t="s">
        <v>80</v>
      </c>
      <c r="AA14" s="341" t="s">
        <v>37</v>
      </c>
      <c r="AB14" s="49"/>
      <c r="AC14" s="116"/>
      <c r="AE14" s="116"/>
      <c r="AF14" s="336"/>
      <c r="AG14" s="336"/>
      <c r="AH14" s="336"/>
      <c r="AI14" s="116"/>
      <c r="AJ14" s="6"/>
      <c r="AK14" s="6"/>
      <c r="AL14" s="6"/>
    </row>
    <row r="15" spans="1:38" s="340" customFormat="1" ht="14.25" x14ac:dyDescent="0.2">
      <c r="B15" s="116"/>
      <c r="C15" s="8" t="s">
        <v>71</v>
      </c>
      <c r="D15" s="116"/>
      <c r="E15" s="12"/>
      <c r="F15" s="342"/>
      <c r="G15" s="343"/>
      <c r="H15" s="344"/>
      <c r="I15" s="344"/>
      <c r="J15" s="12"/>
      <c r="K15" s="12"/>
      <c r="L15" s="12"/>
      <c r="M15" s="12"/>
      <c r="N15" s="12"/>
      <c r="O15" s="12"/>
      <c r="P15" s="116"/>
      <c r="Q15" s="116"/>
      <c r="S15" s="116"/>
      <c r="T15" s="345" t="s">
        <v>176</v>
      </c>
      <c r="U15" s="345"/>
      <c r="V15" s="346">
        <f>SUM(V16:V29)</f>
        <v>94.932355060000006</v>
      </c>
      <c r="W15" s="346">
        <f>SUM(W16:W29)</f>
        <v>171.9</v>
      </c>
      <c r="X15" s="346">
        <f>SUM(X16:X29)</f>
        <v>41.281733459999998</v>
      </c>
      <c r="Y15" s="347"/>
      <c r="Z15" s="346">
        <f>V15+W15</f>
        <v>266.83235506</v>
      </c>
      <c r="AA15" s="367">
        <f>SUM(V15:X15)</f>
        <v>308.11408852</v>
      </c>
      <c r="AB15" s="347" t="s">
        <v>149</v>
      </c>
      <c r="AC15" s="116"/>
      <c r="AE15" s="116"/>
      <c r="AF15" s="347" t="s">
        <v>108</v>
      </c>
      <c r="AG15" s="369">
        <f>SUM(AG16:AG22)</f>
        <v>109669</v>
      </c>
      <c r="AH15" s="347" t="s">
        <v>96</v>
      </c>
      <c r="AI15" s="116"/>
      <c r="AJ15" s="6"/>
      <c r="AK15" s="6"/>
      <c r="AL15" s="6"/>
    </row>
    <row r="16" spans="1:38" ht="15.75" x14ac:dyDescent="0.2">
      <c r="B16" s="3"/>
      <c r="C16" s="348"/>
      <c r="D16" s="3" t="s">
        <v>476</v>
      </c>
      <c r="E16" s="3" t="s">
        <v>29</v>
      </c>
      <c r="F16" s="335">
        <f>'Referenz Plattenfertiger'!F16</f>
        <v>188000</v>
      </c>
      <c r="G16" s="118" t="s">
        <v>38</v>
      </c>
      <c r="H16" s="9"/>
      <c r="I16" s="110"/>
      <c r="J16" s="3" t="s">
        <v>38</v>
      </c>
      <c r="K16" s="3"/>
      <c r="L16" s="3"/>
      <c r="M16" s="389"/>
      <c r="N16" s="389"/>
      <c r="O16" s="3"/>
      <c r="P16" s="3"/>
      <c r="Q16" s="3"/>
      <c r="S16" s="3"/>
      <c r="T16" s="3" t="str">
        <f>E16</f>
        <v>Erdgas</v>
      </c>
      <c r="U16" s="3"/>
      <c r="V16" s="79">
        <f>IF(NOT(ISBLANK($I16)),$I16,$F16)*IF(NOT(ISBLANK(M16)),M16,'Eingabe EF'!$G9)</f>
        <v>34.434080000000002</v>
      </c>
      <c r="W16" s="79"/>
      <c r="X16" s="79">
        <f>IF(NOT(ISBLANK($I16)),$I16,$F16)*IF(NOT(ISBLANK(N16)),N16,'Eingabe EF'!$O9)</f>
        <v>5.8938000000000006</v>
      </c>
      <c r="Y16" s="15"/>
      <c r="Z16" s="79">
        <f>V16+W16</f>
        <v>34.434080000000002</v>
      </c>
      <c r="AA16" s="81">
        <f>SUM(V16:X16)</f>
        <v>40.32788</v>
      </c>
      <c r="AB16" s="15" t="s">
        <v>148</v>
      </c>
      <c r="AC16" s="3"/>
      <c r="AE16" s="3"/>
      <c r="AF16" s="15" t="s">
        <v>29</v>
      </c>
      <c r="AG16" s="80">
        <f>(IF(NOT(ISBLANK($I16)),$I16,$F16)+IF(NOT(ISBLANK($I21)),$I21,$F21))/1000*IF(NOT(ISBLANK('Eingabe Preise'!$G10)),'Eingabe Preise'!$G10,'Eingabe Preise'!$E10)</f>
        <v>14335</v>
      </c>
      <c r="AH16" s="15" t="s">
        <v>96</v>
      </c>
      <c r="AI16" s="3"/>
    </row>
    <row r="17" spans="2:35" ht="15.75" x14ac:dyDescent="0.2">
      <c r="B17" s="3"/>
      <c r="C17" s="348"/>
      <c r="D17" s="3"/>
      <c r="E17" s="3" t="s">
        <v>30</v>
      </c>
      <c r="F17" s="335">
        <f>'Referenz Plattenfertiger'!F17</f>
        <v>24000</v>
      </c>
      <c r="G17" s="118" t="s">
        <v>41</v>
      </c>
      <c r="H17" s="9"/>
      <c r="I17" s="110"/>
      <c r="J17" s="3" t="s">
        <v>41</v>
      </c>
      <c r="K17" s="3"/>
      <c r="L17" s="3"/>
      <c r="M17" s="389"/>
      <c r="N17" s="389"/>
      <c r="O17" s="3"/>
      <c r="P17" s="3"/>
      <c r="Q17" s="3"/>
      <c r="S17" s="3"/>
      <c r="T17" s="3" t="str">
        <f>E17</f>
        <v>Heizöl</v>
      </c>
      <c r="U17" s="3"/>
      <c r="V17" s="79">
        <f>IF(NOT(ISBLANK($I17)),$I17,$F17)*IF(NOT(ISBLANK(M17)),M17,'Eingabe EF'!$G10)</f>
        <v>6.4022399999999999</v>
      </c>
      <c r="W17" s="79"/>
      <c r="X17" s="79">
        <f>IF(NOT(ISBLANK($I17)),$I17,$F17)*IF(NOT(ISBLANK(N17)),N17,'Eingabe EF'!$O10)</f>
        <v>0.949824</v>
      </c>
      <c r="Y17" s="15"/>
      <c r="Z17" s="79">
        <f t="shared" ref="Z17:Z29" si="0">V17+W17</f>
        <v>6.4022399999999999</v>
      </c>
      <c r="AA17" s="81">
        <f>SUM(V17:X17)</f>
        <v>7.3520640000000004</v>
      </c>
      <c r="AB17" s="15" t="s">
        <v>148</v>
      </c>
      <c r="AC17" s="3"/>
      <c r="AE17" s="3"/>
      <c r="AF17" s="15" t="s">
        <v>30</v>
      </c>
      <c r="AG17" s="80">
        <f>(IF(NOT(ISBLANK($I17)),$I17,$F17)+IF(NOT(ISBLANK($I22)),$I22,$F22))/1000*IF(NOT(ISBLANK('Eingabe Preise'!$G11)),'Eingabe Preise'!$G11,'Eingabe Preise'!$E11)</f>
        <v>2760</v>
      </c>
      <c r="AH17" s="15" t="s">
        <v>96</v>
      </c>
      <c r="AI17" s="3"/>
    </row>
    <row r="18" spans="2:35" ht="25.5" x14ac:dyDescent="0.2">
      <c r="B18" s="3"/>
      <c r="C18" s="348"/>
      <c r="D18" s="3"/>
      <c r="E18" s="116" t="s">
        <v>523</v>
      </c>
      <c r="F18" s="335">
        <f>'Referenz Plattenfertiger'!F18</f>
        <v>45000</v>
      </c>
      <c r="G18" s="118" t="s">
        <v>40</v>
      </c>
      <c r="H18" s="9"/>
      <c r="I18" s="110"/>
      <c r="J18" s="3" t="s">
        <v>40</v>
      </c>
      <c r="K18" s="3"/>
      <c r="L18" s="3"/>
      <c r="M18" s="389"/>
      <c r="N18" s="389"/>
      <c r="O18" s="3"/>
      <c r="P18" s="3"/>
      <c r="Q18" s="3"/>
      <c r="S18" s="3"/>
      <c r="T18" s="3" t="str">
        <f>E18</f>
        <v>Elektrische Energie (Default = deutscher Strommix)</v>
      </c>
      <c r="U18" s="3"/>
      <c r="V18" s="79"/>
      <c r="W18" s="79">
        <f>IF(NOT(ISBLANK($I18)),$I18,$F18)*IF(NOT(ISBLANK(M18)),M18,'Eingabe EF'!$K11)</f>
        <v>17.190000000000001</v>
      </c>
      <c r="X18" s="79">
        <f>IF(NOT(ISBLANK($I18)),$I18,$F18)*IF(NOT(ISBLANK(N18)),N18,'Eingabe EF'!$O11)</f>
        <v>2.52</v>
      </c>
      <c r="Y18" s="15"/>
      <c r="Z18" s="79">
        <f>V18+W18</f>
        <v>17.190000000000001</v>
      </c>
      <c r="AA18" s="81">
        <f>SUM(V18:X18)</f>
        <v>19.71</v>
      </c>
      <c r="AB18" s="15" t="s">
        <v>148</v>
      </c>
      <c r="AC18" s="3"/>
      <c r="AE18" s="3"/>
      <c r="AF18" s="15" t="s">
        <v>31</v>
      </c>
      <c r="AG18" s="80">
        <f>(IF(NOT(ISBLANK($I18)),$I18,$F18)+IF(NOT(ISBLANK($I24)),$I24,$F24))/1000*IF(NOT(ISBLANK('Eingabe Preise'!$G12)),'Eingabe Preise'!$G12,'Eingabe Preise'!$E12)</f>
        <v>77400</v>
      </c>
      <c r="AH18" s="15" t="s">
        <v>96</v>
      </c>
      <c r="AI18" s="3"/>
    </row>
    <row r="19" spans="2:35" s="372" customFormat="1" ht="25.5" x14ac:dyDescent="0.2">
      <c r="B19" s="15"/>
      <c r="C19" s="348"/>
      <c r="D19" s="15"/>
      <c r="E19" s="14" t="s">
        <v>527</v>
      </c>
      <c r="F19" s="362">
        <f>'Referenz Plattenfertiger'!F19</f>
        <v>0</v>
      </c>
      <c r="G19" s="363" t="s">
        <v>40</v>
      </c>
      <c r="H19" s="79"/>
      <c r="I19" s="272"/>
      <c r="J19" s="15" t="s">
        <v>40</v>
      </c>
      <c r="K19" s="15"/>
      <c r="L19" s="15"/>
      <c r="M19" s="463"/>
      <c r="N19" s="463"/>
      <c r="O19" s="464"/>
      <c r="P19" s="361"/>
      <c r="Q19" s="15"/>
      <c r="S19" s="15"/>
      <c r="T19" s="15" t="str">
        <f>E19</f>
        <v>Alternativer Energieträger / ggf. Eigenerzeugung</v>
      </c>
      <c r="U19" s="15"/>
      <c r="V19" s="79">
        <f>IF(NOT(ISBLANK($I19)),$I19,$F19)*M19</f>
        <v>0</v>
      </c>
      <c r="W19" s="79"/>
      <c r="X19" s="79">
        <f>IF(NOT(ISBLANK($I19)),$I19,$F19)*IF(NOT(ISBLANK(N19)),N19,0)</f>
        <v>0</v>
      </c>
      <c r="Y19" s="15"/>
      <c r="Z19" s="79">
        <f>V19+W19</f>
        <v>0</v>
      </c>
      <c r="AA19" s="81">
        <f>SUM(V19:X19)</f>
        <v>0</v>
      </c>
      <c r="AB19" s="15" t="s">
        <v>148</v>
      </c>
      <c r="AC19" s="15"/>
      <c r="AE19" s="15"/>
      <c r="AF19" s="15" t="s">
        <v>111</v>
      </c>
      <c r="AG19" s="80">
        <f>IF(NOT(ISBLANK($I25)),$I25,$F25)/1000*IF(NOT(ISBLANK('Eingabe Preise'!$G13)),'Eingabe Preise'!$G13,'Eingabe Preise'!$E13)</f>
        <v>0</v>
      </c>
      <c r="AH19" s="15" t="s">
        <v>96</v>
      </c>
      <c r="AI19" s="15"/>
    </row>
    <row r="20" spans="2:35" x14ac:dyDescent="0.2">
      <c r="B20" s="3"/>
      <c r="C20" s="348"/>
      <c r="D20" s="3"/>
      <c r="E20" s="3"/>
      <c r="F20" s="335"/>
      <c r="G20" s="118"/>
      <c r="H20" s="9"/>
      <c r="I20" s="9"/>
      <c r="J20" s="3"/>
      <c r="K20" s="3"/>
      <c r="L20" s="3"/>
      <c r="M20" s="3"/>
      <c r="N20" s="3"/>
      <c r="O20" s="3"/>
      <c r="P20" s="3"/>
      <c r="Q20" s="3"/>
      <c r="S20" s="3"/>
      <c r="T20" s="3"/>
      <c r="U20" s="3"/>
      <c r="V20" s="79"/>
      <c r="W20" s="79"/>
      <c r="X20" s="79"/>
      <c r="Y20" s="15"/>
      <c r="Z20" s="79"/>
      <c r="AA20" s="81"/>
      <c r="AB20" s="15"/>
      <c r="AC20" s="3"/>
      <c r="AE20" s="3"/>
      <c r="AF20" s="15" t="s">
        <v>112</v>
      </c>
      <c r="AG20" s="80">
        <f>I19/1000*'Eingabe Preise'!G16</f>
        <v>0</v>
      </c>
      <c r="AH20" s="15" t="s">
        <v>96</v>
      </c>
      <c r="AI20" s="3"/>
    </row>
    <row r="21" spans="2:35" ht="15.75" x14ac:dyDescent="0.2">
      <c r="B21" s="3"/>
      <c r="C21" s="348"/>
      <c r="D21" s="3" t="s">
        <v>110</v>
      </c>
      <c r="E21" s="3" t="s">
        <v>29</v>
      </c>
      <c r="F21" s="335">
        <f>'Referenz Plattenfertiger'!F21</f>
        <v>47000</v>
      </c>
      <c r="G21" s="118" t="s">
        <v>38</v>
      </c>
      <c r="H21" s="9"/>
      <c r="I21" s="110"/>
      <c r="J21" s="3" t="s">
        <v>38</v>
      </c>
      <c r="K21" s="3"/>
      <c r="L21" s="3"/>
      <c r="M21" s="389"/>
      <c r="N21" s="389"/>
      <c r="O21" s="3"/>
      <c r="P21" s="3"/>
      <c r="Q21" s="3"/>
      <c r="S21" s="3"/>
      <c r="T21" s="3" t="str">
        <f>E21</f>
        <v>Erdgas</v>
      </c>
      <c r="U21" s="3"/>
      <c r="V21" s="79">
        <f>IF(NOT(ISBLANK($I21)),$I21,$F21)*IF(NOT(ISBLANK(M21)),M21,'Eingabe EF'!$G9)</f>
        <v>8.6085200000000004</v>
      </c>
      <c r="W21" s="79"/>
      <c r="X21" s="79">
        <f>IF(NOT(ISBLANK($I21)),$I21,$F21)*IF(NOT(ISBLANK(N21)),N21,'Eingabe EF'!$O9)</f>
        <v>1.4734500000000001</v>
      </c>
      <c r="Y21" s="15"/>
      <c r="Z21" s="79">
        <f>V21+W21</f>
        <v>8.6085200000000004</v>
      </c>
      <c r="AA21" s="81">
        <f t="shared" ref="AA21:AA29" si="1">SUM(V21:X21)</f>
        <v>10.08197</v>
      </c>
      <c r="AB21" s="15" t="s">
        <v>148</v>
      </c>
      <c r="AC21" s="3"/>
      <c r="AE21" s="3"/>
      <c r="AF21" s="15" t="s">
        <v>113</v>
      </c>
      <c r="AG21" s="80">
        <f>I26/1000*'Eingabe Preise'!G17</f>
        <v>0</v>
      </c>
      <c r="AH21" s="15" t="s">
        <v>96</v>
      </c>
      <c r="AI21" s="3"/>
    </row>
    <row r="22" spans="2:35" ht="15.75" x14ac:dyDescent="0.2">
      <c r="B22" s="3"/>
      <c r="C22" s="348"/>
      <c r="D22" s="3"/>
      <c r="E22" s="3" t="s">
        <v>30</v>
      </c>
      <c r="F22" s="335">
        <f>'Referenz Plattenfertiger'!F22</f>
        <v>36000</v>
      </c>
      <c r="G22" s="363" t="s">
        <v>41</v>
      </c>
      <c r="H22" s="9"/>
      <c r="I22" s="110"/>
      <c r="J22" s="3" t="s">
        <v>41</v>
      </c>
      <c r="K22" s="3"/>
      <c r="L22" s="3"/>
      <c r="M22" s="389"/>
      <c r="N22" s="389"/>
      <c r="O22" s="3"/>
      <c r="P22" s="3"/>
      <c r="Q22" s="3"/>
      <c r="S22" s="3"/>
      <c r="T22" s="3" t="str">
        <f>E22</f>
        <v>Heizöl</v>
      </c>
      <c r="U22" s="3"/>
      <c r="V22" s="79">
        <f>IF(NOT(ISBLANK($I22)),$I22,$F22)*IF(NOT(ISBLANK(M22)),M22,'Eingabe EF'!$G10)</f>
        <v>9.6033600000000003</v>
      </c>
      <c r="W22" s="79"/>
      <c r="X22" s="79">
        <f>IF(NOT(ISBLANK($I22)),$I22,$F22)*IF(NOT(ISBLANK(N22)),N22,'Eingabe EF'!$O10)</f>
        <v>1.424736</v>
      </c>
      <c r="Y22" s="15"/>
      <c r="Z22" s="79">
        <f t="shared" ref="Z22" si="2">V22+W22</f>
        <v>9.6033600000000003</v>
      </c>
      <c r="AA22" s="81">
        <f t="shared" si="1"/>
        <v>11.028096</v>
      </c>
      <c r="AB22" s="15" t="s">
        <v>148</v>
      </c>
      <c r="AC22" s="3"/>
      <c r="AE22" s="3"/>
      <c r="AF22" s="15" t="s">
        <v>32</v>
      </c>
      <c r="AG22" s="80">
        <f>(IF(NOT(ISBLANK($I28)),$I28,$F28)+IF(NOT(ISBLANK($I29)),$I29,$F29))*IF(NOT(ISBLANK('Eingabe Preise'!$G14)),'Eingabe Preise'!$G14,'Eingabe Preise'!$E14)</f>
        <v>15174.000000000002</v>
      </c>
      <c r="AH22" s="15" t="s">
        <v>96</v>
      </c>
      <c r="AI22" s="3"/>
    </row>
    <row r="23" spans="2:35" x14ac:dyDescent="0.2">
      <c r="B23" s="3"/>
      <c r="C23" s="348"/>
      <c r="D23" s="3"/>
      <c r="E23" s="3"/>
      <c r="F23" s="363"/>
      <c r="G23" s="363"/>
      <c r="H23" s="3"/>
      <c r="I23" s="9"/>
      <c r="J23" s="3"/>
      <c r="K23" s="3"/>
      <c r="L23" s="3"/>
      <c r="M23" s="3"/>
      <c r="N23" s="3"/>
      <c r="O23" s="3"/>
      <c r="P23" s="3"/>
      <c r="Q23" s="3"/>
      <c r="S23" s="3"/>
      <c r="T23" s="3"/>
      <c r="U23" s="3"/>
      <c r="V23" s="79"/>
      <c r="W23" s="79"/>
      <c r="X23" s="79"/>
      <c r="Y23" s="15"/>
      <c r="Z23" s="79"/>
      <c r="AA23" s="81"/>
      <c r="AB23" s="15"/>
      <c r="AC23" s="3"/>
      <c r="AE23" s="3"/>
      <c r="AF23" s="15"/>
      <c r="AG23" s="80"/>
      <c r="AH23" s="15"/>
      <c r="AI23" s="3"/>
    </row>
    <row r="24" spans="2:35" ht="25.5" x14ac:dyDescent="0.2">
      <c r="B24" s="3"/>
      <c r="C24" s="348"/>
      <c r="D24" s="116" t="s">
        <v>477</v>
      </c>
      <c r="E24" s="116" t="s">
        <v>523</v>
      </c>
      <c r="F24" s="335">
        <f>'Referenz Plattenfertiger'!F24</f>
        <v>405000</v>
      </c>
      <c r="G24" s="363" t="s">
        <v>40</v>
      </c>
      <c r="H24" s="9"/>
      <c r="I24" s="110"/>
      <c r="J24" s="3" t="s">
        <v>40</v>
      </c>
      <c r="K24" s="3"/>
      <c r="L24" s="3"/>
      <c r="M24" s="389"/>
      <c r="N24" s="389"/>
      <c r="O24" s="3"/>
      <c r="P24" s="3"/>
      <c r="Q24" s="3"/>
      <c r="S24" s="3"/>
      <c r="T24" s="3" t="str">
        <f>E24</f>
        <v>Elektrische Energie (Default = deutscher Strommix)</v>
      </c>
      <c r="U24" s="3"/>
      <c r="V24" s="79"/>
      <c r="W24" s="79">
        <f>IF(NOT(ISBLANK($I24)),$I24,$F24)*IF(NOT(ISBLANK(M24)),M24,'Eingabe EF'!$K11)</f>
        <v>154.71</v>
      </c>
      <c r="X24" s="79">
        <f>IF(NOT(ISBLANK($I24)),$I24,$F24)*IF(NOT(ISBLANK(N24)),N24,'Eingabe EF'!$O11)</f>
        <v>22.68</v>
      </c>
      <c r="Y24" s="15"/>
      <c r="Z24" s="79">
        <f t="shared" si="0"/>
        <v>154.71</v>
      </c>
      <c r="AA24" s="81">
        <f t="shared" si="1"/>
        <v>177.39000000000001</v>
      </c>
      <c r="AB24" s="15" t="s">
        <v>148</v>
      </c>
      <c r="AC24" s="3"/>
      <c r="AE24" s="3"/>
      <c r="AF24" s="15"/>
      <c r="AG24" s="15"/>
      <c r="AH24" s="15"/>
      <c r="AI24" s="3"/>
    </row>
    <row r="25" spans="2:35" ht="15.75" x14ac:dyDescent="0.2">
      <c r="B25" s="3"/>
      <c r="C25" s="348"/>
      <c r="D25" s="3"/>
      <c r="E25" s="3" t="s">
        <v>111</v>
      </c>
      <c r="F25" s="335">
        <f>'Referenz Plattenfertiger'!F25</f>
        <v>0</v>
      </c>
      <c r="G25" s="363" t="s">
        <v>40</v>
      </c>
      <c r="H25" s="9"/>
      <c r="I25" s="110"/>
      <c r="J25" s="3" t="s">
        <v>40</v>
      </c>
      <c r="K25" s="3"/>
      <c r="L25" s="3"/>
      <c r="M25" s="389"/>
      <c r="N25" s="389"/>
      <c r="O25" s="3"/>
      <c r="P25" s="3"/>
      <c r="Q25" s="3"/>
      <c r="S25" s="3"/>
      <c r="T25" s="3" t="str">
        <f>E25</f>
        <v>Flüssiggas</v>
      </c>
      <c r="U25" s="3"/>
      <c r="V25" s="79">
        <f>IF(NOT(ISBLANK($I25)),$I25,$F25)*IF(NOT(ISBLANK(M25)),M25,'Eingabe EF'!$G13)</f>
        <v>0</v>
      </c>
      <c r="W25" s="79"/>
      <c r="X25" s="79">
        <f>IF(NOT(ISBLANK($I25)),$I25,$F25)*IF(NOT(ISBLANK(N25)),N25,'Eingabe EF'!$O13)</f>
        <v>0</v>
      </c>
      <c r="Y25" s="15"/>
      <c r="Z25" s="79">
        <f t="shared" si="0"/>
        <v>0</v>
      </c>
      <c r="AA25" s="81">
        <f t="shared" si="1"/>
        <v>0</v>
      </c>
      <c r="AB25" s="15" t="s">
        <v>148</v>
      </c>
      <c r="AC25" s="3"/>
      <c r="AE25" s="3"/>
      <c r="AF25" s="347" t="s">
        <v>290</v>
      </c>
      <c r="AG25" s="369">
        <f>SUM(AG26:AG28)</f>
        <v>152459.04944673795</v>
      </c>
      <c r="AH25" s="347" t="s">
        <v>96</v>
      </c>
      <c r="AI25" s="3"/>
    </row>
    <row r="26" spans="2:35" s="372" customFormat="1" ht="25.5" x14ac:dyDescent="0.2">
      <c r="B26" s="15"/>
      <c r="C26" s="348"/>
      <c r="D26" s="15"/>
      <c r="E26" s="14" t="s">
        <v>527</v>
      </c>
      <c r="F26" s="362">
        <f>'Referenz Plattenfertiger'!F26</f>
        <v>0</v>
      </c>
      <c r="G26" s="363" t="s">
        <v>40</v>
      </c>
      <c r="H26" s="79"/>
      <c r="I26" s="272"/>
      <c r="J26" s="15" t="s">
        <v>40</v>
      </c>
      <c r="K26" s="15"/>
      <c r="L26" s="15"/>
      <c r="M26" s="463"/>
      <c r="N26" s="463"/>
      <c r="O26" s="464"/>
      <c r="P26" s="361"/>
      <c r="Q26" s="15"/>
      <c r="S26" s="15"/>
      <c r="T26" s="15" t="str">
        <f>E26</f>
        <v>Alternativer Energieträger / ggf. Eigenerzeugung</v>
      </c>
      <c r="U26" s="15"/>
      <c r="V26" s="79">
        <f>IF(NOT(ISBLANK($I26)),$I26,$F26)*M26</f>
        <v>0</v>
      </c>
      <c r="W26" s="79"/>
      <c r="X26" s="79">
        <f>IF(NOT(ISBLANK($I26)),$I26,$F26)*IF(NOT(ISBLANK(N26)),N26,0)</f>
        <v>0</v>
      </c>
      <c r="Y26" s="15"/>
      <c r="Z26" s="79">
        <f>V26+W26</f>
        <v>0</v>
      </c>
      <c r="AA26" s="81">
        <f t="shared" si="1"/>
        <v>0</v>
      </c>
      <c r="AB26" s="15" t="s">
        <v>148</v>
      </c>
      <c r="AC26" s="15"/>
      <c r="AE26" s="15"/>
      <c r="AF26" s="15" t="s">
        <v>25</v>
      </c>
      <c r="AG26" s="80">
        <f>V78*IF(NOT(ISBLANK('Eingabe Preise'!$G21)),'Eingabe Preise'!$G21,'Eingabe Preise'!$E21)</f>
        <v>2373.3088765000002</v>
      </c>
      <c r="AH26" s="15" t="s">
        <v>96</v>
      </c>
      <c r="AI26" s="15"/>
    </row>
    <row r="27" spans="2:35" x14ac:dyDescent="0.2">
      <c r="B27" s="3"/>
      <c r="C27" s="348"/>
      <c r="D27" s="3"/>
      <c r="E27" s="3"/>
      <c r="F27" s="362"/>
      <c r="G27" s="362"/>
      <c r="H27" s="9"/>
      <c r="I27" s="9"/>
      <c r="J27" s="3"/>
      <c r="K27" s="3"/>
      <c r="L27" s="3"/>
      <c r="M27" s="3"/>
      <c r="N27" s="3"/>
      <c r="O27" s="3"/>
      <c r="P27" s="3"/>
      <c r="Q27" s="3"/>
      <c r="S27" s="3"/>
      <c r="T27" s="31"/>
      <c r="U27" s="31"/>
      <c r="V27" s="364"/>
      <c r="W27" s="364"/>
      <c r="X27" s="364"/>
      <c r="Y27" s="365"/>
      <c r="Z27" s="364"/>
      <c r="AA27" s="376"/>
      <c r="AB27" s="365"/>
      <c r="AC27" s="3"/>
      <c r="AE27" s="3"/>
      <c r="AF27" s="15" t="s">
        <v>26</v>
      </c>
      <c r="AG27" s="80">
        <f>W78*IF(NOT(ISBLANK('Eingabe Preise'!$G22)),'Eingabe Preise'!$G22,'Eingabe Preise'!$E22)</f>
        <v>4297.5</v>
      </c>
      <c r="AH27" s="15" t="s">
        <v>96</v>
      </c>
      <c r="AI27" s="3"/>
    </row>
    <row r="28" spans="2:35" ht="15.75" x14ac:dyDescent="0.2">
      <c r="B28" s="3"/>
      <c r="C28" s="348"/>
      <c r="D28" s="3" t="s">
        <v>478</v>
      </c>
      <c r="E28" s="3" t="s">
        <v>32</v>
      </c>
      <c r="F28" s="335">
        <f>'Referenz Plattenfertiger'!F28</f>
        <v>11000</v>
      </c>
      <c r="G28" s="363" t="s">
        <v>39</v>
      </c>
      <c r="H28" s="9"/>
      <c r="I28" s="110"/>
      <c r="J28" s="3" t="s">
        <v>39</v>
      </c>
      <c r="K28" s="3"/>
      <c r="L28" s="3"/>
      <c r="M28" s="3"/>
      <c r="N28" s="389"/>
      <c r="O28" s="3"/>
      <c r="P28" s="3"/>
      <c r="Q28" s="3"/>
      <c r="S28" s="3"/>
      <c r="T28" s="3" t="str">
        <f>E28&amp;" "&amp;D28</f>
        <v>Diesel Gabelstapler (4x) 1)</v>
      </c>
      <c r="U28" s="3"/>
      <c r="V28" s="79">
        <f>IF(NOT(ISBLANK($I28)),$I28,$F28)*IF(NOT(ISBLANK(M28)),M28,'Eingabe EF'!$G15)</f>
        <v>29.238941159999996</v>
      </c>
      <c r="W28" s="79"/>
      <c r="X28" s="79">
        <f>IF(NOT(ISBLANK($I28)),$I28,$F28)*IF(NOT(ISBLANK(N28)),N28,'Eingabe EF'!$O15)</f>
        <v>5.1658635600000009</v>
      </c>
      <c r="Y28" s="15"/>
      <c r="Z28" s="79">
        <f t="shared" si="0"/>
        <v>29.238941159999996</v>
      </c>
      <c r="AA28" s="81">
        <f t="shared" si="1"/>
        <v>34.404804719999994</v>
      </c>
      <c r="AB28" s="15" t="s">
        <v>148</v>
      </c>
      <c r="AC28" s="3"/>
      <c r="AE28" s="3"/>
      <c r="AF28" s="15" t="s">
        <v>27</v>
      </c>
      <c r="AG28" s="80">
        <f>X78*IF(NOT(ISBLANK('Eingabe Preise'!$G23)),'Eingabe Preise'!$G23,'Eingabe Preise'!$E23)</f>
        <v>145788.24057023795</v>
      </c>
      <c r="AH28" s="15" t="s">
        <v>96</v>
      </c>
      <c r="AI28" s="3"/>
    </row>
    <row r="29" spans="2:35" ht="15.75" x14ac:dyDescent="0.2">
      <c r="B29" s="3"/>
      <c r="C29" s="348"/>
      <c r="D29" s="3" t="s">
        <v>70</v>
      </c>
      <c r="E29" s="3" t="s">
        <v>32</v>
      </c>
      <c r="F29" s="335">
        <f>'Referenz Plattenfertiger'!F29</f>
        <v>2500</v>
      </c>
      <c r="G29" s="363" t="s">
        <v>39</v>
      </c>
      <c r="H29" s="9"/>
      <c r="I29" s="110"/>
      <c r="J29" s="3" t="s">
        <v>39</v>
      </c>
      <c r="K29" s="3"/>
      <c r="L29" s="3"/>
      <c r="M29" s="3"/>
      <c r="N29" s="389"/>
      <c r="O29" s="3"/>
      <c r="P29" s="3"/>
      <c r="Q29" s="3"/>
      <c r="S29" s="3"/>
      <c r="T29" s="3" t="str">
        <f>E29&amp;" "&amp;D29</f>
        <v>Diesel Radlader (1x)</v>
      </c>
      <c r="U29" s="3"/>
      <c r="V29" s="79">
        <f>IF(NOT(ISBLANK($I29)),$I29,$F29)*IF(NOT(ISBLANK('Eingabe EF'!$I15)),'Eingabe EF'!$I15,'Eingabe EF'!$G15)</f>
        <v>6.645213899999999</v>
      </c>
      <c r="W29" s="79"/>
      <c r="X29" s="79">
        <f>IF(NOT(ISBLANK($I29)),$I29,$F29)*IF(NOT(ISBLANK(N29)),N29,'Eingabe EF'!$O15)</f>
        <v>1.1740599000000003</v>
      </c>
      <c r="Y29" s="15"/>
      <c r="Z29" s="79">
        <f t="shared" si="0"/>
        <v>6.645213899999999</v>
      </c>
      <c r="AA29" s="81">
        <f t="shared" si="1"/>
        <v>7.8192737999999995</v>
      </c>
      <c r="AB29" s="15" t="s">
        <v>148</v>
      </c>
      <c r="AC29" s="3"/>
      <c r="AE29" s="3"/>
      <c r="AF29" s="15"/>
      <c r="AG29" s="15"/>
      <c r="AH29" s="15"/>
      <c r="AI29" s="3"/>
    </row>
    <row r="30" spans="2:35" ht="13.5" thickBot="1" x14ac:dyDescent="0.25">
      <c r="B30" s="3"/>
      <c r="C30" s="419"/>
      <c r="D30" s="3"/>
      <c r="E30" s="3"/>
      <c r="F30" s="362"/>
      <c r="G30" s="363"/>
      <c r="H30" s="9"/>
      <c r="I30" s="9"/>
      <c r="J30" s="3"/>
      <c r="K30" s="3"/>
      <c r="L30" s="3"/>
      <c r="M30" s="3"/>
      <c r="N30" s="3"/>
      <c r="O30" s="3"/>
      <c r="P30" s="3"/>
      <c r="Q30" s="3"/>
      <c r="S30" s="3"/>
      <c r="T30" s="3"/>
      <c r="U30" s="3"/>
      <c r="V30" s="79"/>
      <c r="W30" s="79"/>
      <c r="X30" s="79"/>
      <c r="Y30" s="15"/>
      <c r="Z30" s="79"/>
      <c r="AA30" s="81"/>
      <c r="AB30" s="15"/>
      <c r="AC30" s="3"/>
      <c r="AE30" s="3"/>
      <c r="AF30" s="370" t="s">
        <v>120</v>
      </c>
      <c r="AG30" s="371">
        <f>AG25+AG15</f>
        <v>262128.04944673795</v>
      </c>
      <c r="AH30" s="370" t="s">
        <v>96</v>
      </c>
      <c r="AI30" s="3"/>
    </row>
    <row r="31" spans="2:35" ht="15" thickTop="1" x14ac:dyDescent="0.2">
      <c r="B31" s="3"/>
      <c r="C31" s="8" t="s">
        <v>27</v>
      </c>
      <c r="D31" s="3"/>
      <c r="E31" s="3"/>
      <c r="F31" s="362"/>
      <c r="G31" s="363"/>
      <c r="H31" s="9"/>
      <c r="I31" s="9"/>
      <c r="J31" s="3"/>
      <c r="K31" s="3"/>
      <c r="L31" s="3"/>
      <c r="M31" s="3"/>
      <c r="N31" s="3"/>
      <c r="O31" s="3"/>
      <c r="P31" s="3"/>
      <c r="Q31" s="3"/>
      <c r="S31" s="3"/>
      <c r="T31" s="345" t="s">
        <v>175</v>
      </c>
      <c r="U31" s="118"/>
      <c r="V31" s="346"/>
      <c r="W31" s="346"/>
      <c r="X31" s="346">
        <f>X32+X33</f>
        <v>469.15642799999995</v>
      </c>
      <c r="Y31" s="363"/>
      <c r="Z31" s="346">
        <f>V31+W31</f>
        <v>0</v>
      </c>
      <c r="AA31" s="367">
        <f>SUM(V31:X31)</f>
        <v>469.15642799999995</v>
      </c>
      <c r="AB31" s="347" t="s">
        <v>149</v>
      </c>
      <c r="AC31" s="3"/>
      <c r="AE31" s="3"/>
      <c r="AF31" s="3"/>
      <c r="AG31" s="3"/>
      <c r="AH31" s="3"/>
      <c r="AI31" s="3"/>
    </row>
    <row r="32" spans="2:35" ht="15.75" x14ac:dyDescent="0.2">
      <c r="B32" s="3"/>
      <c r="C32" s="3"/>
      <c r="D32" s="3" t="s">
        <v>43</v>
      </c>
      <c r="E32" s="3" t="s">
        <v>32</v>
      </c>
      <c r="F32" s="335">
        <f>'Referenz Plattenfertiger'!F32</f>
        <v>35000</v>
      </c>
      <c r="G32" s="363" t="s">
        <v>39</v>
      </c>
      <c r="H32" s="9"/>
      <c r="I32" s="110"/>
      <c r="J32" s="3" t="s">
        <v>39</v>
      </c>
      <c r="K32" s="3"/>
      <c r="L32" s="3"/>
      <c r="M32" s="3"/>
      <c r="N32" s="389"/>
      <c r="O32" s="3"/>
      <c r="P32" s="3"/>
      <c r="Q32" s="3"/>
      <c r="S32" s="3"/>
      <c r="T32" s="3" t="str">
        <f>E32&amp;" "&amp;D32</f>
        <v>Diesel Transport vorgelagert</v>
      </c>
      <c r="U32" s="3"/>
      <c r="V32" s="79"/>
      <c r="W32" s="79"/>
      <c r="X32" s="79">
        <f>IF(NOT(ISBLANK($I32)),$I32,$F32)*IF(NOT(ISBLANK(N32)),N32,'Eingabe EF'!$O17)</f>
        <v>109.4698332</v>
      </c>
      <c r="Y32" s="15"/>
      <c r="Z32" s="79">
        <f>V32+W32</f>
        <v>0</v>
      </c>
      <c r="AA32" s="81">
        <f>SUM(V32:X32)</f>
        <v>109.4698332</v>
      </c>
      <c r="AB32" s="15" t="s">
        <v>148</v>
      </c>
      <c r="AC32" s="3"/>
      <c r="AE32" s="3"/>
      <c r="AF32" s="3"/>
      <c r="AG32" s="3"/>
      <c r="AH32" s="3"/>
      <c r="AI32" s="3"/>
    </row>
    <row r="33" spans="2:37" ht="15.75" x14ac:dyDescent="0.2">
      <c r="B33" s="3"/>
      <c r="C33" s="3"/>
      <c r="D33" s="8" t="s">
        <v>44</v>
      </c>
      <c r="E33" s="3" t="s">
        <v>32</v>
      </c>
      <c r="F33" s="335">
        <f>'Referenz Plattenfertiger'!F33</f>
        <v>115000</v>
      </c>
      <c r="G33" s="363" t="s">
        <v>39</v>
      </c>
      <c r="H33" s="9"/>
      <c r="I33" s="110"/>
      <c r="J33" s="3" t="s">
        <v>39</v>
      </c>
      <c r="K33" s="3"/>
      <c r="L33" s="3"/>
      <c r="M33" s="3"/>
      <c r="N33" s="389"/>
      <c r="O33" s="3"/>
      <c r="P33" s="3"/>
      <c r="Q33" s="3"/>
      <c r="S33" s="3"/>
      <c r="T33" s="3" t="str">
        <f>E33&amp;" "&amp;D33</f>
        <v>Diesel Transport nachgelagert</v>
      </c>
      <c r="U33" s="3"/>
      <c r="V33" s="79"/>
      <c r="W33" s="79"/>
      <c r="X33" s="79">
        <f>IF(NOT(ISBLANK($I33)),$I33,$F33)*IF(NOT(ISBLANK(N33)),N33,'Eingabe EF'!$O18)</f>
        <v>359.68659479999997</v>
      </c>
      <c r="Y33" s="15"/>
      <c r="Z33" s="79">
        <f>V33+W33</f>
        <v>0</v>
      </c>
      <c r="AA33" s="81">
        <f>SUM(V33:X33)</f>
        <v>359.68659479999997</v>
      </c>
      <c r="AB33" s="15" t="s">
        <v>148</v>
      </c>
      <c r="AC33" s="3"/>
    </row>
    <row r="34" spans="2:37" x14ac:dyDescent="0.2">
      <c r="B34" s="3"/>
      <c r="C34" s="3"/>
      <c r="D34" s="3"/>
      <c r="E34" s="3"/>
      <c r="F34" s="363"/>
      <c r="G34" s="363"/>
      <c r="H34" s="3"/>
      <c r="I34" s="3"/>
      <c r="J34" s="3"/>
      <c r="K34" s="3"/>
      <c r="L34" s="3"/>
      <c r="M34" s="3"/>
      <c r="N34" s="3"/>
      <c r="O34" s="3"/>
      <c r="P34" s="3"/>
      <c r="Q34" s="3"/>
      <c r="S34" s="3"/>
      <c r="T34" s="3"/>
      <c r="U34" s="3"/>
      <c r="V34" s="79"/>
      <c r="W34" s="79"/>
      <c r="X34" s="79"/>
      <c r="Y34" s="15"/>
      <c r="Z34" s="79"/>
      <c r="AA34" s="81"/>
      <c r="AB34" s="15"/>
      <c r="AC34" s="3"/>
    </row>
    <row r="35" spans="2:37" ht="14.25" x14ac:dyDescent="0.2">
      <c r="B35" s="3"/>
      <c r="C35" s="3"/>
      <c r="D35" s="8" t="s">
        <v>66</v>
      </c>
      <c r="E35" s="3"/>
      <c r="F35" s="363"/>
      <c r="G35" s="363"/>
      <c r="H35" s="3"/>
      <c r="I35" s="3"/>
      <c r="J35" s="3"/>
      <c r="K35" s="3"/>
      <c r="L35" s="3"/>
      <c r="M35" s="3"/>
      <c r="N35" s="3"/>
      <c r="O35" s="3"/>
      <c r="P35" s="3"/>
      <c r="Q35" s="3"/>
      <c r="S35" s="3"/>
      <c r="T35" s="345" t="s">
        <v>65</v>
      </c>
      <c r="U35" s="118"/>
      <c r="V35" s="346"/>
      <c r="W35" s="346"/>
      <c r="X35" s="346">
        <f>SUM(X36:X39)</f>
        <v>4548.5439999999999</v>
      </c>
      <c r="Y35" s="363"/>
      <c r="Z35" s="346">
        <f>V35+W35</f>
        <v>0</v>
      </c>
      <c r="AA35" s="367">
        <f>SUM(V35:X35)</f>
        <v>4548.5439999999999</v>
      </c>
      <c r="AB35" s="347" t="s">
        <v>149</v>
      </c>
      <c r="AC35" s="3"/>
    </row>
    <row r="36" spans="2:37" ht="15.75" x14ac:dyDescent="0.2">
      <c r="B36" s="3"/>
      <c r="C36" s="3"/>
      <c r="D36" s="3" t="s">
        <v>45</v>
      </c>
      <c r="E36" s="3"/>
      <c r="F36" s="409">
        <f>'Referenz Plattenfertiger'!F36</f>
        <v>4.5499999999999999E-2</v>
      </c>
      <c r="G36" s="363"/>
      <c r="H36" s="3"/>
      <c r="I36" s="120"/>
      <c r="J36" s="3" t="s">
        <v>447</v>
      </c>
      <c r="K36" s="385"/>
      <c r="L36" s="3" t="s">
        <v>462</v>
      </c>
      <c r="M36" s="3"/>
      <c r="N36" s="389"/>
      <c r="O36" s="3"/>
      <c r="P36" s="3"/>
      <c r="Q36" s="3"/>
      <c r="S36" s="3"/>
      <c r="T36" s="3" t="str">
        <f>D36</f>
        <v>Zement - CEM I</v>
      </c>
      <c r="U36" s="3"/>
      <c r="V36" s="79"/>
      <c r="W36" s="79"/>
      <c r="X36" s="79">
        <f>IF(NOT(ISBLANK($K36)),$K36*IF(NOT(ISBLANK(N36)),N36,'Eingabe EF'!$O21),IF(NOT(ISBLANK($I36)),$I36,$F36)*IF(NOT(ISBLANK(N36)),N36,'Eingabe EF'!$O21)*IF(NOT(ISBLANK($I$12)),$I$12,$F$12))</f>
        <v>1210.3</v>
      </c>
      <c r="Y36" s="15"/>
      <c r="Z36" s="79">
        <f>V36+W36</f>
        <v>0</v>
      </c>
      <c r="AA36" s="81">
        <f>SUM(V36:X36)</f>
        <v>1210.3</v>
      </c>
      <c r="AB36" s="15" t="s">
        <v>148</v>
      </c>
      <c r="AC36" s="3"/>
    </row>
    <row r="37" spans="2:37" ht="15.75" x14ac:dyDescent="0.2">
      <c r="B37" s="3"/>
      <c r="C37" s="3"/>
      <c r="D37" s="3" t="s">
        <v>47</v>
      </c>
      <c r="E37" s="3"/>
      <c r="F37" s="409">
        <f>'Referenz Plattenfertiger'!F37</f>
        <v>0.10919999999999999</v>
      </c>
      <c r="G37" s="363"/>
      <c r="H37" s="3"/>
      <c r="I37" s="120"/>
      <c r="J37" s="3" t="s">
        <v>447</v>
      </c>
      <c r="K37" s="385"/>
      <c r="L37" s="3" t="s">
        <v>462</v>
      </c>
      <c r="M37" s="3"/>
      <c r="N37" s="389"/>
      <c r="O37" s="3"/>
      <c r="P37" s="3"/>
      <c r="Q37" s="3"/>
      <c r="S37" s="3"/>
      <c r="T37" s="3" t="str">
        <f>D37</f>
        <v>Zement - CEM II</v>
      </c>
      <c r="U37" s="3"/>
      <c r="V37" s="79"/>
      <c r="W37" s="79"/>
      <c r="X37" s="79">
        <f>IF(NOT(ISBLANK($K37)),$K37*IF(NOT(ISBLANK(N37)),N37,'Eingabe EF'!$O22),IF(NOT(ISBLANK($I37)),$I37,$F37)*IF(NOT(ISBLANK(N37)),N37,'Eingabe EF'!$O22)*IF(NOT(ISBLANK($I$12)),$I$12,$F$12))</f>
        <v>2415.5039999999999</v>
      </c>
      <c r="Y37" s="15"/>
      <c r="Z37" s="79">
        <f>V37+W37</f>
        <v>0</v>
      </c>
      <c r="AA37" s="81">
        <f>SUM(V37:X37)</f>
        <v>2415.5039999999999</v>
      </c>
      <c r="AB37" s="15" t="s">
        <v>148</v>
      </c>
      <c r="AC37" s="3"/>
    </row>
    <row r="38" spans="2:37" ht="15.75" x14ac:dyDescent="0.2">
      <c r="B38" s="3"/>
      <c r="C38" s="3"/>
      <c r="D38" s="3" t="s">
        <v>48</v>
      </c>
      <c r="E38" s="3"/>
      <c r="F38" s="409">
        <f>'Referenz Plattenfertiger'!F38</f>
        <v>2.7299999999999998E-2</v>
      </c>
      <c r="G38" s="363"/>
      <c r="H38" s="3"/>
      <c r="I38" s="120"/>
      <c r="J38" s="3" t="s">
        <v>447</v>
      </c>
      <c r="K38" s="385"/>
      <c r="L38" s="3" t="s">
        <v>462</v>
      </c>
      <c r="M38" s="3"/>
      <c r="N38" s="389"/>
      <c r="O38" s="3"/>
      <c r="P38" s="3"/>
      <c r="Q38" s="3"/>
      <c r="S38" s="3"/>
      <c r="T38" s="3" t="str">
        <f>D38</f>
        <v>Weißzement</v>
      </c>
      <c r="U38" s="3"/>
      <c r="V38" s="79"/>
      <c r="W38" s="79"/>
      <c r="X38" s="79">
        <f>IF(NOT(ISBLANK($K38)),$K38*IF(NOT(ISBLANK(N38)),N38,'Eingabe EF'!$O23),IF(NOT(ISBLANK($I38)),$I38,$F38)*IF(NOT(ISBLANK(N38)),'Eingabe EF'!$Q23,'Eingabe EF'!$O23)*IF(NOT(ISBLANK($I$12)),$I$12,$F$12))</f>
        <v>922.7399999999999</v>
      </c>
      <c r="Y38" s="15"/>
      <c r="Z38" s="79">
        <f>V38+W38</f>
        <v>0</v>
      </c>
      <c r="AA38" s="81">
        <f>SUM(V38:X38)</f>
        <v>922.7399999999999</v>
      </c>
      <c r="AB38" s="15" t="s">
        <v>148</v>
      </c>
      <c r="AC38" s="3"/>
    </row>
    <row r="39" spans="2:37" ht="15.75" x14ac:dyDescent="0.2">
      <c r="B39" s="3"/>
      <c r="C39" s="3"/>
      <c r="D39" s="3" t="s">
        <v>147</v>
      </c>
      <c r="E39" s="3"/>
      <c r="F39" s="409">
        <f>'Referenz Plattenfertiger'!F39</f>
        <v>0</v>
      </c>
      <c r="G39" s="363"/>
      <c r="H39" s="3"/>
      <c r="I39" s="120"/>
      <c r="J39" s="3" t="s">
        <v>447</v>
      </c>
      <c r="K39" s="385"/>
      <c r="L39" s="3" t="s">
        <v>462</v>
      </c>
      <c r="M39" s="3"/>
      <c r="N39" s="389"/>
      <c r="O39" s="3"/>
      <c r="P39" s="119"/>
      <c r="Q39" s="3"/>
      <c r="S39" s="3"/>
      <c r="T39" s="3" t="str">
        <f>D39</f>
        <v>Weitere Zementsorte</v>
      </c>
      <c r="U39" s="3"/>
      <c r="V39" s="79"/>
      <c r="W39" s="79"/>
      <c r="X39" s="79">
        <f>IF(NOT(ISBLANK($K39)),$K39*N39,IF(NOT(ISBLANK($I39)),$I39,$F39)*IF(NOT(ISBLANK(N39)),N39,0)*IF(NOT(ISBLANK($I$12)),$I$12,$F$12))</f>
        <v>0</v>
      </c>
      <c r="Y39" s="15"/>
      <c r="Z39" s="79">
        <f>V39+W39</f>
        <v>0</v>
      </c>
      <c r="AA39" s="81">
        <f>SUM(V39:X39)</f>
        <v>0</v>
      </c>
      <c r="AB39" s="15" t="s">
        <v>148</v>
      </c>
      <c r="AC39" s="3"/>
    </row>
    <row r="40" spans="2:37" x14ac:dyDescent="0.2">
      <c r="B40" s="3"/>
      <c r="C40" s="3"/>
      <c r="D40" s="3"/>
      <c r="E40" s="3"/>
      <c r="F40" s="358"/>
      <c r="G40" s="363"/>
      <c r="H40" s="3"/>
      <c r="I40" s="109"/>
      <c r="J40" s="3"/>
      <c r="K40" s="3"/>
      <c r="L40" s="3"/>
      <c r="M40" s="3"/>
      <c r="N40" s="3"/>
      <c r="O40" s="3"/>
      <c r="P40" s="3"/>
      <c r="Q40" s="3"/>
      <c r="S40" s="3"/>
      <c r="T40" s="3"/>
      <c r="U40" s="3"/>
      <c r="V40" s="79"/>
      <c r="W40" s="79"/>
      <c r="X40" s="79"/>
      <c r="Y40" s="15"/>
      <c r="Z40" s="79"/>
      <c r="AA40" s="81"/>
      <c r="AB40" s="15"/>
      <c r="AC40" s="3"/>
      <c r="AJ40" s="422"/>
    </row>
    <row r="41" spans="2:37" ht="27" customHeight="1" x14ac:dyDescent="0.2">
      <c r="B41" s="3"/>
      <c r="C41" s="3"/>
      <c r="D41" s="8" t="s">
        <v>163</v>
      </c>
      <c r="E41" s="3"/>
      <c r="F41" s="358"/>
      <c r="G41" s="363"/>
      <c r="H41" s="3"/>
      <c r="I41" s="109"/>
      <c r="J41" s="3"/>
      <c r="K41" s="3"/>
      <c r="L41" s="3"/>
      <c r="M41" s="3"/>
      <c r="N41" s="3"/>
      <c r="O41" s="3"/>
      <c r="P41" s="3"/>
      <c r="Q41" s="3"/>
      <c r="S41" s="3"/>
      <c r="T41" s="375" t="str">
        <f>D41</f>
        <v>Gesteinskörnungen (Zuschlagsstoffe)</v>
      </c>
      <c r="U41" s="118"/>
      <c r="V41" s="346"/>
      <c r="W41" s="346"/>
      <c r="X41" s="346">
        <f>SUM(X42:X46)</f>
        <v>129.59200000000001</v>
      </c>
      <c r="Y41" s="363"/>
      <c r="Z41" s="346">
        <f>V41+W41</f>
        <v>0</v>
      </c>
      <c r="AA41" s="367">
        <f>SUM(V41:X41)</f>
        <v>129.59200000000001</v>
      </c>
      <c r="AB41" s="347" t="s">
        <v>149</v>
      </c>
      <c r="AC41" s="3"/>
      <c r="AI41" s="422">
        <f>AA41</f>
        <v>129.59200000000001</v>
      </c>
      <c r="AJ41" s="6" t="str">
        <f>AB41</f>
        <v>t CO2e</v>
      </c>
      <c r="AK41" s="6">
        <f>AC41</f>
        <v>0</v>
      </c>
    </row>
    <row r="42" spans="2:37" ht="15.75" x14ac:dyDescent="0.2">
      <c r="B42" s="3"/>
      <c r="C42" s="3"/>
      <c r="D42" s="3" t="s">
        <v>164</v>
      </c>
      <c r="E42" s="3"/>
      <c r="F42" s="409">
        <f>'Referenz Plattenfertiger'!F42</f>
        <v>0.66800000000000004</v>
      </c>
      <c r="G42" s="363"/>
      <c r="H42" s="3"/>
      <c r="I42" s="120"/>
      <c r="J42" s="3" t="s">
        <v>447</v>
      </c>
      <c r="K42" s="385"/>
      <c r="L42" s="3" t="s">
        <v>462</v>
      </c>
      <c r="M42" s="3"/>
      <c r="N42" s="389"/>
      <c r="O42" s="3"/>
      <c r="P42" s="3"/>
      <c r="Q42" s="3"/>
      <c r="S42" s="3"/>
      <c r="T42" s="3" t="str">
        <f>D42</f>
        <v>Sand, Kies</v>
      </c>
      <c r="U42" s="3"/>
      <c r="V42" s="79"/>
      <c r="W42" s="79"/>
      <c r="X42" s="79">
        <f>IF(NOT(ISBLANK($K42)),$K42*IF(NOT(ISBLANK(N42)),N42,'Eingabe EF'!$O27),IF(NOT(ISBLANK($I42)),$I42,$F42)*IF(NOT(ISBLANK(N42)),N42,'Eingabe EF'!$O27)*IF(NOT(ISBLANK($I$12)),$I$12,$F$12))</f>
        <v>129.59200000000001</v>
      </c>
      <c r="Y42" s="15"/>
      <c r="Z42" s="79">
        <f>V42+W42</f>
        <v>0</v>
      </c>
      <c r="AA42" s="81">
        <f>SUM(V42:X42)</f>
        <v>129.59200000000001</v>
      </c>
      <c r="AB42" s="15" t="s">
        <v>148</v>
      </c>
      <c r="AC42" s="3"/>
    </row>
    <row r="43" spans="2:37" ht="15.75" x14ac:dyDescent="0.2">
      <c r="B43" s="3"/>
      <c r="C43" s="3"/>
      <c r="D43" s="3" t="s">
        <v>165</v>
      </c>
      <c r="E43" s="3"/>
      <c r="F43" s="409">
        <f>'Referenz Plattenfertiger'!F43</f>
        <v>0</v>
      </c>
      <c r="G43" s="363"/>
      <c r="H43" s="3"/>
      <c r="I43" s="120"/>
      <c r="J43" s="3" t="s">
        <v>447</v>
      </c>
      <c r="K43" s="385"/>
      <c r="L43" s="3" t="s">
        <v>462</v>
      </c>
      <c r="M43" s="3"/>
      <c r="N43" s="389"/>
      <c r="O43" s="3"/>
      <c r="P43" s="119"/>
      <c r="Q43" s="3"/>
      <c r="S43" s="3"/>
      <c r="T43" s="3" t="str">
        <f>D43</f>
        <v>Brechsand, Splitt</v>
      </c>
      <c r="U43" s="3"/>
      <c r="V43" s="79"/>
      <c r="W43" s="79"/>
      <c r="X43" s="79">
        <f>IF(NOT(ISBLANK($K43)),$K43*N43,IF(NOT(ISBLANK($I43)),$I43,$F43)*IF(NOT(ISBLANK(N43)),N43,0)*IF(NOT(ISBLANK($I$12)),$I$12,$F$12))</f>
        <v>0</v>
      </c>
      <c r="Y43" s="15"/>
      <c r="Z43" s="79">
        <f>V43+W43</f>
        <v>0</v>
      </c>
      <c r="AA43" s="81">
        <f t="shared" ref="AA43:AA44" si="3">SUM(V43:X43)</f>
        <v>0</v>
      </c>
      <c r="AB43" s="15" t="s">
        <v>148</v>
      </c>
      <c r="AC43" s="3"/>
    </row>
    <row r="44" spans="2:37" ht="15.75" x14ac:dyDescent="0.2">
      <c r="B44" s="3"/>
      <c r="C44" s="3"/>
      <c r="D44" s="3" t="s">
        <v>166</v>
      </c>
      <c r="E44" s="3"/>
      <c r="F44" s="409">
        <f>'Referenz Plattenfertiger'!F44</f>
        <v>0</v>
      </c>
      <c r="G44" s="363"/>
      <c r="H44" s="3"/>
      <c r="I44" s="120"/>
      <c r="J44" s="3" t="s">
        <v>447</v>
      </c>
      <c r="K44" s="385"/>
      <c r="L44" s="3" t="s">
        <v>462</v>
      </c>
      <c r="M44" s="3"/>
      <c r="N44" s="389"/>
      <c r="O44" s="3"/>
      <c r="P44" s="119"/>
      <c r="Q44" s="3"/>
      <c r="S44" s="3"/>
      <c r="T44" s="3" t="str">
        <f>D44</f>
        <v>RC-Material (Sand, Splitt)</v>
      </c>
      <c r="U44" s="3"/>
      <c r="V44" s="79"/>
      <c r="W44" s="79"/>
      <c r="X44" s="79">
        <f>IF(NOT(ISBLANK($K44)),$K44*N44,IF(NOT(ISBLANK($I44)),$I44,$F44)*IF(NOT(ISBLANK(N44)),N44,0)*IF(NOT(ISBLANK($I$12)),$I$12,$F$12))</f>
        <v>0</v>
      </c>
      <c r="Y44" s="15"/>
      <c r="Z44" s="79">
        <f>V44+W44</f>
        <v>0</v>
      </c>
      <c r="AA44" s="81">
        <f t="shared" si="3"/>
        <v>0</v>
      </c>
      <c r="AB44" s="15" t="s">
        <v>148</v>
      </c>
      <c r="AC44" s="3"/>
    </row>
    <row r="45" spans="2:37" ht="15.75" x14ac:dyDescent="0.2">
      <c r="B45" s="3"/>
      <c r="C45" s="3"/>
      <c r="D45" s="360" t="s">
        <v>505</v>
      </c>
      <c r="E45" s="3"/>
      <c r="F45" s="409">
        <v>0</v>
      </c>
      <c r="G45" s="363"/>
      <c r="H45" s="3"/>
      <c r="I45" s="120"/>
      <c r="J45" s="3" t="s">
        <v>447</v>
      </c>
      <c r="K45" s="385"/>
      <c r="L45" s="3" t="s">
        <v>462</v>
      </c>
      <c r="M45" s="3"/>
      <c r="N45" s="389"/>
      <c r="O45" s="3"/>
      <c r="P45" s="119"/>
      <c r="Q45" s="3"/>
      <c r="S45" s="3"/>
      <c r="T45" s="3" t="str">
        <f t="shared" ref="T45:T46" si="4">D45</f>
        <v>Weiterer Zuschlagstoff 1</v>
      </c>
      <c r="U45" s="3"/>
      <c r="V45" s="79"/>
      <c r="W45" s="79"/>
      <c r="X45" s="79">
        <f t="shared" ref="X45:X46" si="5">IF(NOT(ISBLANK($K45)),$K45*N45,IF(NOT(ISBLANK($I45)),$I45,$F45)*IF(NOT(ISBLANK(N45)),N45,0)*IF(NOT(ISBLANK($I$12)),$I$12,$F$12))</f>
        <v>0</v>
      </c>
      <c r="Y45" s="15"/>
      <c r="Z45" s="79">
        <f t="shared" ref="Z45:Z46" si="6">V45+W45</f>
        <v>0</v>
      </c>
      <c r="AA45" s="81">
        <f t="shared" ref="AA45:AA46" si="7">SUM(V45:X45)</f>
        <v>0</v>
      </c>
      <c r="AB45" s="15" t="s">
        <v>148</v>
      </c>
      <c r="AC45" s="3"/>
    </row>
    <row r="46" spans="2:37" ht="15.75" x14ac:dyDescent="0.2">
      <c r="B46" s="3"/>
      <c r="C46" s="3"/>
      <c r="D46" s="360" t="s">
        <v>506</v>
      </c>
      <c r="E46" s="3"/>
      <c r="F46" s="409">
        <v>0</v>
      </c>
      <c r="G46" s="363"/>
      <c r="H46" s="3"/>
      <c r="I46" s="120"/>
      <c r="J46" s="3" t="s">
        <v>447</v>
      </c>
      <c r="K46" s="385"/>
      <c r="L46" s="3" t="s">
        <v>462</v>
      </c>
      <c r="M46" s="3"/>
      <c r="N46" s="389"/>
      <c r="O46" s="3"/>
      <c r="P46" s="119"/>
      <c r="Q46" s="3"/>
      <c r="S46" s="3"/>
      <c r="T46" s="3" t="str">
        <f t="shared" si="4"/>
        <v>Weiterer Zuschlagstoff 2</v>
      </c>
      <c r="U46" s="3"/>
      <c r="V46" s="79"/>
      <c r="W46" s="79"/>
      <c r="X46" s="79">
        <f t="shared" si="5"/>
        <v>0</v>
      </c>
      <c r="Y46" s="15"/>
      <c r="Z46" s="79">
        <f t="shared" si="6"/>
        <v>0</v>
      </c>
      <c r="AA46" s="81">
        <f t="shared" si="7"/>
        <v>0</v>
      </c>
      <c r="AB46" s="15" t="s">
        <v>148</v>
      </c>
      <c r="AC46" s="3"/>
    </row>
    <row r="47" spans="2:37" x14ac:dyDescent="0.2">
      <c r="B47" s="3"/>
      <c r="C47" s="3"/>
      <c r="D47" s="3"/>
      <c r="E47" s="3"/>
      <c r="F47" s="358"/>
      <c r="G47" s="363"/>
      <c r="H47" s="3"/>
      <c r="I47" s="109"/>
      <c r="J47" s="3"/>
      <c r="K47" s="3"/>
      <c r="L47" s="3"/>
      <c r="M47" s="3"/>
      <c r="N47" s="3"/>
      <c r="O47" s="3"/>
      <c r="P47" s="3"/>
      <c r="Q47" s="3"/>
      <c r="S47" s="3"/>
      <c r="T47" s="3"/>
      <c r="U47" s="3"/>
      <c r="V47" s="79"/>
      <c r="W47" s="79"/>
      <c r="X47" s="79"/>
      <c r="Y47" s="15"/>
      <c r="Z47" s="79"/>
      <c r="AA47" s="81"/>
      <c r="AB47" s="15"/>
      <c r="AC47" s="3"/>
    </row>
    <row r="48" spans="2:37" ht="14.25" x14ac:dyDescent="0.2">
      <c r="B48" s="3"/>
      <c r="C48" s="3"/>
      <c r="D48" s="3" t="s">
        <v>55</v>
      </c>
      <c r="E48" s="3"/>
      <c r="F48" s="409">
        <f>'Referenz Plattenfertiger'!F48</f>
        <v>2E-3</v>
      </c>
      <c r="G48" s="363"/>
      <c r="H48" s="3"/>
      <c r="I48" s="120"/>
      <c r="J48" s="3" t="s">
        <v>447</v>
      </c>
      <c r="K48" s="385"/>
      <c r="L48" s="3" t="s">
        <v>448</v>
      </c>
      <c r="M48" s="3"/>
      <c r="N48" s="389"/>
      <c r="O48" s="3"/>
      <c r="P48" s="3"/>
      <c r="Q48" s="3"/>
      <c r="S48" s="3"/>
      <c r="T48" s="8" t="str">
        <f>D48</f>
        <v>Farben</v>
      </c>
      <c r="U48" s="8"/>
      <c r="V48" s="366"/>
      <c r="W48" s="366"/>
      <c r="X48" s="366">
        <f>IF(NOT(ISBLANK($K48)),$K48/1000*IF(NOT(ISBLANK(N48)),N48,'Eingabe EF'!$O33),IF(NOT(ISBLANK($I48)),$I48,$F48)*IF(NOT(ISBLANK(N48)),N48,'Eingabe EF'!$O33)*IF(NOT(ISBLANK($I$12)),$I$12,$F$12))</f>
        <v>208</v>
      </c>
      <c r="Y48" s="78"/>
      <c r="Z48" s="366">
        <f>V48+W48</f>
        <v>0</v>
      </c>
      <c r="AA48" s="368">
        <f>SUM(V48:X48)</f>
        <v>208</v>
      </c>
      <c r="AB48" s="78" t="s">
        <v>149</v>
      </c>
      <c r="AC48" s="3"/>
    </row>
    <row r="49" spans="2:29" x14ac:dyDescent="0.2">
      <c r="B49" s="3"/>
      <c r="C49" s="3"/>
      <c r="D49" s="3"/>
      <c r="E49" s="3"/>
      <c r="F49" s="410"/>
      <c r="G49" s="363"/>
      <c r="H49" s="3"/>
      <c r="I49" s="3"/>
      <c r="J49" s="3"/>
      <c r="K49" s="3"/>
      <c r="L49" s="3"/>
      <c r="M49" s="3"/>
      <c r="N49" s="3"/>
      <c r="O49" s="3"/>
      <c r="P49" s="3"/>
      <c r="Q49" s="3"/>
      <c r="S49" s="3"/>
      <c r="T49" s="3"/>
      <c r="U49" s="3"/>
      <c r="V49" s="79"/>
      <c r="W49" s="79"/>
      <c r="X49" s="79"/>
      <c r="Y49" s="15"/>
      <c r="Z49" s="79"/>
      <c r="AA49" s="81"/>
      <c r="AB49" s="15"/>
      <c r="AC49" s="3"/>
    </row>
    <row r="50" spans="2:29" ht="14.25" x14ac:dyDescent="0.2">
      <c r="B50" s="3"/>
      <c r="C50" s="3"/>
      <c r="D50" s="8" t="s">
        <v>167</v>
      </c>
      <c r="E50" s="3"/>
      <c r="F50" s="410"/>
      <c r="G50" s="363"/>
      <c r="H50" s="3"/>
      <c r="I50" s="3"/>
      <c r="J50" s="3"/>
      <c r="K50" s="3"/>
      <c r="L50" s="3"/>
      <c r="M50" s="3"/>
      <c r="N50" s="3"/>
      <c r="O50" s="3"/>
      <c r="P50" s="3"/>
      <c r="Q50" s="3"/>
      <c r="S50" s="3"/>
      <c r="T50" s="345" t="str">
        <f>D50</f>
        <v>Zusatzstoffe (Füllstoffe)</v>
      </c>
      <c r="U50" s="118"/>
      <c r="V50" s="346"/>
      <c r="W50" s="346"/>
      <c r="X50" s="346">
        <f>SUM(X51:X55)</f>
        <v>81.003999999999991</v>
      </c>
      <c r="Y50" s="363"/>
      <c r="Z50" s="346">
        <f>V50+W50</f>
        <v>0</v>
      </c>
      <c r="AA50" s="367">
        <f>SUM(V50:X50)</f>
        <v>81.003999999999991</v>
      </c>
      <c r="AB50" s="347" t="s">
        <v>149</v>
      </c>
      <c r="AC50" s="3"/>
    </row>
    <row r="51" spans="2:29" ht="15.75" x14ac:dyDescent="0.2">
      <c r="B51" s="3"/>
      <c r="C51" s="3"/>
      <c r="D51" s="360" t="str">
        <f>'Referenz Plattenfertiger'!D51</f>
        <v>Flugasche</v>
      </c>
      <c r="E51" s="3"/>
      <c r="F51" s="409">
        <f>'Referenz Plattenfertiger'!F51</f>
        <v>0</v>
      </c>
      <c r="G51" s="363"/>
      <c r="H51" s="3"/>
      <c r="I51" s="120"/>
      <c r="J51" s="3" t="s">
        <v>447</v>
      </c>
      <c r="K51" s="385"/>
      <c r="L51" s="3" t="s">
        <v>462</v>
      </c>
      <c r="M51" s="3"/>
      <c r="N51" s="389"/>
      <c r="O51" s="3"/>
      <c r="P51" s="3"/>
      <c r="Q51" s="3"/>
      <c r="S51" s="3"/>
      <c r="T51" s="3" t="str">
        <f>D51</f>
        <v>Flugasche</v>
      </c>
      <c r="U51" s="3"/>
      <c r="V51" s="79"/>
      <c r="W51" s="79"/>
      <c r="X51" s="79">
        <f>IF(NOT(ISBLANK($K51)),$K51*IF(NOT(ISBLANK(N51)),N51,'Eingabe EF'!$O36),IF(NOT(ISBLANK($I51)),$I51,$F51)*IF(NOT(ISBLANK(N51)),N51,'Eingabe EF'!$O36)*IF(NOT(ISBLANK($I$12)),$I$12,$F$12))</f>
        <v>0</v>
      </c>
      <c r="Y51" s="15"/>
      <c r="Z51" s="79">
        <f>V51+W51</f>
        <v>0</v>
      </c>
      <c r="AA51" s="81">
        <f>SUM(V51:X51)</f>
        <v>0</v>
      </c>
      <c r="AB51" s="15" t="s">
        <v>148</v>
      </c>
      <c r="AC51" s="3"/>
    </row>
    <row r="52" spans="2:29" ht="15.75" x14ac:dyDescent="0.2">
      <c r="B52" s="3"/>
      <c r="C52" s="3"/>
      <c r="D52" s="360" t="str">
        <f>'Referenz Plattenfertiger'!D52</f>
        <v>Quarzsteinmehl</v>
      </c>
      <c r="E52" s="3"/>
      <c r="F52" s="409">
        <f>'Referenz Plattenfertiger'!F52</f>
        <v>5.0000000000000001E-3</v>
      </c>
      <c r="G52" s="363"/>
      <c r="H52" s="3"/>
      <c r="I52" s="120"/>
      <c r="J52" s="3" t="s">
        <v>447</v>
      </c>
      <c r="K52" s="385"/>
      <c r="L52" s="3" t="s">
        <v>462</v>
      </c>
      <c r="M52" s="3"/>
      <c r="N52" s="389"/>
      <c r="O52" s="3"/>
      <c r="P52" s="3"/>
      <c r="Q52" s="3"/>
      <c r="S52" s="3"/>
      <c r="T52" s="3" t="str">
        <f t="shared" ref="T52:T55" si="8">D52</f>
        <v>Quarzsteinmehl</v>
      </c>
      <c r="U52" s="3"/>
      <c r="V52" s="79"/>
      <c r="W52" s="79"/>
      <c r="X52" s="79">
        <f>IF(NOT(ISBLANK($K52)),$K52*IF(NOT(ISBLANK(N52)),N52,'Eingabe EF'!$O37),IF(NOT(ISBLANK($I52)),$I52,$F52)*IF(NOT(ISBLANK(N52)),N52,'Eingabe EF'!$O37)*IF(NOT(ISBLANK($I$12)),$I$12,$F$12))</f>
        <v>8.6840000000000011</v>
      </c>
      <c r="Y52" s="15"/>
      <c r="Z52" s="79">
        <f t="shared" ref="Z52:Z55" si="9">V52+W52</f>
        <v>0</v>
      </c>
      <c r="AA52" s="81">
        <f>SUM(V52:X52)</f>
        <v>8.6840000000000011</v>
      </c>
      <c r="AB52" s="15" t="s">
        <v>148</v>
      </c>
      <c r="AC52" s="3"/>
    </row>
    <row r="53" spans="2:29" ht="15.75" x14ac:dyDescent="0.2">
      <c r="B53" s="3"/>
      <c r="C53" s="3"/>
      <c r="D53" s="360" t="str">
        <f>'Referenz Plattenfertiger'!D53</f>
        <v>Kalksteinmehl</v>
      </c>
      <c r="E53" s="3"/>
      <c r="F53" s="409">
        <f>'Referenz Plattenfertiger'!F53</f>
        <v>0.04</v>
      </c>
      <c r="G53" s="363"/>
      <c r="H53" s="3"/>
      <c r="I53" s="120"/>
      <c r="J53" s="3" t="s">
        <v>447</v>
      </c>
      <c r="K53" s="385"/>
      <c r="L53" s="3" t="s">
        <v>462</v>
      </c>
      <c r="M53" s="3"/>
      <c r="N53" s="389"/>
      <c r="O53" s="3"/>
      <c r="P53" s="3"/>
      <c r="Q53" s="3"/>
      <c r="S53" s="3"/>
      <c r="T53" s="3" t="str">
        <f t="shared" si="8"/>
        <v>Kalksteinmehl</v>
      </c>
      <c r="U53" s="3"/>
      <c r="V53" s="79"/>
      <c r="W53" s="79"/>
      <c r="X53" s="79">
        <f>IF(NOT(ISBLANK($K53)),$K53*IF(NOT(ISBLANK(N53)),N53,'Eingabe EF'!$O38),IF(NOT(ISBLANK($I53)),$I53,$F53)*IF(NOT(ISBLANK(N53)),N53,'Eingabe EF'!$O38)*IF(NOT(ISBLANK($I$12)),$I$12,$F$12))</f>
        <v>72.319999999999993</v>
      </c>
      <c r="Y53" s="15"/>
      <c r="Z53" s="79">
        <f t="shared" si="9"/>
        <v>0</v>
      </c>
      <c r="AA53" s="81">
        <f>SUM(V53:X53)</f>
        <v>72.319999999999993</v>
      </c>
      <c r="AB53" s="15" t="s">
        <v>148</v>
      </c>
      <c r="AC53" s="3"/>
    </row>
    <row r="54" spans="2:29" ht="15.75" x14ac:dyDescent="0.2">
      <c r="B54" s="3"/>
      <c r="C54" s="3"/>
      <c r="D54" s="360" t="str">
        <f>'Referenz Plattenfertiger'!D54</f>
        <v>Weiterer Zusatzstoff 1</v>
      </c>
      <c r="E54" s="3"/>
      <c r="F54" s="409">
        <v>0</v>
      </c>
      <c r="G54" s="363"/>
      <c r="H54" s="3"/>
      <c r="I54" s="120"/>
      <c r="J54" s="3" t="s">
        <v>447</v>
      </c>
      <c r="K54" s="385"/>
      <c r="L54" s="3" t="s">
        <v>462</v>
      </c>
      <c r="M54" s="3"/>
      <c r="N54" s="389"/>
      <c r="O54" s="3"/>
      <c r="P54" s="3"/>
      <c r="Q54" s="3"/>
      <c r="S54" s="3"/>
      <c r="T54" s="3" t="str">
        <f t="shared" si="8"/>
        <v>Weiterer Zusatzstoff 1</v>
      </c>
      <c r="U54" s="3"/>
      <c r="V54" s="79"/>
      <c r="W54" s="79"/>
      <c r="X54" s="79">
        <f t="shared" ref="X54:X55" si="10">IF(NOT(ISBLANK($K54)),$K54*N54,IF(NOT(ISBLANK($I54)),$I54,$F54)*IF(NOT(ISBLANK(N54)),N54,0)*IF(NOT(ISBLANK($I$12)),$I$12,$F$12))</f>
        <v>0</v>
      </c>
      <c r="Y54" s="15"/>
      <c r="Z54" s="79">
        <f t="shared" si="9"/>
        <v>0</v>
      </c>
      <c r="AA54" s="81">
        <f t="shared" ref="AA54:AA55" si="11">SUM(V54:X54)</f>
        <v>0</v>
      </c>
      <c r="AB54" s="15" t="s">
        <v>148</v>
      </c>
      <c r="AC54" s="3"/>
    </row>
    <row r="55" spans="2:29" ht="15.75" x14ac:dyDescent="0.2">
      <c r="B55" s="3"/>
      <c r="C55" s="3"/>
      <c r="D55" s="360" t="str">
        <f>'Referenz Plattenfertiger'!D55</f>
        <v>Weiterer Zusatzstoff 2</v>
      </c>
      <c r="E55" s="3"/>
      <c r="F55" s="409">
        <v>0</v>
      </c>
      <c r="G55" s="363"/>
      <c r="H55" s="3"/>
      <c r="I55" s="120"/>
      <c r="J55" s="3" t="s">
        <v>447</v>
      </c>
      <c r="K55" s="385"/>
      <c r="L55" s="3" t="s">
        <v>462</v>
      </c>
      <c r="M55" s="3"/>
      <c r="N55" s="389"/>
      <c r="O55" s="3"/>
      <c r="P55" s="3"/>
      <c r="Q55" s="3"/>
      <c r="S55" s="3"/>
      <c r="T55" s="3" t="str">
        <f t="shared" si="8"/>
        <v>Weiterer Zusatzstoff 2</v>
      </c>
      <c r="U55" s="3"/>
      <c r="V55" s="79"/>
      <c r="W55" s="79"/>
      <c r="X55" s="79">
        <f t="shared" si="10"/>
        <v>0</v>
      </c>
      <c r="Y55" s="15"/>
      <c r="Z55" s="79">
        <f t="shared" si="9"/>
        <v>0</v>
      </c>
      <c r="AA55" s="81">
        <f t="shared" si="11"/>
        <v>0</v>
      </c>
      <c r="AB55" s="15" t="s">
        <v>148</v>
      </c>
      <c r="AC55" s="3"/>
    </row>
    <row r="56" spans="2:29" x14ac:dyDescent="0.2">
      <c r="B56" s="3"/>
      <c r="C56" s="3"/>
      <c r="D56" s="3"/>
      <c r="E56" s="3"/>
      <c r="F56" s="410"/>
      <c r="G56" s="363"/>
      <c r="H56" s="3"/>
      <c r="I56" s="3"/>
      <c r="J56" s="3"/>
      <c r="K56" s="3"/>
      <c r="L56" s="3"/>
      <c r="M56" s="3"/>
      <c r="N56" s="3"/>
      <c r="O56" s="3"/>
      <c r="P56" s="3"/>
      <c r="Q56" s="3"/>
      <c r="S56" s="3"/>
      <c r="T56" s="3"/>
      <c r="U56" s="3"/>
      <c r="V56" s="79"/>
      <c r="W56" s="79"/>
      <c r="X56" s="79"/>
      <c r="Y56" s="15"/>
      <c r="Z56" s="79"/>
      <c r="AA56" s="81"/>
      <c r="AB56" s="15"/>
      <c r="AC56" s="3"/>
    </row>
    <row r="57" spans="2:29" ht="14.25" x14ac:dyDescent="0.2">
      <c r="B57" s="3"/>
      <c r="C57" s="3"/>
      <c r="D57" s="8" t="s">
        <v>49</v>
      </c>
      <c r="E57" s="3"/>
      <c r="F57" s="409">
        <f>'Referenz Plattenfertiger'!F57</f>
        <v>2E-3</v>
      </c>
      <c r="G57" s="363"/>
      <c r="H57" s="3"/>
      <c r="I57" s="120"/>
      <c r="J57" s="3" t="s">
        <v>459</v>
      </c>
      <c r="K57" s="3"/>
      <c r="L57" s="3" t="s">
        <v>448</v>
      </c>
      <c r="M57" s="3"/>
      <c r="N57" s="3"/>
      <c r="O57" s="3"/>
      <c r="P57" s="119"/>
      <c r="Q57" s="3"/>
      <c r="S57" s="3"/>
      <c r="T57" s="345" t="s">
        <v>49</v>
      </c>
      <c r="U57" s="118"/>
      <c r="V57" s="346"/>
      <c r="W57" s="346"/>
      <c r="X57" s="346">
        <f>SUM(X58:X61)</f>
        <v>148.44746134951595</v>
      </c>
      <c r="Y57" s="363"/>
      <c r="Z57" s="346">
        <f>V57+W57</f>
        <v>0</v>
      </c>
      <c r="AA57" s="367">
        <f>SUM(V57:X57)</f>
        <v>148.44746134951595</v>
      </c>
      <c r="AB57" s="347" t="s">
        <v>149</v>
      </c>
      <c r="AC57" s="3"/>
    </row>
    <row r="58" spans="2:29" s="372" customFormat="1" ht="15.75" x14ac:dyDescent="0.2">
      <c r="B58" s="15"/>
      <c r="C58" s="15"/>
      <c r="D58" s="429" t="s">
        <v>412</v>
      </c>
      <c r="E58" s="15"/>
      <c r="F58" s="409">
        <f>'Referenz Plattenfertiger'!F58</f>
        <v>0.39213986418147667</v>
      </c>
      <c r="G58" s="359" t="s">
        <v>51</v>
      </c>
      <c r="H58" s="15"/>
      <c r="I58" s="360"/>
      <c r="J58" s="468" t="s">
        <v>449</v>
      </c>
      <c r="K58" s="385"/>
      <c r="L58" s="3" t="s">
        <v>448</v>
      </c>
      <c r="M58" s="3"/>
      <c r="N58" s="389"/>
      <c r="O58" s="3"/>
      <c r="P58" s="361"/>
      <c r="Q58" s="15"/>
      <c r="S58" s="15"/>
      <c r="T58" s="14" t="str">
        <f>D58</f>
        <v>Plastifizierer</v>
      </c>
      <c r="U58" s="15"/>
      <c r="V58" s="79"/>
      <c r="W58" s="79"/>
      <c r="X58" s="79">
        <f>IF(NOT(ISBLANK($K58)),$K58/1000*IF(NOT(ISBLANK(N58)),N58,'Eingabe EF'!$O43),IF(NOT(ISBLANK($I$57)),$I$57,$F$57)*IF(NOT(ISBLANK($I58)),$I58,$F58)*IF(NOT(ISBLANK(N58)),N58,'Eingabe EF'!$O43)*IF(NOT(ISBLANK($I$12)),$I$12,$F$12))</f>
        <v>47.997919375812742</v>
      </c>
      <c r="Y58" s="15"/>
      <c r="Z58" s="79">
        <f>V58+W58</f>
        <v>0</v>
      </c>
      <c r="AA58" s="81">
        <f>SUM(V58:X58)</f>
        <v>47.997919375812742</v>
      </c>
      <c r="AB58" s="15" t="s">
        <v>148</v>
      </c>
      <c r="AC58" s="15"/>
    </row>
    <row r="59" spans="2:29" s="372" customFormat="1" ht="15.75" x14ac:dyDescent="0.2">
      <c r="B59" s="15"/>
      <c r="C59" s="15"/>
      <c r="D59" s="429" t="s">
        <v>413</v>
      </c>
      <c r="E59" s="15"/>
      <c r="F59" s="409">
        <f>'Referenz Plattenfertiger'!F59</f>
        <v>0.164571593700332</v>
      </c>
      <c r="G59" s="359" t="s">
        <v>51</v>
      </c>
      <c r="H59" s="15"/>
      <c r="I59" s="360"/>
      <c r="J59" s="468"/>
      <c r="K59" s="385"/>
      <c r="L59" s="3" t="s">
        <v>448</v>
      </c>
      <c r="M59" s="3"/>
      <c r="N59" s="389"/>
      <c r="O59" s="3"/>
      <c r="P59" s="361"/>
      <c r="Q59" s="15"/>
      <c r="S59" s="15"/>
      <c r="T59" s="14" t="str">
        <f t="shared" ref="T59:T61" si="12">D59</f>
        <v>Luftporenbildner</v>
      </c>
      <c r="U59" s="15"/>
      <c r="V59" s="79"/>
      <c r="W59" s="79"/>
      <c r="X59" s="79">
        <f>IF(NOT(ISBLANK($K59)),$K59/1000*IF(NOT(ISBLANK(N59)),N59,'Eingabe EF'!$O44),IF(NOT(ISBLANK($I$57)),$I$57,$F$57)*IF(NOT(ISBLANK($I59)),$I59,$F59)*IF(NOT(ISBLANK(N59)),N59,'Eingabe EF'!$O44)*IF(NOT(ISBLANK($I$12)),$I$12,$F$12))</f>
        <v>5.7797543707556596</v>
      </c>
      <c r="Y59" s="15"/>
      <c r="Z59" s="79">
        <f>V59+W59</f>
        <v>0</v>
      </c>
      <c r="AA59" s="81">
        <f>SUM(V59:X59)</f>
        <v>5.7797543707556596</v>
      </c>
      <c r="AB59" s="15" t="s">
        <v>148</v>
      </c>
      <c r="AC59" s="15"/>
    </row>
    <row r="60" spans="2:29" s="372" customFormat="1" ht="15.75" x14ac:dyDescent="0.2">
      <c r="B60" s="15"/>
      <c r="C60" s="15"/>
      <c r="D60" s="429" t="s">
        <v>414</v>
      </c>
      <c r="E60" s="15"/>
      <c r="F60" s="409">
        <f>'Referenz Plattenfertiger'!F60</f>
        <v>1.4448779078167896E-4</v>
      </c>
      <c r="G60" s="359" t="s">
        <v>51</v>
      </c>
      <c r="H60" s="15"/>
      <c r="I60" s="360"/>
      <c r="J60" s="468"/>
      <c r="K60" s="385"/>
      <c r="L60" s="3" t="s">
        <v>448</v>
      </c>
      <c r="M60" s="3"/>
      <c r="N60" s="389"/>
      <c r="O60" s="3"/>
      <c r="P60" s="361"/>
      <c r="Q60" s="15"/>
      <c r="S60" s="15"/>
      <c r="T60" s="14" t="str">
        <f t="shared" si="12"/>
        <v>Stabilisierer</v>
      </c>
      <c r="U60" s="15"/>
      <c r="V60" s="79"/>
      <c r="W60" s="79"/>
      <c r="X60" s="79">
        <f>IF(NOT(ISBLANK($K60)),$K60/1000*IF(NOT(ISBLANK(N60)),N60,'Eingabe EF'!$O45),IF(NOT(ISBLANK($I$57)),$I$57,$F$57)*IF(NOT(ISBLANK($I60)),$I60,$F60)*IF(NOT(ISBLANK(N60)),N60,'Eingabe EF'!$O45)*IF(NOT(ISBLANK($I$12)),$I$12,$F$12))</f>
        <v>1.4217598612917211E-2</v>
      </c>
      <c r="Y60" s="15"/>
      <c r="Z60" s="79">
        <f>V60+W60</f>
        <v>0</v>
      </c>
      <c r="AA60" s="81">
        <f>SUM(V60:X60)</f>
        <v>1.4217598612917211E-2</v>
      </c>
      <c r="AB60" s="15" t="s">
        <v>148</v>
      </c>
      <c r="AC60" s="15"/>
    </row>
    <row r="61" spans="2:29" s="372" customFormat="1" ht="15.75" x14ac:dyDescent="0.2">
      <c r="B61" s="15"/>
      <c r="C61" s="15"/>
      <c r="D61" s="429" t="s">
        <v>415</v>
      </c>
      <c r="E61" s="15"/>
      <c r="F61" s="409">
        <f>'Referenz Plattenfertiger'!F61</f>
        <v>0.44314405432740933</v>
      </c>
      <c r="G61" s="359" t="s">
        <v>51</v>
      </c>
      <c r="H61" s="15"/>
      <c r="I61" s="360"/>
      <c r="J61" s="468"/>
      <c r="K61" s="385"/>
      <c r="L61" s="3" t="s">
        <v>448</v>
      </c>
      <c r="M61" s="3"/>
      <c r="N61" s="389"/>
      <c r="O61" s="3"/>
      <c r="P61" s="361"/>
      <c r="Q61" s="15"/>
      <c r="S61" s="15"/>
      <c r="T61" s="14" t="str">
        <f t="shared" si="12"/>
        <v>Hydrophobierer</v>
      </c>
      <c r="U61" s="15"/>
      <c r="V61" s="79"/>
      <c r="W61" s="79"/>
      <c r="X61" s="79">
        <f>IF(NOT(ISBLANK($K61)),$K61*IF(NOT(ISBLANK(N61)),N61,'Eingabe EF'!$O46),IF(NOT(ISBLANK($I$57)),$I$57,$F$57)*IF(NOT(ISBLANK($I61)),$I61,$F61)*IF(NOT(ISBLANK(N61)),N61,'Eingabe EF'!$O46)*IF(NOT(ISBLANK($I$12)),$I$12,$F$12))</f>
        <v>94.655570004334635</v>
      </c>
      <c r="Y61" s="15"/>
      <c r="Z61" s="79">
        <f>V61+W61</f>
        <v>0</v>
      </c>
      <c r="AA61" s="81">
        <f>SUM(V61:X61)</f>
        <v>94.655570004334635</v>
      </c>
      <c r="AB61" s="15" t="s">
        <v>148</v>
      </c>
      <c r="AC61" s="15"/>
    </row>
    <row r="62" spans="2:29" s="372" customFormat="1" x14ac:dyDescent="0.2">
      <c r="B62" s="15"/>
      <c r="C62" s="15"/>
      <c r="D62" s="15"/>
      <c r="E62" s="15"/>
      <c r="F62" s="358"/>
      <c r="G62" s="363"/>
      <c r="H62" s="15"/>
      <c r="I62" s="373"/>
      <c r="J62" s="15"/>
      <c r="K62" s="15"/>
      <c r="L62" s="15"/>
      <c r="M62" s="3"/>
      <c r="N62" s="15"/>
      <c r="O62" s="15"/>
      <c r="P62" s="15"/>
      <c r="Q62" s="15"/>
      <c r="S62" s="15"/>
      <c r="T62" s="15"/>
      <c r="U62" s="15"/>
      <c r="V62" s="79"/>
      <c r="W62" s="79"/>
      <c r="X62" s="79"/>
      <c r="Y62" s="15"/>
      <c r="Z62" s="79"/>
      <c r="AA62" s="81"/>
      <c r="AB62" s="15"/>
      <c r="AC62" s="15"/>
    </row>
    <row r="63" spans="2:29" s="372" customFormat="1" ht="14.25" x14ac:dyDescent="0.2">
      <c r="B63" s="15"/>
      <c r="C63" s="15"/>
      <c r="D63" s="15" t="s">
        <v>99</v>
      </c>
      <c r="E63" s="15"/>
      <c r="F63" s="409">
        <f>'Referenz Plattenfertiger'!F63</f>
        <v>0.1</v>
      </c>
      <c r="G63" s="363"/>
      <c r="H63" s="15"/>
      <c r="I63" s="360"/>
      <c r="J63" s="15"/>
      <c r="K63" s="385"/>
      <c r="L63" s="15" t="s">
        <v>63</v>
      </c>
      <c r="M63" s="3"/>
      <c r="N63" s="389"/>
      <c r="O63" s="15"/>
      <c r="P63" s="15"/>
      <c r="Q63" s="15"/>
      <c r="S63" s="15"/>
      <c r="T63" s="78" t="s">
        <v>189</v>
      </c>
      <c r="U63" s="78"/>
      <c r="V63" s="366"/>
      <c r="W63" s="366"/>
      <c r="X63" s="366">
        <f>IF(NOT(ISBLANK(K63)),K63*N63,IF(NOT(ISBLANK($I63)),$I63,$F63)*IF(NOT(ISBLANK(N63)),N63)*IF(NOT(ISBLANK($I$12)),$I$12,$F$12))</f>
        <v>0</v>
      </c>
      <c r="Y63" s="78"/>
      <c r="Z63" s="366">
        <f>V63+W63</f>
        <v>0</v>
      </c>
      <c r="AA63" s="368">
        <f>SUM(V63:X63)</f>
        <v>0</v>
      </c>
      <c r="AB63" s="78" t="s">
        <v>149</v>
      </c>
      <c r="AC63" s="15"/>
    </row>
    <row r="64" spans="2:29" s="372" customFormat="1" ht="14.25" x14ac:dyDescent="0.2">
      <c r="B64" s="15"/>
      <c r="C64" s="15"/>
      <c r="D64" s="15" t="s">
        <v>62</v>
      </c>
      <c r="E64" s="15"/>
      <c r="F64" s="335">
        <f>'Referenz Plattenfertiger'!F64</f>
        <v>2000</v>
      </c>
      <c r="G64" s="363" t="s">
        <v>63</v>
      </c>
      <c r="H64" s="15"/>
      <c r="I64" s="272"/>
      <c r="J64" s="15" t="s">
        <v>63</v>
      </c>
      <c r="K64" s="15"/>
      <c r="L64" s="15"/>
      <c r="M64" s="3"/>
      <c r="N64" s="389"/>
      <c r="O64" s="15"/>
      <c r="P64" s="15"/>
      <c r="Q64" s="15"/>
      <c r="S64" s="15"/>
      <c r="T64" s="78" t="s">
        <v>62</v>
      </c>
      <c r="U64" s="78"/>
      <c r="V64" s="366"/>
      <c r="W64" s="366"/>
      <c r="X64" s="366">
        <f>IF(NOT(ISBLANK($I64)),$I64,$F64)*IF(NOT(ISBLANK(N64)),N64,'Eingabe EF'!$O49)</f>
        <v>0.54400000000000004</v>
      </c>
      <c r="Y64" s="78"/>
      <c r="Z64" s="366">
        <f>V64+W64</f>
        <v>0</v>
      </c>
      <c r="AA64" s="368">
        <f>SUM(V64:X64)</f>
        <v>0.54400000000000004</v>
      </c>
      <c r="AB64" s="78" t="s">
        <v>149</v>
      </c>
      <c r="AC64" s="15"/>
    </row>
    <row r="65" spans="2:29" x14ac:dyDescent="0.2">
      <c r="B65" s="3"/>
      <c r="C65" s="3"/>
      <c r="D65" s="3"/>
      <c r="E65" s="3"/>
      <c r="F65" s="363"/>
      <c r="G65" s="363"/>
      <c r="H65" s="3"/>
      <c r="I65" s="3"/>
      <c r="J65" s="3"/>
      <c r="K65" s="3"/>
      <c r="L65" s="3"/>
      <c r="M65" s="3"/>
      <c r="N65" s="3"/>
      <c r="O65" s="3"/>
      <c r="P65" s="3"/>
      <c r="Q65" s="3"/>
      <c r="S65" s="3"/>
      <c r="T65" s="3"/>
      <c r="U65" s="3"/>
      <c r="V65" s="81"/>
      <c r="W65" s="81"/>
      <c r="X65" s="81"/>
      <c r="Y65" s="15"/>
      <c r="Z65" s="79"/>
      <c r="AA65" s="81"/>
      <c r="AB65" s="15"/>
      <c r="AC65" s="3"/>
    </row>
    <row r="66" spans="2:29" ht="14.25" x14ac:dyDescent="0.2">
      <c r="B66" s="3"/>
      <c r="C66" s="3"/>
      <c r="D66" s="8" t="s">
        <v>168</v>
      </c>
      <c r="E66" s="3"/>
      <c r="F66" s="363"/>
      <c r="G66" s="363"/>
      <c r="H66" s="3"/>
      <c r="I66" s="3"/>
      <c r="J66" s="3"/>
      <c r="K66" s="3"/>
      <c r="L66" s="3"/>
      <c r="M66" s="3"/>
      <c r="N66" s="3"/>
      <c r="O66" s="3"/>
      <c r="P66" s="3"/>
      <c r="Q66" s="3"/>
      <c r="S66" s="3"/>
      <c r="T66" s="345" t="str">
        <f>D66</f>
        <v>Oberflächenschutzsysteme</v>
      </c>
      <c r="U66" s="118"/>
      <c r="V66" s="346"/>
      <c r="W66" s="346"/>
      <c r="X66" s="346">
        <f>SUM(X67:X69)</f>
        <v>80.47999999999999</v>
      </c>
      <c r="Y66" s="363"/>
      <c r="Z66" s="346">
        <f>V66+W66</f>
        <v>0</v>
      </c>
      <c r="AA66" s="367">
        <f>SUM(V66:X66)</f>
        <v>80.47999999999999</v>
      </c>
      <c r="AB66" s="347" t="s">
        <v>149</v>
      </c>
      <c r="AC66" s="3"/>
    </row>
    <row r="67" spans="2:29" ht="15.75" x14ac:dyDescent="0.2">
      <c r="B67" s="3"/>
      <c r="C67" s="3"/>
      <c r="D67" s="3" t="s">
        <v>169</v>
      </c>
      <c r="E67" s="3"/>
      <c r="F67" s="409">
        <f>'Referenz Plattenfertiger'!F67</f>
        <v>0</v>
      </c>
      <c r="G67" s="363"/>
      <c r="H67" s="3"/>
      <c r="I67" s="120"/>
      <c r="J67" s="3" t="s">
        <v>447</v>
      </c>
      <c r="K67" s="385"/>
      <c r="L67" s="3" t="s">
        <v>448</v>
      </c>
      <c r="M67" s="3"/>
      <c r="N67" s="389"/>
      <c r="O67" s="3"/>
      <c r="P67" s="119"/>
      <c r="Q67" s="3"/>
      <c r="S67" s="3"/>
      <c r="T67" s="3" t="str">
        <f>D67</f>
        <v>Hydrophobierung</v>
      </c>
      <c r="U67" s="3"/>
      <c r="V67" s="79"/>
      <c r="W67" s="79"/>
      <c r="X67" s="79">
        <f>IF(NOT(ISBLANK($K67)),$K67/1000*(N67),IF(NOT(ISBLANK($I67)),$I67,$F67)*(N67)*IF(NOT(ISBLANK($I$12)),$I$12,$F$12))</f>
        <v>0</v>
      </c>
      <c r="Y67" s="15"/>
      <c r="Z67" s="79">
        <f>V67+W67</f>
        <v>0</v>
      </c>
      <c r="AA67" s="81">
        <f>SUM(V67:X67)</f>
        <v>0</v>
      </c>
      <c r="AB67" s="15" t="s">
        <v>148</v>
      </c>
      <c r="AC67" s="3"/>
    </row>
    <row r="68" spans="2:29" ht="15.75" x14ac:dyDescent="0.2">
      <c r="B68" s="3"/>
      <c r="C68" s="3"/>
      <c r="D68" s="3" t="s">
        <v>60</v>
      </c>
      <c r="E68" s="3"/>
      <c r="F68" s="409">
        <f>'Referenz Plattenfertiger'!F68</f>
        <v>1E-3</v>
      </c>
      <c r="G68" s="363"/>
      <c r="H68" s="3"/>
      <c r="I68" s="120"/>
      <c r="J68" s="3" t="s">
        <v>447</v>
      </c>
      <c r="K68" s="385"/>
      <c r="L68" s="3" t="s">
        <v>448</v>
      </c>
      <c r="M68" s="3"/>
      <c r="N68" s="389"/>
      <c r="O68" s="3"/>
      <c r="P68" s="119"/>
      <c r="Q68" s="3"/>
      <c r="S68" s="3"/>
      <c r="T68" s="3" t="str">
        <f>D68</f>
        <v>Imprägniermittel  (Aushärtung über Infrarot)</v>
      </c>
      <c r="U68" s="3"/>
      <c r="V68" s="79"/>
      <c r="W68" s="79"/>
      <c r="X68" s="79">
        <f>IF(NOT(ISBLANK($K68)),$K68/1000*IF(NOT(ISBLANK(N68)),N68,'Eingabe EF'!$O53),IF(NOT(ISBLANK($I68)),$I68,$F68)*IF(NOT(ISBLANK(N68)),N68,'Eingabe EF'!$O53)*IF(NOT(ISBLANK($I$12)),$I$12,$F$12))</f>
        <v>80.47999999999999</v>
      </c>
      <c r="Y68" s="15"/>
      <c r="Z68" s="79">
        <f>V68+W68</f>
        <v>0</v>
      </c>
      <c r="AA68" s="81">
        <f>SUM(V68:X68)</f>
        <v>80.47999999999999</v>
      </c>
      <c r="AB68" s="15" t="s">
        <v>148</v>
      </c>
      <c r="AC68" s="3"/>
    </row>
    <row r="69" spans="2:29" ht="15.75" x14ac:dyDescent="0.2">
      <c r="B69" s="3"/>
      <c r="C69" s="3"/>
      <c r="D69" s="3" t="s">
        <v>170</v>
      </c>
      <c r="E69" s="3"/>
      <c r="F69" s="409">
        <f>'Referenz Plattenfertiger'!F69</f>
        <v>0</v>
      </c>
      <c r="G69" s="363"/>
      <c r="H69" s="3"/>
      <c r="I69" s="120"/>
      <c r="J69" s="3" t="s">
        <v>447</v>
      </c>
      <c r="K69" s="385"/>
      <c r="L69" s="3" t="s">
        <v>448</v>
      </c>
      <c r="M69" s="3"/>
      <c r="N69" s="389"/>
      <c r="O69" s="3"/>
      <c r="P69" s="119"/>
      <c r="Q69" s="3"/>
      <c r="S69" s="3"/>
      <c r="T69" s="3" t="str">
        <f>D69</f>
        <v>Beschichtung</v>
      </c>
      <c r="U69" s="3"/>
      <c r="V69" s="79"/>
      <c r="W69" s="79"/>
      <c r="X69" s="79">
        <f>IF(NOT(ISBLANK($K69)),$K69/1000*IF(NOT(ISBLANK(N69)),N69,N69),IF(NOT(ISBLANK($I69)),$I69,$F69)*IF(NOT(ISBLANK(N69)),N69,N69)*IF(NOT(ISBLANK($I$12)),$I$12,$F$12))</f>
        <v>0</v>
      </c>
      <c r="Y69" s="15"/>
      <c r="Z69" s="79">
        <f>V69+W69</f>
        <v>0</v>
      </c>
      <c r="AA69" s="81">
        <f>SUM(V69:X69)</f>
        <v>0</v>
      </c>
      <c r="AB69" s="15" t="s">
        <v>148</v>
      </c>
      <c r="AC69" s="3"/>
    </row>
    <row r="70" spans="2:29" x14ac:dyDescent="0.2">
      <c r="B70" s="3"/>
      <c r="C70" s="3"/>
      <c r="D70" s="3"/>
      <c r="E70" s="3"/>
      <c r="F70" s="363"/>
      <c r="G70" s="363"/>
      <c r="H70" s="3"/>
      <c r="I70" s="3"/>
      <c r="J70" s="3"/>
      <c r="K70" s="3"/>
      <c r="L70" s="3"/>
      <c r="M70" s="3"/>
      <c r="N70" s="3"/>
      <c r="O70" s="3"/>
      <c r="P70" s="3"/>
      <c r="Q70" s="3"/>
      <c r="S70" s="3"/>
      <c r="T70" s="3"/>
      <c r="U70" s="3"/>
      <c r="V70" s="81"/>
      <c r="W70" s="81"/>
      <c r="X70" s="81"/>
      <c r="Y70" s="15"/>
      <c r="Z70" s="79"/>
      <c r="AA70" s="81"/>
      <c r="AB70" s="15"/>
      <c r="AC70" s="3"/>
    </row>
    <row r="71" spans="2:29" ht="25.5" x14ac:dyDescent="0.2">
      <c r="B71" s="3"/>
      <c r="C71" s="3"/>
      <c r="D71" s="8" t="s">
        <v>171</v>
      </c>
      <c r="E71" s="3"/>
      <c r="F71" s="363"/>
      <c r="G71" s="363"/>
      <c r="H71" s="3"/>
      <c r="I71" s="3"/>
      <c r="J71" s="3"/>
      <c r="K71" s="3"/>
      <c r="L71" s="3"/>
      <c r="M71" s="3"/>
      <c r="N71" s="3"/>
      <c r="O71" s="3"/>
      <c r="P71" s="3"/>
      <c r="Q71" s="3"/>
      <c r="S71" s="3"/>
      <c r="T71" s="357" t="str">
        <f>D71</f>
        <v>Oberflächenbearbeitung (vor/nach Erhärtung)</v>
      </c>
      <c r="U71" s="118"/>
      <c r="V71" s="346"/>
      <c r="W71" s="346"/>
      <c r="X71" s="346">
        <f>SUM(X72:X74)</f>
        <v>60</v>
      </c>
      <c r="Y71" s="363"/>
      <c r="Z71" s="346">
        <f>V71+W71</f>
        <v>0</v>
      </c>
      <c r="AA71" s="367">
        <f>SUM(V71:X71)</f>
        <v>60</v>
      </c>
      <c r="AB71" s="347" t="s">
        <v>149</v>
      </c>
      <c r="AC71" s="3"/>
    </row>
    <row r="72" spans="2:29" ht="15.75" x14ac:dyDescent="0.2">
      <c r="B72" s="3"/>
      <c r="C72" s="3"/>
      <c r="D72" s="3" t="s">
        <v>64</v>
      </c>
      <c r="E72" s="3"/>
      <c r="F72" s="335">
        <f>'Referenz Plattenfertiger'!F72</f>
        <v>40</v>
      </c>
      <c r="G72" s="363" t="s">
        <v>46</v>
      </c>
      <c r="H72" s="3"/>
      <c r="I72" s="110"/>
      <c r="J72" s="3" t="s">
        <v>46</v>
      </c>
      <c r="K72" s="3"/>
      <c r="L72" s="3"/>
      <c r="M72" s="3"/>
      <c r="N72" s="389"/>
      <c r="O72" s="3"/>
      <c r="P72" s="3"/>
      <c r="Q72" s="3"/>
      <c r="S72" s="3"/>
      <c r="T72" s="3" t="str">
        <f>D72</f>
        <v>Stahlkugeln (Strahlanlage)</v>
      </c>
      <c r="U72" s="3"/>
      <c r="V72" s="79"/>
      <c r="W72" s="79"/>
      <c r="X72" s="79">
        <f>IF(NOT(ISBLANK($I72)),$I72,$F72)*IF(NOT(ISBLANK(N72)),N72,'Eingabe EF'!$O57)</f>
        <v>60</v>
      </c>
      <c r="Y72" s="15"/>
      <c r="Z72" s="79">
        <f>V72+W72</f>
        <v>0</v>
      </c>
      <c r="AA72" s="81">
        <f>SUM(V72:X72)</f>
        <v>60</v>
      </c>
      <c r="AB72" s="15" t="s">
        <v>148</v>
      </c>
      <c r="AC72" s="3"/>
    </row>
    <row r="73" spans="2:29" ht="15.75" x14ac:dyDescent="0.2">
      <c r="B73" s="3"/>
      <c r="C73" s="3"/>
      <c r="D73" s="3" t="s">
        <v>173</v>
      </c>
      <c r="E73" s="3"/>
      <c r="F73" s="335">
        <f>'Referenz Plattenfertiger'!F73</f>
        <v>0</v>
      </c>
      <c r="G73" s="363" t="s">
        <v>46</v>
      </c>
      <c r="H73" s="3"/>
      <c r="I73" s="110"/>
      <c r="J73" s="3" t="s">
        <v>46</v>
      </c>
      <c r="K73" s="3"/>
      <c r="L73" s="3"/>
      <c r="M73" s="3"/>
      <c r="N73" s="389"/>
      <c r="O73" s="3"/>
      <c r="P73" s="119"/>
      <c r="Q73" s="3"/>
      <c r="S73" s="3"/>
      <c r="T73" s="3" t="str">
        <f>D73</f>
        <v>Weitere Materialen</v>
      </c>
      <c r="U73" s="3"/>
      <c r="V73" s="79"/>
      <c r="W73" s="79"/>
      <c r="X73" s="79">
        <f>IF(NOT(ISBLANK($I73)),$I73,$F73)*IF(NOT(ISBLANK(N73)),N73,0)</f>
        <v>0</v>
      </c>
      <c r="Y73" s="15"/>
      <c r="Z73" s="79">
        <f>V73+W73</f>
        <v>0</v>
      </c>
      <c r="AA73" s="81">
        <f>SUM(V73:X73)</f>
        <v>0</v>
      </c>
      <c r="AB73" s="15" t="s">
        <v>148</v>
      </c>
      <c r="AC73" s="3"/>
    </row>
    <row r="74" spans="2:29" ht="15.75" x14ac:dyDescent="0.2">
      <c r="B74" s="3"/>
      <c r="C74" s="3"/>
      <c r="D74" s="3" t="s">
        <v>172</v>
      </c>
      <c r="E74" s="3"/>
      <c r="F74" s="335">
        <f>'Referenz Plattenfertiger'!F74</f>
        <v>0</v>
      </c>
      <c r="G74" s="363" t="s">
        <v>46</v>
      </c>
      <c r="H74" s="3"/>
      <c r="I74" s="110"/>
      <c r="J74" s="3" t="s">
        <v>46</v>
      </c>
      <c r="K74" s="3"/>
      <c r="L74" s="3"/>
      <c r="M74" s="3"/>
      <c r="N74" s="389"/>
      <c r="O74" s="3"/>
      <c r="P74" s="119"/>
      <c r="Q74" s="3"/>
      <c r="S74" s="3"/>
      <c r="T74" s="3" t="str">
        <f>D74</f>
        <v>Oberflächenbearbeitungsarten</v>
      </c>
      <c r="U74" s="3"/>
      <c r="V74" s="79"/>
      <c r="W74" s="79"/>
      <c r="X74" s="79">
        <f>IF(NOT(ISBLANK($I74)),$I74,$F74)*IF(NOT(ISBLANK(N74)),N74,0)</f>
        <v>0</v>
      </c>
      <c r="Y74" s="15"/>
      <c r="Z74" s="79">
        <f>V74+W74</f>
        <v>0</v>
      </c>
      <c r="AA74" s="81">
        <f>SUM(V74:X74)</f>
        <v>0</v>
      </c>
      <c r="AB74" s="15" t="s">
        <v>148</v>
      </c>
      <c r="AC74" s="3"/>
    </row>
    <row r="75" spans="2:29" x14ac:dyDescent="0.2">
      <c r="B75" s="3"/>
      <c r="C75" s="3"/>
      <c r="D75" s="3"/>
      <c r="E75" s="3"/>
      <c r="F75" s="363"/>
      <c r="G75" s="363"/>
      <c r="H75" s="3"/>
      <c r="I75" s="3"/>
      <c r="J75" s="3"/>
      <c r="K75" s="3"/>
      <c r="L75" s="3"/>
      <c r="M75" s="3"/>
      <c r="N75" s="3"/>
      <c r="O75" s="3"/>
      <c r="P75" s="3"/>
      <c r="Q75" s="3"/>
      <c r="S75" s="3"/>
      <c r="T75" s="3"/>
      <c r="U75" s="3"/>
      <c r="V75" s="81"/>
      <c r="W75" s="81"/>
      <c r="X75" s="81"/>
      <c r="Y75" s="15"/>
      <c r="Z75" s="79"/>
      <c r="AA75" s="81"/>
      <c r="AB75" s="15"/>
      <c r="AC75" s="3"/>
    </row>
    <row r="76" spans="2:29" ht="14.25" x14ac:dyDescent="0.2">
      <c r="B76" s="3"/>
      <c r="C76" s="3"/>
      <c r="D76" s="3" t="s">
        <v>61</v>
      </c>
      <c r="E76" s="3"/>
      <c r="F76" s="335">
        <f>'Referenz Plattenfertiger'!F76</f>
        <v>80</v>
      </c>
      <c r="G76" s="363" t="s">
        <v>46</v>
      </c>
      <c r="H76" s="3"/>
      <c r="I76" s="110"/>
      <c r="J76" s="3" t="s">
        <v>46</v>
      </c>
      <c r="K76" s="3"/>
      <c r="L76" s="3"/>
      <c r="M76" s="3"/>
      <c r="N76" s="389"/>
      <c r="O76" s="3"/>
      <c r="P76" s="3"/>
      <c r="Q76" s="3"/>
      <c r="S76" s="3"/>
      <c r="T76" s="8" t="str">
        <f>D76</f>
        <v>Verpackungsmaterial</v>
      </c>
      <c r="U76" s="8"/>
      <c r="V76" s="366"/>
      <c r="W76" s="366"/>
      <c r="X76" s="366">
        <f>IF(NOT(ISBLANK($I76)),$I76,$F76)*IF(NOT(ISBLANK(N76)),N76,'Eingabe EF'!$O61)</f>
        <v>64.48</v>
      </c>
      <c r="Y76" s="78"/>
      <c r="Z76" s="366">
        <f>V76+W76</f>
        <v>0</v>
      </c>
      <c r="AA76" s="368">
        <f>SUM(V76:X76)</f>
        <v>64.48</v>
      </c>
      <c r="AB76" s="78" t="s">
        <v>149</v>
      </c>
      <c r="AC76" s="3"/>
    </row>
    <row r="77" spans="2:29" x14ac:dyDescent="0.2">
      <c r="B77" s="3"/>
      <c r="C77" s="3"/>
      <c r="D77" s="3"/>
      <c r="E77" s="3"/>
      <c r="F77" s="3"/>
      <c r="G77" s="3"/>
      <c r="H77" s="3"/>
      <c r="I77" s="3"/>
      <c r="J77" s="3"/>
      <c r="K77" s="3"/>
      <c r="L77" s="3"/>
      <c r="M77" s="3"/>
      <c r="N77" s="3"/>
      <c r="O77" s="3"/>
      <c r="P77" s="3"/>
      <c r="Q77" s="3"/>
      <c r="S77" s="3"/>
      <c r="T77" s="3"/>
      <c r="U77" s="3"/>
      <c r="V77" s="9"/>
      <c r="W77" s="9"/>
      <c r="X77" s="9"/>
      <c r="Y77" s="3"/>
      <c r="Z77" s="9"/>
      <c r="AA77" s="9"/>
      <c r="AB77" s="3"/>
      <c r="AC77" s="3"/>
    </row>
    <row r="78" spans="2:29" ht="27" customHeight="1" x14ac:dyDescent="0.25">
      <c r="B78" s="3"/>
      <c r="C78" s="3"/>
      <c r="D78" s="3"/>
      <c r="E78" s="3"/>
      <c r="F78" s="3"/>
      <c r="G78" s="3"/>
      <c r="H78" s="3"/>
      <c r="I78" s="469" t="str">
        <f>IF((I36+I37+I38+I39+I42+I43+I44++I51+I52+I53+I57+I63)&gt;0,IF((I36+I37+I38+I39+I42+I43+I44+I48+I51+I52+I53+I57+I63)=100%,"","Hinweis, falls Handeingabe vorgenommen wurde: Anteile der eingegebenen Verbrauchswerte der Rohstoffe (Zeile 36-59) ergeben nicht 100 %"),"")</f>
        <v/>
      </c>
      <c r="J78" s="469"/>
      <c r="K78" s="469"/>
      <c r="L78" s="469"/>
      <c r="M78" s="469"/>
      <c r="N78" s="3"/>
      <c r="O78" s="3"/>
      <c r="P78" s="3"/>
      <c r="Q78" s="3"/>
      <c r="S78" s="3"/>
      <c r="T78" s="349" t="s">
        <v>37</v>
      </c>
      <c r="U78" s="350"/>
      <c r="V78" s="351">
        <f>SUM(V16:V77)-V41-V35-V50-V57-V66-V71-V31</f>
        <v>94.932355060000006</v>
      </c>
      <c r="W78" s="351">
        <f>SUM(W16:W77)-W41-W35-W50-W57-W66-W71-W31</f>
        <v>171.9</v>
      </c>
      <c r="X78" s="351">
        <f>SUM(X16:X77)-X41-X35-X50-X57-X66-X71-X31</f>
        <v>5831.5296228095176</v>
      </c>
      <c r="Y78" s="349"/>
      <c r="Z78" s="351">
        <f>V78+W78</f>
        <v>266.83235506</v>
      </c>
      <c r="AA78" s="351">
        <f>SUM(V78:X78)</f>
        <v>6098.3619778695174</v>
      </c>
      <c r="AB78" s="349" t="s">
        <v>149</v>
      </c>
      <c r="AC78" s="8"/>
    </row>
    <row r="79" spans="2:29" ht="15" thickBot="1" x14ac:dyDescent="0.3">
      <c r="B79" s="3"/>
      <c r="C79" s="3"/>
      <c r="D79" s="3"/>
      <c r="E79" s="3"/>
      <c r="F79" s="3"/>
      <c r="G79" s="3"/>
      <c r="H79" s="3"/>
      <c r="I79" s="352"/>
      <c r="J79" s="3"/>
      <c r="K79" s="3"/>
      <c r="L79" s="3"/>
      <c r="M79" s="3"/>
      <c r="N79" s="3"/>
      <c r="O79" s="3"/>
      <c r="P79" s="3"/>
      <c r="Q79" s="3"/>
      <c r="S79" s="3"/>
      <c r="T79" s="353"/>
      <c r="U79" s="353"/>
      <c r="V79" s="354">
        <f>V78/IF(NOT(ISBLANK($I$12)),$I$12,$F$12)</f>
        <v>2.3733088764999999E-3</v>
      </c>
      <c r="W79" s="354">
        <f>W78/IF(NOT(ISBLANK($I$12)),$I$12,$F$12)</f>
        <v>4.2975000000000001E-3</v>
      </c>
      <c r="X79" s="354">
        <f>X78/IF(NOT(ISBLANK($I$12)),$I$12,$F$12)</f>
        <v>0.14578824057023795</v>
      </c>
      <c r="Y79" s="355"/>
      <c r="Z79" s="354">
        <f>Z78/IF(NOT(ISBLANK($I$12)),$I$12,$F$12)</f>
        <v>6.6708088764999996E-3</v>
      </c>
      <c r="AA79" s="354">
        <f>AA78/IF(NOT(ISBLANK($I$12)),$I$12,$F$12)</f>
        <v>0.15245904944673794</v>
      </c>
      <c r="AB79" s="355" t="s">
        <v>150</v>
      </c>
      <c r="AC79" s="8"/>
    </row>
    <row r="80" spans="2:29" ht="13.5" thickTop="1" x14ac:dyDescent="0.2">
      <c r="B80" s="3" t="str">
        <f>IF(AND($F$16&gt;0,J16&lt;F16),"Bitte den Handeingabewert 'Reduktion' für 'Bilanzjahr +10 Jahre' auch anpassen. Dieser muss dem Werte Ihrer Handeingabe  'Bilanzjahr + 5 Jahre' entsprechen, sollte nur eine Maßnahme im  'Bilanzjahr + 5 Jahre' umgesetzt werden.","")</f>
        <v/>
      </c>
      <c r="C80" s="3"/>
      <c r="D80" s="3"/>
      <c r="E80" s="3"/>
      <c r="F80" s="3"/>
      <c r="G80" s="3"/>
      <c r="H80" s="3"/>
      <c r="I80" s="3"/>
      <c r="J80" s="3"/>
      <c r="K80" s="3"/>
      <c r="L80" s="3"/>
      <c r="M80" s="3"/>
      <c r="N80" s="3"/>
      <c r="O80" s="3"/>
      <c r="P80" s="3"/>
      <c r="Q80" s="3"/>
      <c r="S80" s="3"/>
      <c r="T80" s="3"/>
      <c r="U80" s="3"/>
      <c r="V80" s="3"/>
      <c r="W80" s="3"/>
      <c r="X80" s="3"/>
      <c r="Y80" s="3"/>
      <c r="Z80" s="3"/>
      <c r="AA80" s="3"/>
      <c r="AB80" s="3"/>
      <c r="AC80" s="3"/>
    </row>
    <row r="81" spans="2:29" ht="14.25" x14ac:dyDescent="0.2">
      <c r="B81" s="3"/>
      <c r="C81" s="34"/>
      <c r="D81" s="34" t="s">
        <v>399</v>
      </c>
      <c r="E81" s="34"/>
      <c r="F81" s="34"/>
      <c r="G81" s="34"/>
      <c r="H81" s="34"/>
      <c r="I81" s="34"/>
      <c r="J81" s="34"/>
      <c r="K81" s="3"/>
      <c r="L81" s="3"/>
      <c r="M81" s="3"/>
      <c r="N81" s="3"/>
      <c r="O81" s="3"/>
      <c r="P81" s="3"/>
      <c r="Q81" s="3"/>
      <c r="S81" s="3"/>
      <c r="T81" s="3"/>
      <c r="U81" s="3"/>
      <c r="V81" s="3"/>
      <c r="W81" s="3"/>
      <c r="X81" s="3"/>
      <c r="Y81" s="3"/>
      <c r="Z81" s="3"/>
      <c r="AA81" s="3"/>
      <c r="AB81" s="3"/>
      <c r="AC81" s="3"/>
    </row>
    <row r="82" spans="2:29" ht="14.25" x14ac:dyDescent="0.2">
      <c r="B82" s="3"/>
      <c r="C82" s="3"/>
      <c r="D82" s="3"/>
      <c r="E82" s="3"/>
      <c r="F82" s="3"/>
      <c r="G82" s="3"/>
      <c r="H82" s="3"/>
      <c r="I82" s="3"/>
      <c r="J82" s="3"/>
      <c r="K82" s="3"/>
      <c r="L82" s="3"/>
      <c r="M82" s="3"/>
      <c r="N82" s="3"/>
      <c r="O82" s="3"/>
      <c r="P82" s="3"/>
      <c r="Q82" s="3"/>
      <c r="S82" s="3"/>
      <c r="T82" s="3" t="s">
        <v>157</v>
      </c>
      <c r="U82" s="3"/>
      <c r="V82" s="3"/>
      <c r="W82" s="3"/>
      <c r="X82" s="3"/>
      <c r="Y82" s="3"/>
      <c r="Z82" s="3"/>
      <c r="AA82" s="3"/>
      <c r="AB82" s="3"/>
      <c r="AC82" s="3"/>
    </row>
    <row r="83" spans="2:29" x14ac:dyDescent="0.2">
      <c r="B83" s="3" t="str">
        <f>IF(AND(G23&gt;0,K23&lt;G23),"Bitte den Handeingabewert 'Umstellung Dieselstapler' für 'Bilanzjahr +10 Jahre' und ggf. 'Bilanzjahr +5 Jahre' auch anpassen. Diese Werte dürfen nicht größer Ihrer Handeingabe 'Anzahl Dieselstapler im Werk' sein. Ansonsten ist die Berechnung fehlerhaft.","")</f>
        <v/>
      </c>
      <c r="C83" s="3"/>
      <c r="D83" s="3"/>
      <c r="E83" s="3"/>
      <c r="F83" s="3"/>
      <c r="G83" s="3"/>
      <c r="H83" s="3"/>
      <c r="I83" s="3"/>
      <c r="J83" s="3"/>
      <c r="K83" s="3"/>
      <c r="L83" s="3"/>
      <c r="M83" s="3"/>
      <c r="N83" s="3"/>
      <c r="O83" s="3"/>
      <c r="P83" s="3"/>
      <c r="Q83" s="3"/>
      <c r="S83" s="3"/>
      <c r="T83" s="3"/>
      <c r="U83" s="3"/>
      <c r="V83" s="3"/>
      <c r="W83" s="3"/>
      <c r="X83" s="3"/>
      <c r="Y83" s="3"/>
      <c r="Z83" s="3"/>
      <c r="AA83" s="3"/>
      <c r="AB83" s="3"/>
      <c r="AC83" s="3"/>
    </row>
    <row r="84" spans="2:29" x14ac:dyDescent="0.2">
      <c r="B84" s="3"/>
      <c r="C84" s="3"/>
      <c r="D84" s="3"/>
      <c r="E84" s="3"/>
      <c r="F84" s="3"/>
      <c r="G84" s="3"/>
      <c r="H84" s="3"/>
      <c r="I84" s="3"/>
      <c r="J84" s="3"/>
      <c r="K84" s="3"/>
      <c r="L84" s="3"/>
      <c r="M84" s="3"/>
      <c r="N84" s="3"/>
      <c r="O84" s="3"/>
      <c r="P84" s="3"/>
      <c r="Q84" s="3"/>
      <c r="S84" s="3"/>
      <c r="T84" s="3"/>
      <c r="U84" s="3"/>
      <c r="V84" s="3"/>
      <c r="W84" s="3"/>
      <c r="X84" s="3"/>
      <c r="Y84" s="3"/>
      <c r="Z84" s="3"/>
      <c r="AA84" s="3"/>
      <c r="AB84" s="3"/>
      <c r="AC84" s="3"/>
    </row>
    <row r="85" spans="2:29" hidden="1" outlineLevel="1" x14ac:dyDescent="0.2">
      <c r="D85" s="102" t="str">
        <f>IF((OR($I$39&gt;0,K39&gt;0)),"Bitte im Reiter 'Eingabe EF' einen Emissionsfaktor für die Zementsorte für aktuelles Bilanzjahr, Bilanzjahr +5 Jahre  und Bilanzjahr +10 Jahre eintragen!","")</f>
        <v/>
      </c>
    </row>
    <row r="86" spans="2:29" hidden="1" outlineLevel="1" x14ac:dyDescent="0.2">
      <c r="D86" s="102" t="str">
        <f>IF($I$19&gt;0,"Bitte im Reiter 'Eingabe EF' entsprechende Emissionsfaktoren und im Reiter 'Eingabe Preise' entsprechenden Preis für den alternativen Ergieträger Härtekammer für das Bilanzjahr, das 'Bilanzjahr +5 Jahre' und das 'Bilanzjahr +10 Jahre' eintragen!","")</f>
        <v/>
      </c>
      <c r="G86" s="6" t="s">
        <v>400</v>
      </c>
      <c r="I86" s="356">
        <f>IF(NOT(ISBLANK($I36)),$I36,$F36)+IF(NOT(ISBLANK($I37)),$I37,$F37)+IF(NOT(ISBLANK($I38)),$I38,$F38)+IF(NOT(ISBLANK($I39)),$I39,$F39)+IF(NOT(ISBLANK($I42)),$I42,$F42)+IF(NOT(ISBLANK($I43)),$I43,$F43)+IF(NOT(ISBLANK($I44)),$I44,$F44)+IF(NOT(ISBLANK($I48)),$I48,$F48)+IF(NOT(ISBLANK($I51)),$I51,$F51)+IF(NOT(ISBLANK($I52)),$I52,$F52)+IF(NOT(ISBLANK($I53)),$I53,$F53)+IF(NOT(ISBLANK($I57)),$I57,$F57)+IF(NOT(ISBLANK($I63)),$I63,$F63)+IF(NOT(ISBLANK($I67)),$I67,$F67)+IF(NOT(ISBLANK($I68)),$I68,$F68)+IF(NOT(ISBLANK($I69)),$I69,$F69)</f>
        <v>1</v>
      </c>
      <c r="P86" s="6" t="str">
        <f>IF(OR(I86&lt;100%,I86&gt;100%),"Hinweis: Die Summe der Einsatzstoffe muss 100% ergeben.","")</f>
        <v/>
      </c>
    </row>
    <row r="87" spans="2:29" hidden="1" outlineLevel="1" x14ac:dyDescent="0.2">
      <c r="D87" s="102" t="str">
        <f>IF($I$26&gt;0,"Bitte im Reiter 'Eingabe EF' entsprechende Emissionsfaktoren und im Reiter 'Eingabe Preise' entsprechenden Preis für den alternativen Ergieträger fürs restliche Werk für aktuelles Bilanzjahr, Bilanzjahr +5 Jahre und Bilanzjahr +10 Jahre eintragen!","")</f>
        <v/>
      </c>
      <c r="G87" s="6" t="s">
        <v>401</v>
      </c>
      <c r="I87" s="356">
        <f>IF(NOT(ISBLANK($I58)),$I58,$F58)+IF(NOT(ISBLANK($I59)),$I59,$F59)+IF(NOT(ISBLANK($I60)),$I60,$F60)+IF(NOT(ISBLANK($I61)),$I61,$F61)</f>
        <v>0.99999999999999967</v>
      </c>
      <c r="P87" s="6" t="str">
        <f>IF(OR(I87&lt;100%,I87&gt;100%),"Hinweis: Die Summe der Zusatzmittel muss 100% ergeben.","")</f>
        <v/>
      </c>
    </row>
    <row r="88" spans="2:29" hidden="1" outlineLevel="1" x14ac:dyDescent="0.2">
      <c r="D88" s="102" t="str">
        <f>IF(OR($K43&gt;0,$I43&gt;0),"Bitte im Reiter 'Eingabe EF' einen Emissionsfaktor für Brechsand, Splitt für aktuelles Bilanzjahr, Bilanzjahr +5 Jahre und Bilanzjahr + 10 Jahre eintragen!","")</f>
        <v/>
      </c>
    </row>
    <row r="89" spans="2:29" hidden="1" outlineLevel="1" x14ac:dyDescent="0.2">
      <c r="D89" s="102" t="str">
        <f>IF(OR($K44&gt;0,$I44&gt;0),"Bitte im Reiter 'Eingabe EF' einen Emissionsfaktor für Brechsand, Splitt für aktuelles Bilanzjahr, Bilanzjahr +5 Jahre und Bilanzjahr + 10 Jahre eintragen!","")</f>
        <v/>
      </c>
    </row>
    <row r="90" spans="2:29" hidden="1" outlineLevel="1" x14ac:dyDescent="0.2">
      <c r="D90" s="102" t="str">
        <f>IF(OR($I$67&gt;0,$K67),"Bitte im Reiter 'Eingabe EF' einen Emissionsfaktor für Hydrophobierung für aktuelles Bilanzjahr, Bilanzjahr +5 Jahre und Bilanzjahr + 10 Jahre eintragen!","")</f>
        <v/>
      </c>
    </row>
    <row r="91" spans="2:29" hidden="1" outlineLevel="1" x14ac:dyDescent="0.2">
      <c r="D91" s="102" t="str">
        <f>IF(OR($I$69&gt;0,K69&gt;0),"Bitte im Reiter 'Eingabe EF' einen Emissionsfaktor für Beschichtung für aktuelles Bilanzjahr, Bilanzjahr +5 Jahre und Bilanzjahr + 10 Jahre eintragen!","")</f>
        <v/>
      </c>
    </row>
    <row r="92" spans="2:29" hidden="1" outlineLevel="1" x14ac:dyDescent="0.2">
      <c r="D92" s="102" t="str">
        <f>IF($I$73&gt;0,"Bitte im Reiter 'Eingabe EF' einen Emissionsfaktor für 'weitere Materialen' für aktuelles Bilanzjahr, Bilanzjahr +5 Jahre und Bilanzjahr + 10 Jahre eintragen!","")</f>
        <v/>
      </c>
    </row>
    <row r="93" spans="2:29" hidden="1" outlineLevel="1" x14ac:dyDescent="0.2">
      <c r="D93" s="102" t="str">
        <f>IF($I$74&gt;0,"Bitte im Reiter 'Eingabe EF' einen Emissionsfaktor für Oberflächenbearbeitungsarten für aktuelles Bilanzjahr, Bilanzjahr +5 Jahre und Bilanzjahr + 10 Jahre eintragen!","")</f>
        <v/>
      </c>
    </row>
    <row r="94" spans="2:29" collapsed="1" x14ac:dyDescent="0.2">
      <c r="D94" s="6" t="str">
        <f>IF((OR($I$61&gt;0,K61&gt;0)),"Bitte im Reiter 'Eingabe EF' einen Emissionsfaktor für die Hydrophobierer für aktuelles Bilanzjahr, Bilanzjahr +5 Jahre und Bilanzjahr + 10 Jahre eintragen!","")</f>
        <v/>
      </c>
    </row>
  </sheetData>
  <sheetProtection algorithmName="SHA-512" hashValue="OJ1GYZeAzNTFBPdL2A8vQwvsrCh4QSrX03Ap/W26UDhZXHsyhhZwaRNFTH43ZEvPXMhJyIxs3YZcdMyNtRnfbA==" saltValue="mcGUt/WwkvHtmSf5MaDrYg==" spinCount="100000" sheet="1" selectLockedCells="1"/>
  <mergeCells count="3">
    <mergeCell ref="J58:J61"/>
    <mergeCell ref="F6:P6"/>
    <mergeCell ref="I78:M78"/>
  </mergeCells>
  <dataValidations count="4">
    <dataValidation allowBlank="1" showInputMessage="1" showErrorMessage="1" prompt="Bitte Emissionsfaktoren in Spalte M und N eintragen!" sqref="I19 K39 I43:I46 K61 K67 K69 I73:I74 I69 I67 I26 I39 K43:K46 I54:I55 K54:K55" xr:uid="{85A37ED9-D44C-48D1-AC89-81597D3FA077}"/>
    <dataValidation allowBlank="1" showInputMessage="1" showErrorMessage="1" prompt="Hinweis: Die Summe der Zusatzmittel muss 100% ergeben." sqref="I58:I60" xr:uid="{F373BADC-DCDD-49E5-852D-5E415E251CEA}"/>
    <dataValidation allowBlank="1" showInputMessage="1" showErrorMessage="1" prompt="Hinweis: Die Summe der Zusatzmittel muss 100% ergeben._x000a__x000a_Bitte Emissionsfaktoren in Spalte M und N eintragen!" sqref="I61" xr:uid="{36440B83-EC4C-47BE-9975-23A232061630}"/>
    <dataValidation allowBlank="1" showInputMessage="1" showErrorMessage="1" prompt="Hinweis: Falls eigener Strom-Emissionsfaktor vorhanden, z. B. Bezug von Grünstrom, in Spalte M und N eintragen." sqref="I18 I24" xr:uid="{C75711A7-4F18-419B-9936-0EE2C486E422}"/>
  </dataValidations>
  <hyperlinks>
    <hyperlink ref="A1" location="Cockpit!A1" display="zurück zu Cockpit" xr:uid="{8799D0E0-795E-46B1-9E16-4DB0B4E7FB08}"/>
  </hyperlinks>
  <printOptions horizontalCentered="1"/>
  <pageMargins left="0.39370078740157483" right="0.39370078740157483" top="0.39370078740157483" bottom="0.59055118110236227" header="0.19685039370078741" footer="0.19685039370078741"/>
  <pageSetup paperSize="9" scale="40" fitToWidth="3" orientation="landscape" verticalDpi="601" r:id="rId1"/>
  <colBreaks count="2" manualBreakCount="2">
    <brk id="17" max="79" man="1"/>
    <brk id="29" max="79" man="1"/>
  </colBreaks>
  <ignoredErrors>
    <ignoredError sqref="D51:D55"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EC22C-0C8B-4F72-85D8-297478FEA28B}">
  <dimension ref="B1:AH221"/>
  <sheetViews>
    <sheetView workbookViewId="0">
      <selection activeCell="B1" sqref="B1"/>
    </sheetView>
  </sheetViews>
  <sheetFormatPr baseColWidth="10" defaultColWidth="9" defaultRowHeight="12.75" x14ac:dyDescent="0.2"/>
  <cols>
    <col min="1" max="1" width="2.375" style="2" customWidth="1"/>
    <col min="2" max="2" width="39.125" style="2" customWidth="1"/>
    <col min="3" max="3" width="9.75" style="2" customWidth="1"/>
    <col min="4" max="4" width="10.375" style="2" bestFit="1" customWidth="1"/>
    <col min="5" max="8" width="9" style="2"/>
    <col min="9" max="10" width="3.125" style="2" customWidth="1"/>
    <col min="11" max="11" width="45" style="2" customWidth="1"/>
    <col min="12" max="12" width="6.5" style="2" customWidth="1"/>
    <col min="13" max="14" width="9" style="2"/>
    <col min="15" max="15" width="10.875" style="2" customWidth="1"/>
    <col min="16" max="17" width="9" style="2"/>
    <col min="18" max="18" width="3" style="2" customWidth="1"/>
    <col min="19" max="16384" width="9" style="2"/>
  </cols>
  <sheetData>
    <row r="1" spans="2:34" x14ac:dyDescent="0.2">
      <c r="B1" s="436" t="s">
        <v>467</v>
      </c>
    </row>
    <row r="2" spans="2:34" x14ac:dyDescent="0.2">
      <c r="B2" s="393" t="s">
        <v>457</v>
      </c>
      <c r="C2" s="349"/>
      <c r="D2" s="349">
        <f>'THG Bilanz Jahr W'!D9</f>
        <v>0</v>
      </c>
      <c r="E2" s="349">
        <f>'THG Bilanz Jahr X '!D9</f>
        <v>0</v>
      </c>
      <c r="F2" s="349">
        <f>'THG Bilanz Jahr Y'!D9</f>
        <v>0</v>
      </c>
      <c r="G2" s="349">
        <f>'THG Bilanz Jahr Z'!D9</f>
        <v>0</v>
      </c>
      <c r="H2" s="437">
        <f>'Referenz Plattenfertiger'!D9</f>
        <v>0</v>
      </c>
      <c r="K2" s="345" t="s">
        <v>456</v>
      </c>
      <c r="L2" s="345"/>
      <c r="M2" s="378">
        <f>'THG Bilanz Jahr W'!D9</f>
        <v>0</v>
      </c>
      <c r="N2" s="378">
        <f>'THG Bilanz Jahr X '!D9</f>
        <v>0</v>
      </c>
      <c r="O2" s="378">
        <f>'THG Bilanz Jahr Y'!D9</f>
        <v>0</v>
      </c>
      <c r="P2" s="378">
        <f>'THG Bilanz Jahr Z'!D9</f>
        <v>0</v>
      </c>
      <c r="Q2" s="378">
        <f>'Referenz Plattenfertiger'!D9</f>
        <v>0</v>
      </c>
      <c r="S2" s="3"/>
      <c r="T2" s="3"/>
      <c r="U2" s="3"/>
      <c r="V2" s="3"/>
      <c r="W2" s="3"/>
      <c r="X2" s="3"/>
      <c r="Y2" s="3"/>
      <c r="Z2" s="3"/>
      <c r="AA2" s="3"/>
      <c r="AB2" s="3"/>
      <c r="AC2" s="3"/>
      <c r="AD2" s="3"/>
      <c r="AE2" s="3"/>
      <c r="AF2" s="3"/>
      <c r="AG2" s="3"/>
      <c r="AH2" s="3"/>
    </row>
    <row r="3" spans="2:34" ht="18" x14ac:dyDescent="0.25">
      <c r="B3" s="438"/>
      <c r="C3" s="1" t="s">
        <v>19</v>
      </c>
      <c r="D3" s="411" t="s">
        <v>463</v>
      </c>
      <c r="E3" s="411" t="s">
        <v>464</v>
      </c>
      <c r="F3" s="411" t="s">
        <v>465</v>
      </c>
      <c r="G3" s="411" t="s">
        <v>466</v>
      </c>
      <c r="H3" s="439" t="s">
        <v>81</v>
      </c>
      <c r="K3" s="3"/>
      <c r="L3" s="1" t="s">
        <v>19</v>
      </c>
      <c r="M3" s="411" t="s">
        <v>463</v>
      </c>
      <c r="N3" s="411" t="s">
        <v>464</v>
      </c>
      <c r="O3" s="411" t="s">
        <v>465</v>
      </c>
      <c r="P3" s="411" t="s">
        <v>466</v>
      </c>
      <c r="Q3" s="411" t="s">
        <v>81</v>
      </c>
      <c r="S3" s="3"/>
      <c r="T3" s="96" t="s">
        <v>457</v>
      </c>
      <c r="U3" s="3"/>
      <c r="V3" s="3"/>
      <c r="W3" s="3"/>
      <c r="X3" s="3"/>
      <c r="Y3" s="3"/>
      <c r="Z3" s="3"/>
      <c r="AA3" s="3"/>
      <c r="AB3" s="3"/>
      <c r="AC3" s="3"/>
      <c r="AD3" s="3"/>
      <c r="AE3" s="3"/>
      <c r="AF3" s="3"/>
      <c r="AG3" s="3"/>
      <c r="AH3" s="3"/>
    </row>
    <row r="4" spans="2:34" x14ac:dyDescent="0.2">
      <c r="B4" s="393" t="s">
        <v>176</v>
      </c>
      <c r="C4" s="349"/>
      <c r="D4" s="394"/>
      <c r="E4" s="394"/>
      <c r="F4" s="394"/>
      <c r="G4" s="394"/>
      <c r="H4" s="395"/>
      <c r="K4" s="393" t="s">
        <v>176</v>
      </c>
      <c r="L4" s="349"/>
      <c r="M4" s="394">
        <f>'THG Bilanz Jahr W'!$AA15</f>
        <v>308.11408852</v>
      </c>
      <c r="N4" s="394">
        <f>'THG Bilanz Jahr X '!AA15</f>
        <v>308.11408852</v>
      </c>
      <c r="O4" s="394">
        <f>'THG Bilanz Jahr Y'!AA15</f>
        <v>308.11408852</v>
      </c>
      <c r="P4" s="394">
        <f>'THG Bilanz Jahr Z'!AA15</f>
        <v>308.11408852</v>
      </c>
      <c r="Q4" s="395">
        <f>'Referenz Plattenfertiger'!X15</f>
        <v>308.11408852</v>
      </c>
      <c r="S4" s="3"/>
      <c r="T4" s="1"/>
      <c r="U4" s="3"/>
      <c r="V4" s="3"/>
      <c r="W4" s="3"/>
      <c r="X4" s="3"/>
      <c r="Y4" s="3"/>
      <c r="Z4" s="3"/>
      <c r="AA4" s="3"/>
      <c r="AB4" s="3"/>
      <c r="AC4" s="3"/>
      <c r="AD4" s="3"/>
      <c r="AE4" s="3"/>
      <c r="AF4" s="3"/>
      <c r="AG4" s="3"/>
      <c r="AH4" s="3"/>
    </row>
    <row r="5" spans="2:34" ht="15.75" x14ac:dyDescent="0.3">
      <c r="B5" s="221" t="str">
        <f>'Referenz Plattenfertiger'!$Q16</f>
        <v>Erdgas</v>
      </c>
      <c r="C5" s="3" t="s">
        <v>38</v>
      </c>
      <c r="D5" s="79">
        <f>IF(ISBLANK('THG Bilanz Jahr W'!$I16),'THG Bilanz Jahr W'!$F16,'THG Bilanz Jahr W'!$I16)</f>
        <v>188000</v>
      </c>
      <c r="E5" s="79">
        <f>IF(ISBLANK('THG Bilanz Jahr X '!I16),'THG Bilanz Jahr X '!F16,'THG Bilanz Jahr X '!I16)</f>
        <v>188000</v>
      </c>
      <c r="F5" s="79">
        <f>IF(ISBLANK('THG Bilanz Jahr Y'!$I16),'THG Bilanz Jahr Y'!$F16,'THG Bilanz Jahr Y'!$I16)</f>
        <v>188000</v>
      </c>
      <c r="G5" s="79">
        <f>IF(ISBLANK('THG Bilanz Jahr Z'!$I16),'THG Bilanz Jahr Z'!$F16,'THG Bilanz Jahr Z'!$I16)</f>
        <v>188000</v>
      </c>
      <c r="H5" s="396">
        <f>IF(ISBLANK('Referenz Plattenfertiger'!$I16),'Referenz Plattenfertiger'!$F16,'Referenz Plattenfertiger'!$I16)</f>
        <v>188000</v>
      </c>
      <c r="K5" s="221" t="str">
        <f>'Referenz Plattenfertiger'!$Q16</f>
        <v>Erdgas</v>
      </c>
      <c r="L5" s="3" t="s">
        <v>148</v>
      </c>
      <c r="M5" s="79">
        <f>'THG Bilanz Jahr W'!$AA16</f>
        <v>40.32788</v>
      </c>
      <c r="N5" s="79">
        <f>'THG Bilanz Jahr X '!AA16</f>
        <v>40.32788</v>
      </c>
      <c r="O5" s="79">
        <f>'THG Bilanz Jahr Y'!AA16</f>
        <v>40.32788</v>
      </c>
      <c r="P5" s="79">
        <f>'THG Bilanz Jahr Z'!AA16</f>
        <v>40.32788</v>
      </c>
      <c r="Q5" s="396">
        <f>'Referenz Plattenfertiger'!X16</f>
        <v>40.32788</v>
      </c>
      <c r="S5" s="3"/>
      <c r="T5" s="91" t="s">
        <v>498</v>
      </c>
      <c r="U5" s="3"/>
      <c r="V5" s="3"/>
      <c r="W5" s="3"/>
      <c r="X5" s="3"/>
      <c r="Y5" s="3"/>
      <c r="Z5" s="3"/>
      <c r="AA5" s="3"/>
      <c r="AB5" s="3"/>
      <c r="AC5" s="3"/>
      <c r="AD5" s="3"/>
      <c r="AE5" s="3"/>
      <c r="AF5" s="3"/>
      <c r="AG5" s="3"/>
      <c r="AH5" s="3"/>
    </row>
    <row r="6" spans="2:34" ht="15.75" x14ac:dyDescent="0.3">
      <c r="B6" s="221" t="str">
        <f>'Referenz Plattenfertiger'!$Q17</f>
        <v>Heizöl</v>
      </c>
      <c r="C6" s="3" t="s">
        <v>41</v>
      </c>
      <c r="D6" s="79">
        <f>IF(ISBLANK('THG Bilanz Jahr W'!$I17),'THG Bilanz Jahr W'!$F17,'THG Bilanz Jahr W'!$I17)</f>
        <v>24000</v>
      </c>
      <c r="E6" s="79">
        <f>IF(ISBLANK('THG Bilanz Jahr X '!$I17),'THG Bilanz Jahr X '!$F17,'THG Bilanz Jahr X '!$I17)</f>
        <v>24000</v>
      </c>
      <c r="F6" s="79">
        <f>IF(ISBLANK('THG Bilanz Jahr Y'!$I17),'THG Bilanz Jahr Y'!$F17,'THG Bilanz Jahr Y'!$I17)</f>
        <v>24000</v>
      </c>
      <c r="G6" s="79">
        <f>IF(ISBLANK('THG Bilanz Jahr Z'!$I17),'THG Bilanz Jahr Z'!$F17,'THG Bilanz Jahr Z'!$I17)</f>
        <v>24000</v>
      </c>
      <c r="H6" s="396">
        <f>IF(ISBLANK('Referenz Plattenfertiger'!$I17),'Referenz Plattenfertiger'!$F17,'Referenz Plattenfertiger'!$I17)</f>
        <v>24000</v>
      </c>
      <c r="K6" s="221" t="str">
        <f>'Referenz Plattenfertiger'!$Q17</f>
        <v>Heizöl</v>
      </c>
      <c r="L6" s="3" t="s">
        <v>148</v>
      </c>
      <c r="M6" s="79">
        <f>'THG Bilanz Jahr W'!$AA17</f>
        <v>7.3520640000000004</v>
      </c>
      <c r="N6" s="79">
        <f>'THG Bilanz Jahr X '!AA17</f>
        <v>7.3520640000000004</v>
      </c>
      <c r="O6" s="79">
        <f>'THG Bilanz Jahr Y'!AA17</f>
        <v>7.3520640000000004</v>
      </c>
      <c r="P6" s="79">
        <f>'THG Bilanz Jahr Z'!AA17</f>
        <v>7.3520640000000004</v>
      </c>
      <c r="Q6" s="396">
        <f>'Referenz Plattenfertiger'!X17</f>
        <v>7.3520640000000004</v>
      </c>
      <c r="S6" s="3"/>
      <c r="T6" s="3"/>
      <c r="U6" s="3"/>
      <c r="V6" s="3"/>
      <c r="W6" s="3"/>
      <c r="X6" s="3"/>
      <c r="Y6" s="3"/>
      <c r="Z6" s="3"/>
      <c r="AA6" s="3"/>
      <c r="AB6" s="3"/>
      <c r="AC6" s="3"/>
      <c r="AD6" s="3"/>
      <c r="AE6" s="3"/>
      <c r="AF6" s="3"/>
      <c r="AG6" s="3"/>
      <c r="AH6" s="3"/>
    </row>
    <row r="7" spans="2:34" ht="15.75" x14ac:dyDescent="0.3">
      <c r="B7" s="459" t="str">
        <f>'Referenz Plattenfertiger'!$Q18</f>
        <v>Elektrische Energie (Default = deutscher Strommix)</v>
      </c>
      <c r="C7" s="3" t="s">
        <v>40</v>
      </c>
      <c r="D7" s="79">
        <f>IF(ISBLANK('THG Bilanz Jahr W'!$I18),'THG Bilanz Jahr W'!$F18,'THG Bilanz Jahr W'!$I18)</f>
        <v>45000</v>
      </c>
      <c r="E7" s="79">
        <f>IF(ISBLANK('THG Bilanz Jahr X '!$I18),'THG Bilanz Jahr X '!$F18,'THG Bilanz Jahr X '!$I18)</f>
        <v>45000</v>
      </c>
      <c r="F7" s="79">
        <f>IF(ISBLANK('THG Bilanz Jahr Y'!$I18),'THG Bilanz Jahr Y'!$F18,'THG Bilanz Jahr Y'!$I18)</f>
        <v>45000</v>
      </c>
      <c r="G7" s="79">
        <f>IF(ISBLANK('THG Bilanz Jahr Z'!$I18),'THG Bilanz Jahr Z'!$F18,'THG Bilanz Jahr Z'!$I18)</f>
        <v>45000</v>
      </c>
      <c r="H7" s="396">
        <f>IF(ISBLANK('Referenz Plattenfertiger'!$I18),'Referenz Plattenfertiger'!$F18,'Referenz Plattenfertiger'!$I18)</f>
        <v>45000</v>
      </c>
      <c r="K7" s="221" t="str">
        <f>'Referenz Plattenfertiger'!$Q18</f>
        <v>Elektrische Energie (Default = deutscher Strommix)</v>
      </c>
      <c r="L7" s="3" t="s">
        <v>148</v>
      </c>
      <c r="M7" s="79">
        <f>'THG Bilanz Jahr W'!$AA18</f>
        <v>19.71</v>
      </c>
      <c r="N7" s="79">
        <f>'THG Bilanz Jahr X '!AA18</f>
        <v>19.71</v>
      </c>
      <c r="O7" s="79">
        <f>'THG Bilanz Jahr Y'!AA18</f>
        <v>19.71</v>
      </c>
      <c r="P7" s="79">
        <f>'THG Bilanz Jahr Z'!AA18</f>
        <v>19.71</v>
      </c>
      <c r="Q7" s="396">
        <f>'Referenz Plattenfertiger'!X18</f>
        <v>19.71</v>
      </c>
      <c r="S7" s="3"/>
      <c r="T7" s="3"/>
      <c r="U7" s="3"/>
      <c r="V7" s="3"/>
      <c r="W7" s="3"/>
      <c r="X7" s="3"/>
      <c r="Y7" s="3"/>
      <c r="Z7" s="3"/>
      <c r="AA7" s="3"/>
      <c r="AB7" s="3"/>
      <c r="AC7" s="3"/>
      <c r="AD7" s="3"/>
      <c r="AE7" s="3"/>
      <c r="AF7" s="3"/>
      <c r="AG7" s="3"/>
      <c r="AH7" s="3"/>
    </row>
    <row r="8" spans="2:34" ht="15.75" x14ac:dyDescent="0.3">
      <c r="B8" s="221" t="str">
        <f>'Referenz Plattenfertiger'!$Q19</f>
        <v>Alternativer Energieträger / ggf. Eigenerzeugung</v>
      </c>
      <c r="C8" s="3" t="s">
        <v>40</v>
      </c>
      <c r="D8" s="79">
        <f>IF(ISBLANK('THG Bilanz Jahr W'!$I19),'THG Bilanz Jahr W'!$F19,'THG Bilanz Jahr W'!$I19)</f>
        <v>0</v>
      </c>
      <c r="E8" s="79">
        <f>IF(ISBLANK('THG Bilanz Jahr X '!$I19),'THG Bilanz Jahr X '!$F19,'THG Bilanz Jahr X '!$I19)</f>
        <v>0</v>
      </c>
      <c r="F8" s="79">
        <f>IF(ISBLANK('THG Bilanz Jahr Y'!$I19),'THG Bilanz Jahr Y'!$F19,'THG Bilanz Jahr Y'!$I19)</f>
        <v>0</v>
      </c>
      <c r="G8" s="79">
        <f>IF(ISBLANK('THG Bilanz Jahr Z'!$I19),'THG Bilanz Jahr Z'!$F19,'THG Bilanz Jahr Z'!$I19)</f>
        <v>0</v>
      </c>
      <c r="H8" s="396">
        <f>IF(ISBLANK('Referenz Plattenfertiger'!$I19),'Referenz Plattenfertiger'!$F19,'Referenz Plattenfertiger'!$I19)</f>
        <v>0</v>
      </c>
      <c r="K8" s="221" t="str">
        <f>'Referenz Plattenfertiger'!$Q19</f>
        <v>Alternativer Energieträger / ggf. Eigenerzeugung</v>
      </c>
      <c r="L8" s="3" t="s">
        <v>148</v>
      </c>
      <c r="M8" s="79">
        <f>'THG Bilanz Jahr W'!$AA19</f>
        <v>0</v>
      </c>
      <c r="N8" s="79">
        <f>'THG Bilanz Jahr X '!AA19</f>
        <v>0</v>
      </c>
      <c r="O8" s="79">
        <f>'THG Bilanz Jahr Y'!AA19</f>
        <v>0</v>
      </c>
      <c r="P8" s="79">
        <f>'THG Bilanz Jahr Z'!AA19</f>
        <v>0</v>
      </c>
      <c r="Q8" s="396">
        <f>'Referenz Plattenfertiger'!X19</f>
        <v>0</v>
      </c>
      <c r="S8" s="3"/>
      <c r="T8" s="3"/>
      <c r="U8" s="3"/>
      <c r="V8" s="3"/>
      <c r="W8" s="3"/>
      <c r="X8" s="3"/>
      <c r="Y8" s="3"/>
      <c r="Z8" s="3"/>
      <c r="AA8" s="3"/>
      <c r="AB8" s="3"/>
      <c r="AC8" s="3"/>
      <c r="AD8" s="3"/>
      <c r="AE8" s="3"/>
      <c r="AF8" s="3"/>
      <c r="AG8" s="3"/>
      <c r="AH8" s="3"/>
    </row>
    <row r="9" spans="2:34" x14ac:dyDescent="0.2">
      <c r="B9" s="221"/>
      <c r="C9" s="3"/>
      <c r="D9" s="79"/>
      <c r="E9" s="79"/>
      <c r="F9" s="79"/>
      <c r="G9" s="79"/>
      <c r="H9" s="396"/>
      <c r="K9" s="221"/>
      <c r="L9" s="3"/>
      <c r="M9" s="79"/>
      <c r="N9" s="79"/>
      <c r="O9" s="79"/>
      <c r="P9" s="79"/>
      <c r="Q9" s="396"/>
      <c r="S9" s="3"/>
      <c r="T9" s="3"/>
      <c r="U9" s="3"/>
      <c r="V9" s="3"/>
      <c r="W9" s="3"/>
      <c r="X9" s="3"/>
      <c r="Y9" s="3"/>
      <c r="Z9" s="3"/>
      <c r="AA9" s="3"/>
      <c r="AB9" s="3"/>
      <c r="AC9" s="3"/>
      <c r="AD9" s="3"/>
      <c r="AE9" s="3"/>
      <c r="AF9" s="3"/>
      <c r="AG9" s="3"/>
      <c r="AH9" s="3"/>
    </row>
    <row r="10" spans="2:34" ht="15.75" x14ac:dyDescent="0.3">
      <c r="B10" s="221" t="str">
        <f>'Referenz Plattenfertiger'!$Q21</f>
        <v>Erdgas</v>
      </c>
      <c r="C10" s="3" t="s">
        <v>38</v>
      </c>
      <c r="D10" s="79">
        <f>IF(ISBLANK('THG Bilanz Jahr W'!$I21),'THG Bilanz Jahr W'!$F21,'THG Bilanz Jahr W'!$I21)</f>
        <v>47000</v>
      </c>
      <c r="E10" s="79">
        <f>IF(ISBLANK('THG Bilanz Jahr X '!$I21),'THG Bilanz Jahr X '!$F21,'THG Bilanz Jahr X '!$I21)</f>
        <v>47000</v>
      </c>
      <c r="F10" s="79">
        <f>IF(ISBLANK('THG Bilanz Jahr Y'!$I21),'THG Bilanz Jahr Y'!$F21,'THG Bilanz Jahr Y'!$I21)</f>
        <v>47000</v>
      </c>
      <c r="G10" s="79">
        <f>IF(ISBLANK('THG Bilanz Jahr Z'!$I21),'THG Bilanz Jahr Z'!$F21,'THG Bilanz Jahr Z'!$I21)</f>
        <v>47000</v>
      </c>
      <c r="H10" s="396">
        <f>IF(ISBLANK('Referenz Plattenfertiger'!$I21),'Referenz Plattenfertiger'!$F21,'Referenz Plattenfertiger'!$I21)</f>
        <v>47000</v>
      </c>
      <c r="K10" s="221" t="str">
        <f>'Referenz Plattenfertiger'!$Q21</f>
        <v>Erdgas</v>
      </c>
      <c r="L10" s="3" t="s">
        <v>148</v>
      </c>
      <c r="M10" s="79">
        <f>'THG Bilanz Jahr W'!$AA21</f>
        <v>10.08197</v>
      </c>
      <c r="N10" s="79">
        <f>'THG Bilanz Jahr X '!AA21</f>
        <v>10.08197</v>
      </c>
      <c r="O10" s="79">
        <f>'THG Bilanz Jahr Y'!AA21</f>
        <v>10.08197</v>
      </c>
      <c r="P10" s="79">
        <f>'THG Bilanz Jahr Z'!AA21</f>
        <v>10.08197</v>
      </c>
      <c r="Q10" s="396">
        <f>'Referenz Plattenfertiger'!X21</f>
        <v>10.08197</v>
      </c>
      <c r="S10" s="3"/>
      <c r="T10" s="3"/>
      <c r="U10" s="3"/>
      <c r="V10" s="3"/>
      <c r="W10" s="3"/>
      <c r="X10" s="3"/>
      <c r="Y10" s="3"/>
      <c r="Z10" s="3"/>
      <c r="AA10" s="3"/>
      <c r="AB10" s="3"/>
      <c r="AC10" s="3"/>
      <c r="AD10" s="3"/>
      <c r="AE10" s="3"/>
      <c r="AF10" s="3"/>
      <c r="AG10" s="3"/>
      <c r="AH10" s="3"/>
    </row>
    <row r="11" spans="2:34" ht="15.75" x14ac:dyDescent="0.3">
      <c r="B11" s="221" t="str">
        <f>'Referenz Plattenfertiger'!$Q22</f>
        <v>Heizöl</v>
      </c>
      <c r="C11" s="3" t="s">
        <v>41</v>
      </c>
      <c r="D11" s="79">
        <f>IF(ISBLANK('THG Bilanz Jahr W'!$I22),'THG Bilanz Jahr W'!$F22,'THG Bilanz Jahr W'!$I22)</f>
        <v>36000</v>
      </c>
      <c r="E11" s="79">
        <f>IF(ISBLANK('THG Bilanz Jahr X '!$I22),'THG Bilanz Jahr X '!$F22,'THG Bilanz Jahr X '!$I22)</f>
        <v>36000</v>
      </c>
      <c r="F11" s="79">
        <f>IF(ISBLANK('THG Bilanz Jahr Y'!$I22),'THG Bilanz Jahr Y'!$F22,'THG Bilanz Jahr Y'!$I22)</f>
        <v>36000</v>
      </c>
      <c r="G11" s="79">
        <f>IF(ISBLANK('THG Bilanz Jahr Z'!$I22),'THG Bilanz Jahr Z'!$F22,'THG Bilanz Jahr Z'!$I22)</f>
        <v>36000</v>
      </c>
      <c r="H11" s="396">
        <f>IF(ISBLANK('Referenz Plattenfertiger'!$I22),'Referenz Plattenfertiger'!$F22,'Referenz Plattenfertiger'!$I22)</f>
        <v>36000</v>
      </c>
      <c r="K11" s="221" t="str">
        <f>'Referenz Plattenfertiger'!$Q22</f>
        <v>Heizöl</v>
      </c>
      <c r="L11" s="3" t="s">
        <v>148</v>
      </c>
      <c r="M11" s="79">
        <f>'THG Bilanz Jahr W'!$AA22</f>
        <v>11.028096</v>
      </c>
      <c r="N11" s="79">
        <f>'THG Bilanz Jahr X '!AA22</f>
        <v>11.028096</v>
      </c>
      <c r="O11" s="79">
        <f>'THG Bilanz Jahr Y'!AA22</f>
        <v>11.028096</v>
      </c>
      <c r="P11" s="79">
        <f>'THG Bilanz Jahr Z'!AA22</f>
        <v>11.028096</v>
      </c>
      <c r="Q11" s="396">
        <f>'Referenz Plattenfertiger'!X22</f>
        <v>11.028096</v>
      </c>
      <c r="S11" s="3"/>
      <c r="T11" s="3"/>
      <c r="U11" s="3"/>
      <c r="V11" s="3"/>
      <c r="W11" s="3"/>
      <c r="X11" s="3"/>
      <c r="Y11" s="3"/>
      <c r="Z11" s="3"/>
      <c r="AA11" s="3"/>
      <c r="AB11" s="3"/>
      <c r="AC11" s="3"/>
      <c r="AD11" s="3"/>
      <c r="AE11" s="3"/>
      <c r="AF11" s="3"/>
      <c r="AG11" s="3"/>
      <c r="AH11" s="3"/>
    </row>
    <row r="12" spans="2:34" x14ac:dyDescent="0.2">
      <c r="B12" s="221"/>
      <c r="C12" s="3"/>
      <c r="D12" s="79"/>
      <c r="E12" s="79"/>
      <c r="F12" s="79"/>
      <c r="G12" s="79"/>
      <c r="H12" s="396"/>
      <c r="K12" s="221"/>
      <c r="L12" s="3"/>
      <c r="M12" s="79"/>
      <c r="N12" s="79"/>
      <c r="O12" s="79"/>
      <c r="P12" s="79"/>
      <c r="Q12" s="396"/>
      <c r="S12" s="3"/>
      <c r="T12" s="3"/>
      <c r="U12" s="3"/>
      <c r="V12" s="3"/>
      <c r="W12" s="3"/>
      <c r="X12" s="3"/>
      <c r="Y12" s="3"/>
      <c r="Z12" s="3"/>
      <c r="AA12" s="3"/>
      <c r="AB12" s="3"/>
      <c r="AC12" s="3"/>
      <c r="AD12" s="3"/>
      <c r="AE12" s="3"/>
      <c r="AF12" s="3"/>
      <c r="AG12" s="3"/>
      <c r="AH12" s="3"/>
    </row>
    <row r="13" spans="2:34" ht="15.75" x14ac:dyDescent="0.3">
      <c r="B13" s="221" t="str">
        <f>'Referenz Plattenfertiger'!$Q24</f>
        <v>Elektrische Energie (Default = deutscher Strommix)</v>
      </c>
      <c r="C13" s="3" t="s">
        <v>40</v>
      </c>
      <c r="D13" s="79">
        <f>IF(ISBLANK('THG Bilanz Jahr W'!$I24),'THG Bilanz Jahr W'!$F24,'THG Bilanz Jahr W'!$I24)</f>
        <v>405000</v>
      </c>
      <c r="E13" s="79">
        <f>IF(ISBLANK('THG Bilanz Jahr X '!$I24),'THG Bilanz Jahr X '!$F24,'THG Bilanz Jahr X '!$I24)</f>
        <v>405000</v>
      </c>
      <c r="F13" s="79">
        <f>IF(ISBLANK('THG Bilanz Jahr Y'!$I24),'THG Bilanz Jahr Y'!$F24,'THG Bilanz Jahr Y'!$I24)</f>
        <v>405000</v>
      </c>
      <c r="G13" s="79">
        <f>IF(ISBLANK('THG Bilanz Jahr Z'!$I24),'THG Bilanz Jahr Z'!$F24,'THG Bilanz Jahr Z'!$I24)</f>
        <v>405000</v>
      </c>
      <c r="H13" s="396">
        <f>IF(ISBLANK('Referenz Plattenfertiger'!$I24),'Referenz Plattenfertiger'!$F24,'Referenz Plattenfertiger'!$I24)</f>
        <v>405000</v>
      </c>
      <c r="K13" s="221" t="str">
        <f>'Referenz Plattenfertiger'!$Q24</f>
        <v>Elektrische Energie (Default = deutscher Strommix)</v>
      </c>
      <c r="L13" s="3" t="s">
        <v>148</v>
      </c>
      <c r="M13" s="79">
        <f>'THG Bilanz Jahr W'!$AA24</f>
        <v>177.39000000000001</v>
      </c>
      <c r="N13" s="79">
        <f>'THG Bilanz Jahr X '!AA24</f>
        <v>177.39000000000001</v>
      </c>
      <c r="O13" s="79">
        <f>'THG Bilanz Jahr Y'!AA24</f>
        <v>177.39000000000001</v>
      </c>
      <c r="P13" s="79">
        <f>'THG Bilanz Jahr Z'!AA24</f>
        <v>177.39000000000001</v>
      </c>
      <c r="Q13" s="396">
        <f>'Referenz Plattenfertiger'!X24</f>
        <v>177.39000000000001</v>
      </c>
      <c r="S13" s="3"/>
      <c r="T13" s="3"/>
      <c r="U13" s="3"/>
      <c r="V13" s="3"/>
      <c r="W13" s="3"/>
      <c r="X13" s="3"/>
      <c r="Y13" s="3"/>
      <c r="Z13" s="3"/>
      <c r="AA13" s="3"/>
      <c r="AB13" s="3"/>
      <c r="AC13" s="3"/>
      <c r="AD13" s="3"/>
      <c r="AE13" s="3"/>
      <c r="AF13" s="3"/>
      <c r="AG13" s="3"/>
      <c r="AH13" s="3"/>
    </row>
    <row r="14" spans="2:34" ht="15.75" x14ac:dyDescent="0.3">
      <c r="B14" s="221" t="str">
        <f>'Referenz Plattenfertiger'!$Q25</f>
        <v>Flüssiggas</v>
      </c>
      <c r="C14" s="3" t="s">
        <v>40</v>
      </c>
      <c r="D14" s="79">
        <f>IF(ISBLANK('THG Bilanz Jahr W'!$I25),'THG Bilanz Jahr W'!$F25,'THG Bilanz Jahr W'!$I25)</f>
        <v>0</v>
      </c>
      <c r="E14" s="79">
        <f>IF(ISBLANK('THG Bilanz Jahr X '!$I25),'THG Bilanz Jahr X '!$F25,'THG Bilanz Jahr X '!$I25)</f>
        <v>0</v>
      </c>
      <c r="F14" s="79">
        <f>IF(ISBLANK('THG Bilanz Jahr Y'!$I25),'THG Bilanz Jahr Y'!$F25,'THG Bilanz Jahr Y'!$I25)</f>
        <v>0</v>
      </c>
      <c r="G14" s="79">
        <f>IF(ISBLANK('THG Bilanz Jahr Z'!$I25),'THG Bilanz Jahr Z'!$F25,'THG Bilanz Jahr Z'!$I25)</f>
        <v>0</v>
      </c>
      <c r="H14" s="396">
        <f>IF(ISBLANK('Referenz Plattenfertiger'!$I25),'Referenz Plattenfertiger'!$F25,'Referenz Plattenfertiger'!$I25)</f>
        <v>0</v>
      </c>
      <c r="K14" s="221" t="str">
        <f>'Referenz Plattenfertiger'!$Q25</f>
        <v>Flüssiggas</v>
      </c>
      <c r="L14" s="3" t="s">
        <v>148</v>
      </c>
      <c r="M14" s="79">
        <f>'THG Bilanz Jahr W'!$AA25</f>
        <v>0</v>
      </c>
      <c r="N14" s="79">
        <f>'THG Bilanz Jahr X '!AA25</f>
        <v>0</v>
      </c>
      <c r="O14" s="79">
        <f>'THG Bilanz Jahr Y'!AA25</f>
        <v>0</v>
      </c>
      <c r="P14" s="79">
        <f>'THG Bilanz Jahr Z'!AA25</f>
        <v>0</v>
      </c>
      <c r="Q14" s="396">
        <f>'Referenz Plattenfertiger'!X25</f>
        <v>0</v>
      </c>
      <c r="S14" s="3"/>
      <c r="T14" s="3"/>
      <c r="U14" s="3"/>
      <c r="V14" s="3"/>
      <c r="W14" s="3"/>
      <c r="X14" s="3"/>
      <c r="Y14" s="3"/>
      <c r="Z14" s="3"/>
      <c r="AA14" s="3"/>
      <c r="AB14" s="3"/>
      <c r="AC14" s="3"/>
      <c r="AD14" s="3"/>
      <c r="AE14" s="3"/>
      <c r="AF14" s="3"/>
      <c r="AG14" s="3"/>
      <c r="AH14" s="3"/>
    </row>
    <row r="15" spans="2:34" ht="15.75" x14ac:dyDescent="0.3">
      <c r="B15" s="221" t="str">
        <f>'Referenz Plattenfertiger'!$Q26</f>
        <v>Alternativer Energieträger / ggf. Eigenerzeugung</v>
      </c>
      <c r="C15" s="3" t="s">
        <v>40</v>
      </c>
      <c r="D15" s="79">
        <f>IF(ISBLANK('THG Bilanz Jahr W'!$I26),'THG Bilanz Jahr W'!$F26,'THG Bilanz Jahr W'!$I26)</f>
        <v>0</v>
      </c>
      <c r="E15" s="79">
        <f>IF(ISBLANK('THG Bilanz Jahr X '!$I26),'THG Bilanz Jahr X '!$F26,'THG Bilanz Jahr X '!$I26)</f>
        <v>0</v>
      </c>
      <c r="F15" s="79">
        <f>IF(ISBLANK('THG Bilanz Jahr Y'!$I26),'THG Bilanz Jahr Y'!$F26,'THG Bilanz Jahr Y'!$I26)</f>
        <v>0</v>
      </c>
      <c r="G15" s="79">
        <f>IF(ISBLANK('THG Bilanz Jahr Z'!$I26),'THG Bilanz Jahr Z'!$F26,'THG Bilanz Jahr Z'!$I26)</f>
        <v>0</v>
      </c>
      <c r="H15" s="396">
        <f>IF(ISBLANK('Referenz Plattenfertiger'!$I26),'Referenz Plattenfertiger'!$F26,'Referenz Plattenfertiger'!$I26)</f>
        <v>0</v>
      </c>
      <c r="K15" s="221" t="str">
        <f>'Referenz Plattenfertiger'!$Q26</f>
        <v>Alternativer Energieträger / ggf. Eigenerzeugung</v>
      </c>
      <c r="L15" s="3" t="s">
        <v>148</v>
      </c>
      <c r="M15" s="79">
        <f>'THG Bilanz Jahr W'!$AA26</f>
        <v>0</v>
      </c>
      <c r="N15" s="79">
        <f>'THG Bilanz Jahr X '!AA26</f>
        <v>0</v>
      </c>
      <c r="O15" s="79">
        <f>'THG Bilanz Jahr Y'!AA26</f>
        <v>0</v>
      </c>
      <c r="P15" s="79">
        <f>'THG Bilanz Jahr Z'!AA26</f>
        <v>0</v>
      </c>
      <c r="Q15" s="396">
        <f>'Referenz Plattenfertiger'!X26</f>
        <v>0</v>
      </c>
      <c r="S15" s="3"/>
      <c r="T15" s="3"/>
      <c r="U15" s="3"/>
      <c r="V15" s="3"/>
      <c r="W15" s="3"/>
      <c r="X15" s="3"/>
      <c r="Y15" s="3"/>
      <c r="Z15" s="3"/>
      <c r="AA15" s="3"/>
      <c r="AB15" s="3"/>
      <c r="AC15" s="3"/>
      <c r="AD15" s="3"/>
      <c r="AE15" s="3"/>
      <c r="AF15" s="3"/>
      <c r="AG15" s="3"/>
      <c r="AH15" s="3"/>
    </row>
    <row r="16" spans="2:34" x14ac:dyDescent="0.2">
      <c r="B16" s="397"/>
      <c r="C16" s="31"/>
      <c r="D16" s="364"/>
      <c r="E16" s="440"/>
      <c r="F16" s="364"/>
      <c r="G16" s="364"/>
      <c r="H16" s="398"/>
      <c r="K16" s="397"/>
      <c r="L16" s="31"/>
      <c r="M16" s="364"/>
      <c r="N16" s="364"/>
      <c r="O16" s="364"/>
      <c r="P16" s="364"/>
      <c r="Q16" s="398"/>
      <c r="S16" s="3"/>
      <c r="T16" s="3"/>
      <c r="U16" s="3"/>
      <c r="V16" s="3"/>
      <c r="W16" s="3"/>
      <c r="X16" s="3"/>
      <c r="Y16" s="3"/>
      <c r="Z16" s="3"/>
      <c r="AA16" s="3"/>
      <c r="AB16" s="3"/>
      <c r="AC16" s="3"/>
      <c r="AD16" s="3"/>
      <c r="AE16" s="3"/>
      <c r="AF16" s="3"/>
      <c r="AG16" s="3"/>
      <c r="AH16" s="3"/>
    </row>
    <row r="17" spans="2:34" ht="15.75" x14ac:dyDescent="0.3">
      <c r="B17" s="221" t="str">
        <f>'Referenz Plattenfertiger'!$Q28</f>
        <v>Diesel Gabelstapler (4x) 1)</v>
      </c>
      <c r="C17" s="3" t="s">
        <v>39</v>
      </c>
      <c r="D17" s="79">
        <f>IF(ISBLANK('THG Bilanz Jahr W'!$I28),'THG Bilanz Jahr W'!$F28,'THG Bilanz Jahr W'!$I28)</f>
        <v>11000</v>
      </c>
      <c r="E17" s="79">
        <f>IF(ISBLANK('THG Bilanz Jahr X '!$I28),'THG Bilanz Jahr X '!$F28,'THG Bilanz Jahr X '!$I28)</f>
        <v>11000</v>
      </c>
      <c r="F17" s="79">
        <f>IF(ISBLANK('THG Bilanz Jahr Y'!$I28),'THG Bilanz Jahr Y'!$F28,'THG Bilanz Jahr Y'!$I28)</f>
        <v>11000</v>
      </c>
      <c r="G17" s="79">
        <f>IF(ISBLANK('THG Bilanz Jahr Z'!$I28),'THG Bilanz Jahr Z'!$F28,'THG Bilanz Jahr Z'!$I28)</f>
        <v>11000</v>
      </c>
      <c r="H17" s="396">
        <f>IF(ISBLANK('Referenz Plattenfertiger'!$I28),'Referenz Plattenfertiger'!$F28,'Referenz Plattenfertiger'!$I28)</f>
        <v>11000</v>
      </c>
      <c r="K17" s="221" t="str">
        <f>'Referenz Plattenfertiger'!$Q28</f>
        <v>Diesel Gabelstapler (4x) 1)</v>
      </c>
      <c r="L17" s="3" t="s">
        <v>148</v>
      </c>
      <c r="M17" s="79">
        <f>'THG Bilanz Jahr W'!$AA28</f>
        <v>34.404804719999994</v>
      </c>
      <c r="N17" s="79">
        <f>'THG Bilanz Jahr X '!AA28</f>
        <v>34.404804719999994</v>
      </c>
      <c r="O17" s="79">
        <f>'THG Bilanz Jahr Y'!AA28</f>
        <v>34.404804719999994</v>
      </c>
      <c r="P17" s="79">
        <f>'THG Bilanz Jahr Z'!AA28</f>
        <v>34.404804719999994</v>
      </c>
      <c r="Q17" s="396">
        <f>'Referenz Plattenfertiger'!X28</f>
        <v>34.404804719999994</v>
      </c>
      <c r="S17" s="3"/>
      <c r="T17" s="3"/>
      <c r="U17" s="3"/>
      <c r="V17" s="3"/>
      <c r="W17" s="3"/>
      <c r="X17" s="3"/>
      <c r="Y17" s="3"/>
      <c r="Z17" s="3"/>
      <c r="AA17" s="3"/>
      <c r="AB17" s="3"/>
      <c r="AC17" s="3"/>
      <c r="AD17" s="3"/>
      <c r="AE17" s="3"/>
      <c r="AF17" s="3"/>
      <c r="AG17" s="3"/>
      <c r="AH17" s="3"/>
    </row>
    <row r="18" spans="2:34" ht="15.75" x14ac:dyDescent="0.3">
      <c r="B18" s="221" t="str">
        <f>'Referenz Plattenfertiger'!$Q29</f>
        <v>Diesel Radlader (1x)</v>
      </c>
      <c r="C18" s="3" t="s">
        <v>39</v>
      </c>
      <c r="D18" s="79">
        <f>IF(ISBLANK('THG Bilanz Jahr W'!$I29),'THG Bilanz Jahr W'!$F29,'THG Bilanz Jahr W'!$I29)</f>
        <v>2500</v>
      </c>
      <c r="E18" s="79">
        <f>IF(ISBLANK('THG Bilanz Jahr X '!$I29),'THG Bilanz Jahr X '!$F29,'THG Bilanz Jahr X '!$I29)</f>
        <v>2500</v>
      </c>
      <c r="F18" s="79">
        <f>IF(ISBLANK('THG Bilanz Jahr Y'!$I29),'THG Bilanz Jahr Y'!$F29,'THG Bilanz Jahr Y'!$I29)</f>
        <v>2500</v>
      </c>
      <c r="G18" s="79">
        <f>IF(ISBLANK('THG Bilanz Jahr Z'!$I29),'THG Bilanz Jahr Z'!$F29,'THG Bilanz Jahr Z'!$I29)</f>
        <v>2500</v>
      </c>
      <c r="H18" s="396">
        <f>IF(ISBLANK('Referenz Plattenfertiger'!$I29),'Referenz Plattenfertiger'!$F29,'Referenz Plattenfertiger'!$I29)</f>
        <v>2500</v>
      </c>
      <c r="K18" s="221" t="str">
        <f>'Referenz Plattenfertiger'!$Q29</f>
        <v>Diesel Radlader (1x)</v>
      </c>
      <c r="L18" s="3" t="s">
        <v>148</v>
      </c>
      <c r="M18" s="79">
        <f>'THG Bilanz Jahr W'!$AA29</f>
        <v>7.8192737999999995</v>
      </c>
      <c r="N18" s="79">
        <f>'THG Bilanz Jahr X '!AA29</f>
        <v>7.8192737999999995</v>
      </c>
      <c r="O18" s="79">
        <f>'THG Bilanz Jahr Y'!AA29</f>
        <v>7.8192737999999995</v>
      </c>
      <c r="P18" s="79">
        <f>'THG Bilanz Jahr Z'!AA29</f>
        <v>7.8192737999999995</v>
      </c>
      <c r="Q18" s="396">
        <f>'Referenz Plattenfertiger'!X29</f>
        <v>7.8192737999999995</v>
      </c>
      <c r="S18" s="3"/>
      <c r="T18" s="3"/>
      <c r="U18" s="3"/>
      <c r="V18" s="3"/>
      <c r="W18" s="3"/>
      <c r="X18" s="3"/>
      <c r="Y18" s="3"/>
      <c r="Z18" s="3"/>
      <c r="AA18" s="3"/>
      <c r="AB18" s="3"/>
      <c r="AC18" s="3"/>
      <c r="AD18" s="3"/>
      <c r="AE18" s="3"/>
      <c r="AF18" s="3"/>
      <c r="AG18" s="3"/>
      <c r="AH18" s="3"/>
    </row>
    <row r="19" spans="2:34" x14ac:dyDescent="0.2">
      <c r="B19" s="221"/>
      <c r="C19" s="3"/>
      <c r="D19" s="79"/>
      <c r="E19" s="79"/>
      <c r="F19" s="79"/>
      <c r="G19" s="79"/>
      <c r="H19" s="396"/>
      <c r="K19" s="221"/>
      <c r="L19" s="3"/>
      <c r="M19" s="79"/>
      <c r="N19" s="79"/>
      <c r="O19" s="79"/>
      <c r="P19" s="79"/>
      <c r="Q19" s="396"/>
      <c r="S19" s="3"/>
      <c r="T19" s="3"/>
      <c r="U19" s="3"/>
      <c r="V19" s="3"/>
      <c r="W19" s="3"/>
      <c r="X19" s="3"/>
      <c r="Y19" s="3"/>
      <c r="Z19" s="3"/>
      <c r="AA19" s="3"/>
      <c r="AB19" s="3"/>
      <c r="AC19" s="3"/>
      <c r="AD19" s="3"/>
      <c r="AE19" s="3"/>
      <c r="AF19" s="3"/>
      <c r="AG19" s="3"/>
      <c r="AH19" s="3"/>
    </row>
    <row r="20" spans="2:34" x14ac:dyDescent="0.2">
      <c r="B20" s="399" t="str">
        <f>'Referenz Plattenfertiger'!$Q31</f>
        <v>Transport gesamt</v>
      </c>
      <c r="C20" s="345"/>
      <c r="D20" s="346"/>
      <c r="E20" s="346"/>
      <c r="F20" s="346"/>
      <c r="G20" s="346"/>
      <c r="H20" s="400"/>
      <c r="K20" s="399" t="str">
        <f>'Referenz Plattenfertiger'!$Q31</f>
        <v>Transport gesamt</v>
      </c>
      <c r="L20" s="345"/>
      <c r="M20" s="346">
        <f>'THG Bilanz Jahr W'!$AA31</f>
        <v>469.15642799999995</v>
      </c>
      <c r="N20" s="346">
        <f>'THG Bilanz Jahr X '!AA31</f>
        <v>469.15642799999995</v>
      </c>
      <c r="O20" s="346">
        <f>'THG Bilanz Jahr Y'!AA31</f>
        <v>469.15642799999995</v>
      </c>
      <c r="P20" s="346">
        <f>'THG Bilanz Jahr Z'!AA31</f>
        <v>469.15642799999995</v>
      </c>
      <c r="Q20" s="400">
        <f>'Referenz Plattenfertiger'!X31</f>
        <v>469.15642799999995</v>
      </c>
      <c r="S20" s="3"/>
      <c r="T20" s="3"/>
      <c r="U20" s="3"/>
      <c r="V20" s="3"/>
      <c r="W20" s="3"/>
      <c r="X20" s="3"/>
      <c r="Y20" s="3"/>
      <c r="Z20" s="3"/>
      <c r="AA20" s="3"/>
      <c r="AB20" s="3"/>
      <c r="AC20" s="3"/>
      <c r="AD20" s="3"/>
      <c r="AE20" s="3"/>
      <c r="AF20" s="3"/>
      <c r="AG20" s="3"/>
      <c r="AH20" s="3"/>
    </row>
    <row r="21" spans="2:34" ht="15.75" x14ac:dyDescent="0.3">
      <c r="B21" s="221" t="str">
        <f>'Referenz Plattenfertiger'!$Q32</f>
        <v>Diesel Transport vorgelagert</v>
      </c>
      <c r="C21" s="3" t="s">
        <v>39</v>
      </c>
      <c r="D21" s="79">
        <f>IF(ISBLANK('THG Bilanz Jahr W'!$I32),'THG Bilanz Jahr W'!$F32,'THG Bilanz Jahr W'!$I32)</f>
        <v>35000</v>
      </c>
      <c r="E21" s="79">
        <f>IF(ISBLANK('THG Bilanz Jahr X '!$I32),'THG Bilanz Jahr X '!$F32,'THG Bilanz Jahr X '!$I32)</f>
        <v>35000</v>
      </c>
      <c r="F21" s="79">
        <f>IF(ISBLANK('THG Bilanz Jahr Y'!$I32),'THG Bilanz Jahr Y'!$F32,'THG Bilanz Jahr Y'!$I32)</f>
        <v>35000</v>
      </c>
      <c r="G21" s="79">
        <f>IF(ISBLANK('THG Bilanz Jahr Z'!$I32),'THG Bilanz Jahr Z'!$F32,'THG Bilanz Jahr Z'!$I32)</f>
        <v>35000</v>
      </c>
      <c r="H21" s="396">
        <f>IF(ISBLANK('Referenz Plattenfertiger'!$I32),'Referenz Plattenfertiger'!$F32,'Referenz Plattenfertiger'!$I32)</f>
        <v>35000</v>
      </c>
      <c r="K21" s="221" t="str">
        <f>'Referenz Plattenfertiger'!$Q32</f>
        <v>Diesel Transport vorgelagert</v>
      </c>
      <c r="L21" s="3" t="s">
        <v>148</v>
      </c>
      <c r="M21" s="79">
        <f>'THG Bilanz Jahr W'!$AA32</f>
        <v>109.4698332</v>
      </c>
      <c r="N21" s="79">
        <f>'THG Bilanz Jahr X '!AA32</f>
        <v>109.4698332</v>
      </c>
      <c r="O21" s="79">
        <f>'THG Bilanz Jahr Y'!AA32</f>
        <v>109.4698332</v>
      </c>
      <c r="P21" s="79">
        <f>'THG Bilanz Jahr Z'!AA32</f>
        <v>109.4698332</v>
      </c>
      <c r="Q21" s="396">
        <f>'Referenz Plattenfertiger'!X32</f>
        <v>109.4698332</v>
      </c>
      <c r="S21" s="3"/>
      <c r="T21" s="3"/>
      <c r="U21" s="3"/>
      <c r="V21" s="3"/>
      <c r="W21" s="3"/>
      <c r="X21" s="3"/>
      <c r="Y21" s="3"/>
      <c r="Z21" s="3"/>
      <c r="AA21" s="3"/>
      <c r="AB21" s="3"/>
      <c r="AC21" s="3"/>
      <c r="AD21" s="3"/>
      <c r="AE21" s="3"/>
      <c r="AF21" s="3"/>
      <c r="AG21" s="3"/>
      <c r="AH21" s="3"/>
    </row>
    <row r="22" spans="2:34" ht="15.75" x14ac:dyDescent="0.3">
      <c r="B22" s="221" t="str">
        <f>'Referenz Plattenfertiger'!$Q33</f>
        <v>Diesel Transport nachgelagert</v>
      </c>
      <c r="C22" s="3" t="s">
        <v>39</v>
      </c>
      <c r="D22" s="79">
        <f>IF(ISBLANK('THG Bilanz Jahr W'!$I33),'THG Bilanz Jahr W'!$F33,'THG Bilanz Jahr W'!$I33)</f>
        <v>115000</v>
      </c>
      <c r="E22" s="79">
        <f>IF(ISBLANK('THG Bilanz Jahr X '!$I33),'THG Bilanz Jahr X '!$F33,'THG Bilanz Jahr X '!$I33)</f>
        <v>115000</v>
      </c>
      <c r="F22" s="79">
        <f>IF(ISBLANK('THG Bilanz Jahr Y'!$I33),'THG Bilanz Jahr Y'!$F33,'THG Bilanz Jahr Y'!$I33)</f>
        <v>115000</v>
      </c>
      <c r="G22" s="79">
        <f>IF(ISBLANK('THG Bilanz Jahr Z'!$I33),'THG Bilanz Jahr Z'!$F33,'THG Bilanz Jahr Z'!$I33)</f>
        <v>115000</v>
      </c>
      <c r="H22" s="396">
        <f>IF(ISBLANK('Referenz Plattenfertiger'!$I33),'Referenz Plattenfertiger'!$F33,'Referenz Plattenfertiger'!$I33)</f>
        <v>115000</v>
      </c>
      <c r="K22" s="221" t="str">
        <f>'Referenz Plattenfertiger'!$Q33</f>
        <v>Diesel Transport nachgelagert</v>
      </c>
      <c r="L22" s="3" t="s">
        <v>148</v>
      </c>
      <c r="M22" s="79">
        <f>'THG Bilanz Jahr W'!$AA33</f>
        <v>359.68659479999997</v>
      </c>
      <c r="N22" s="79">
        <f>'THG Bilanz Jahr X '!AA33</f>
        <v>359.68659479999997</v>
      </c>
      <c r="O22" s="79">
        <f>'THG Bilanz Jahr Y'!AA33</f>
        <v>359.68659479999997</v>
      </c>
      <c r="P22" s="79">
        <f>'THG Bilanz Jahr Z'!AA33</f>
        <v>359.68659479999997</v>
      </c>
      <c r="Q22" s="396">
        <f>'Referenz Plattenfertiger'!X33</f>
        <v>359.68659479999997</v>
      </c>
      <c r="S22" s="3"/>
      <c r="T22" s="3"/>
      <c r="U22" s="3"/>
      <c r="V22" s="3"/>
      <c r="W22" s="3"/>
      <c r="X22" s="3"/>
      <c r="Y22" s="3"/>
      <c r="Z22" s="3"/>
      <c r="AA22" s="3"/>
      <c r="AB22" s="3"/>
      <c r="AC22" s="3"/>
      <c r="AD22" s="3"/>
      <c r="AE22" s="3"/>
      <c r="AF22" s="3"/>
      <c r="AG22" s="3"/>
      <c r="AH22" s="3"/>
    </row>
    <row r="23" spans="2:34" x14ac:dyDescent="0.2">
      <c r="B23" s="221"/>
      <c r="C23" s="3"/>
      <c r="D23" s="79"/>
      <c r="E23" s="79"/>
      <c r="F23" s="79"/>
      <c r="G23" s="79"/>
      <c r="H23" s="396"/>
      <c r="K23" s="221"/>
      <c r="L23" s="3"/>
      <c r="M23" s="79"/>
      <c r="N23" s="79"/>
      <c r="O23" s="79"/>
      <c r="P23" s="79"/>
      <c r="Q23" s="396"/>
      <c r="S23" s="3"/>
      <c r="T23" s="3"/>
      <c r="U23" s="3"/>
      <c r="V23" s="3"/>
      <c r="W23" s="3"/>
      <c r="X23" s="3"/>
      <c r="Y23" s="3"/>
      <c r="Z23" s="3"/>
      <c r="AA23" s="3"/>
      <c r="AB23" s="3"/>
      <c r="AC23" s="3"/>
      <c r="AD23" s="3"/>
      <c r="AE23" s="3"/>
      <c r="AF23" s="3"/>
      <c r="AG23" s="3"/>
      <c r="AH23" s="3"/>
    </row>
    <row r="24" spans="2:34" x14ac:dyDescent="0.2">
      <c r="B24" s="399" t="str">
        <f>'Referenz Plattenfertiger'!$Q35</f>
        <v>Zement Gesamt</v>
      </c>
      <c r="C24" s="345"/>
      <c r="D24" s="346"/>
      <c r="E24" s="346"/>
      <c r="F24" s="346"/>
      <c r="G24" s="346"/>
      <c r="H24" s="400"/>
      <c r="K24" s="399" t="str">
        <f>'Referenz Plattenfertiger'!$Q35</f>
        <v>Zement Gesamt</v>
      </c>
      <c r="L24" s="345"/>
      <c r="M24" s="346">
        <f>'THG Bilanz Jahr W'!$AA35</f>
        <v>4548.5439999999999</v>
      </c>
      <c r="N24" s="346">
        <f>'THG Bilanz Jahr X '!AA35</f>
        <v>4548.5439999999999</v>
      </c>
      <c r="O24" s="346">
        <f>'THG Bilanz Jahr Y'!AA35</f>
        <v>4548.5439999999999</v>
      </c>
      <c r="P24" s="346">
        <f>'THG Bilanz Jahr Z'!AA35</f>
        <v>4548.5439999999999</v>
      </c>
      <c r="Q24" s="400">
        <f>'Referenz Plattenfertiger'!X35</f>
        <v>4548.5439999999999</v>
      </c>
      <c r="S24" s="3"/>
      <c r="T24" s="3"/>
      <c r="U24" s="3"/>
      <c r="V24" s="3"/>
      <c r="W24" s="3"/>
      <c r="X24" s="3"/>
      <c r="Y24" s="3"/>
      <c r="Z24" s="3"/>
      <c r="AA24" s="3"/>
      <c r="AB24" s="3"/>
      <c r="AC24" s="3"/>
      <c r="AD24" s="3"/>
      <c r="AE24" s="3"/>
      <c r="AF24" s="3"/>
      <c r="AG24" s="3"/>
      <c r="AH24" s="3"/>
    </row>
    <row r="25" spans="2:34" ht="15.75" x14ac:dyDescent="0.3">
      <c r="B25" s="221" t="str">
        <f>'Referenz Plattenfertiger'!$Q36</f>
        <v>Zement - CEM I</v>
      </c>
      <c r="C25" s="3" t="s">
        <v>46</v>
      </c>
      <c r="D25" s="79">
        <f>IF(NOT(ISBLANK('THG Bilanz Jahr W'!$K36)),'THG Bilanz Jahr W'!$K36,IF(NOT(ISBLANK('THG Bilanz Jahr W'!$I36)),'THG Bilanz Jahr W'!$I36*'THG Bilanz Jahr W'!$I$12,'THG Bilanz Jahr W'!$F36*'THG Bilanz Jahr W'!$F$12))</f>
        <v>1820</v>
      </c>
      <c r="E25" s="79">
        <f>IF(NOT(ISBLANK('THG Bilanz Jahr X '!$K36)),'THG Bilanz Jahr X '!$K36,IF(NOT(ISBLANK('THG Bilanz Jahr X '!$I36)),'THG Bilanz Jahr X '!$I36*'THG Bilanz Jahr X '!$I$12,'THG Bilanz Jahr X '!$F36*'THG Bilanz Jahr X '!$F$12))</f>
        <v>1820</v>
      </c>
      <c r="F25" s="79">
        <f>IF(NOT(ISBLANK('THG Bilanz Jahr Y'!$K36)),'THG Bilanz Jahr Y'!$K36,IF(NOT(ISBLANK('THG Bilanz Jahr Y'!$I36)),'THG Bilanz Jahr Y'!$I36*'THG Bilanz Jahr Y'!$I$12,'THG Bilanz Jahr Y'!$F36*'THG Bilanz Jahr Y'!$F$12))</f>
        <v>1820</v>
      </c>
      <c r="G25" s="79">
        <f>IF(NOT(ISBLANK('THG Bilanz Jahr Z'!$K36)),'THG Bilanz Jahr Z'!$K36,IF(NOT(ISBLANK('THG Bilanz Jahr Z'!$I36)),'THG Bilanz Jahr Z'!$I36*'THG Bilanz Jahr Z'!$I$12,'THG Bilanz Jahr Z'!$F36*'THG Bilanz Jahr Z'!$F$12))</f>
        <v>1820</v>
      </c>
      <c r="H25" s="396">
        <f>IF(NOT(ISBLANK('Referenz Plattenfertiger'!$K36)),'Referenz Plattenfertiger'!$K36,IF(NOT(ISBLANK('Referenz Plattenfertiger'!$I36)),'Referenz Plattenfertiger'!$I36*'Referenz Plattenfertiger'!$I$12,'Referenz Plattenfertiger'!$F36*'Referenz Plattenfertiger'!$F$12))</f>
        <v>1820</v>
      </c>
      <c r="K25" s="221" t="str">
        <f>'Referenz Plattenfertiger'!$Q36</f>
        <v>Zement - CEM I</v>
      </c>
      <c r="L25" s="3" t="s">
        <v>148</v>
      </c>
      <c r="M25" s="79">
        <f>'THG Bilanz Jahr W'!$AA36</f>
        <v>1210.3</v>
      </c>
      <c r="N25" s="79">
        <f>'THG Bilanz Jahr X '!AA36</f>
        <v>1210.3</v>
      </c>
      <c r="O25" s="79">
        <f>'THG Bilanz Jahr Y'!AA36</f>
        <v>1210.3</v>
      </c>
      <c r="P25" s="79">
        <f>'THG Bilanz Jahr Z'!AA36</f>
        <v>1210.3</v>
      </c>
      <c r="Q25" s="396">
        <f>'Referenz Plattenfertiger'!X36</f>
        <v>1210.3</v>
      </c>
      <c r="S25" s="3"/>
      <c r="T25" s="3"/>
      <c r="U25" s="3"/>
      <c r="V25" s="3"/>
      <c r="W25" s="3"/>
      <c r="X25" s="3"/>
      <c r="Y25" s="3"/>
      <c r="Z25" s="3"/>
      <c r="AA25" s="3"/>
      <c r="AB25" s="3"/>
      <c r="AC25" s="3"/>
      <c r="AD25" s="3"/>
      <c r="AE25" s="3"/>
      <c r="AF25" s="3"/>
      <c r="AG25" s="3"/>
      <c r="AH25" s="3"/>
    </row>
    <row r="26" spans="2:34" ht="15.75" x14ac:dyDescent="0.3">
      <c r="B26" s="221" t="str">
        <f>'Referenz Plattenfertiger'!$Q37</f>
        <v>Zement - CEM II</v>
      </c>
      <c r="C26" s="3" t="s">
        <v>46</v>
      </c>
      <c r="D26" s="79">
        <f>IF(NOT(ISBLANK('THG Bilanz Jahr W'!$K37)),'THG Bilanz Jahr W'!$K37,IF(NOT(ISBLANK('THG Bilanz Jahr W'!$I37)),'THG Bilanz Jahr W'!$I37*'THG Bilanz Jahr W'!$I$12,'THG Bilanz Jahr W'!$F37*'THG Bilanz Jahr W'!$F$12))</f>
        <v>4368</v>
      </c>
      <c r="E26" s="79">
        <f>IF(NOT(ISBLANK('THG Bilanz Jahr X '!$K37)),'THG Bilanz Jahr X '!$K37,IF(NOT(ISBLANK('THG Bilanz Jahr X '!$I37)),'THG Bilanz Jahr X '!$I37*'THG Bilanz Jahr X '!$I$12,'THG Bilanz Jahr X '!$F37*'THG Bilanz Jahr X '!$F$12))</f>
        <v>4368</v>
      </c>
      <c r="F26" s="79">
        <f>IF(NOT(ISBLANK('THG Bilanz Jahr Y'!$K37)),'THG Bilanz Jahr Y'!$K37,IF(NOT(ISBLANK('THG Bilanz Jahr Y'!$I37)),'THG Bilanz Jahr Y'!$I37*'THG Bilanz Jahr Y'!$I$12,'THG Bilanz Jahr Y'!$F37*'THG Bilanz Jahr Y'!$F$12))</f>
        <v>4368</v>
      </c>
      <c r="G26" s="79">
        <f>IF(NOT(ISBLANK('THG Bilanz Jahr Z'!$K37)),'THG Bilanz Jahr Z'!$K37,IF(NOT(ISBLANK('THG Bilanz Jahr Z'!$I37)),'THG Bilanz Jahr Z'!$I37*'THG Bilanz Jahr Z'!$I$12,'THG Bilanz Jahr Z'!$F37*'THG Bilanz Jahr Z'!$F$12))</f>
        <v>4368</v>
      </c>
      <c r="H26" s="396">
        <f>IF(NOT(ISBLANK('Referenz Plattenfertiger'!$K37)),'Referenz Plattenfertiger'!$K37,IF(NOT(ISBLANK('Referenz Plattenfertiger'!$I37)),'Referenz Plattenfertiger'!$I37*'Referenz Plattenfertiger'!$I$12,'Referenz Plattenfertiger'!$F37*'Referenz Plattenfertiger'!$F$12))</f>
        <v>4368</v>
      </c>
      <c r="K26" s="221" t="str">
        <f>'Referenz Plattenfertiger'!$Q37</f>
        <v>Zement - CEM II</v>
      </c>
      <c r="L26" s="3" t="s">
        <v>148</v>
      </c>
      <c r="M26" s="79">
        <f>'THG Bilanz Jahr W'!$AA37</f>
        <v>2415.5039999999999</v>
      </c>
      <c r="N26" s="79">
        <f>'THG Bilanz Jahr X '!AA37</f>
        <v>2415.5039999999999</v>
      </c>
      <c r="O26" s="79">
        <f>'THG Bilanz Jahr Y'!AA37</f>
        <v>2415.5039999999999</v>
      </c>
      <c r="P26" s="79">
        <f>'THG Bilanz Jahr Z'!AA37</f>
        <v>2415.5039999999999</v>
      </c>
      <c r="Q26" s="396">
        <f>'Referenz Plattenfertiger'!X37</f>
        <v>2415.5039999999999</v>
      </c>
      <c r="S26" s="3"/>
      <c r="T26" s="3"/>
      <c r="U26" s="3"/>
      <c r="V26" s="3"/>
      <c r="W26" s="3"/>
      <c r="X26" s="3"/>
      <c r="Y26" s="3"/>
      <c r="Z26" s="3"/>
      <c r="AA26" s="3"/>
      <c r="AB26" s="3"/>
      <c r="AC26" s="3"/>
      <c r="AD26" s="3"/>
      <c r="AE26" s="3"/>
      <c r="AF26" s="3"/>
      <c r="AG26" s="3"/>
      <c r="AH26" s="3"/>
    </row>
    <row r="27" spans="2:34" ht="15.75" x14ac:dyDescent="0.3">
      <c r="B27" s="221" t="str">
        <f>'Referenz Plattenfertiger'!$Q38</f>
        <v>Weißzement</v>
      </c>
      <c r="C27" s="3" t="s">
        <v>46</v>
      </c>
      <c r="D27" s="79">
        <f>IF(NOT(ISBLANK('THG Bilanz Jahr W'!$K38)),'THG Bilanz Jahr W'!$K38,IF(NOT(ISBLANK('THG Bilanz Jahr W'!$I38)),'THG Bilanz Jahr W'!$I38*'THG Bilanz Jahr W'!$I$12,'THG Bilanz Jahr W'!$F38*'THG Bilanz Jahr W'!$F$12))</f>
        <v>1092</v>
      </c>
      <c r="E27" s="79">
        <f>IF(NOT(ISBLANK('THG Bilanz Jahr X '!$K38)),'THG Bilanz Jahr X '!$K38,IF(NOT(ISBLANK('THG Bilanz Jahr X '!$I38)),'THG Bilanz Jahr X '!$I38*'THG Bilanz Jahr X '!$I$12,'THG Bilanz Jahr X '!$F38*'THG Bilanz Jahr X '!$F$12))</f>
        <v>1092</v>
      </c>
      <c r="F27" s="79">
        <f>IF(NOT(ISBLANK('THG Bilanz Jahr Y'!$K38)),'THG Bilanz Jahr Y'!$K38,IF(NOT(ISBLANK('THG Bilanz Jahr Y'!$I38)),'THG Bilanz Jahr Y'!$I38*'THG Bilanz Jahr Y'!$I$12,'THG Bilanz Jahr Y'!$F38*'THG Bilanz Jahr Y'!$F$12))</f>
        <v>1092</v>
      </c>
      <c r="G27" s="79">
        <f>IF(NOT(ISBLANK('THG Bilanz Jahr Z'!$K38)),'THG Bilanz Jahr Z'!$K38,IF(NOT(ISBLANK('THG Bilanz Jahr Z'!$I38)),'THG Bilanz Jahr Z'!$I38*'THG Bilanz Jahr Z'!$I$12,'THG Bilanz Jahr Z'!$F38*'THG Bilanz Jahr Z'!$F$12))</f>
        <v>1092</v>
      </c>
      <c r="H27" s="396">
        <f>IF(NOT(ISBLANK('Referenz Plattenfertiger'!$K38)),'Referenz Plattenfertiger'!$K38,IF(NOT(ISBLANK('Referenz Plattenfertiger'!$I38)),'Referenz Plattenfertiger'!$I38*'Referenz Plattenfertiger'!$I$12,'Referenz Plattenfertiger'!$F38*'Referenz Plattenfertiger'!$F$12))</f>
        <v>1092</v>
      </c>
      <c r="K27" s="221" t="str">
        <f>'Referenz Plattenfertiger'!$Q38</f>
        <v>Weißzement</v>
      </c>
      <c r="L27" s="3" t="s">
        <v>148</v>
      </c>
      <c r="M27" s="79">
        <f>'THG Bilanz Jahr W'!$AA38</f>
        <v>922.7399999999999</v>
      </c>
      <c r="N27" s="79">
        <f>'THG Bilanz Jahr X '!AA38</f>
        <v>922.7399999999999</v>
      </c>
      <c r="O27" s="79">
        <f>'THG Bilanz Jahr Y'!AA38</f>
        <v>922.7399999999999</v>
      </c>
      <c r="P27" s="79">
        <f>'THG Bilanz Jahr Z'!AA38</f>
        <v>922.7399999999999</v>
      </c>
      <c r="Q27" s="396">
        <f>'Referenz Plattenfertiger'!X38</f>
        <v>922.7399999999999</v>
      </c>
      <c r="S27" s="3"/>
      <c r="T27" s="3"/>
      <c r="U27" s="3"/>
      <c r="V27" s="3"/>
      <c r="W27" s="3"/>
      <c r="X27" s="3"/>
      <c r="Y27" s="3"/>
      <c r="Z27" s="3"/>
      <c r="AA27" s="3"/>
      <c r="AB27" s="3"/>
      <c r="AC27" s="3"/>
      <c r="AD27" s="3"/>
      <c r="AE27" s="3"/>
      <c r="AF27" s="3"/>
      <c r="AG27" s="3"/>
      <c r="AH27" s="3"/>
    </row>
    <row r="28" spans="2:34" ht="15.75" x14ac:dyDescent="0.3">
      <c r="B28" s="221" t="str">
        <f>'Referenz Plattenfertiger'!$Q39</f>
        <v>Weitere Zementsorte</v>
      </c>
      <c r="C28" s="3" t="s">
        <v>46</v>
      </c>
      <c r="D28" s="79">
        <f>IF(NOT(ISBLANK('THG Bilanz Jahr W'!$K39)),'THG Bilanz Jahr W'!$K39,IF(NOT(ISBLANK('THG Bilanz Jahr W'!$I39)),'THG Bilanz Jahr W'!$I39*'THG Bilanz Jahr W'!$I$12,'THG Bilanz Jahr W'!$F39*'THG Bilanz Jahr W'!$F$12))</f>
        <v>0</v>
      </c>
      <c r="E28" s="79">
        <f>IF(NOT(ISBLANK('THG Bilanz Jahr X '!$K39)),'THG Bilanz Jahr X '!$K39,IF(NOT(ISBLANK('THG Bilanz Jahr X '!$I39)),'THG Bilanz Jahr X '!$I39*'THG Bilanz Jahr X '!$I$12,'THG Bilanz Jahr X '!$F39*'THG Bilanz Jahr X '!$F$12))</f>
        <v>0</v>
      </c>
      <c r="F28" s="79">
        <f>IF(NOT(ISBLANK('THG Bilanz Jahr Y'!$K39)),'THG Bilanz Jahr Y'!$K39,IF(NOT(ISBLANK('THG Bilanz Jahr Y'!$I39)),'THG Bilanz Jahr Y'!$I39*'THG Bilanz Jahr Y'!$I$12,'THG Bilanz Jahr Y'!$F39*'THG Bilanz Jahr Y'!$F$12))</f>
        <v>0</v>
      </c>
      <c r="G28" s="79">
        <f>IF(NOT(ISBLANK('THG Bilanz Jahr Z'!$K39)),'THG Bilanz Jahr Z'!$K39,IF(NOT(ISBLANK('THG Bilanz Jahr Z'!$I39)),'THG Bilanz Jahr Z'!$I39*'THG Bilanz Jahr Z'!$I$12,'THG Bilanz Jahr Z'!$F39*'THG Bilanz Jahr Z'!$F$12))</f>
        <v>0</v>
      </c>
      <c r="H28" s="396">
        <f>IF(NOT(ISBLANK('Referenz Plattenfertiger'!$K39)),'Referenz Plattenfertiger'!$K39,IF(NOT(ISBLANK('Referenz Plattenfertiger'!$I39)),'Referenz Plattenfertiger'!$I39*'Referenz Plattenfertiger'!$I$12,'Referenz Plattenfertiger'!$F39*'Referenz Plattenfertiger'!$F$12))</f>
        <v>0</v>
      </c>
      <c r="K28" s="221" t="str">
        <f>'Referenz Plattenfertiger'!$Q39</f>
        <v>Weitere Zementsorte</v>
      </c>
      <c r="L28" s="3" t="s">
        <v>148</v>
      </c>
      <c r="M28" s="79">
        <f>'THG Bilanz Jahr W'!$AA39</f>
        <v>0</v>
      </c>
      <c r="N28" s="79">
        <f>'THG Bilanz Jahr X '!AA39</f>
        <v>0</v>
      </c>
      <c r="O28" s="79">
        <f>'THG Bilanz Jahr Y'!AA39</f>
        <v>0</v>
      </c>
      <c r="P28" s="79">
        <f>'THG Bilanz Jahr Z'!AA39</f>
        <v>0</v>
      </c>
      <c r="Q28" s="396">
        <f>'Referenz Plattenfertiger'!X39</f>
        <v>0</v>
      </c>
      <c r="S28" s="3"/>
      <c r="T28" s="3"/>
      <c r="U28" s="3"/>
      <c r="V28" s="3"/>
      <c r="W28" s="3"/>
      <c r="X28" s="3"/>
      <c r="Y28" s="3"/>
      <c r="Z28" s="3"/>
      <c r="AA28" s="3"/>
      <c r="AB28" s="3"/>
      <c r="AC28" s="3"/>
      <c r="AD28" s="3"/>
      <c r="AE28" s="3"/>
      <c r="AF28" s="3"/>
      <c r="AG28" s="3"/>
      <c r="AH28" s="3"/>
    </row>
    <row r="29" spans="2:34" x14ac:dyDescent="0.2">
      <c r="B29" s="221"/>
      <c r="C29" s="3"/>
      <c r="D29" s="79"/>
      <c r="E29" s="79"/>
      <c r="F29" s="79"/>
      <c r="G29" s="79"/>
      <c r="H29" s="396"/>
      <c r="K29" s="221"/>
      <c r="L29" s="3"/>
      <c r="M29" s="79"/>
      <c r="N29" s="79"/>
      <c r="O29" s="79"/>
      <c r="P29" s="79"/>
      <c r="Q29" s="396"/>
      <c r="S29" s="3"/>
      <c r="T29" s="3"/>
      <c r="U29" s="3"/>
      <c r="V29" s="3"/>
      <c r="W29" s="3"/>
      <c r="X29" s="3"/>
      <c r="Y29" s="3"/>
      <c r="Z29" s="3"/>
      <c r="AA29" s="3"/>
      <c r="AB29" s="3"/>
      <c r="AC29" s="3"/>
      <c r="AD29" s="3"/>
      <c r="AE29" s="3"/>
      <c r="AF29" s="3"/>
      <c r="AG29" s="3"/>
      <c r="AH29" s="3"/>
    </row>
    <row r="30" spans="2:34" x14ac:dyDescent="0.2">
      <c r="B30" s="401" t="str">
        <f>'Referenz Plattenfertiger'!$Q41</f>
        <v>Gesteinskörnungen (Zuschlagsstoffe)</v>
      </c>
      <c r="C30" s="375"/>
      <c r="D30" s="346"/>
      <c r="E30" s="346"/>
      <c r="F30" s="346"/>
      <c r="G30" s="346"/>
      <c r="H30" s="400"/>
      <c r="K30" s="401" t="str">
        <f>'Referenz Plattenfertiger'!$Q41</f>
        <v>Gesteinskörnungen (Zuschlagsstoffe)</v>
      </c>
      <c r="L30" s="375"/>
      <c r="M30" s="346">
        <f>'THG Bilanz Jahr W'!$AA41</f>
        <v>129.59200000000001</v>
      </c>
      <c r="N30" s="346">
        <f>'THG Bilanz Jahr X '!AA41</f>
        <v>129.59200000000001</v>
      </c>
      <c r="O30" s="346">
        <f>'THG Bilanz Jahr Y'!AA41</f>
        <v>129.59200000000001</v>
      </c>
      <c r="P30" s="346">
        <f>'THG Bilanz Jahr Z'!AA41</f>
        <v>129.59200000000001</v>
      </c>
      <c r="Q30" s="400">
        <f>'Referenz Plattenfertiger'!X41</f>
        <v>129.59200000000001</v>
      </c>
      <c r="S30" s="3"/>
      <c r="T30" s="3"/>
      <c r="U30" s="3"/>
      <c r="V30" s="3"/>
      <c r="W30" s="3"/>
      <c r="X30" s="3"/>
      <c r="Y30" s="3"/>
      <c r="Z30" s="3"/>
      <c r="AA30" s="3"/>
      <c r="AB30" s="3"/>
      <c r="AC30" s="3"/>
      <c r="AD30" s="3"/>
      <c r="AE30" s="3"/>
      <c r="AF30" s="3"/>
      <c r="AG30" s="3"/>
      <c r="AH30" s="3"/>
    </row>
    <row r="31" spans="2:34" ht="15.75" x14ac:dyDescent="0.3">
      <c r="B31" s="221" t="str">
        <f>'Referenz Plattenfertiger'!$Q42</f>
        <v>Sand, Kies</v>
      </c>
      <c r="C31" s="3" t="s">
        <v>46</v>
      </c>
      <c r="D31" s="79">
        <f>IF(NOT(ISBLANK('THG Bilanz Jahr W'!$K42)),'THG Bilanz Jahr W'!$K42,IF(NOT(ISBLANK('THG Bilanz Jahr W'!$I42)),'THG Bilanz Jahr W'!$I42*'THG Bilanz Jahr W'!$I$12,'THG Bilanz Jahr W'!$F42*'THG Bilanz Jahr W'!$F$12))</f>
        <v>26720</v>
      </c>
      <c r="E31" s="79">
        <f>IF(NOT(ISBLANK('THG Bilanz Jahr X '!$K42)),'THG Bilanz Jahr X '!$K42,IF(NOT(ISBLANK('THG Bilanz Jahr X '!$I42)),'THG Bilanz Jahr X '!$I42*'THG Bilanz Jahr X '!$I$12,'THG Bilanz Jahr X '!$F42*'THG Bilanz Jahr X '!$F$12))</f>
        <v>26720</v>
      </c>
      <c r="F31" s="79">
        <f>IF(NOT(ISBLANK('THG Bilanz Jahr Y'!$K42)),'THG Bilanz Jahr Y'!$K42,IF(NOT(ISBLANK('THG Bilanz Jahr Y'!$I42)),'THG Bilanz Jahr Y'!$I42*'THG Bilanz Jahr Y'!$I$12,'THG Bilanz Jahr Y'!$F42*'THG Bilanz Jahr Y'!$F$12))</f>
        <v>26720</v>
      </c>
      <c r="G31" s="79">
        <f>IF(NOT(ISBLANK('THG Bilanz Jahr Z'!$K42)),'THG Bilanz Jahr Z'!$K42,IF(NOT(ISBLANK('THG Bilanz Jahr Z'!$I42)),'THG Bilanz Jahr Z'!$I42*'THG Bilanz Jahr Z'!$I$12,'THG Bilanz Jahr Z'!$F42*'THG Bilanz Jahr Z'!$F$12))</f>
        <v>26720</v>
      </c>
      <c r="H31" s="396">
        <f>IF(NOT(ISBLANK('Referenz Plattenfertiger'!$K42)),'Referenz Plattenfertiger'!$K42,IF(NOT(ISBLANK('Referenz Plattenfertiger'!$I42)),'Referenz Plattenfertiger'!$I42*'Referenz Plattenfertiger'!$I$12,'Referenz Plattenfertiger'!$F42*'Referenz Plattenfertiger'!$F$12))</f>
        <v>26720</v>
      </c>
      <c r="K31" s="221" t="str">
        <f>'Referenz Plattenfertiger'!$Q42</f>
        <v>Sand, Kies</v>
      </c>
      <c r="L31" s="3" t="s">
        <v>148</v>
      </c>
      <c r="M31" s="79">
        <f>'THG Bilanz Jahr W'!$AA42</f>
        <v>129.59200000000001</v>
      </c>
      <c r="N31" s="79">
        <f>'THG Bilanz Jahr X '!AA42</f>
        <v>129.59200000000001</v>
      </c>
      <c r="O31" s="79">
        <f>'THG Bilanz Jahr Y'!AA42</f>
        <v>129.59200000000001</v>
      </c>
      <c r="P31" s="79">
        <f>'THG Bilanz Jahr Z'!AA42</f>
        <v>129.59200000000001</v>
      </c>
      <c r="Q31" s="396">
        <f>'Referenz Plattenfertiger'!X42</f>
        <v>129.59200000000001</v>
      </c>
      <c r="S31" s="3"/>
      <c r="T31" s="3"/>
      <c r="U31" s="3"/>
      <c r="V31" s="3"/>
      <c r="W31" s="3"/>
      <c r="X31" s="3"/>
      <c r="Y31" s="3"/>
      <c r="Z31" s="3"/>
      <c r="AA31" s="3"/>
      <c r="AB31" s="3"/>
      <c r="AC31" s="3"/>
      <c r="AD31" s="3"/>
      <c r="AE31" s="3"/>
      <c r="AF31" s="3"/>
      <c r="AG31" s="3"/>
      <c r="AH31" s="3"/>
    </row>
    <row r="32" spans="2:34" ht="15.75" x14ac:dyDescent="0.3">
      <c r="B32" s="221" t="str">
        <f>'Referenz Plattenfertiger'!$Q43</f>
        <v>Brechsand, Splitt</v>
      </c>
      <c r="C32" s="3" t="s">
        <v>46</v>
      </c>
      <c r="D32" s="79">
        <f>IF(NOT(ISBLANK('THG Bilanz Jahr W'!$K43)),'THG Bilanz Jahr W'!$K43,IF(NOT(ISBLANK('THG Bilanz Jahr W'!$I43)),'THG Bilanz Jahr W'!$I43*'THG Bilanz Jahr W'!$I$12,'THG Bilanz Jahr W'!$F43*'THG Bilanz Jahr W'!$F$12))</f>
        <v>0</v>
      </c>
      <c r="E32" s="79">
        <f>IF(NOT(ISBLANK('THG Bilanz Jahr X '!$K43)),'THG Bilanz Jahr X '!$K43,IF(NOT(ISBLANK('THG Bilanz Jahr X '!$I43)),'THG Bilanz Jahr X '!$I43*'THG Bilanz Jahr X '!$I$12,'THG Bilanz Jahr X '!$F43*'THG Bilanz Jahr X '!$F$12))</f>
        <v>0</v>
      </c>
      <c r="F32" s="79">
        <f>IF(NOT(ISBLANK('THG Bilanz Jahr Y'!$K43)),'THG Bilanz Jahr Y'!$K43,IF(NOT(ISBLANK('THG Bilanz Jahr Y'!$I43)),'THG Bilanz Jahr Y'!$I43*'THG Bilanz Jahr Y'!$I$12,'THG Bilanz Jahr Y'!$F43*'THG Bilanz Jahr Y'!$F$12))</f>
        <v>0</v>
      </c>
      <c r="G32" s="79">
        <f>IF(NOT(ISBLANK('THG Bilanz Jahr Z'!$K43)),'THG Bilanz Jahr Z'!$K43,IF(NOT(ISBLANK('THG Bilanz Jahr Z'!$I43)),'THG Bilanz Jahr Z'!$I43*'THG Bilanz Jahr Z'!$I$12,'THG Bilanz Jahr Z'!$F43*'THG Bilanz Jahr Z'!$F$12))</f>
        <v>0</v>
      </c>
      <c r="H32" s="396">
        <f>IF(NOT(ISBLANK('Referenz Plattenfertiger'!$K43)),'Referenz Plattenfertiger'!$K43,IF(NOT(ISBLANK('Referenz Plattenfertiger'!$I43)),'Referenz Plattenfertiger'!$I43*'Referenz Plattenfertiger'!$I$12,'Referenz Plattenfertiger'!$F43*'Referenz Plattenfertiger'!$F$12))</f>
        <v>0</v>
      </c>
      <c r="K32" s="221" t="str">
        <f>'Referenz Plattenfertiger'!$Q43</f>
        <v>Brechsand, Splitt</v>
      </c>
      <c r="L32" s="3" t="s">
        <v>148</v>
      </c>
      <c r="M32" s="79">
        <f>'THG Bilanz Jahr W'!$AA43</f>
        <v>0</v>
      </c>
      <c r="N32" s="79">
        <f>'THG Bilanz Jahr X '!AA43</f>
        <v>0</v>
      </c>
      <c r="O32" s="79">
        <f>'THG Bilanz Jahr Y'!AA43</f>
        <v>0</v>
      </c>
      <c r="P32" s="79">
        <f>'THG Bilanz Jahr Z'!AA43</f>
        <v>0</v>
      </c>
      <c r="Q32" s="396">
        <f>'Referenz Plattenfertiger'!X43</f>
        <v>0</v>
      </c>
      <c r="S32" s="3"/>
      <c r="T32" s="3"/>
      <c r="U32" s="3"/>
      <c r="V32" s="3"/>
      <c r="W32" s="3"/>
      <c r="X32" s="3"/>
      <c r="Y32" s="3"/>
      <c r="Z32" s="3"/>
      <c r="AA32" s="3"/>
      <c r="AB32" s="3"/>
      <c r="AC32" s="3"/>
      <c r="AD32" s="3"/>
      <c r="AE32" s="3"/>
      <c r="AF32" s="3"/>
      <c r="AG32" s="3"/>
      <c r="AH32" s="3"/>
    </row>
    <row r="33" spans="2:34" ht="15.75" x14ac:dyDescent="0.3">
      <c r="B33" s="221" t="str">
        <f>'Referenz Plattenfertiger'!$Q44</f>
        <v>RC-Material (Sand, Splitt)</v>
      </c>
      <c r="C33" s="3" t="s">
        <v>46</v>
      </c>
      <c r="D33" s="79">
        <f>IF(NOT(ISBLANK('THG Bilanz Jahr W'!$K44)),'THG Bilanz Jahr W'!$K44,IF(NOT(ISBLANK('THG Bilanz Jahr W'!$I44)),'THG Bilanz Jahr W'!$I44*'THG Bilanz Jahr W'!$I$12,'THG Bilanz Jahr W'!$F44*'THG Bilanz Jahr W'!$F$12))</f>
        <v>0</v>
      </c>
      <c r="E33" s="79">
        <f>IF(NOT(ISBLANK('THG Bilanz Jahr X '!$K44)),'THG Bilanz Jahr X '!$K44,IF(NOT(ISBLANK('THG Bilanz Jahr X '!$I44)),'THG Bilanz Jahr X '!$I44*'THG Bilanz Jahr X '!$I$12,'THG Bilanz Jahr X '!$F44*'THG Bilanz Jahr X '!$F$12))</f>
        <v>0</v>
      </c>
      <c r="F33" s="79">
        <f>IF(NOT(ISBLANK('THG Bilanz Jahr Y'!$K44)),'THG Bilanz Jahr Y'!$K44,IF(NOT(ISBLANK('THG Bilanz Jahr Y'!$I44)),'THG Bilanz Jahr Y'!$I44*'THG Bilanz Jahr Y'!$I$12,'THG Bilanz Jahr Y'!$F44*'THG Bilanz Jahr Y'!$F$12))</f>
        <v>0</v>
      </c>
      <c r="G33" s="79">
        <f>IF(NOT(ISBLANK('THG Bilanz Jahr Z'!$K44)),'THG Bilanz Jahr Z'!$K44,IF(NOT(ISBLANK('THG Bilanz Jahr Z'!$I44)),'THG Bilanz Jahr Z'!$I44*'THG Bilanz Jahr Z'!$I$12,'THG Bilanz Jahr Z'!$F44*'THG Bilanz Jahr Z'!$F$12))</f>
        <v>0</v>
      </c>
      <c r="H33" s="396">
        <f>IF(NOT(ISBLANK('Referenz Plattenfertiger'!$K44)),'Referenz Plattenfertiger'!$K44,IF(NOT(ISBLANK('Referenz Plattenfertiger'!$I44)),'Referenz Plattenfertiger'!$I44*'Referenz Plattenfertiger'!$I$12,'Referenz Plattenfertiger'!$F44*'Referenz Plattenfertiger'!$F$12))</f>
        <v>0</v>
      </c>
      <c r="K33" s="221" t="str">
        <f>'Referenz Plattenfertiger'!$Q44</f>
        <v>RC-Material (Sand, Splitt)</v>
      </c>
      <c r="L33" s="3" t="s">
        <v>148</v>
      </c>
      <c r="M33" s="79">
        <f>'THG Bilanz Jahr W'!$AA44</f>
        <v>0</v>
      </c>
      <c r="N33" s="79">
        <f>'THG Bilanz Jahr X '!AA44</f>
        <v>0</v>
      </c>
      <c r="O33" s="79">
        <f>'THG Bilanz Jahr Y'!AA44</f>
        <v>0</v>
      </c>
      <c r="P33" s="79">
        <f>'THG Bilanz Jahr Z'!AA44</f>
        <v>0</v>
      </c>
      <c r="Q33" s="396">
        <f>'Referenz Plattenfertiger'!X44</f>
        <v>0</v>
      </c>
      <c r="S33" s="3"/>
      <c r="T33" s="3"/>
      <c r="U33" s="3"/>
      <c r="V33" s="3"/>
      <c r="W33" s="3"/>
      <c r="X33" s="3"/>
      <c r="Y33" s="3"/>
      <c r="Z33" s="3"/>
      <c r="AA33" s="3"/>
      <c r="AB33" s="3"/>
      <c r="AC33" s="3"/>
      <c r="AD33" s="3"/>
      <c r="AE33" s="3"/>
      <c r="AF33" s="3"/>
      <c r="AG33" s="3"/>
      <c r="AH33" s="3"/>
    </row>
    <row r="34" spans="2:34" ht="15.75" x14ac:dyDescent="0.3">
      <c r="B34" s="221" t="str">
        <f>'Referenz Plattenfertiger'!$Q45</f>
        <v>Weiterer Zuschlagstoff 1</v>
      </c>
      <c r="C34" s="3" t="s">
        <v>46</v>
      </c>
      <c r="D34" s="79">
        <f>IF(NOT(ISBLANK('THG Bilanz Jahr W'!$K45)),'THG Bilanz Jahr W'!$K45,IF(NOT(ISBLANK('THG Bilanz Jahr W'!$I45)),'THG Bilanz Jahr W'!$I45*'THG Bilanz Jahr W'!$I$12,'THG Bilanz Jahr W'!$F45*'THG Bilanz Jahr W'!$F$12))</f>
        <v>0</v>
      </c>
      <c r="E34" s="79">
        <f>IF(NOT(ISBLANK('THG Bilanz Jahr X '!$K45)),'THG Bilanz Jahr X '!$K45,IF(NOT(ISBLANK('THG Bilanz Jahr X '!$I45)),'THG Bilanz Jahr X '!$I45*'THG Bilanz Jahr X '!$I$12,'THG Bilanz Jahr X '!$F45*'THG Bilanz Jahr X '!$F$12))</f>
        <v>0</v>
      </c>
      <c r="F34" s="79">
        <f>IF(NOT(ISBLANK('THG Bilanz Jahr Y'!$K45)),'THG Bilanz Jahr Y'!$K45,IF(NOT(ISBLANK('THG Bilanz Jahr Y'!$I45)),'THG Bilanz Jahr Y'!$I45*'THG Bilanz Jahr Y'!$I$12,'THG Bilanz Jahr Y'!$F45*'THG Bilanz Jahr Y'!$F$12))</f>
        <v>0</v>
      </c>
      <c r="G34" s="79">
        <f>IF(NOT(ISBLANK('THG Bilanz Jahr Z'!$K45)),'THG Bilanz Jahr Z'!$K45,IF(NOT(ISBLANK('THG Bilanz Jahr Z'!$I45)),'THG Bilanz Jahr Z'!$I45*'THG Bilanz Jahr Z'!$I$12,'THG Bilanz Jahr Z'!$F45*'THG Bilanz Jahr Z'!$F$12))</f>
        <v>0</v>
      </c>
      <c r="H34" s="396">
        <f>IF(NOT(ISBLANK('Referenz Plattenfertiger'!$K45)),'Referenz Plattenfertiger'!$K45,IF(NOT(ISBLANK('Referenz Plattenfertiger'!$I45)),'Referenz Plattenfertiger'!$I45*'Referenz Plattenfertiger'!$I$12,'Referenz Plattenfertiger'!$F45*'Referenz Plattenfertiger'!$F$12))</f>
        <v>0</v>
      </c>
      <c r="K34" s="221" t="str">
        <f>'Referenz Plattenfertiger'!$Q45</f>
        <v>Weiterer Zuschlagstoff 1</v>
      </c>
      <c r="L34" s="3" t="s">
        <v>148</v>
      </c>
      <c r="M34" s="79">
        <f>'THG Bilanz Jahr W'!$AA45</f>
        <v>0</v>
      </c>
      <c r="N34" s="79">
        <f>'THG Bilanz Jahr X '!AA45</f>
        <v>0</v>
      </c>
      <c r="O34" s="79">
        <f>'THG Bilanz Jahr Y'!AA45</f>
        <v>0</v>
      </c>
      <c r="P34" s="79">
        <f>'THG Bilanz Jahr Z'!AA45</f>
        <v>0</v>
      </c>
      <c r="Q34" s="396">
        <f>'Referenz Plattenfertiger'!X45</f>
        <v>0</v>
      </c>
      <c r="S34" s="3"/>
      <c r="T34" s="3"/>
      <c r="U34" s="3"/>
      <c r="V34" s="3"/>
      <c r="W34" s="3"/>
      <c r="X34" s="3"/>
      <c r="Y34" s="3"/>
      <c r="Z34" s="3"/>
      <c r="AA34" s="3"/>
      <c r="AB34" s="3"/>
      <c r="AC34" s="3"/>
      <c r="AD34" s="3"/>
      <c r="AE34" s="3"/>
      <c r="AF34" s="3"/>
      <c r="AG34" s="3"/>
      <c r="AH34" s="3"/>
    </row>
    <row r="35" spans="2:34" ht="15.75" x14ac:dyDescent="0.3">
      <c r="B35" s="221" t="str">
        <f>'Referenz Plattenfertiger'!$Q46</f>
        <v>Weiterer Zuschlagstoff 2</v>
      </c>
      <c r="C35" s="3" t="s">
        <v>46</v>
      </c>
      <c r="D35" s="79">
        <f>IF(NOT(ISBLANK('THG Bilanz Jahr W'!$K46)),'THG Bilanz Jahr W'!$K46,IF(NOT(ISBLANK('THG Bilanz Jahr W'!$I46)),'THG Bilanz Jahr W'!$I46*'THG Bilanz Jahr W'!$I$12,'THG Bilanz Jahr W'!$F46*'THG Bilanz Jahr W'!$F$12))</f>
        <v>0</v>
      </c>
      <c r="E35" s="79">
        <f>IF(NOT(ISBLANK('THG Bilanz Jahr X '!$K46)),'THG Bilanz Jahr X '!$K46,IF(NOT(ISBLANK('THG Bilanz Jahr X '!$I46)),'THG Bilanz Jahr X '!$I46*'THG Bilanz Jahr X '!$I$12,'THG Bilanz Jahr X '!$F46*'THG Bilanz Jahr X '!$F$12))</f>
        <v>0</v>
      </c>
      <c r="F35" s="79">
        <f>IF(NOT(ISBLANK('THG Bilanz Jahr Y'!$K46)),'THG Bilanz Jahr Y'!$K46,IF(NOT(ISBLANK('THG Bilanz Jahr Y'!$I46)),'THG Bilanz Jahr Y'!$I46*'THG Bilanz Jahr Y'!$I$12,'THG Bilanz Jahr Y'!$F46*'THG Bilanz Jahr Y'!$F$12))</f>
        <v>0</v>
      </c>
      <c r="G35" s="79">
        <f>IF(NOT(ISBLANK('THG Bilanz Jahr Z'!$K46)),'THG Bilanz Jahr Z'!$K46,IF(NOT(ISBLANK('THG Bilanz Jahr Z'!$I46)),'THG Bilanz Jahr Z'!$I46*'THG Bilanz Jahr Z'!$I$12,'THG Bilanz Jahr Z'!$F46*'THG Bilanz Jahr Z'!$F$12))</f>
        <v>0</v>
      </c>
      <c r="H35" s="396">
        <f>IF(NOT(ISBLANK('Referenz Plattenfertiger'!$K46)),'Referenz Plattenfertiger'!$K46,IF(NOT(ISBLANK('Referenz Plattenfertiger'!$I46)),'Referenz Plattenfertiger'!$I46*'Referenz Plattenfertiger'!$I$12,'Referenz Plattenfertiger'!$F46*'Referenz Plattenfertiger'!$F$12))</f>
        <v>0</v>
      </c>
      <c r="K35" s="221" t="str">
        <f>'Referenz Plattenfertiger'!$Q46</f>
        <v>Weiterer Zuschlagstoff 2</v>
      </c>
      <c r="L35" s="3" t="s">
        <v>148</v>
      </c>
      <c r="M35" s="79">
        <f>'THG Bilanz Jahr W'!$AA46</f>
        <v>0</v>
      </c>
      <c r="N35" s="79">
        <f>'THG Bilanz Jahr X '!AA46</f>
        <v>0</v>
      </c>
      <c r="O35" s="79">
        <f>'THG Bilanz Jahr Y'!AA46</f>
        <v>0</v>
      </c>
      <c r="P35" s="79">
        <f>'THG Bilanz Jahr Z'!AA46</f>
        <v>0</v>
      </c>
      <c r="Q35" s="396">
        <f>'Referenz Plattenfertiger'!X46</f>
        <v>0</v>
      </c>
      <c r="S35" s="3"/>
      <c r="T35" s="3"/>
      <c r="U35" s="3"/>
      <c r="V35" s="3"/>
      <c r="W35" s="3"/>
      <c r="X35" s="3"/>
      <c r="Y35" s="3"/>
      <c r="Z35" s="3"/>
      <c r="AA35" s="3"/>
      <c r="AB35" s="3"/>
      <c r="AC35" s="3"/>
      <c r="AD35" s="3"/>
      <c r="AE35" s="3"/>
      <c r="AF35" s="3"/>
      <c r="AG35" s="3"/>
      <c r="AH35" s="3"/>
    </row>
    <row r="36" spans="2:34" x14ac:dyDescent="0.2">
      <c r="B36" s="221"/>
      <c r="C36" s="3"/>
      <c r="D36" s="79"/>
      <c r="E36" s="79"/>
      <c r="F36" s="79"/>
      <c r="G36" s="79"/>
      <c r="H36" s="396"/>
      <c r="K36" s="221"/>
      <c r="L36" s="3"/>
      <c r="M36" s="79"/>
      <c r="N36" s="79"/>
      <c r="O36" s="79"/>
      <c r="P36" s="79"/>
      <c r="Q36" s="396"/>
      <c r="S36" s="3"/>
      <c r="T36" s="3"/>
      <c r="U36" s="3"/>
      <c r="V36" s="3"/>
      <c r="W36" s="3"/>
      <c r="X36" s="3"/>
      <c r="Y36" s="3"/>
      <c r="Z36" s="3"/>
      <c r="AA36" s="3"/>
      <c r="AB36" s="3"/>
      <c r="AC36" s="3"/>
      <c r="AD36" s="3"/>
      <c r="AE36" s="3"/>
      <c r="AF36" s="3"/>
      <c r="AG36" s="3"/>
      <c r="AH36" s="3"/>
    </row>
    <row r="37" spans="2:34" ht="15.75" x14ac:dyDescent="0.3">
      <c r="B37" s="402" t="str">
        <f>'Referenz Plattenfertiger'!$Q48</f>
        <v>Farben</v>
      </c>
      <c r="C37" s="8" t="s">
        <v>461</v>
      </c>
      <c r="D37" s="366">
        <f>IF(NOT(ISBLANK('THG Bilanz Jahr W'!$K48)),'THG Bilanz Jahr W'!$K48,IF(NOT(ISBLANK('THG Bilanz Jahr W'!$I48)),'THG Bilanz Jahr W'!$I48*'THG Bilanz Jahr W'!$I$12,'THG Bilanz Jahr W'!$F48*'THG Bilanz Jahr W'!$F$12))</f>
        <v>80</v>
      </c>
      <c r="E37" s="366">
        <f>IF(NOT(ISBLANK('THG Bilanz Jahr X '!$K48)),'THG Bilanz Jahr X '!$K48,IF(NOT(ISBLANK('THG Bilanz Jahr X '!$I48)),'THG Bilanz Jahr X '!$I48*'THG Bilanz Jahr X '!$I$12,'THG Bilanz Jahr X '!$F48*'THG Bilanz Jahr X '!$F$12))</f>
        <v>80</v>
      </c>
      <c r="F37" s="366">
        <f>IF(NOT(ISBLANK('THG Bilanz Jahr Y'!$K48)),'THG Bilanz Jahr Y'!$K48,IF(NOT(ISBLANK('THG Bilanz Jahr Y'!$I48)),'THG Bilanz Jahr Y'!$I48*'THG Bilanz Jahr Y'!$I$12,'THG Bilanz Jahr Y'!$F48*'THG Bilanz Jahr Y'!$F$12))</f>
        <v>80</v>
      </c>
      <c r="G37" s="366">
        <f>IF(NOT(ISBLANK('THG Bilanz Jahr Z'!$K48)),'THG Bilanz Jahr Z'!$K48,IF(NOT(ISBLANK('THG Bilanz Jahr Z'!$I48)),'THG Bilanz Jahr Z'!$I48*'THG Bilanz Jahr Z'!$I$12,'THG Bilanz Jahr Z'!$F48*'THG Bilanz Jahr Z'!$F$12))</f>
        <v>80</v>
      </c>
      <c r="H37" s="403">
        <f>IF(NOT(ISBLANK('Referenz Plattenfertiger'!$K48)),'Referenz Plattenfertiger'!$K48,IF(NOT(ISBLANK('Referenz Plattenfertiger'!$I48)),'Referenz Plattenfertiger'!$I48*'Referenz Plattenfertiger'!$I$12,'Referenz Plattenfertiger'!$F48*'Referenz Plattenfertiger'!$F$12))</f>
        <v>80</v>
      </c>
      <c r="K37" s="402" t="str">
        <f>'Referenz Plattenfertiger'!$Q48</f>
        <v>Farben</v>
      </c>
      <c r="L37" s="3" t="s">
        <v>148</v>
      </c>
      <c r="M37" s="366">
        <f>'THG Bilanz Jahr W'!$AA48</f>
        <v>208</v>
      </c>
      <c r="N37" s="366">
        <f>'THG Bilanz Jahr X '!AA48</f>
        <v>208</v>
      </c>
      <c r="O37" s="366">
        <f>'THG Bilanz Jahr Y'!AA48</f>
        <v>208</v>
      </c>
      <c r="P37" s="366">
        <f>'THG Bilanz Jahr Z'!AA48</f>
        <v>208</v>
      </c>
      <c r="Q37" s="403">
        <f>'Referenz Plattenfertiger'!X48</f>
        <v>208</v>
      </c>
      <c r="S37" s="3"/>
      <c r="T37" s="3"/>
      <c r="U37" s="3"/>
      <c r="V37" s="3"/>
      <c r="W37" s="3"/>
      <c r="X37" s="3"/>
      <c r="Y37" s="3"/>
      <c r="Z37" s="3"/>
      <c r="AA37" s="3"/>
      <c r="AB37" s="3"/>
      <c r="AC37" s="3"/>
      <c r="AD37" s="3"/>
      <c r="AE37" s="3"/>
      <c r="AF37" s="3"/>
      <c r="AG37" s="3"/>
      <c r="AH37" s="3"/>
    </row>
    <row r="38" spans="2:34" x14ac:dyDescent="0.2">
      <c r="B38" s="221"/>
      <c r="C38" s="3"/>
      <c r="D38" s="79"/>
      <c r="E38" s="79"/>
      <c r="F38" s="79"/>
      <c r="G38" s="79"/>
      <c r="H38" s="396"/>
      <c r="K38" s="221"/>
      <c r="L38" s="3"/>
      <c r="M38" s="79"/>
      <c r="N38" s="79"/>
      <c r="O38" s="79"/>
      <c r="P38" s="79"/>
      <c r="Q38" s="396"/>
      <c r="S38" s="3"/>
      <c r="T38" s="3"/>
      <c r="U38" s="3"/>
      <c r="V38" s="3"/>
      <c r="W38" s="3"/>
      <c r="X38" s="3"/>
      <c r="Y38" s="3"/>
      <c r="Z38" s="3"/>
      <c r="AA38" s="3"/>
      <c r="AB38" s="3"/>
      <c r="AC38" s="3"/>
      <c r="AD38" s="3"/>
      <c r="AE38" s="3"/>
      <c r="AF38" s="3"/>
      <c r="AG38" s="3"/>
      <c r="AH38" s="3"/>
    </row>
    <row r="39" spans="2:34" x14ac:dyDescent="0.2">
      <c r="B39" s="399" t="str">
        <f>'Referenz Plattenfertiger'!$Q50</f>
        <v>Zusatzstoffe (Füllstoffe)</v>
      </c>
      <c r="C39" s="345"/>
      <c r="D39" s="346"/>
      <c r="E39" s="346"/>
      <c r="F39" s="346"/>
      <c r="G39" s="346"/>
      <c r="H39" s="400"/>
      <c r="K39" s="399" t="str">
        <f>'Referenz Plattenfertiger'!$Q50</f>
        <v>Zusatzstoffe (Füllstoffe)</v>
      </c>
      <c r="L39" s="345"/>
      <c r="M39" s="346">
        <f>'THG Bilanz Jahr W'!$AA50</f>
        <v>81.003999999999991</v>
      </c>
      <c r="N39" s="346">
        <f>'THG Bilanz Jahr X '!AA50</f>
        <v>81.003999999999991</v>
      </c>
      <c r="O39" s="346">
        <f>'THG Bilanz Jahr Y'!AA50</f>
        <v>81.003999999999991</v>
      </c>
      <c r="P39" s="346">
        <f>'THG Bilanz Jahr Z'!AA50</f>
        <v>81.003999999999991</v>
      </c>
      <c r="Q39" s="400">
        <f>'Referenz Plattenfertiger'!X50</f>
        <v>81.003999999999991</v>
      </c>
      <c r="S39" s="3"/>
      <c r="T39" s="3"/>
      <c r="U39" s="3"/>
      <c r="V39" s="3"/>
      <c r="W39" s="3"/>
      <c r="X39" s="3"/>
      <c r="Y39" s="3"/>
      <c r="Z39" s="3"/>
      <c r="AA39" s="3"/>
      <c r="AB39" s="3"/>
      <c r="AC39" s="3"/>
      <c r="AD39" s="3"/>
      <c r="AE39" s="3"/>
      <c r="AF39" s="3"/>
      <c r="AG39" s="3"/>
      <c r="AH39" s="3"/>
    </row>
    <row r="40" spans="2:34" ht="15.75" x14ac:dyDescent="0.3">
      <c r="B40" s="221" t="str">
        <f>'Referenz Plattenfertiger'!$Q51</f>
        <v>Flugasche</v>
      </c>
      <c r="C40" s="3" t="s">
        <v>46</v>
      </c>
      <c r="D40" s="79">
        <f>IF(NOT(ISBLANK('THG Bilanz Jahr W'!$K51)),'THG Bilanz Jahr W'!$K51,IF(NOT(ISBLANK('THG Bilanz Jahr W'!$I51)),'THG Bilanz Jahr W'!$I51*'THG Bilanz Jahr W'!$I$12,'THG Bilanz Jahr W'!$F51*'THG Bilanz Jahr W'!$F$12))</f>
        <v>0</v>
      </c>
      <c r="E40" s="79">
        <f>IF(NOT(ISBLANK('THG Bilanz Jahr X '!$K51)),'THG Bilanz Jahr X '!$K51,IF(NOT(ISBLANK('THG Bilanz Jahr X '!$I51)),'THG Bilanz Jahr X '!$I51*'THG Bilanz Jahr X '!$I$12,'THG Bilanz Jahr X '!$F51*'THG Bilanz Jahr X '!$F$12))</f>
        <v>0</v>
      </c>
      <c r="F40" s="79">
        <f>IF(NOT(ISBLANK('THG Bilanz Jahr Y'!$K51)),'THG Bilanz Jahr Y'!$K51,IF(NOT(ISBLANK('THG Bilanz Jahr Y'!$I51)),'THG Bilanz Jahr Y'!$I51*'THG Bilanz Jahr Y'!$I$12,'THG Bilanz Jahr Y'!$F51*'THG Bilanz Jahr Y'!$F$12))</f>
        <v>0</v>
      </c>
      <c r="G40" s="79">
        <f>IF(NOT(ISBLANK('THG Bilanz Jahr Z'!$K51)),'THG Bilanz Jahr Z'!$K51,IF(NOT(ISBLANK('THG Bilanz Jahr Z'!$I51)),'THG Bilanz Jahr Z'!$I51*'THG Bilanz Jahr Z'!$I$12,'THG Bilanz Jahr Z'!$F51*'THG Bilanz Jahr Z'!$F$12))</f>
        <v>0</v>
      </c>
      <c r="H40" s="396">
        <f>IF(NOT(ISBLANK('Referenz Plattenfertiger'!$K51)),'Referenz Plattenfertiger'!$K51,IF(NOT(ISBLANK('Referenz Plattenfertiger'!$I51)),'Referenz Plattenfertiger'!$I51*'Referenz Plattenfertiger'!$I$12,'Referenz Plattenfertiger'!$F51*'Referenz Plattenfertiger'!$F$12))</f>
        <v>0</v>
      </c>
      <c r="K40" s="221" t="str">
        <f>'Referenz Plattenfertiger'!$Q51</f>
        <v>Flugasche</v>
      </c>
      <c r="L40" s="3" t="s">
        <v>148</v>
      </c>
      <c r="M40" s="79">
        <f>'THG Bilanz Jahr W'!$AA51</f>
        <v>0</v>
      </c>
      <c r="N40" s="79">
        <f>'THG Bilanz Jahr X '!AA51</f>
        <v>0</v>
      </c>
      <c r="O40" s="79">
        <f>'THG Bilanz Jahr Y'!AA51</f>
        <v>0</v>
      </c>
      <c r="P40" s="79">
        <f>'THG Bilanz Jahr Z'!AA51</f>
        <v>0</v>
      </c>
      <c r="Q40" s="396">
        <f>'Referenz Plattenfertiger'!X51</f>
        <v>0</v>
      </c>
      <c r="S40" s="3"/>
      <c r="T40" s="3"/>
      <c r="U40" s="3"/>
      <c r="V40" s="3"/>
      <c r="W40" s="3"/>
      <c r="X40" s="3"/>
      <c r="Y40" s="3"/>
      <c r="Z40" s="3"/>
      <c r="AA40" s="3"/>
      <c r="AB40" s="3"/>
      <c r="AC40" s="3"/>
      <c r="AD40" s="3"/>
      <c r="AE40" s="3"/>
      <c r="AF40" s="3"/>
      <c r="AG40" s="3"/>
      <c r="AH40" s="3"/>
    </row>
    <row r="41" spans="2:34" ht="15.75" x14ac:dyDescent="0.3">
      <c r="B41" s="221" t="str">
        <f>'Referenz Plattenfertiger'!$Q52</f>
        <v>Quarzsteinmehl</v>
      </c>
      <c r="C41" s="3" t="s">
        <v>46</v>
      </c>
      <c r="D41" s="79">
        <f>IF(NOT(ISBLANK('THG Bilanz Jahr W'!$K52)),'THG Bilanz Jahr W'!$K52,IF(NOT(ISBLANK('THG Bilanz Jahr W'!$I52)),'THG Bilanz Jahr W'!$I52*'THG Bilanz Jahr W'!$I$12,'THG Bilanz Jahr W'!$F52*'THG Bilanz Jahr W'!$F$12))</f>
        <v>200</v>
      </c>
      <c r="E41" s="79">
        <f>IF(NOT(ISBLANK('THG Bilanz Jahr X '!$K52)),'THG Bilanz Jahr X '!$K52,IF(NOT(ISBLANK('THG Bilanz Jahr X '!$I52)),'THG Bilanz Jahr X '!$I52*'THG Bilanz Jahr X '!$I$12,'THG Bilanz Jahr X '!$F52*'THG Bilanz Jahr X '!$F$12))</f>
        <v>200</v>
      </c>
      <c r="F41" s="79">
        <f>IF(NOT(ISBLANK('THG Bilanz Jahr Y'!$K52)),'THG Bilanz Jahr Y'!$K52,IF(NOT(ISBLANK('THG Bilanz Jahr Y'!$I52)),'THG Bilanz Jahr Y'!$I52*'THG Bilanz Jahr Y'!$I$12,'THG Bilanz Jahr Y'!$F52*'THG Bilanz Jahr Y'!$F$12))</f>
        <v>200</v>
      </c>
      <c r="G41" s="79">
        <f>IF(NOT(ISBLANK('THG Bilanz Jahr Z'!$K52)),'THG Bilanz Jahr Z'!$K52,IF(NOT(ISBLANK('THG Bilanz Jahr Z'!$I52)),'THG Bilanz Jahr Z'!$I52*'THG Bilanz Jahr Z'!$I$12,'THG Bilanz Jahr Z'!$F52*'THG Bilanz Jahr Z'!$F$12))</f>
        <v>200</v>
      </c>
      <c r="H41" s="396">
        <f>IF(NOT(ISBLANK('Referenz Plattenfertiger'!$K52)),'Referenz Plattenfertiger'!$K52,IF(NOT(ISBLANK('Referenz Plattenfertiger'!$I52)),'Referenz Plattenfertiger'!$I52*'Referenz Plattenfertiger'!$I$12,'Referenz Plattenfertiger'!$F52*'Referenz Plattenfertiger'!$F$12))</f>
        <v>200</v>
      </c>
      <c r="K41" s="221" t="str">
        <f>'Referenz Plattenfertiger'!$Q52</f>
        <v>Quarzsteinmehl</v>
      </c>
      <c r="L41" s="3" t="s">
        <v>148</v>
      </c>
      <c r="M41" s="79">
        <f>'THG Bilanz Jahr W'!$AA52</f>
        <v>8.6840000000000011</v>
      </c>
      <c r="N41" s="79">
        <f>'THG Bilanz Jahr X '!AA52</f>
        <v>8.6840000000000011</v>
      </c>
      <c r="O41" s="79">
        <f>'THG Bilanz Jahr Y'!AA52</f>
        <v>8.6840000000000011</v>
      </c>
      <c r="P41" s="79">
        <f>'THG Bilanz Jahr Z'!AA52</f>
        <v>8.6840000000000011</v>
      </c>
      <c r="Q41" s="396">
        <f>'Referenz Plattenfertiger'!X52</f>
        <v>8.6840000000000011</v>
      </c>
      <c r="S41" s="3"/>
      <c r="T41" s="3"/>
      <c r="U41" s="3"/>
      <c r="V41" s="3"/>
      <c r="W41" s="3"/>
      <c r="X41" s="3"/>
      <c r="Y41" s="3"/>
      <c r="Z41" s="3"/>
      <c r="AA41" s="3"/>
      <c r="AB41" s="3"/>
      <c r="AC41" s="3"/>
      <c r="AD41" s="3"/>
      <c r="AE41" s="3"/>
      <c r="AF41" s="3"/>
      <c r="AG41" s="3"/>
      <c r="AH41" s="3"/>
    </row>
    <row r="42" spans="2:34" ht="15.75" x14ac:dyDescent="0.3">
      <c r="B42" s="221" t="str">
        <f>'Referenz Plattenfertiger'!$Q53</f>
        <v>Kalksteinmehl</v>
      </c>
      <c r="C42" s="3" t="s">
        <v>46</v>
      </c>
      <c r="D42" s="79">
        <f>IF(NOT(ISBLANK('THG Bilanz Jahr W'!$K53)),'THG Bilanz Jahr W'!$K53,IF(NOT(ISBLANK('THG Bilanz Jahr W'!$I53)),'THG Bilanz Jahr W'!$I53*'THG Bilanz Jahr W'!$I$12,'THG Bilanz Jahr W'!$F53*'THG Bilanz Jahr W'!$F$12))</f>
        <v>1600</v>
      </c>
      <c r="E42" s="79">
        <f>IF(NOT(ISBLANK('THG Bilanz Jahr X '!$K53)),'THG Bilanz Jahr X '!$K53,IF(NOT(ISBLANK('THG Bilanz Jahr X '!$I53)),'THG Bilanz Jahr X '!$I53*'THG Bilanz Jahr X '!$I$12,'THG Bilanz Jahr X '!$F53*'THG Bilanz Jahr X '!$F$12))</f>
        <v>1600</v>
      </c>
      <c r="F42" s="79">
        <f>IF(NOT(ISBLANK('THG Bilanz Jahr Y'!$K53)),'THG Bilanz Jahr Y'!$K53,IF(NOT(ISBLANK('THG Bilanz Jahr Y'!$I53)),'THG Bilanz Jahr Y'!$I53*'THG Bilanz Jahr Y'!$I$12,'THG Bilanz Jahr Y'!$F53*'THG Bilanz Jahr Y'!$F$12))</f>
        <v>1600</v>
      </c>
      <c r="G42" s="79">
        <f>IF(NOT(ISBLANK('THG Bilanz Jahr Z'!$K53)),'THG Bilanz Jahr Z'!$K53,IF(NOT(ISBLANK('THG Bilanz Jahr Z'!$I53)),'THG Bilanz Jahr Z'!$I53*'THG Bilanz Jahr Z'!$I$12,'THG Bilanz Jahr Z'!$F53*'THG Bilanz Jahr Z'!$F$12))</f>
        <v>1600</v>
      </c>
      <c r="H42" s="396">
        <f>IF(NOT(ISBLANK('Referenz Plattenfertiger'!$K53)),'Referenz Plattenfertiger'!$K53,IF(NOT(ISBLANK('Referenz Plattenfertiger'!$I53)),'Referenz Plattenfertiger'!$I53*'Referenz Plattenfertiger'!$I$12,'Referenz Plattenfertiger'!$F53*'Referenz Plattenfertiger'!$F$12))</f>
        <v>1600</v>
      </c>
      <c r="K42" s="221" t="str">
        <f>'Referenz Plattenfertiger'!$Q53</f>
        <v>Kalksteinmehl</v>
      </c>
      <c r="L42" s="3" t="s">
        <v>148</v>
      </c>
      <c r="M42" s="79">
        <f>'THG Bilanz Jahr W'!$AA53</f>
        <v>72.319999999999993</v>
      </c>
      <c r="N42" s="79">
        <f>'THG Bilanz Jahr X '!AA53</f>
        <v>72.319999999999993</v>
      </c>
      <c r="O42" s="79">
        <f>'THG Bilanz Jahr Y'!AA53</f>
        <v>72.319999999999993</v>
      </c>
      <c r="P42" s="79">
        <f>'THG Bilanz Jahr Z'!AA53</f>
        <v>72.319999999999993</v>
      </c>
      <c r="Q42" s="396">
        <f>'Referenz Plattenfertiger'!X53</f>
        <v>72.319999999999993</v>
      </c>
      <c r="S42" s="3"/>
      <c r="T42" s="3"/>
      <c r="U42" s="3"/>
      <c r="V42" s="3"/>
      <c r="W42" s="3"/>
      <c r="X42" s="3"/>
      <c r="Y42" s="3"/>
      <c r="Z42" s="3"/>
      <c r="AA42" s="3"/>
      <c r="AB42" s="3"/>
      <c r="AC42" s="3"/>
      <c r="AD42" s="3"/>
      <c r="AE42" s="3"/>
      <c r="AF42" s="3"/>
      <c r="AG42" s="3"/>
      <c r="AH42" s="3"/>
    </row>
    <row r="43" spans="2:34" ht="15.75" x14ac:dyDescent="0.3">
      <c r="B43" s="221" t="str">
        <f>'Referenz Plattenfertiger'!$Q54</f>
        <v>Weiterer Zusatzstoff 1</v>
      </c>
      <c r="C43" s="3" t="s">
        <v>46</v>
      </c>
      <c r="D43" s="79">
        <f>IF(NOT(ISBLANK('THG Bilanz Jahr W'!$K54)),'THG Bilanz Jahr W'!$K54,IF(NOT(ISBLANK('THG Bilanz Jahr W'!$I54)),'THG Bilanz Jahr W'!$I54*'THG Bilanz Jahr W'!$I$12,'THG Bilanz Jahr W'!$F54*'THG Bilanz Jahr W'!$F$12))</f>
        <v>0</v>
      </c>
      <c r="E43" s="79">
        <f>IF(NOT(ISBLANK('THG Bilanz Jahr X '!$K54)),'THG Bilanz Jahr X '!$K54,IF(NOT(ISBLANK('THG Bilanz Jahr X '!$I54)),'THG Bilanz Jahr X '!$I54*'THG Bilanz Jahr X '!$I$12,'THG Bilanz Jahr X '!$F54*'THG Bilanz Jahr X '!$F$12))</f>
        <v>0</v>
      </c>
      <c r="F43" s="79">
        <f>IF(NOT(ISBLANK('THG Bilanz Jahr Y'!$K54)),'THG Bilanz Jahr Y'!$K54,IF(NOT(ISBLANK('THG Bilanz Jahr Y'!$I54)),'THG Bilanz Jahr Y'!$I54*'THG Bilanz Jahr Y'!$I$12,'THG Bilanz Jahr Y'!$F54*'THG Bilanz Jahr Y'!$F$12))</f>
        <v>0</v>
      </c>
      <c r="G43" s="79">
        <f>IF(NOT(ISBLANK('THG Bilanz Jahr Z'!$K54)),'THG Bilanz Jahr Z'!$K54,IF(NOT(ISBLANK('THG Bilanz Jahr Z'!$I54)),'THG Bilanz Jahr Z'!$I54*'THG Bilanz Jahr Z'!$I$12,'THG Bilanz Jahr Z'!$F54*'THG Bilanz Jahr Z'!$F$12))</f>
        <v>0</v>
      </c>
      <c r="H43" s="396">
        <f>IF(NOT(ISBLANK('Referenz Plattenfertiger'!$K54)),'Referenz Plattenfertiger'!$K54,IF(NOT(ISBLANK('Referenz Plattenfertiger'!$I54)),'Referenz Plattenfertiger'!$I54*'Referenz Plattenfertiger'!$I$12,'Referenz Plattenfertiger'!$F54*'Referenz Plattenfertiger'!$F$12))</f>
        <v>0</v>
      </c>
      <c r="K43" s="221" t="str">
        <f>'Referenz Plattenfertiger'!$Q54</f>
        <v>Weiterer Zusatzstoff 1</v>
      </c>
      <c r="L43" s="3" t="s">
        <v>148</v>
      </c>
      <c r="M43" s="79">
        <f>'THG Bilanz Jahr W'!$AA54</f>
        <v>0</v>
      </c>
      <c r="N43" s="79">
        <f>'THG Bilanz Jahr X '!AA54</f>
        <v>0</v>
      </c>
      <c r="O43" s="79">
        <f>'THG Bilanz Jahr Y'!AA54</f>
        <v>0</v>
      </c>
      <c r="P43" s="79">
        <f>'THG Bilanz Jahr Z'!AA54</f>
        <v>0</v>
      </c>
      <c r="Q43" s="396">
        <f>'Referenz Plattenfertiger'!X54</f>
        <v>0</v>
      </c>
      <c r="S43" s="3"/>
      <c r="T43" s="3"/>
      <c r="U43" s="3"/>
      <c r="V43" s="3"/>
      <c r="W43" s="3"/>
      <c r="X43" s="3"/>
      <c r="Y43" s="3"/>
      <c r="Z43" s="3"/>
      <c r="AA43" s="3"/>
      <c r="AB43" s="3"/>
      <c r="AC43" s="3"/>
      <c r="AD43" s="3"/>
      <c r="AE43" s="3"/>
      <c r="AF43" s="3"/>
      <c r="AG43" s="3"/>
      <c r="AH43" s="3"/>
    </row>
    <row r="44" spans="2:34" ht="15.75" x14ac:dyDescent="0.3">
      <c r="B44" s="221" t="str">
        <f>'Referenz Plattenfertiger'!$Q55</f>
        <v>Weiterer Zusatzstoff 2</v>
      </c>
      <c r="C44" s="3" t="s">
        <v>46</v>
      </c>
      <c r="D44" s="79">
        <f>IF(NOT(ISBLANK('THG Bilanz Jahr W'!$K55)),'THG Bilanz Jahr W'!$K55,IF(NOT(ISBLANK('THG Bilanz Jahr W'!$I55)),'THG Bilanz Jahr W'!$I55*'THG Bilanz Jahr W'!$I$12,'THG Bilanz Jahr W'!$F55*'THG Bilanz Jahr W'!$F$12))</f>
        <v>0</v>
      </c>
      <c r="E44" s="79">
        <f>IF(NOT(ISBLANK('THG Bilanz Jahr X '!$K55)),'THG Bilanz Jahr X '!$K55,IF(NOT(ISBLANK('THG Bilanz Jahr X '!$I55)),'THG Bilanz Jahr X '!$I55*'THG Bilanz Jahr X '!$I$12,'THG Bilanz Jahr X '!$F55*'THG Bilanz Jahr X '!$F$12))</f>
        <v>0</v>
      </c>
      <c r="F44" s="79">
        <f>IF(NOT(ISBLANK('THG Bilanz Jahr Y'!$K55)),'THG Bilanz Jahr Y'!$K55,IF(NOT(ISBLANK('THG Bilanz Jahr Y'!$I55)),'THG Bilanz Jahr Y'!$I55*'THG Bilanz Jahr Y'!$I$12,'THG Bilanz Jahr Y'!$F55*'THG Bilanz Jahr Y'!$F$12))</f>
        <v>0</v>
      </c>
      <c r="G44" s="79">
        <f>IF(NOT(ISBLANK('THG Bilanz Jahr Z'!$K55)),'THG Bilanz Jahr Z'!$K55,IF(NOT(ISBLANK('THG Bilanz Jahr Z'!$I55)),'THG Bilanz Jahr Z'!$I55*'THG Bilanz Jahr Z'!$I$12,'THG Bilanz Jahr Z'!$F55*'THG Bilanz Jahr Z'!$F$12))</f>
        <v>0</v>
      </c>
      <c r="H44" s="396">
        <f>IF(NOT(ISBLANK('Referenz Plattenfertiger'!$K55)),'Referenz Plattenfertiger'!$K55,IF(NOT(ISBLANK('Referenz Plattenfertiger'!$I55)),'Referenz Plattenfertiger'!$I55*'Referenz Plattenfertiger'!$I$12,'Referenz Plattenfertiger'!$F55*'Referenz Plattenfertiger'!$F$12))</f>
        <v>0</v>
      </c>
      <c r="K44" s="221" t="str">
        <f>'Referenz Plattenfertiger'!$Q55</f>
        <v>Weiterer Zusatzstoff 2</v>
      </c>
      <c r="L44" s="3" t="s">
        <v>148</v>
      </c>
      <c r="M44" s="79">
        <f>'THG Bilanz Jahr W'!$AA55</f>
        <v>0</v>
      </c>
      <c r="N44" s="79">
        <f>'THG Bilanz Jahr X '!AA55</f>
        <v>0</v>
      </c>
      <c r="O44" s="79">
        <f>'THG Bilanz Jahr Y'!AA55</f>
        <v>0</v>
      </c>
      <c r="P44" s="79">
        <f>'THG Bilanz Jahr Z'!AA55</f>
        <v>0</v>
      </c>
      <c r="Q44" s="396">
        <f>'Referenz Plattenfertiger'!X55</f>
        <v>0</v>
      </c>
      <c r="S44" s="3"/>
      <c r="T44" s="3"/>
      <c r="U44" s="3"/>
      <c r="V44" s="3"/>
      <c r="W44" s="3"/>
      <c r="X44" s="3"/>
      <c r="Y44" s="3"/>
      <c r="Z44" s="3"/>
      <c r="AA44" s="3"/>
      <c r="AB44" s="3"/>
      <c r="AC44" s="3"/>
      <c r="AD44" s="3"/>
      <c r="AE44" s="3"/>
      <c r="AF44" s="3"/>
      <c r="AG44" s="3"/>
      <c r="AH44" s="3"/>
    </row>
    <row r="45" spans="2:34" ht="18" x14ac:dyDescent="0.25">
      <c r="B45" s="221"/>
      <c r="C45" s="3"/>
      <c r="D45" s="79"/>
      <c r="E45" s="79"/>
      <c r="F45" s="79"/>
      <c r="G45" s="79"/>
      <c r="H45" s="396"/>
      <c r="K45" s="221"/>
      <c r="L45" s="3"/>
      <c r="M45" s="79"/>
      <c r="N45" s="79"/>
      <c r="O45" s="79"/>
      <c r="P45" s="79"/>
      <c r="Q45" s="396"/>
      <c r="S45" s="3"/>
      <c r="T45" s="96" t="s">
        <v>456</v>
      </c>
      <c r="U45" s="3"/>
      <c r="V45" s="3"/>
      <c r="W45" s="3"/>
      <c r="X45" s="3"/>
      <c r="Y45" s="3"/>
      <c r="Z45" s="3"/>
      <c r="AA45" s="3"/>
      <c r="AB45" s="3"/>
      <c r="AC45" s="3"/>
      <c r="AD45" s="3"/>
      <c r="AE45" s="3"/>
      <c r="AF45" s="3"/>
      <c r="AG45" s="3"/>
      <c r="AH45" s="3"/>
    </row>
    <row r="46" spans="2:34" x14ac:dyDescent="0.2">
      <c r="B46" s="399" t="str">
        <f>'Referenz Plattenfertiger'!$Q57</f>
        <v>Zusatzmittel</v>
      </c>
      <c r="C46" s="345"/>
      <c r="D46" s="441">
        <f>IF(NOT(ISBLANK('THG Bilanz Jahr Z'!$I57)),'THG Bilanz Jahr Z'!$I57*'THG Bilanz Jahr Z'!$I$12,'THG Bilanz Jahr Z'!$F57*'THG Bilanz Jahr Z'!$F$12)</f>
        <v>80</v>
      </c>
      <c r="E46" s="441">
        <f>IF(NOT(ISBLANK('THG Bilanz Jahr Z'!$I57)),'THG Bilanz Jahr Z'!$I57*'THG Bilanz Jahr Z'!$I$12,'THG Bilanz Jahr Z'!$F57*'THG Bilanz Jahr Z'!$F$12)</f>
        <v>80</v>
      </c>
      <c r="F46" s="441">
        <f>IF(NOT(ISBLANK('THG Bilanz Jahr Z'!$I57)),'THG Bilanz Jahr Z'!$I57*'THG Bilanz Jahr Z'!$I$12,'THG Bilanz Jahr Z'!$F57*'THG Bilanz Jahr Z'!$F$12)</f>
        <v>80</v>
      </c>
      <c r="G46" s="441">
        <f>IF(NOT(ISBLANK('THG Bilanz Jahr Z'!$I57)),'THG Bilanz Jahr Z'!$I57*'THG Bilanz Jahr Z'!$I$12,'THG Bilanz Jahr Z'!$F57*'THG Bilanz Jahr Z'!$F$12)</f>
        <v>80</v>
      </c>
      <c r="H46" s="412">
        <f>IF(NOT(ISBLANK('THG Bilanz Jahr Z'!$I57)),'THG Bilanz Jahr Z'!$I57*'THG Bilanz Jahr Z'!$I$12,'THG Bilanz Jahr Z'!$F57*'THG Bilanz Jahr Z'!$F$12)</f>
        <v>80</v>
      </c>
      <c r="K46" s="399" t="str">
        <f>'Referenz Plattenfertiger'!$Q57</f>
        <v>Zusatzmittel</v>
      </c>
      <c r="L46" s="345"/>
      <c r="M46" s="346">
        <f>'THG Bilanz Jahr W'!$AA57</f>
        <v>148.44746134951595</v>
      </c>
      <c r="N46" s="346">
        <f>'THG Bilanz Jahr X '!AA57</f>
        <v>148.44746134951595</v>
      </c>
      <c r="O46" s="346">
        <f>'THG Bilanz Jahr Y'!AA57</f>
        <v>148.44746134951595</v>
      </c>
      <c r="P46" s="346">
        <f>'THG Bilanz Jahr Z'!AA57</f>
        <v>148.44746134951595</v>
      </c>
      <c r="Q46" s="400">
        <f>'Referenz Plattenfertiger'!X57</f>
        <v>148.44746134951595</v>
      </c>
      <c r="S46" s="3"/>
      <c r="T46" s="3"/>
      <c r="U46" s="3"/>
      <c r="V46" s="3"/>
      <c r="W46" s="3"/>
      <c r="X46" s="3"/>
      <c r="Y46" s="3"/>
      <c r="Z46" s="3"/>
      <c r="AA46" s="3"/>
      <c r="AB46" s="3"/>
      <c r="AC46" s="3"/>
      <c r="AD46" s="3"/>
      <c r="AE46" s="3"/>
      <c r="AF46" s="3"/>
      <c r="AG46" s="3"/>
      <c r="AH46" s="3"/>
    </row>
    <row r="47" spans="2:34" ht="15.75" x14ac:dyDescent="0.3">
      <c r="B47" s="404" t="str">
        <f>'Referenz Plattenfertiger'!$Q58</f>
        <v>Plastifizierer</v>
      </c>
      <c r="C47" s="14" t="s">
        <v>461</v>
      </c>
      <c r="D47" s="79">
        <f>IF(NOT(ISBLANK('THG Bilanz Jahr W'!$K58)),'THG Bilanz Jahr W'!$K58,IF(NOT(ISBLANK('THG Bilanz Jahr W'!$I58)),'THG Bilanz Jahr W'!$I58*D$46,'THG Bilanz Jahr W'!$F58*D$46))</f>
        <v>31.371189134518133</v>
      </c>
      <c r="E47" s="79">
        <f>IF(NOT(ISBLANK('THG Bilanz Jahr X '!$K58)),'THG Bilanz Jahr X '!$K58,IF(NOT(ISBLANK('THG Bilanz Jahr X '!$I58)),'THG Bilanz Jahr X '!$I58*E$46,'THG Bilanz Jahr X '!$F58*E$46))</f>
        <v>31.371189134518133</v>
      </c>
      <c r="F47" s="79">
        <f>IF(NOT(ISBLANK('THG Bilanz Jahr Y'!$K58)),'THG Bilanz Jahr Y'!$K58,IF(NOT(ISBLANK('THG Bilanz Jahr Y'!$I58)),'THG Bilanz Jahr Y'!$I58*F$46,'THG Bilanz Jahr Y'!$F58*F$46))</f>
        <v>31.371189134518133</v>
      </c>
      <c r="G47" s="79">
        <f>IF(NOT(ISBLANK('THG Bilanz Jahr Z'!$K58)),'THG Bilanz Jahr Z'!$K58,IF(NOT(ISBLANK('THG Bilanz Jahr Z'!$I58)),'THG Bilanz Jahr Z'!$I58*G$46,'THG Bilanz Jahr Z'!$F58*G$46))</f>
        <v>31.371189134518133</v>
      </c>
      <c r="H47" s="396">
        <f>IF(NOT(ISBLANK('Referenz Plattenfertiger'!$K58)),'Referenz Plattenfertiger'!$K58,IF(NOT(ISBLANK('Referenz Plattenfertiger'!$I58)),'Referenz Plattenfertiger'!$I58*H$46,'Referenz Plattenfertiger'!$F58*H$46))</f>
        <v>31.371189134518133</v>
      </c>
      <c r="K47" s="404" t="str">
        <f>'Referenz Plattenfertiger'!$Q58</f>
        <v>Plastifizierer</v>
      </c>
      <c r="L47" s="3" t="s">
        <v>148</v>
      </c>
      <c r="M47" s="79">
        <f>'THG Bilanz Jahr W'!$AA58</f>
        <v>47.997919375812742</v>
      </c>
      <c r="N47" s="79">
        <f>'THG Bilanz Jahr X '!AA58</f>
        <v>47.997919375812742</v>
      </c>
      <c r="O47" s="79">
        <f>'THG Bilanz Jahr Y'!AA58</f>
        <v>47.997919375812742</v>
      </c>
      <c r="P47" s="79">
        <f>'THG Bilanz Jahr Z'!AA58</f>
        <v>47.997919375812742</v>
      </c>
      <c r="Q47" s="396">
        <f>'Referenz Plattenfertiger'!X58</f>
        <v>47.997919375812742</v>
      </c>
      <c r="S47" s="3"/>
      <c r="T47" s="91" t="s">
        <v>105</v>
      </c>
      <c r="U47" s="3"/>
      <c r="V47" s="3"/>
      <c r="W47" s="3"/>
      <c r="X47" s="3"/>
      <c r="Y47" s="3"/>
      <c r="Z47" s="3"/>
      <c r="AA47" s="3"/>
      <c r="AB47" s="3"/>
      <c r="AC47" s="3"/>
      <c r="AD47" s="3"/>
      <c r="AE47" s="3"/>
      <c r="AF47" s="3"/>
      <c r="AG47" s="3"/>
      <c r="AH47" s="3"/>
    </row>
    <row r="48" spans="2:34" ht="15.75" x14ac:dyDescent="0.3">
      <c r="B48" s="404" t="str">
        <f>'Referenz Plattenfertiger'!$Q59</f>
        <v>Luftporenbildner</v>
      </c>
      <c r="C48" s="14" t="s">
        <v>461</v>
      </c>
      <c r="D48" s="79">
        <f>IF(NOT(ISBLANK('THG Bilanz Jahr W'!$K59)),'THG Bilanz Jahr W'!$K59,IF(NOT(ISBLANK('THG Bilanz Jahr W'!$I59)),'THG Bilanz Jahr W'!$I59*D$46,'THG Bilanz Jahr W'!$F59*D$46))</f>
        <v>13.165727496026561</v>
      </c>
      <c r="E48" s="79">
        <f>IF(NOT(ISBLANK('THG Bilanz Jahr X '!$K59)),'THG Bilanz Jahr X '!$K59,IF(NOT(ISBLANK('THG Bilanz Jahr X '!$I59)),'THG Bilanz Jahr X '!$I59*E$46,'THG Bilanz Jahr X '!$F59*E$46))</f>
        <v>13.165727496026561</v>
      </c>
      <c r="F48" s="79">
        <f>IF(NOT(ISBLANK('THG Bilanz Jahr Y'!$K59)),'THG Bilanz Jahr Y'!$K59,IF(NOT(ISBLANK('THG Bilanz Jahr Y'!$I59)),'THG Bilanz Jahr Y'!$I59*F$46,'THG Bilanz Jahr Y'!$F59*F$46))</f>
        <v>13.165727496026561</v>
      </c>
      <c r="G48" s="79">
        <f>IF(NOT(ISBLANK('THG Bilanz Jahr Z'!$K59)),'THG Bilanz Jahr Z'!$K59,IF(NOT(ISBLANK('THG Bilanz Jahr Z'!$I59)),'THG Bilanz Jahr Z'!$I59*G$46,'THG Bilanz Jahr Z'!$F59*G$46))</f>
        <v>13.165727496026561</v>
      </c>
      <c r="H48" s="396">
        <f>IF(NOT(ISBLANK('Referenz Plattenfertiger'!$K59)),'Referenz Plattenfertiger'!$K59,IF(NOT(ISBLANK('Referenz Plattenfertiger'!$I59)),'Referenz Plattenfertiger'!$I59*H$46,'Referenz Plattenfertiger'!$F59*H$46))</f>
        <v>13.165727496026561</v>
      </c>
      <c r="K48" s="404" t="str">
        <f>'Referenz Plattenfertiger'!$Q59</f>
        <v>Luftporenbildner</v>
      </c>
      <c r="L48" s="3" t="s">
        <v>148</v>
      </c>
      <c r="M48" s="79">
        <f>'THG Bilanz Jahr W'!$AA59</f>
        <v>5.7797543707556596</v>
      </c>
      <c r="N48" s="79">
        <f>'THG Bilanz Jahr X '!AA59</f>
        <v>5.7797543707556596</v>
      </c>
      <c r="O48" s="79">
        <f>'THG Bilanz Jahr Y'!AA59</f>
        <v>5.7797543707556596</v>
      </c>
      <c r="P48" s="79">
        <f>'THG Bilanz Jahr Z'!AA59</f>
        <v>5.7797543707556596</v>
      </c>
      <c r="Q48" s="396">
        <f>'Referenz Plattenfertiger'!X59</f>
        <v>5.7797543707556596</v>
      </c>
      <c r="S48" s="3"/>
      <c r="T48" s="3"/>
      <c r="U48" s="3"/>
      <c r="V48" s="3"/>
      <c r="W48" s="3"/>
      <c r="X48" s="3"/>
      <c r="Y48" s="3"/>
      <c r="Z48" s="3"/>
      <c r="AA48" s="3"/>
      <c r="AB48" s="3"/>
      <c r="AC48" s="3"/>
      <c r="AD48" s="3"/>
      <c r="AE48" s="3"/>
      <c r="AF48" s="3"/>
      <c r="AG48" s="3"/>
      <c r="AH48" s="3"/>
    </row>
    <row r="49" spans="2:34" ht="15.75" x14ac:dyDescent="0.3">
      <c r="B49" s="404" t="str">
        <f>'Referenz Plattenfertiger'!$Q60</f>
        <v>Stabilisierer</v>
      </c>
      <c r="C49" s="14" t="s">
        <v>461</v>
      </c>
      <c r="D49" s="79">
        <f>IF(NOT(ISBLANK('THG Bilanz Jahr W'!$K60)),'THG Bilanz Jahr W'!$K60,IF(NOT(ISBLANK('THG Bilanz Jahr W'!$I60)),'THG Bilanz Jahr W'!$I60*D$46,'THG Bilanz Jahr W'!$F60*D$46))</f>
        <v>1.1559023262534317E-2</v>
      </c>
      <c r="E49" s="79">
        <f>IF(NOT(ISBLANK('THG Bilanz Jahr X '!$K60)),'THG Bilanz Jahr X '!$K60,IF(NOT(ISBLANK('THG Bilanz Jahr X '!$I60)),'THG Bilanz Jahr X '!$I60*E$46,'THG Bilanz Jahr X '!$F60*E$46))</f>
        <v>1.1559023262534317E-2</v>
      </c>
      <c r="F49" s="79">
        <f>IF(NOT(ISBLANK('THG Bilanz Jahr Y'!$K60)),'THG Bilanz Jahr Y'!$K60,IF(NOT(ISBLANK('THG Bilanz Jahr Y'!$I60)),'THG Bilanz Jahr Y'!$I60*F$46,'THG Bilanz Jahr Y'!$F60*F$46))</f>
        <v>1.1559023262534317E-2</v>
      </c>
      <c r="G49" s="79">
        <f>IF(NOT(ISBLANK('THG Bilanz Jahr Z'!$K60)),'THG Bilanz Jahr Z'!$K60,IF(NOT(ISBLANK('THG Bilanz Jahr Z'!$I60)),'THG Bilanz Jahr Z'!$I60*G$46,'THG Bilanz Jahr Z'!$F60*G$46))</f>
        <v>1.1559023262534317E-2</v>
      </c>
      <c r="H49" s="396">
        <f>IF(NOT(ISBLANK('Referenz Plattenfertiger'!$K60)),'Referenz Plattenfertiger'!$K60,IF(NOT(ISBLANK('Referenz Plattenfertiger'!$I60)),'Referenz Plattenfertiger'!$I60*H$46,'Referenz Plattenfertiger'!$F60*H$46))</f>
        <v>1.1559023262534317E-2</v>
      </c>
      <c r="K49" s="404" t="str">
        <f>'Referenz Plattenfertiger'!$Q60</f>
        <v>Stabilisierer</v>
      </c>
      <c r="L49" s="3" t="s">
        <v>148</v>
      </c>
      <c r="M49" s="79">
        <f>'THG Bilanz Jahr W'!$AA60</f>
        <v>1.4217598612917211E-2</v>
      </c>
      <c r="N49" s="79">
        <f>'THG Bilanz Jahr X '!AA60</f>
        <v>1.4217598612917211E-2</v>
      </c>
      <c r="O49" s="79">
        <f>'THG Bilanz Jahr Y'!AA60</f>
        <v>1.4217598612917211E-2</v>
      </c>
      <c r="P49" s="79">
        <f>'THG Bilanz Jahr Z'!AA60</f>
        <v>1.4217598612917211E-2</v>
      </c>
      <c r="Q49" s="396">
        <f>'Referenz Plattenfertiger'!X60</f>
        <v>1.4217598612917211E-2</v>
      </c>
      <c r="S49" s="1"/>
      <c r="T49" s="1"/>
      <c r="U49" s="3"/>
      <c r="V49" s="3"/>
      <c r="W49" s="3"/>
      <c r="X49" s="3"/>
      <c r="Y49" s="3"/>
      <c r="Z49" s="3"/>
      <c r="AA49" s="3"/>
      <c r="AB49" s="3"/>
      <c r="AC49" s="3"/>
      <c r="AD49" s="3"/>
      <c r="AE49" s="3"/>
      <c r="AF49" s="3"/>
      <c r="AG49" s="3"/>
      <c r="AH49" s="3"/>
    </row>
    <row r="50" spans="2:34" ht="15.75" x14ac:dyDescent="0.3">
      <c r="B50" s="404" t="str">
        <f>'Referenz Plattenfertiger'!$Q61</f>
        <v>Hydrophobierer</v>
      </c>
      <c r="C50" s="14" t="s">
        <v>461</v>
      </c>
      <c r="D50" s="79">
        <f>IF(NOT(ISBLANK('THG Bilanz Jahr W'!$K61)),'THG Bilanz Jahr W'!$K61,IF(NOT(ISBLANK('THG Bilanz Jahr W'!$I61)),'THG Bilanz Jahr W'!$I61*D$46,'THG Bilanz Jahr W'!$F61*D$46))</f>
        <v>35.451524346192748</v>
      </c>
      <c r="E50" s="79">
        <f>IF(NOT(ISBLANK('THG Bilanz Jahr X '!$K61)),'THG Bilanz Jahr X '!$K61,IF(NOT(ISBLANK('THG Bilanz Jahr X '!$I61)),'THG Bilanz Jahr X '!$I61*E$46,'THG Bilanz Jahr X '!$F61*E$46))</f>
        <v>35.451524346192748</v>
      </c>
      <c r="F50" s="79">
        <f>IF(NOT(ISBLANK('THG Bilanz Jahr Y'!$K61)),'THG Bilanz Jahr Y'!$K61,IF(NOT(ISBLANK('THG Bilanz Jahr Y'!$I61)),'THG Bilanz Jahr Y'!$I61*F$46,'THG Bilanz Jahr Y'!$F61*F$46))</f>
        <v>35.451524346192748</v>
      </c>
      <c r="G50" s="79">
        <f>IF(NOT(ISBLANK('THG Bilanz Jahr Z'!$K61)),'THG Bilanz Jahr Z'!$K61,IF(NOT(ISBLANK('THG Bilanz Jahr Z'!$I61)),'THG Bilanz Jahr Z'!$I61*G$46,'THG Bilanz Jahr Z'!$F61*G$46))</f>
        <v>35.451524346192748</v>
      </c>
      <c r="H50" s="396">
        <f>IF(NOT(ISBLANK('Referenz Plattenfertiger'!$K61)),'Referenz Plattenfertiger'!$K61,IF(NOT(ISBLANK('Referenz Plattenfertiger'!$I61)),'Referenz Plattenfertiger'!$I61*H$46,'Referenz Plattenfertiger'!$F61*H$46))</f>
        <v>35.451524346192748</v>
      </c>
      <c r="K50" s="404" t="str">
        <f>'Referenz Plattenfertiger'!$Q61</f>
        <v>Hydrophobierer</v>
      </c>
      <c r="L50" s="3" t="s">
        <v>148</v>
      </c>
      <c r="M50" s="79">
        <f>'THG Bilanz Jahr W'!$AA61</f>
        <v>94.655570004334635</v>
      </c>
      <c r="N50" s="79">
        <f>'THG Bilanz Jahr X '!AA61</f>
        <v>94.655570004334635</v>
      </c>
      <c r="O50" s="79">
        <f>'THG Bilanz Jahr Y'!AA61</f>
        <v>94.655570004334635</v>
      </c>
      <c r="P50" s="79">
        <f>'THG Bilanz Jahr Z'!AA61</f>
        <v>94.655570004334635</v>
      </c>
      <c r="Q50" s="396">
        <f>'Referenz Plattenfertiger'!X61</f>
        <v>94.655570004334635</v>
      </c>
      <c r="S50" s="3"/>
      <c r="T50" s="3"/>
      <c r="U50" s="3"/>
      <c r="V50" s="3"/>
      <c r="W50" s="3"/>
      <c r="X50" s="3"/>
      <c r="Y50" s="3"/>
      <c r="Z50" s="3"/>
      <c r="AA50" s="3"/>
      <c r="AB50" s="3"/>
      <c r="AC50" s="3"/>
      <c r="AD50" s="3"/>
      <c r="AE50" s="3"/>
      <c r="AF50" s="3"/>
      <c r="AG50" s="3"/>
      <c r="AH50" s="3"/>
    </row>
    <row r="51" spans="2:34" x14ac:dyDescent="0.2">
      <c r="B51" s="405"/>
      <c r="C51" s="15"/>
      <c r="D51" s="79"/>
      <c r="E51" s="79"/>
      <c r="F51" s="79"/>
      <c r="G51" s="79"/>
      <c r="H51" s="396"/>
      <c r="K51" s="405"/>
      <c r="L51" s="15"/>
      <c r="M51" s="79"/>
      <c r="N51" s="79"/>
      <c r="O51" s="79"/>
      <c r="P51" s="79"/>
      <c r="Q51" s="396"/>
      <c r="S51" s="3"/>
      <c r="T51" s="3"/>
      <c r="U51" s="3"/>
      <c r="V51" s="3"/>
      <c r="W51" s="3"/>
      <c r="X51" s="3"/>
      <c r="Y51" s="3"/>
      <c r="Z51" s="3"/>
      <c r="AA51" s="3"/>
      <c r="AB51" s="3"/>
      <c r="AC51" s="3"/>
      <c r="AD51" s="3"/>
      <c r="AE51" s="3"/>
      <c r="AF51" s="3"/>
      <c r="AG51" s="3"/>
      <c r="AH51" s="3"/>
    </row>
    <row r="52" spans="2:34" ht="15.75" x14ac:dyDescent="0.3">
      <c r="B52" s="406" t="str">
        <f>'Referenz Plattenfertiger'!$Q63</f>
        <v>Wasser 1)</v>
      </c>
      <c r="C52" s="78" t="s">
        <v>63</v>
      </c>
      <c r="D52" s="366">
        <f>IF(NOT(ISBLANK('THG Bilanz Jahr W'!$K63)),'THG Bilanz Jahr W'!$K63,IF(NOT(ISBLANK('THG Bilanz Jahr W'!$I63)),'THG Bilanz Jahr W'!$I63*'THG Bilanz Jahr W'!$I$12,'THG Bilanz Jahr W'!$F63*'THG Bilanz Jahr W'!$F$12))</f>
        <v>4000</v>
      </c>
      <c r="E52" s="366">
        <f>IF(NOT(ISBLANK('THG Bilanz Jahr X '!$K63)),'THG Bilanz Jahr X '!$K63,IF(NOT(ISBLANK('THG Bilanz Jahr X '!$I63)),'THG Bilanz Jahr X '!$I63*'THG Bilanz Jahr X '!$I$12,'THG Bilanz Jahr X '!$F63*'THG Bilanz Jahr X '!$F$12))</f>
        <v>4000</v>
      </c>
      <c r="F52" s="366">
        <f>IF(NOT(ISBLANK('THG Bilanz Jahr Y'!$K63)),'THG Bilanz Jahr Y'!$K63,IF(NOT(ISBLANK('THG Bilanz Jahr Y'!$I63)),'THG Bilanz Jahr Y'!$I63*'THG Bilanz Jahr Y'!$I$12,'THG Bilanz Jahr Y'!$F63*'THG Bilanz Jahr Y'!$F$12))</f>
        <v>4000</v>
      </c>
      <c r="G52" s="366">
        <f>IF(NOT(ISBLANK('THG Bilanz Jahr Z'!$K63)),'THG Bilanz Jahr Z'!$K63,IF(NOT(ISBLANK('THG Bilanz Jahr Z'!$I63)),'THG Bilanz Jahr Z'!$I63*'THG Bilanz Jahr Z'!$I$12,'THG Bilanz Jahr Z'!$F63*'THG Bilanz Jahr Z'!$F$12))</f>
        <v>4000</v>
      </c>
      <c r="H52" s="403">
        <f>IF(NOT(ISBLANK('Referenz Plattenfertiger'!$K63)),'Referenz Plattenfertiger'!$K63,IF(NOT(ISBLANK('Referenz Plattenfertiger'!$I63)),'Referenz Plattenfertiger'!$I63*'Referenz Plattenfertiger'!$I$12,'Referenz Plattenfertiger'!$F63*'Referenz Plattenfertiger'!$F$12))</f>
        <v>4000</v>
      </c>
      <c r="K52" s="406" t="str">
        <f>'Referenz Plattenfertiger'!$Q63</f>
        <v>Wasser 1)</v>
      </c>
      <c r="L52" s="3" t="s">
        <v>148</v>
      </c>
      <c r="M52" s="366">
        <f>'THG Bilanz Jahr W'!$AA63</f>
        <v>0</v>
      </c>
      <c r="N52" s="366">
        <f>'THG Bilanz Jahr X '!AA63</f>
        <v>0</v>
      </c>
      <c r="O52" s="366">
        <f>'THG Bilanz Jahr Y'!AA63</f>
        <v>0</v>
      </c>
      <c r="P52" s="366">
        <f>'THG Bilanz Jahr Z'!AA63</f>
        <v>0</v>
      </c>
      <c r="Q52" s="403">
        <f>'Referenz Plattenfertiger'!X63</f>
        <v>0</v>
      </c>
      <c r="S52" s="3"/>
      <c r="T52" s="3"/>
      <c r="U52" s="3"/>
      <c r="V52" s="3"/>
      <c r="W52" s="3"/>
      <c r="X52" s="3"/>
      <c r="Y52" s="3"/>
      <c r="Z52" s="3"/>
      <c r="AA52" s="3"/>
      <c r="AB52" s="3"/>
      <c r="AC52" s="3"/>
      <c r="AD52" s="3"/>
      <c r="AE52" s="3"/>
      <c r="AF52" s="3"/>
      <c r="AG52" s="3"/>
      <c r="AH52" s="3"/>
    </row>
    <row r="53" spans="2:34" ht="15.75" x14ac:dyDescent="0.3">
      <c r="B53" s="406" t="str">
        <f>'Referenz Plattenfertiger'!$Q64</f>
        <v>Abwasser</v>
      </c>
      <c r="C53" s="78" t="s">
        <v>63</v>
      </c>
      <c r="D53" s="366">
        <f>IF(ISBLANK('THG Bilanz Jahr W'!$I64),'THG Bilanz Jahr W'!$F$64,'THG Bilanz Jahr W'!$I$64)</f>
        <v>2000</v>
      </c>
      <c r="E53" s="366">
        <f>IF(ISBLANK('THG Bilanz Jahr X '!$I64),'THG Bilanz Jahr X '!$F$64,'THG Bilanz Jahr X '!$I$64)</f>
        <v>2000</v>
      </c>
      <c r="F53" s="366">
        <f>IF(ISBLANK('THG Bilanz Jahr Y'!$I64),'THG Bilanz Jahr Y'!$F$64,'THG Bilanz Jahr Y'!$I$64)</f>
        <v>2000</v>
      </c>
      <c r="G53" s="366">
        <f>IF(ISBLANK('THG Bilanz Jahr Z'!$I64),'THG Bilanz Jahr Z'!$F$64,'THG Bilanz Jahr Z'!$I$64)</f>
        <v>2000</v>
      </c>
      <c r="H53" s="403">
        <f>IF(ISBLANK('Referenz Plattenfertiger'!$I64),'Referenz Plattenfertiger'!$F$64,'Referenz Plattenfertiger'!$I$64)</f>
        <v>2000</v>
      </c>
      <c r="K53" s="406" t="str">
        <f>'Referenz Plattenfertiger'!$Q64</f>
        <v>Abwasser</v>
      </c>
      <c r="L53" s="3" t="s">
        <v>148</v>
      </c>
      <c r="M53" s="366">
        <f>'THG Bilanz Jahr W'!$AA64</f>
        <v>0.54400000000000004</v>
      </c>
      <c r="N53" s="366">
        <f>'THG Bilanz Jahr X '!AA64</f>
        <v>0.54400000000000004</v>
      </c>
      <c r="O53" s="366">
        <f>'THG Bilanz Jahr Y'!AA64</f>
        <v>0.54400000000000004</v>
      </c>
      <c r="P53" s="366">
        <f>'THG Bilanz Jahr Z'!AA64</f>
        <v>0.54400000000000004</v>
      </c>
      <c r="Q53" s="403">
        <f>'Referenz Plattenfertiger'!X64</f>
        <v>0.54400000000000004</v>
      </c>
      <c r="S53" s="3"/>
      <c r="T53" s="3"/>
      <c r="U53" s="3"/>
      <c r="V53" s="3"/>
      <c r="W53" s="3"/>
      <c r="X53" s="3"/>
      <c r="Y53" s="3"/>
      <c r="Z53" s="3"/>
      <c r="AA53" s="3"/>
      <c r="AB53" s="3"/>
      <c r="AC53" s="3"/>
      <c r="AD53" s="3"/>
      <c r="AE53" s="3"/>
      <c r="AF53" s="3"/>
      <c r="AG53" s="3"/>
      <c r="AH53" s="3"/>
    </row>
    <row r="54" spans="2:34" x14ac:dyDescent="0.2">
      <c r="B54" s="221"/>
      <c r="C54" s="3"/>
      <c r="D54" s="79"/>
      <c r="E54" s="79"/>
      <c r="F54" s="79"/>
      <c r="G54" s="79"/>
      <c r="H54" s="396"/>
      <c r="K54" s="221"/>
      <c r="L54" s="3"/>
      <c r="M54" s="79"/>
      <c r="N54" s="79"/>
      <c r="O54" s="79"/>
      <c r="P54" s="79"/>
      <c r="Q54" s="396"/>
      <c r="S54" s="3"/>
      <c r="T54" s="3"/>
      <c r="U54" s="3"/>
      <c r="V54" s="3"/>
      <c r="W54" s="3"/>
      <c r="X54" s="3"/>
      <c r="Y54" s="3"/>
      <c r="Z54" s="3"/>
      <c r="AA54" s="3"/>
      <c r="AB54" s="3"/>
      <c r="AC54" s="3"/>
      <c r="AD54" s="3"/>
      <c r="AE54" s="3"/>
      <c r="AF54" s="3"/>
      <c r="AG54" s="3"/>
      <c r="AH54" s="3"/>
    </row>
    <row r="55" spans="2:34" x14ac:dyDescent="0.2">
      <c r="B55" s="399" t="str">
        <f>'Referenz Plattenfertiger'!$Q66</f>
        <v>Oberflächenschutzsysteme</v>
      </c>
      <c r="C55" s="345"/>
      <c r="D55" s="346"/>
      <c r="E55" s="346"/>
      <c r="F55" s="346"/>
      <c r="G55" s="346"/>
      <c r="H55" s="400"/>
      <c r="K55" s="399" t="str">
        <f>'Referenz Plattenfertiger'!$Q66</f>
        <v>Oberflächenschutzsysteme</v>
      </c>
      <c r="L55" s="345"/>
      <c r="M55" s="346">
        <f>'THG Bilanz Jahr W'!$AA66</f>
        <v>80.47999999999999</v>
      </c>
      <c r="N55" s="346">
        <f>'THG Bilanz Jahr X '!AA66</f>
        <v>80.47999999999999</v>
      </c>
      <c r="O55" s="346">
        <f>'THG Bilanz Jahr Y'!AA66</f>
        <v>80.47999999999999</v>
      </c>
      <c r="P55" s="346">
        <f>'THG Bilanz Jahr Z'!AA66</f>
        <v>80.47999999999999</v>
      </c>
      <c r="Q55" s="400">
        <f>'Referenz Plattenfertiger'!X66</f>
        <v>80.47999999999999</v>
      </c>
      <c r="S55" s="3"/>
      <c r="T55" s="3"/>
      <c r="U55" s="3"/>
      <c r="V55" s="3"/>
      <c r="W55" s="3"/>
      <c r="X55" s="3"/>
      <c r="Y55" s="3"/>
      <c r="Z55" s="3"/>
      <c r="AA55" s="3"/>
      <c r="AB55" s="3"/>
      <c r="AC55" s="3"/>
      <c r="AD55" s="3"/>
      <c r="AE55" s="3"/>
      <c r="AF55" s="3"/>
      <c r="AG55" s="3"/>
      <c r="AH55" s="3"/>
    </row>
    <row r="56" spans="2:34" ht="15.75" x14ac:dyDescent="0.3">
      <c r="B56" s="221" t="str">
        <f>'Referenz Plattenfertiger'!$Q67</f>
        <v>Hydrophobierung</v>
      </c>
      <c r="C56" s="3" t="s">
        <v>461</v>
      </c>
      <c r="D56" s="79">
        <f>IF(NOT(ISBLANK('THG Bilanz Jahr W'!$K67)),'THG Bilanz Jahr W'!$K67,IF(NOT(ISBLANK('THG Bilanz Jahr W'!$I67)),'THG Bilanz Jahr W'!$I67*'THG Bilanz Jahr W'!$I$12,'THG Bilanz Jahr W'!$F67*'THG Bilanz Jahr W'!$F$12))</f>
        <v>0</v>
      </c>
      <c r="E56" s="79">
        <f>IF(NOT(ISBLANK('THG Bilanz Jahr X '!$K67)),'THG Bilanz Jahr X '!$K67,IF(NOT(ISBLANK('THG Bilanz Jahr X '!$I67)),'THG Bilanz Jahr X '!$I67*'THG Bilanz Jahr X '!$I$12,'THG Bilanz Jahr X '!$F67*'THG Bilanz Jahr X '!$F$12))</f>
        <v>0</v>
      </c>
      <c r="F56" s="79">
        <f>IF(NOT(ISBLANK('THG Bilanz Jahr Y'!$K67)),'THG Bilanz Jahr Y'!$K67,IF(NOT(ISBLANK('THG Bilanz Jahr Y'!$I67)),'THG Bilanz Jahr Y'!$I67*'THG Bilanz Jahr Y'!$I$12,'THG Bilanz Jahr Y'!$F67*'THG Bilanz Jahr Y'!$F$12))</f>
        <v>0</v>
      </c>
      <c r="G56" s="79">
        <f>IF(NOT(ISBLANK('THG Bilanz Jahr Z'!$K67)),'THG Bilanz Jahr Z'!$K67,IF(NOT(ISBLANK('THG Bilanz Jahr Z'!$I67)),'THG Bilanz Jahr Z'!$I67*'THG Bilanz Jahr Z'!$I$12,'THG Bilanz Jahr Z'!$F67*'THG Bilanz Jahr Z'!$F$12))</f>
        <v>0</v>
      </c>
      <c r="H56" s="396">
        <f>IF(NOT(ISBLANK('Referenz Plattenfertiger'!$K67)),'Referenz Plattenfertiger'!$K67,IF(NOT(ISBLANK('Referenz Plattenfertiger'!$I67)),'Referenz Plattenfertiger'!$I67*'Referenz Plattenfertiger'!$I$12,'Referenz Plattenfertiger'!$F67*'Referenz Plattenfertiger'!$F$12))</f>
        <v>0</v>
      </c>
      <c r="K56" s="221" t="str">
        <f>'Referenz Plattenfertiger'!$Q67</f>
        <v>Hydrophobierung</v>
      </c>
      <c r="L56" s="3" t="s">
        <v>148</v>
      </c>
      <c r="M56" s="79">
        <f>'THG Bilanz Jahr W'!$AA67</f>
        <v>0</v>
      </c>
      <c r="N56" s="79">
        <f>'THG Bilanz Jahr X '!AA67</f>
        <v>0</v>
      </c>
      <c r="O56" s="79">
        <f>'THG Bilanz Jahr Y'!AA67</f>
        <v>0</v>
      </c>
      <c r="P56" s="79">
        <f>'THG Bilanz Jahr Z'!AA67</f>
        <v>0</v>
      </c>
      <c r="Q56" s="396">
        <f>'Referenz Plattenfertiger'!X67</f>
        <v>0</v>
      </c>
      <c r="S56" s="3"/>
      <c r="T56" s="3"/>
      <c r="U56" s="3"/>
      <c r="V56" s="3"/>
      <c r="W56" s="3"/>
      <c r="X56" s="3"/>
      <c r="Y56" s="3"/>
      <c r="Z56" s="3"/>
      <c r="AA56" s="3"/>
      <c r="AB56" s="3"/>
      <c r="AC56" s="3"/>
      <c r="AD56" s="3"/>
      <c r="AE56" s="3"/>
      <c r="AF56" s="3"/>
      <c r="AG56" s="3"/>
      <c r="AH56" s="3"/>
    </row>
    <row r="57" spans="2:34" ht="15.75" x14ac:dyDescent="0.3">
      <c r="B57" s="221" t="str">
        <f>'Referenz Plattenfertiger'!$Q68</f>
        <v>Imprägniermittel  (Aushärtung über Infrarot)</v>
      </c>
      <c r="C57" s="3" t="s">
        <v>461</v>
      </c>
      <c r="D57" s="79">
        <f>IF(NOT(ISBLANK('THG Bilanz Jahr W'!$K68)),'THG Bilanz Jahr W'!$K68,IF(NOT(ISBLANK('THG Bilanz Jahr W'!$I68)),'THG Bilanz Jahr W'!$I68*'THG Bilanz Jahr W'!$I$12,'THG Bilanz Jahr W'!$F68*'THG Bilanz Jahr W'!$F$12))</f>
        <v>40</v>
      </c>
      <c r="E57" s="79">
        <f>IF(NOT(ISBLANK('THG Bilanz Jahr X '!$K68)),'THG Bilanz Jahr X '!$K68,IF(NOT(ISBLANK('THG Bilanz Jahr X '!$I68)),'THG Bilanz Jahr X '!$I68*'THG Bilanz Jahr X '!$I$12,'THG Bilanz Jahr X '!$F68*'THG Bilanz Jahr X '!$F$12))</f>
        <v>40</v>
      </c>
      <c r="F57" s="79">
        <f>IF(NOT(ISBLANK('THG Bilanz Jahr Y'!$K68)),'THG Bilanz Jahr Y'!$K68,IF(NOT(ISBLANK('THG Bilanz Jahr Y'!$I68)),'THG Bilanz Jahr Y'!$I68*'THG Bilanz Jahr Y'!$I$12,'THG Bilanz Jahr Y'!$F68*'THG Bilanz Jahr Y'!$F$12))</f>
        <v>40</v>
      </c>
      <c r="G57" s="79">
        <f>IF(NOT(ISBLANK('THG Bilanz Jahr Z'!$K68)),'THG Bilanz Jahr Z'!$K68,IF(NOT(ISBLANK('THG Bilanz Jahr Z'!$I68)),'THG Bilanz Jahr Z'!$I68*'THG Bilanz Jahr Z'!$I$12,'THG Bilanz Jahr Z'!$F68*'THG Bilanz Jahr Z'!$F$12))</f>
        <v>40</v>
      </c>
      <c r="H57" s="396">
        <f>IF(NOT(ISBLANK('Referenz Plattenfertiger'!$K68)),'Referenz Plattenfertiger'!$K68,IF(NOT(ISBLANK('Referenz Plattenfertiger'!$I68)),'Referenz Plattenfertiger'!$I68*'Referenz Plattenfertiger'!$I$12,'Referenz Plattenfertiger'!$F68*'Referenz Plattenfertiger'!$F$12))</f>
        <v>40</v>
      </c>
      <c r="K57" s="221" t="str">
        <f>'Referenz Plattenfertiger'!$Q68</f>
        <v>Imprägniermittel  (Aushärtung über Infrarot)</v>
      </c>
      <c r="L57" s="3" t="s">
        <v>148</v>
      </c>
      <c r="M57" s="79">
        <f>'THG Bilanz Jahr W'!$AA68</f>
        <v>80.47999999999999</v>
      </c>
      <c r="N57" s="79">
        <f>'THG Bilanz Jahr X '!AA68</f>
        <v>80.47999999999999</v>
      </c>
      <c r="O57" s="79">
        <f>'THG Bilanz Jahr Y'!AA68</f>
        <v>80.47999999999999</v>
      </c>
      <c r="P57" s="79">
        <f>'THG Bilanz Jahr Z'!AA68</f>
        <v>80.47999999999999</v>
      </c>
      <c r="Q57" s="396">
        <f>'Referenz Plattenfertiger'!X68</f>
        <v>80.47999999999999</v>
      </c>
      <c r="S57" s="3"/>
      <c r="T57" s="3"/>
      <c r="U57" s="3"/>
      <c r="V57" s="3"/>
      <c r="W57" s="3"/>
      <c r="X57" s="3"/>
      <c r="Y57" s="3"/>
      <c r="Z57" s="3"/>
      <c r="AA57" s="3"/>
      <c r="AB57" s="3"/>
      <c r="AC57" s="3"/>
      <c r="AD57" s="3"/>
      <c r="AE57" s="3"/>
      <c r="AF57" s="3"/>
      <c r="AG57" s="3"/>
      <c r="AH57" s="3"/>
    </row>
    <row r="58" spans="2:34" ht="15.75" x14ac:dyDescent="0.3">
      <c r="B58" s="221" t="str">
        <f>'Referenz Plattenfertiger'!$Q69</f>
        <v>Beschichtung</v>
      </c>
      <c r="C58" s="3" t="s">
        <v>461</v>
      </c>
      <c r="D58" s="79">
        <f>IF(NOT(ISBLANK('THG Bilanz Jahr W'!$K69)),'THG Bilanz Jahr W'!$K69,IF(NOT(ISBLANK('THG Bilanz Jahr W'!$I69)),'THG Bilanz Jahr W'!$I69*'THG Bilanz Jahr W'!$I$12,'THG Bilanz Jahr W'!$F69*'THG Bilanz Jahr W'!$F$12))</f>
        <v>0</v>
      </c>
      <c r="E58" s="79">
        <f>IF(NOT(ISBLANK('THG Bilanz Jahr X '!$K69)),'THG Bilanz Jahr X '!$K69,IF(NOT(ISBLANK('THG Bilanz Jahr X '!$I69)),'THG Bilanz Jahr X '!$I69*'THG Bilanz Jahr X '!$I$12,'THG Bilanz Jahr X '!$F69*'THG Bilanz Jahr X '!$F$12))</f>
        <v>0</v>
      </c>
      <c r="F58" s="79">
        <f>IF(NOT(ISBLANK('THG Bilanz Jahr Y'!$K69)),'THG Bilanz Jahr Y'!$K69,IF(NOT(ISBLANK('THG Bilanz Jahr Y'!$I69)),'THG Bilanz Jahr Y'!$I69*'THG Bilanz Jahr Y'!$I$12,'THG Bilanz Jahr Y'!$F69*'THG Bilanz Jahr Y'!$F$12))</f>
        <v>0</v>
      </c>
      <c r="G58" s="79">
        <f>IF(NOT(ISBLANK('THG Bilanz Jahr Z'!$K69)),'THG Bilanz Jahr Z'!$K69,IF(NOT(ISBLANK('THG Bilanz Jahr Z'!$I69)),'THG Bilanz Jahr Z'!$I69*'THG Bilanz Jahr Z'!$I$12,'THG Bilanz Jahr Z'!$F69*'THG Bilanz Jahr Z'!$F$12))</f>
        <v>0</v>
      </c>
      <c r="H58" s="396">
        <f>IF(NOT(ISBLANK('Referenz Plattenfertiger'!$K69)),'Referenz Plattenfertiger'!$K69,IF(NOT(ISBLANK('Referenz Plattenfertiger'!$I69)),'Referenz Plattenfertiger'!$I69*'Referenz Plattenfertiger'!$I$12,'Referenz Plattenfertiger'!$F69*'Referenz Plattenfertiger'!$F$12))</f>
        <v>0</v>
      </c>
      <c r="K58" s="221" t="str">
        <f>'Referenz Plattenfertiger'!$Q69</f>
        <v>Beschichtung</v>
      </c>
      <c r="L58" s="3" t="s">
        <v>148</v>
      </c>
      <c r="M58" s="79">
        <f>'THG Bilanz Jahr W'!$AA69</f>
        <v>0</v>
      </c>
      <c r="N58" s="79">
        <f>'THG Bilanz Jahr X '!AA69</f>
        <v>0</v>
      </c>
      <c r="O58" s="79">
        <f>'THG Bilanz Jahr Y'!AA69</f>
        <v>0</v>
      </c>
      <c r="P58" s="79">
        <f>'THG Bilanz Jahr Z'!AA69</f>
        <v>0</v>
      </c>
      <c r="Q58" s="396">
        <f>'Referenz Plattenfertiger'!X69</f>
        <v>0</v>
      </c>
      <c r="S58" s="3"/>
      <c r="T58" s="3"/>
      <c r="U58" s="3"/>
      <c r="V58" s="3"/>
      <c r="W58" s="3"/>
      <c r="X58" s="3"/>
      <c r="Y58" s="3"/>
      <c r="Z58" s="3"/>
      <c r="AA58" s="3"/>
      <c r="AB58" s="3"/>
      <c r="AC58" s="3"/>
      <c r="AD58" s="3"/>
      <c r="AE58" s="3"/>
      <c r="AF58" s="3"/>
      <c r="AG58" s="3"/>
      <c r="AH58" s="3"/>
    </row>
    <row r="59" spans="2:34" x14ac:dyDescent="0.2">
      <c r="B59" s="221"/>
      <c r="C59" s="3"/>
      <c r="D59" s="79"/>
      <c r="E59" s="79"/>
      <c r="F59" s="79"/>
      <c r="G59" s="79"/>
      <c r="H59" s="396"/>
      <c r="K59" s="221"/>
      <c r="L59" s="3"/>
      <c r="M59" s="79"/>
      <c r="N59" s="79"/>
      <c r="O59" s="79"/>
      <c r="P59" s="79"/>
      <c r="Q59" s="396"/>
      <c r="S59" s="3"/>
      <c r="T59" s="3"/>
      <c r="U59" s="3"/>
      <c r="V59" s="3"/>
      <c r="W59" s="3"/>
      <c r="X59" s="3"/>
      <c r="Y59" s="3"/>
      <c r="Z59" s="3"/>
      <c r="AA59" s="3"/>
      <c r="AB59" s="3"/>
      <c r="AC59" s="3"/>
      <c r="AD59" s="3"/>
      <c r="AE59" s="3"/>
      <c r="AF59" s="3"/>
      <c r="AG59" s="3"/>
      <c r="AH59" s="3"/>
    </row>
    <row r="60" spans="2:34" x14ac:dyDescent="0.2">
      <c r="B60" s="407" t="str">
        <f>'Referenz Plattenfertiger'!$Q71</f>
        <v>Oberflächenbearbeitung (vor/nach Erhärtung)</v>
      </c>
      <c r="C60" s="357"/>
      <c r="D60" s="346"/>
      <c r="E60" s="346"/>
      <c r="F60" s="346"/>
      <c r="G60" s="346"/>
      <c r="H60" s="400"/>
      <c r="K60" s="407" t="str">
        <f>'Referenz Plattenfertiger'!$Q71</f>
        <v>Oberflächenbearbeitung (vor/nach Erhärtung)</v>
      </c>
      <c r="L60" s="357"/>
      <c r="M60" s="346">
        <f>'THG Bilanz Jahr W'!$AA71</f>
        <v>60</v>
      </c>
      <c r="N60" s="346">
        <f>'THG Bilanz Jahr X '!AA71</f>
        <v>60</v>
      </c>
      <c r="O60" s="346">
        <f>'THG Bilanz Jahr Y'!AA71</f>
        <v>60</v>
      </c>
      <c r="P60" s="346">
        <f>'THG Bilanz Jahr Z'!AA71</f>
        <v>60</v>
      </c>
      <c r="Q60" s="400">
        <f>'Referenz Plattenfertiger'!X71</f>
        <v>60</v>
      </c>
      <c r="S60" s="3"/>
      <c r="T60" s="3"/>
      <c r="U60" s="3"/>
      <c r="V60" s="3"/>
      <c r="W60" s="3"/>
      <c r="X60" s="3"/>
      <c r="Y60" s="3"/>
      <c r="Z60" s="3"/>
      <c r="AA60" s="3"/>
      <c r="AB60" s="3"/>
      <c r="AC60" s="3"/>
      <c r="AD60" s="3"/>
      <c r="AE60" s="3"/>
      <c r="AF60" s="3"/>
      <c r="AG60" s="3"/>
      <c r="AH60" s="3"/>
    </row>
    <row r="61" spans="2:34" ht="15.75" x14ac:dyDescent="0.3">
      <c r="B61" s="221" t="str">
        <f>'Referenz Plattenfertiger'!$Q72</f>
        <v>Stahlkugeln (Strahlanlage)</v>
      </c>
      <c r="C61" s="3" t="s">
        <v>46</v>
      </c>
      <c r="D61" s="79">
        <f>IF(ISBLANK('THG Bilanz Jahr W'!$I72),'THG Bilanz Jahr W'!$F72,'THG Bilanz Jahr W'!$I72)</f>
        <v>40</v>
      </c>
      <c r="E61" s="79">
        <f>IF(ISBLANK('THG Bilanz Jahr X '!$I72),'THG Bilanz Jahr X '!$F72,'THG Bilanz Jahr X '!$I72)</f>
        <v>40</v>
      </c>
      <c r="F61" s="79">
        <f>IF(ISBLANK('THG Bilanz Jahr Y'!$I72),'THG Bilanz Jahr Y'!$F72,'THG Bilanz Jahr Y'!$I72)</f>
        <v>40</v>
      </c>
      <c r="G61" s="79">
        <f>IF(ISBLANK('THG Bilanz Jahr Z'!$I72),'THG Bilanz Jahr Z'!$F72,'THG Bilanz Jahr Z'!$I72)</f>
        <v>40</v>
      </c>
      <c r="H61" s="396">
        <f>IF(ISBLANK('Referenz Plattenfertiger'!$I72),'Referenz Plattenfertiger'!$F72,'Referenz Plattenfertiger'!$I72)</f>
        <v>40</v>
      </c>
      <c r="K61" s="221" t="str">
        <f>'Referenz Plattenfertiger'!$Q72</f>
        <v>Stahlkugeln (Strahlanlage)</v>
      </c>
      <c r="L61" s="3" t="s">
        <v>148</v>
      </c>
      <c r="M61" s="79">
        <f>'THG Bilanz Jahr W'!$AA72</f>
        <v>60</v>
      </c>
      <c r="N61" s="79">
        <f>'THG Bilanz Jahr X '!AA72</f>
        <v>60</v>
      </c>
      <c r="O61" s="79">
        <f>'THG Bilanz Jahr Y'!AA72</f>
        <v>60</v>
      </c>
      <c r="P61" s="79">
        <f>'THG Bilanz Jahr Z'!AA72</f>
        <v>60</v>
      </c>
      <c r="Q61" s="396">
        <f>'Referenz Plattenfertiger'!X72</f>
        <v>60</v>
      </c>
      <c r="S61" s="3"/>
      <c r="T61" s="3"/>
      <c r="U61" s="3"/>
      <c r="V61" s="3"/>
      <c r="W61" s="3"/>
      <c r="X61" s="3"/>
      <c r="Y61" s="3"/>
      <c r="Z61" s="3"/>
      <c r="AA61" s="3"/>
      <c r="AB61" s="3"/>
      <c r="AC61" s="3"/>
      <c r="AD61" s="3"/>
      <c r="AE61" s="3"/>
      <c r="AF61" s="3"/>
      <c r="AG61" s="3"/>
      <c r="AH61" s="3"/>
    </row>
    <row r="62" spans="2:34" ht="15.75" x14ac:dyDescent="0.3">
      <c r="B62" s="221" t="str">
        <f>'Referenz Plattenfertiger'!$Q73</f>
        <v>Weitere Materialen</v>
      </c>
      <c r="C62" s="3" t="s">
        <v>46</v>
      </c>
      <c r="D62" s="79">
        <f>IF(ISBLANK('THG Bilanz Jahr W'!$I73),'THG Bilanz Jahr W'!$F73,'THG Bilanz Jahr W'!$I73)</f>
        <v>0</v>
      </c>
      <c r="E62" s="79">
        <f>IF(ISBLANK('THG Bilanz Jahr X '!$I73),'THG Bilanz Jahr X '!$F73,'THG Bilanz Jahr X '!$I73)</f>
        <v>0</v>
      </c>
      <c r="F62" s="79">
        <f>IF(ISBLANK('THG Bilanz Jahr Y'!$I73),'THG Bilanz Jahr Y'!$F73,'THG Bilanz Jahr Y'!$I73)</f>
        <v>0</v>
      </c>
      <c r="G62" s="79">
        <f>IF(ISBLANK('THG Bilanz Jahr Z'!$I73),'THG Bilanz Jahr Z'!$F73,'THG Bilanz Jahr Z'!$I73)</f>
        <v>0</v>
      </c>
      <c r="H62" s="396">
        <f>IF(ISBLANK('Referenz Plattenfertiger'!$I73),'Referenz Plattenfertiger'!$F73,'Referenz Plattenfertiger'!$I73)</f>
        <v>0</v>
      </c>
      <c r="K62" s="221" t="str">
        <f>'Referenz Plattenfertiger'!$Q73</f>
        <v>Weitere Materialen</v>
      </c>
      <c r="L62" s="3" t="s">
        <v>148</v>
      </c>
      <c r="M62" s="79">
        <f>'THG Bilanz Jahr W'!$AA73</f>
        <v>0</v>
      </c>
      <c r="N62" s="79">
        <f>'THG Bilanz Jahr X '!AA73</f>
        <v>0</v>
      </c>
      <c r="O62" s="79">
        <f>'THG Bilanz Jahr Y'!AA73</f>
        <v>0</v>
      </c>
      <c r="P62" s="79">
        <f>'THG Bilanz Jahr Z'!AA73</f>
        <v>0</v>
      </c>
      <c r="Q62" s="396">
        <f>'Referenz Plattenfertiger'!X73</f>
        <v>0</v>
      </c>
      <c r="S62" s="3"/>
      <c r="T62" s="3"/>
      <c r="U62" s="3"/>
      <c r="V62" s="3"/>
      <c r="W62" s="3"/>
      <c r="X62" s="3"/>
      <c r="Y62" s="3"/>
      <c r="Z62" s="3"/>
      <c r="AA62" s="3"/>
      <c r="AB62" s="3"/>
      <c r="AC62" s="3"/>
      <c r="AD62" s="3"/>
      <c r="AE62" s="3"/>
      <c r="AF62" s="3"/>
      <c r="AG62" s="3"/>
      <c r="AH62" s="3"/>
    </row>
    <row r="63" spans="2:34" ht="15.75" x14ac:dyDescent="0.3">
      <c r="B63" s="221" t="str">
        <f>'Referenz Plattenfertiger'!$Q74</f>
        <v>Oberflächenbearbeitungsarten</v>
      </c>
      <c r="C63" s="3" t="s">
        <v>46</v>
      </c>
      <c r="D63" s="79">
        <f>IF(ISBLANK('THG Bilanz Jahr W'!$I74),'THG Bilanz Jahr W'!$F74,'THG Bilanz Jahr W'!$I74)</f>
        <v>0</v>
      </c>
      <c r="E63" s="79">
        <f>IF(ISBLANK('THG Bilanz Jahr X '!$I74),'THG Bilanz Jahr X '!$F74,'THG Bilanz Jahr X '!$I74)</f>
        <v>0</v>
      </c>
      <c r="F63" s="79">
        <f>IF(ISBLANK('THG Bilanz Jahr Y'!$I74),'THG Bilanz Jahr Y'!$F74,'THG Bilanz Jahr Y'!$I74)</f>
        <v>0</v>
      </c>
      <c r="G63" s="79">
        <f>IF(ISBLANK('THG Bilanz Jahr Z'!$I74),'THG Bilanz Jahr Z'!$F74,'THG Bilanz Jahr Z'!$I74)</f>
        <v>0</v>
      </c>
      <c r="H63" s="396">
        <f>IF(ISBLANK('Referenz Plattenfertiger'!$I74),'Referenz Plattenfertiger'!$F74,'Referenz Plattenfertiger'!$I74)</f>
        <v>0</v>
      </c>
      <c r="K63" s="221" t="str">
        <f>'Referenz Plattenfertiger'!$Q74</f>
        <v>Oberflächenbearbeitungsarten</v>
      </c>
      <c r="L63" s="3" t="s">
        <v>148</v>
      </c>
      <c r="M63" s="79">
        <f>'THG Bilanz Jahr W'!$AA74</f>
        <v>0</v>
      </c>
      <c r="N63" s="79">
        <f>'THG Bilanz Jahr X '!AA74</f>
        <v>0</v>
      </c>
      <c r="O63" s="79">
        <f>'THG Bilanz Jahr Y'!AA74</f>
        <v>0</v>
      </c>
      <c r="P63" s="79">
        <f>'THG Bilanz Jahr Z'!AA74</f>
        <v>0</v>
      </c>
      <c r="Q63" s="396">
        <f>'Referenz Plattenfertiger'!X74</f>
        <v>0</v>
      </c>
      <c r="S63" s="3"/>
      <c r="T63" s="3"/>
      <c r="U63" s="3"/>
      <c r="V63" s="3"/>
      <c r="W63" s="3"/>
      <c r="X63" s="3"/>
      <c r="Y63" s="3"/>
      <c r="Z63" s="3"/>
      <c r="AA63" s="3"/>
      <c r="AB63" s="3"/>
      <c r="AC63" s="3"/>
      <c r="AD63" s="3"/>
      <c r="AE63" s="3"/>
      <c r="AF63" s="3"/>
      <c r="AG63" s="3"/>
      <c r="AH63" s="3"/>
    </row>
    <row r="64" spans="2:34" x14ac:dyDescent="0.2">
      <c r="B64" s="221"/>
      <c r="C64" s="3"/>
      <c r="D64" s="79"/>
      <c r="E64" s="79"/>
      <c r="F64" s="79"/>
      <c r="G64" s="79"/>
      <c r="H64" s="396"/>
      <c r="K64" s="221"/>
      <c r="L64" s="3"/>
      <c r="M64" s="79"/>
      <c r="N64" s="79"/>
      <c r="O64" s="79"/>
      <c r="P64" s="79"/>
      <c r="Q64" s="396"/>
      <c r="S64" s="3"/>
      <c r="T64" s="3"/>
      <c r="U64" s="3"/>
      <c r="V64" s="3"/>
      <c r="W64" s="3"/>
      <c r="X64" s="3"/>
      <c r="Y64" s="3"/>
      <c r="Z64" s="3"/>
      <c r="AA64" s="3"/>
      <c r="AB64" s="3"/>
      <c r="AC64" s="3"/>
      <c r="AD64" s="3"/>
      <c r="AE64" s="3"/>
      <c r="AF64" s="3"/>
      <c r="AG64" s="3"/>
      <c r="AH64" s="3"/>
    </row>
    <row r="65" spans="2:34" ht="15.75" x14ac:dyDescent="0.3">
      <c r="B65" s="402" t="str">
        <f>'Referenz Plattenfertiger'!$Q76</f>
        <v>Verpackungsmaterial</v>
      </c>
      <c r="C65" s="8" t="s">
        <v>46</v>
      </c>
      <c r="D65" s="366">
        <f>IF(ISBLANK('THG Bilanz Jahr W'!$I76),'THG Bilanz Jahr W'!$F76,'THG Bilanz Jahr W'!$I76)</f>
        <v>80</v>
      </c>
      <c r="E65" s="366">
        <f>IF(ISBLANK('THG Bilanz Jahr X '!$I76),'THG Bilanz Jahr X '!$F76,'THG Bilanz Jahr X '!$I76)</f>
        <v>80</v>
      </c>
      <c r="F65" s="366">
        <f>IF(ISBLANK('THG Bilanz Jahr Y'!$I76),'THG Bilanz Jahr Y'!$F76,'THG Bilanz Jahr Y'!$I76)</f>
        <v>80</v>
      </c>
      <c r="G65" s="366">
        <f>IF(ISBLANK('THG Bilanz Jahr Z'!$I76),'THG Bilanz Jahr Z'!$F76,'THG Bilanz Jahr Z'!$I76)</f>
        <v>80</v>
      </c>
      <c r="H65" s="403">
        <f>IF(ISBLANK('Referenz Plattenfertiger'!$I76),'Referenz Plattenfertiger'!$F76,'Referenz Plattenfertiger'!$I76)</f>
        <v>80</v>
      </c>
      <c r="K65" s="402" t="str">
        <f>'Referenz Plattenfertiger'!$Q76</f>
        <v>Verpackungsmaterial</v>
      </c>
      <c r="L65" s="3" t="s">
        <v>148</v>
      </c>
      <c r="M65" s="366">
        <f>'THG Bilanz Jahr W'!$AA76</f>
        <v>64.48</v>
      </c>
      <c r="N65" s="366">
        <f>'THG Bilanz Jahr X '!AA76</f>
        <v>64.48</v>
      </c>
      <c r="O65" s="366">
        <f>'THG Bilanz Jahr Y'!AA76</f>
        <v>64.48</v>
      </c>
      <c r="P65" s="366">
        <f>'THG Bilanz Jahr Z'!AA76</f>
        <v>64.48</v>
      </c>
      <c r="Q65" s="403">
        <f>'Referenz Plattenfertiger'!X76</f>
        <v>64.48</v>
      </c>
      <c r="S65" s="3"/>
      <c r="T65" s="3"/>
      <c r="U65" s="3"/>
      <c r="V65" s="3"/>
      <c r="W65" s="3"/>
      <c r="X65" s="3"/>
      <c r="Y65" s="3"/>
      <c r="Z65" s="3"/>
      <c r="AA65" s="3"/>
      <c r="AB65" s="3"/>
      <c r="AC65" s="3"/>
      <c r="AD65" s="3"/>
      <c r="AE65" s="3"/>
      <c r="AF65" s="3"/>
      <c r="AG65" s="3"/>
      <c r="AH65" s="3"/>
    </row>
    <row r="66" spans="2:34" x14ac:dyDescent="0.2">
      <c r="B66" s="221"/>
      <c r="C66" s="3"/>
      <c r="D66" s="9"/>
      <c r="E66" s="9"/>
      <c r="F66" s="9"/>
      <c r="G66" s="9"/>
      <c r="H66" s="408"/>
      <c r="K66" s="221"/>
      <c r="L66" s="3"/>
      <c r="M66" s="9"/>
      <c r="N66" s="9"/>
      <c r="O66" s="9"/>
      <c r="P66" s="9"/>
      <c r="Q66" s="408"/>
      <c r="S66" s="3"/>
      <c r="T66" s="3"/>
      <c r="U66" s="3"/>
      <c r="V66" s="3"/>
      <c r="W66" s="3"/>
      <c r="X66" s="3"/>
      <c r="Y66" s="3"/>
      <c r="Z66" s="3"/>
      <c r="AA66" s="3"/>
      <c r="AB66" s="3"/>
      <c r="AC66" s="3"/>
      <c r="AD66" s="3"/>
      <c r="AE66" s="3"/>
      <c r="AF66" s="3"/>
      <c r="AG66" s="3"/>
      <c r="AH66" s="3"/>
    </row>
    <row r="67" spans="2:34" x14ac:dyDescent="0.2">
      <c r="B67" s="221"/>
      <c r="C67" s="3"/>
      <c r="D67" s="3"/>
      <c r="E67" s="3"/>
      <c r="F67" s="3"/>
      <c r="G67" s="3"/>
      <c r="H67" s="222"/>
      <c r="K67" s="413" t="str">
        <f>'Referenz Plattenfertiger'!$Q78</f>
        <v>Gesamt</v>
      </c>
      <c r="L67" s="414"/>
      <c r="M67" s="415">
        <f>'THG Bilanz Jahr W'!$AA78</f>
        <v>6098.3619778695174</v>
      </c>
      <c r="N67" s="415">
        <f>'THG Bilanz Jahr X '!AA78</f>
        <v>6098.3619778695174</v>
      </c>
      <c r="O67" s="415">
        <f>'THG Bilanz Jahr Y'!AA78</f>
        <v>6098.3619778695174</v>
      </c>
      <c r="P67" s="415">
        <f>'THG Bilanz Jahr Z'!AA78</f>
        <v>6098.3619778695174</v>
      </c>
      <c r="Q67" s="416">
        <f>'Referenz Plattenfertiger'!X78</f>
        <v>6098.3619778695174</v>
      </c>
      <c r="S67" s="3"/>
      <c r="T67" s="3"/>
      <c r="U67" s="3"/>
      <c r="V67" s="3"/>
      <c r="W67" s="3"/>
      <c r="X67" s="3"/>
      <c r="Y67" s="3"/>
      <c r="Z67" s="3"/>
      <c r="AA67" s="3"/>
      <c r="AB67" s="3"/>
      <c r="AC67" s="3"/>
      <c r="AD67" s="3"/>
      <c r="AE67" s="3"/>
      <c r="AF67" s="3"/>
      <c r="AG67" s="3"/>
      <c r="AH67" s="3"/>
    </row>
    <row r="68" spans="2:34" x14ac:dyDescent="0.2">
      <c r="B68" s="442" t="s">
        <v>460</v>
      </c>
      <c r="C68" s="24"/>
      <c r="D68" s="24"/>
      <c r="E68" s="24"/>
      <c r="F68" s="24"/>
      <c r="G68" s="24"/>
      <c r="H68" s="443"/>
      <c r="K68" s="3"/>
      <c r="L68" s="3"/>
      <c r="M68" s="3"/>
      <c r="N68" s="3"/>
      <c r="O68" s="3"/>
      <c r="P68" s="3"/>
      <c r="Q68" s="3"/>
      <c r="S68" s="3"/>
      <c r="T68" s="3"/>
      <c r="U68" s="3"/>
      <c r="V68" s="3"/>
      <c r="W68" s="3"/>
      <c r="X68" s="3"/>
      <c r="Y68" s="3"/>
      <c r="Z68" s="3"/>
      <c r="AA68" s="3"/>
      <c r="AB68" s="3"/>
      <c r="AC68" s="3"/>
      <c r="AD68" s="3"/>
      <c r="AE68" s="3"/>
      <c r="AF68" s="3"/>
      <c r="AG68" s="3"/>
      <c r="AH68" s="3"/>
    </row>
    <row r="69" spans="2:34" x14ac:dyDescent="0.2">
      <c r="C69" s="435"/>
      <c r="S69" s="3"/>
      <c r="T69" s="3"/>
      <c r="U69" s="3"/>
      <c r="V69" s="3"/>
      <c r="W69" s="3"/>
      <c r="X69" s="3"/>
      <c r="Y69" s="3"/>
      <c r="Z69" s="3"/>
      <c r="AA69" s="3"/>
      <c r="AB69" s="3"/>
      <c r="AC69" s="3"/>
      <c r="AD69" s="3"/>
      <c r="AE69" s="3"/>
      <c r="AF69" s="3"/>
      <c r="AG69" s="3"/>
      <c r="AH69" s="3"/>
    </row>
    <row r="70" spans="2:34" x14ac:dyDescent="0.2">
      <c r="S70" s="3"/>
      <c r="T70" s="3"/>
      <c r="U70" s="3"/>
      <c r="V70" s="3"/>
      <c r="W70" s="3"/>
      <c r="X70" s="3"/>
      <c r="Y70" s="3"/>
      <c r="Z70" s="3"/>
      <c r="AA70" s="3"/>
      <c r="AB70" s="3"/>
      <c r="AC70" s="3"/>
      <c r="AD70" s="3"/>
      <c r="AE70" s="3"/>
      <c r="AF70" s="3"/>
      <c r="AG70" s="3"/>
      <c r="AH70" s="3"/>
    </row>
    <row r="71" spans="2:34" x14ac:dyDescent="0.2">
      <c r="S71" s="3"/>
      <c r="T71" s="3"/>
      <c r="U71" s="3"/>
      <c r="V71" s="3"/>
      <c r="W71" s="3"/>
      <c r="X71" s="3"/>
      <c r="Y71" s="3"/>
      <c r="Z71" s="3"/>
      <c r="AA71" s="3"/>
      <c r="AB71" s="3"/>
      <c r="AC71" s="3"/>
      <c r="AD71" s="3"/>
      <c r="AE71" s="3"/>
      <c r="AF71" s="3"/>
      <c r="AG71" s="3"/>
      <c r="AH71" s="3"/>
    </row>
    <row r="72" spans="2:34" x14ac:dyDescent="0.2">
      <c r="S72" s="3"/>
      <c r="T72" s="3"/>
      <c r="U72" s="3"/>
      <c r="V72" s="3"/>
      <c r="W72" s="3"/>
      <c r="X72" s="3"/>
      <c r="Y72" s="3"/>
      <c r="Z72" s="3"/>
      <c r="AA72" s="3"/>
      <c r="AB72" s="3"/>
      <c r="AC72" s="3"/>
      <c r="AD72" s="3"/>
      <c r="AE72" s="3"/>
      <c r="AF72" s="3"/>
      <c r="AG72" s="3"/>
      <c r="AH72" s="3"/>
    </row>
    <row r="73" spans="2:34" x14ac:dyDescent="0.2">
      <c r="S73" s="3"/>
      <c r="T73" s="3"/>
      <c r="U73" s="3"/>
      <c r="V73" s="3"/>
      <c r="W73" s="3"/>
      <c r="X73" s="3"/>
      <c r="Y73" s="3"/>
      <c r="Z73" s="3"/>
      <c r="AA73" s="3"/>
      <c r="AB73" s="3"/>
      <c r="AC73" s="3"/>
      <c r="AD73" s="3"/>
      <c r="AE73" s="3"/>
      <c r="AF73" s="3"/>
      <c r="AG73" s="3"/>
      <c r="AH73" s="3"/>
    </row>
    <row r="74" spans="2:34" x14ac:dyDescent="0.2">
      <c r="S74" s="3"/>
      <c r="T74" s="3"/>
      <c r="U74" s="3"/>
      <c r="V74" s="3"/>
      <c r="W74" s="3"/>
      <c r="X74" s="3"/>
      <c r="Y74" s="3"/>
      <c r="Z74" s="3"/>
      <c r="AA74" s="3"/>
      <c r="AB74" s="3"/>
      <c r="AC74" s="3"/>
      <c r="AD74" s="3"/>
      <c r="AE74" s="3"/>
      <c r="AF74" s="3"/>
      <c r="AG74" s="3"/>
      <c r="AH74" s="3"/>
    </row>
    <row r="75" spans="2:34" x14ac:dyDescent="0.2">
      <c r="S75" s="3"/>
      <c r="T75" s="3"/>
      <c r="U75" s="3"/>
      <c r="V75" s="3"/>
      <c r="W75" s="3"/>
      <c r="X75" s="3"/>
      <c r="Y75" s="3"/>
      <c r="Z75" s="3"/>
      <c r="AA75" s="3"/>
      <c r="AB75" s="3"/>
      <c r="AC75" s="3"/>
      <c r="AD75" s="3"/>
      <c r="AE75" s="3"/>
      <c r="AF75" s="3"/>
      <c r="AG75" s="3"/>
      <c r="AH75" s="3"/>
    </row>
    <row r="76" spans="2:34" x14ac:dyDescent="0.2">
      <c r="S76" s="3"/>
      <c r="T76" s="3"/>
      <c r="U76" s="3"/>
      <c r="V76" s="3"/>
      <c r="W76" s="3"/>
      <c r="X76" s="3"/>
      <c r="Y76" s="3"/>
      <c r="Z76" s="3"/>
      <c r="AA76" s="3"/>
      <c r="AB76" s="3"/>
      <c r="AC76" s="3"/>
      <c r="AD76" s="3"/>
      <c r="AE76" s="3"/>
      <c r="AF76" s="3"/>
      <c r="AG76" s="3"/>
      <c r="AH76" s="3"/>
    </row>
    <row r="77" spans="2:34" x14ac:dyDescent="0.2">
      <c r="S77" s="3"/>
      <c r="T77" s="3"/>
      <c r="U77" s="3"/>
      <c r="V77" s="3"/>
      <c r="W77" s="3"/>
      <c r="X77" s="3"/>
      <c r="Y77" s="3"/>
      <c r="Z77" s="3"/>
      <c r="AA77" s="3"/>
      <c r="AB77" s="3"/>
      <c r="AC77" s="3"/>
      <c r="AD77" s="3"/>
      <c r="AE77" s="3"/>
      <c r="AF77" s="3"/>
      <c r="AG77" s="3"/>
      <c r="AH77" s="3"/>
    </row>
    <row r="78" spans="2:34" x14ac:dyDescent="0.2">
      <c r="S78" s="3"/>
      <c r="T78" s="3"/>
      <c r="U78" s="3"/>
      <c r="V78" s="3"/>
      <c r="W78" s="3"/>
      <c r="X78" s="3"/>
      <c r="Y78" s="3"/>
      <c r="Z78" s="3"/>
      <c r="AA78" s="3"/>
      <c r="AB78" s="3"/>
      <c r="AC78" s="3"/>
      <c r="AD78" s="3"/>
      <c r="AE78" s="3"/>
      <c r="AF78" s="3"/>
      <c r="AG78" s="3"/>
      <c r="AH78" s="3"/>
    </row>
    <row r="79" spans="2:34" x14ac:dyDescent="0.2">
      <c r="S79" s="3"/>
      <c r="T79" s="3"/>
      <c r="U79" s="3"/>
      <c r="V79" s="3"/>
      <c r="W79" s="3"/>
      <c r="X79" s="3"/>
      <c r="Y79" s="3"/>
      <c r="Z79" s="3"/>
      <c r="AA79" s="3"/>
      <c r="AB79" s="3"/>
      <c r="AC79" s="3"/>
      <c r="AD79" s="3"/>
      <c r="AE79" s="3"/>
      <c r="AF79" s="3"/>
      <c r="AG79" s="3"/>
      <c r="AH79" s="3"/>
    </row>
    <row r="80" spans="2:34" x14ac:dyDescent="0.2">
      <c r="C80" s="2" t="str">
        <f>IF(AND($G$16&gt;0,L16&lt;G16),"Bitte den Handeingabewert 'Reduktion' für 'Bilanzjahr +10 Jahre' auch anpassen. Dieser muss dem Werte Ihrer Handeingabe  'Bilanzjahr + 5 Jahre' entsprechen, sollte nur eine Maßnahme im  'Bilanzjahr + 5 Jahre' umgesetzt werden.","")</f>
        <v/>
      </c>
      <c r="S80" s="3"/>
      <c r="T80" s="3"/>
      <c r="U80" s="3"/>
      <c r="V80" s="3"/>
      <c r="W80" s="3"/>
      <c r="X80" s="3"/>
      <c r="Y80" s="3"/>
      <c r="Z80" s="3"/>
      <c r="AA80" s="3"/>
      <c r="AB80" s="3"/>
      <c r="AC80" s="3"/>
      <c r="AD80" s="3"/>
      <c r="AE80" s="3"/>
      <c r="AF80" s="3"/>
      <c r="AG80" s="3"/>
      <c r="AH80" s="3"/>
    </row>
    <row r="84" spans="4:8" hidden="1" x14ac:dyDescent="0.2"/>
    <row r="85" spans="4:8" hidden="1" x14ac:dyDescent="0.2">
      <c r="D85" s="444">
        <f>SUM(D25:D28)+SUM(D31:D33)+SUM(D40:D42)</f>
        <v>35800</v>
      </c>
      <c r="E85" s="444">
        <f t="shared" ref="E85:H85" si="0">SUM(E25:E28)+SUM(E31:E33)+SUM(E40:E42)</f>
        <v>35800</v>
      </c>
      <c r="F85" s="444">
        <f t="shared" si="0"/>
        <v>35800</v>
      </c>
      <c r="G85" s="444">
        <f t="shared" si="0"/>
        <v>35800</v>
      </c>
      <c r="H85" s="444">
        <f t="shared" si="0"/>
        <v>35800</v>
      </c>
    </row>
    <row r="86" spans="4:8" hidden="1" x14ac:dyDescent="0.2"/>
    <row r="101" spans="19:19" x14ac:dyDescent="0.2">
      <c r="S101" s="2" t="str">
        <f>IF($H$16&gt;0,"Bitte den Handeingabewert 'Umstellung Dieselstapler' für 'Bilanzjahr +10 Jahre' und ggf. 'Bilanzjahr +5 Jahre' auch anpassen. Diese Werte dürfen nicht größer Ihrer Handeingabe 'Anzahl Dieselstapler im Werk' sein. Ansonsten ist die Berechnung fehlerhaft.","")</f>
        <v/>
      </c>
    </row>
    <row r="181" spans="30:30" x14ac:dyDescent="0.2">
      <c r="AD181" s="2" t="s">
        <v>474</v>
      </c>
    </row>
    <row r="184" spans="30:30" x14ac:dyDescent="0.2">
      <c r="AD184" s="2" t="s">
        <v>474</v>
      </c>
    </row>
    <row r="217" spans="31:31" x14ac:dyDescent="0.2">
      <c r="AE217" s="2" t="s">
        <v>470</v>
      </c>
    </row>
    <row r="218" spans="31:31" x14ac:dyDescent="0.2">
      <c r="AE218" s="2" t="s">
        <v>471</v>
      </c>
    </row>
    <row r="220" spans="31:31" x14ac:dyDescent="0.2">
      <c r="AE220" s="2" t="s">
        <v>472</v>
      </c>
    </row>
    <row r="221" spans="31:31" x14ac:dyDescent="0.2">
      <c r="AE221" s="2" t="s">
        <v>473</v>
      </c>
    </row>
  </sheetData>
  <sheetProtection algorithmName="SHA-512" hashValue="iIIJ9mlYFEwYED3oHP56dXtql0uxqfNJzb9u1qFIyoHWHmyoHaZFJXQZdJ+EpbB5gHNMhBP2uqsbb9Rztdn6KQ==" saltValue="4hkWEB9bHtYeMyteaLzxIw==" spinCount="100000" sheet="1" selectLockedCells="1"/>
  <hyperlinks>
    <hyperlink ref="B1" location="Cockpit!A1" display="zurück zu Cockpit" xr:uid="{D0FB8AAE-5E3F-47B6-9D94-FA9986ECBBC6}"/>
  </hyperlinks>
  <printOptions horizontalCentered="1"/>
  <pageMargins left="0.39370078740157483" right="0.39370078740157483" top="0.39370078740157483" bottom="0.59055118110236227" header="0.19685039370078741" footer="0.19685039370078741"/>
  <pageSetup paperSize="9" scale="51" fitToWidth="2" orientation="portrait" verticalDpi="601" r:id="rId1"/>
  <colBreaks count="2" manualBreakCount="2">
    <brk id="9" min="1" max="75" man="1"/>
    <brk id="18" min="1" max="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00285-D3A6-4863-BE85-8BA39F29FA35}">
  <sheetPr>
    <pageSetUpPr fitToPage="1"/>
  </sheetPr>
  <dimension ref="A1:R33"/>
  <sheetViews>
    <sheetView workbookViewId="0"/>
  </sheetViews>
  <sheetFormatPr baseColWidth="10" defaultColWidth="9" defaultRowHeight="12.75" x14ac:dyDescent="0.2"/>
  <cols>
    <col min="1" max="2" width="3.625" style="2" customWidth="1"/>
    <col min="3" max="3" width="32.25" style="2" customWidth="1"/>
    <col min="4" max="4" width="9" style="2"/>
    <col min="5" max="5" width="14.125" style="2" customWidth="1"/>
    <col min="6" max="6" width="1.875" style="2" customWidth="1"/>
    <col min="7" max="7" width="14.75" style="2" customWidth="1"/>
    <col min="8" max="8" width="5.125" style="124" customWidth="1"/>
    <col min="9" max="9" width="14.75" style="2" customWidth="1"/>
    <col min="10" max="10" width="1.875" style="2" customWidth="1"/>
    <col min="11" max="11" width="14.75" style="2" customWidth="1"/>
    <col min="12" max="12" width="5.125" style="124" customWidth="1"/>
    <col min="13" max="13" width="14.75" style="2" customWidth="1"/>
    <col min="14" max="14" width="1.875" style="2" customWidth="1"/>
    <col min="15" max="15" width="14.75" style="2" customWidth="1"/>
    <col min="16" max="16" width="2.125" style="2" customWidth="1"/>
    <col min="17" max="17" width="9" style="2"/>
    <col min="18" max="18" width="2.5" style="2" customWidth="1"/>
    <col min="19" max="16384" width="9" style="2"/>
  </cols>
  <sheetData>
    <row r="1" spans="1:18" x14ac:dyDescent="0.2">
      <c r="A1" s="425" t="s">
        <v>467</v>
      </c>
    </row>
    <row r="2" spans="1:18" x14ac:dyDescent="0.2">
      <c r="B2" s="3"/>
      <c r="C2" s="3"/>
      <c r="D2" s="3"/>
      <c r="E2" s="3"/>
      <c r="F2" s="3"/>
      <c r="G2" s="3"/>
      <c r="H2" s="114"/>
      <c r="I2" s="3"/>
      <c r="J2" s="3"/>
      <c r="K2" s="3"/>
      <c r="L2" s="114"/>
      <c r="M2" s="3"/>
      <c r="N2" s="3"/>
      <c r="O2" s="3"/>
      <c r="P2" s="3"/>
      <c r="Q2" s="3"/>
      <c r="R2" s="3"/>
    </row>
    <row r="3" spans="1:18" ht="18" x14ac:dyDescent="0.2">
      <c r="B3" s="3"/>
      <c r="C3" s="470" t="s">
        <v>262</v>
      </c>
      <c r="D3" s="470"/>
      <c r="E3" s="470"/>
      <c r="F3" s="3"/>
      <c r="G3" s="3"/>
      <c r="H3" s="114"/>
      <c r="I3" s="3"/>
      <c r="J3" s="3"/>
      <c r="K3" s="3"/>
      <c r="L3" s="114"/>
      <c r="M3" s="3"/>
      <c r="N3" s="3"/>
      <c r="O3" s="3"/>
      <c r="P3" s="3"/>
      <c r="Q3" s="3"/>
      <c r="R3" s="3"/>
    </row>
    <row r="4" spans="1:18" x14ac:dyDescent="0.2">
      <c r="B4" s="3"/>
      <c r="C4" s="3"/>
      <c r="D4" s="3"/>
      <c r="E4" s="3"/>
      <c r="F4" s="3"/>
      <c r="G4" s="3"/>
      <c r="H4" s="114"/>
      <c r="I4" s="3"/>
      <c r="J4" s="3"/>
      <c r="K4" s="3"/>
      <c r="L4" s="114"/>
      <c r="M4" s="3"/>
      <c r="N4" s="3"/>
      <c r="O4" s="3"/>
      <c r="P4" s="3"/>
      <c r="Q4" s="3"/>
      <c r="R4" s="3"/>
    </row>
    <row r="5" spans="1:18" ht="70.5" customHeight="1" x14ac:dyDescent="0.2">
      <c r="B5" s="3"/>
      <c r="C5" s="471" t="s">
        <v>291</v>
      </c>
      <c r="D5" s="471"/>
      <c r="E5" s="471"/>
      <c r="F5" s="471"/>
      <c r="G5" s="471"/>
      <c r="H5" s="471"/>
      <c r="I5" s="471"/>
      <c r="J5" s="471"/>
      <c r="K5" s="471"/>
      <c r="L5" s="471"/>
      <c r="M5" s="471"/>
      <c r="N5" s="14"/>
      <c r="O5" s="14"/>
      <c r="P5" s="14"/>
      <c r="Q5" s="3"/>
      <c r="R5" s="3"/>
    </row>
    <row r="6" spans="1:18" x14ac:dyDescent="0.2">
      <c r="B6" s="3"/>
      <c r="C6" s="3"/>
      <c r="D6" s="3"/>
      <c r="E6" s="3"/>
      <c r="F6" s="3"/>
      <c r="G6" s="3"/>
      <c r="H6" s="114"/>
      <c r="I6" s="3"/>
      <c r="J6" s="3"/>
      <c r="K6" s="3"/>
      <c r="L6" s="114"/>
      <c r="M6" s="3"/>
      <c r="N6" s="3"/>
      <c r="O6" s="3"/>
      <c r="P6" s="3"/>
      <c r="Q6" s="3"/>
      <c r="R6" s="3"/>
    </row>
    <row r="7" spans="1:18" ht="38.25" x14ac:dyDescent="0.2">
      <c r="B7" s="3"/>
      <c r="C7" s="3"/>
      <c r="D7" s="3"/>
      <c r="E7" s="121" t="s">
        <v>428</v>
      </c>
      <c r="F7" s="3"/>
      <c r="G7" s="121" t="s">
        <v>429</v>
      </c>
      <c r="H7" s="11"/>
      <c r="I7" s="121" t="s">
        <v>85</v>
      </c>
      <c r="J7" s="8"/>
      <c r="K7" s="121" t="s">
        <v>430</v>
      </c>
      <c r="L7" s="11"/>
      <c r="M7" s="121" t="s">
        <v>85</v>
      </c>
      <c r="N7" s="8"/>
      <c r="O7" s="121" t="s">
        <v>430</v>
      </c>
      <c r="P7" s="3"/>
      <c r="Q7" s="3"/>
      <c r="R7" s="3"/>
    </row>
    <row r="8" spans="1:18" x14ac:dyDescent="0.2">
      <c r="B8" s="3"/>
      <c r="C8" s="8" t="s">
        <v>18</v>
      </c>
      <c r="D8" s="8" t="s">
        <v>19</v>
      </c>
      <c r="E8" s="121">
        <f>2020</f>
        <v>2020</v>
      </c>
      <c r="F8" s="8"/>
      <c r="G8" s="121">
        <f>'Referenz Plattenfertiger'!D9</f>
        <v>0</v>
      </c>
      <c r="H8" s="116"/>
      <c r="I8" s="121">
        <v>2025</v>
      </c>
      <c r="J8" s="3"/>
      <c r="K8" s="121">
        <f>G8+5</f>
        <v>5</v>
      </c>
      <c r="L8" s="116"/>
      <c r="M8" s="121">
        <v>2030</v>
      </c>
      <c r="N8" s="3"/>
      <c r="O8" s="121">
        <f>G8+10</f>
        <v>10</v>
      </c>
      <c r="P8" s="114"/>
      <c r="Q8" s="3"/>
      <c r="R8" s="3"/>
    </row>
    <row r="9" spans="1:18" ht="4.5" customHeight="1" x14ac:dyDescent="0.2">
      <c r="B9" s="3"/>
      <c r="C9" s="3"/>
      <c r="D9" s="3"/>
      <c r="E9" s="114"/>
      <c r="F9" s="3"/>
      <c r="G9" s="114"/>
      <c r="H9" s="114"/>
      <c r="I9" s="114"/>
      <c r="J9" s="114"/>
      <c r="K9" s="114"/>
      <c r="L9" s="114"/>
      <c r="M9" s="114"/>
      <c r="N9" s="114"/>
      <c r="O9" s="114"/>
      <c r="P9" s="114"/>
      <c r="Q9" s="3"/>
      <c r="R9" s="3"/>
    </row>
    <row r="10" spans="1:18" x14ac:dyDescent="0.2">
      <c r="B10" s="3"/>
      <c r="C10" s="3" t="s">
        <v>29</v>
      </c>
      <c r="D10" s="122" t="s">
        <v>86</v>
      </c>
      <c r="E10" s="122">
        <f>'Default Preise'!J9</f>
        <v>61</v>
      </c>
      <c r="F10" s="3"/>
      <c r="G10" s="125"/>
      <c r="H10" s="114"/>
      <c r="I10" s="122">
        <f>$E10</f>
        <v>61</v>
      </c>
      <c r="J10" s="3"/>
      <c r="K10" s="125"/>
      <c r="L10" s="114"/>
      <c r="M10" s="122">
        <f>$E10</f>
        <v>61</v>
      </c>
      <c r="N10" s="3"/>
      <c r="O10" s="125"/>
      <c r="P10" s="114"/>
      <c r="Q10" s="3"/>
      <c r="R10" s="3"/>
    </row>
    <row r="11" spans="1:18" x14ac:dyDescent="0.2">
      <c r="B11" s="3"/>
      <c r="C11" s="3" t="s">
        <v>30</v>
      </c>
      <c r="D11" s="122" t="s">
        <v>86</v>
      </c>
      <c r="E11" s="122">
        <f>'Default Preise'!J10</f>
        <v>46</v>
      </c>
      <c r="F11" s="3"/>
      <c r="G11" s="125"/>
      <c r="H11" s="114"/>
      <c r="I11" s="122">
        <f t="shared" ref="I11:I15" si="0">$E11</f>
        <v>46</v>
      </c>
      <c r="J11" s="3"/>
      <c r="K11" s="125"/>
      <c r="L11" s="114"/>
      <c r="M11" s="122">
        <f t="shared" ref="M11:M15" si="1">$E11</f>
        <v>46</v>
      </c>
      <c r="N11" s="3"/>
      <c r="O11" s="125"/>
      <c r="P11" s="114"/>
      <c r="Q11" s="3"/>
      <c r="R11" s="3"/>
    </row>
    <row r="12" spans="1:18" x14ac:dyDescent="0.2">
      <c r="B12" s="3"/>
      <c r="C12" s="3" t="s">
        <v>31</v>
      </c>
      <c r="D12" s="122" t="s">
        <v>86</v>
      </c>
      <c r="E12" s="122">
        <f>'Default Preise'!J11</f>
        <v>172</v>
      </c>
      <c r="F12" s="3"/>
      <c r="G12" s="125"/>
      <c r="H12" s="114"/>
      <c r="I12" s="122">
        <f t="shared" si="0"/>
        <v>172</v>
      </c>
      <c r="J12" s="3"/>
      <c r="K12" s="125"/>
      <c r="L12" s="114"/>
      <c r="M12" s="122">
        <f t="shared" si="1"/>
        <v>172</v>
      </c>
      <c r="N12" s="3"/>
      <c r="O12" s="125"/>
      <c r="P12" s="114"/>
      <c r="Q12" s="3"/>
      <c r="R12" s="3"/>
    </row>
    <row r="13" spans="1:18" x14ac:dyDescent="0.2">
      <c r="B13" s="3"/>
      <c r="C13" s="3" t="s">
        <v>111</v>
      </c>
      <c r="D13" s="122" t="s">
        <v>86</v>
      </c>
      <c r="E13" s="122">
        <f>'Default Preise'!J13</f>
        <v>40</v>
      </c>
      <c r="F13" s="3"/>
      <c r="G13" s="125"/>
      <c r="H13" s="114"/>
      <c r="I13" s="122">
        <f>E13</f>
        <v>40</v>
      </c>
      <c r="J13" s="3"/>
      <c r="K13" s="125"/>
      <c r="L13" s="114"/>
      <c r="M13" s="122">
        <f>E13</f>
        <v>40</v>
      </c>
      <c r="N13" s="3"/>
      <c r="O13" s="125"/>
      <c r="P13" s="114"/>
      <c r="Q13" s="3"/>
      <c r="R13" s="3"/>
    </row>
    <row r="14" spans="1:18" x14ac:dyDescent="0.2">
      <c r="B14" s="3"/>
      <c r="C14" s="3" t="s">
        <v>32</v>
      </c>
      <c r="D14" s="122" t="s">
        <v>109</v>
      </c>
      <c r="E14" s="122">
        <f>'Default Preise'!J14</f>
        <v>1.1240000000000001</v>
      </c>
      <c r="F14" s="3"/>
      <c r="G14" s="125"/>
      <c r="H14" s="114"/>
      <c r="I14" s="122">
        <f>E14</f>
        <v>1.1240000000000001</v>
      </c>
      <c r="J14" s="3"/>
      <c r="K14" s="125"/>
      <c r="L14" s="114"/>
      <c r="M14" s="122">
        <f>I14</f>
        <v>1.1240000000000001</v>
      </c>
      <c r="N14" s="3"/>
      <c r="O14" s="125"/>
      <c r="P14" s="114"/>
      <c r="Q14" s="3"/>
      <c r="R14" s="3"/>
    </row>
    <row r="15" spans="1:18" x14ac:dyDescent="0.2">
      <c r="B15" s="3"/>
      <c r="C15" s="3" t="s">
        <v>68</v>
      </c>
      <c r="D15" s="122" t="s">
        <v>86</v>
      </c>
      <c r="E15" s="122">
        <f>'Default Preise'!J12</f>
        <v>174.5</v>
      </c>
      <c r="F15" s="3"/>
      <c r="G15" s="125"/>
      <c r="H15" s="114"/>
      <c r="I15" s="122">
        <f t="shared" si="0"/>
        <v>174.5</v>
      </c>
      <c r="J15" s="3"/>
      <c r="K15" s="125"/>
      <c r="L15" s="114"/>
      <c r="M15" s="122">
        <f t="shared" si="1"/>
        <v>174.5</v>
      </c>
      <c r="N15" s="3"/>
      <c r="O15" s="125"/>
      <c r="P15" s="114"/>
      <c r="Q15" s="3"/>
      <c r="R15" s="3"/>
    </row>
    <row r="16" spans="1:18" x14ac:dyDescent="0.2">
      <c r="B16" s="3"/>
      <c r="C16" s="125" t="s">
        <v>115</v>
      </c>
      <c r="D16" s="122" t="s">
        <v>86</v>
      </c>
      <c r="E16" s="123" t="s">
        <v>107</v>
      </c>
      <c r="F16" s="3"/>
      <c r="G16" s="125"/>
      <c r="H16" s="114"/>
      <c r="I16" s="123" t="s">
        <v>107</v>
      </c>
      <c r="J16" s="3"/>
      <c r="K16" s="125"/>
      <c r="L16" s="114"/>
      <c r="M16" s="123" t="s">
        <v>107</v>
      </c>
      <c r="N16" s="3"/>
      <c r="O16" s="125"/>
      <c r="P16" s="114"/>
      <c r="Q16" s="3"/>
      <c r="R16" s="3"/>
    </row>
    <row r="17" spans="2:18" x14ac:dyDescent="0.2">
      <c r="B17" s="3"/>
      <c r="C17" s="125" t="s">
        <v>135</v>
      </c>
      <c r="D17" s="122" t="s">
        <v>86</v>
      </c>
      <c r="E17" s="123" t="s">
        <v>107</v>
      </c>
      <c r="F17" s="3"/>
      <c r="G17" s="125"/>
      <c r="H17" s="114"/>
      <c r="I17" s="123" t="s">
        <v>107</v>
      </c>
      <c r="J17" s="3"/>
      <c r="K17" s="125"/>
      <c r="L17" s="114"/>
      <c r="M17" s="123" t="s">
        <v>107</v>
      </c>
      <c r="N17" s="3"/>
      <c r="O17" s="125"/>
      <c r="P17" s="114"/>
      <c r="Q17" s="3"/>
      <c r="R17" s="3"/>
    </row>
    <row r="18" spans="2:18" x14ac:dyDescent="0.2">
      <c r="B18" s="3"/>
      <c r="C18" s="3"/>
      <c r="D18" s="3"/>
      <c r="E18" s="3"/>
      <c r="F18" s="3"/>
      <c r="G18" s="3"/>
      <c r="H18" s="114"/>
      <c r="I18" s="3"/>
      <c r="J18" s="3"/>
      <c r="K18" s="3"/>
      <c r="L18" s="114"/>
      <c r="M18" s="3"/>
      <c r="N18" s="3"/>
      <c r="O18" s="3"/>
      <c r="P18" s="114"/>
      <c r="Q18" s="3"/>
      <c r="R18" s="3"/>
    </row>
    <row r="19" spans="2:18" x14ac:dyDescent="0.2">
      <c r="B19" s="3"/>
      <c r="C19" s="3"/>
      <c r="D19" s="3"/>
      <c r="E19" s="3"/>
      <c r="F19" s="3"/>
      <c r="G19" s="3"/>
      <c r="H19" s="114"/>
      <c r="I19" s="3"/>
      <c r="J19" s="3"/>
      <c r="K19" s="3"/>
      <c r="L19" s="114"/>
      <c r="M19" s="3"/>
      <c r="N19" s="3"/>
      <c r="O19" s="3"/>
      <c r="P19" s="114"/>
      <c r="Q19" s="3"/>
      <c r="R19" s="3"/>
    </row>
    <row r="20" spans="2:18" ht="14.25" x14ac:dyDescent="0.25">
      <c r="B20" s="3"/>
      <c r="C20" s="8" t="s">
        <v>122</v>
      </c>
      <c r="D20" s="3"/>
      <c r="E20" s="3"/>
      <c r="F20" s="3"/>
      <c r="G20" s="3"/>
      <c r="H20" s="114"/>
      <c r="I20" s="3"/>
      <c r="J20" s="3"/>
      <c r="K20" s="3"/>
      <c r="L20" s="114"/>
      <c r="M20" s="3"/>
      <c r="N20" s="3"/>
      <c r="O20" s="3"/>
      <c r="P20" s="114"/>
      <c r="Q20" s="3"/>
      <c r="R20" s="3"/>
    </row>
    <row r="21" spans="2:18" x14ac:dyDescent="0.2">
      <c r="B21" s="3"/>
      <c r="C21" s="3" t="s">
        <v>25</v>
      </c>
      <c r="D21" s="3" t="s">
        <v>479</v>
      </c>
      <c r="E21" s="3">
        <f>'Default Preise'!J18</f>
        <v>25</v>
      </c>
      <c r="F21" s="3"/>
      <c r="G21" s="125"/>
      <c r="H21" s="114"/>
      <c r="I21" s="3">
        <f>'Default Preise'!J19</f>
        <v>45</v>
      </c>
      <c r="J21" s="3"/>
      <c r="K21" s="125"/>
      <c r="L21" s="114"/>
      <c r="M21" s="3">
        <f>'Default Preise'!J20</f>
        <v>80</v>
      </c>
      <c r="N21" s="3"/>
      <c r="O21" s="125"/>
      <c r="P21" s="114"/>
      <c r="Q21" s="3"/>
      <c r="R21" s="3"/>
    </row>
    <row r="22" spans="2:18" x14ac:dyDescent="0.2">
      <c r="B22" s="3"/>
      <c r="C22" s="3" t="s">
        <v>26</v>
      </c>
      <c r="D22" s="3" t="s">
        <v>479</v>
      </c>
      <c r="E22" s="3">
        <f>E21</f>
        <v>25</v>
      </c>
      <c r="F22" s="3"/>
      <c r="G22" s="125"/>
      <c r="H22" s="114"/>
      <c r="I22" s="3">
        <f>'Default Preise'!J19</f>
        <v>45</v>
      </c>
      <c r="J22" s="3"/>
      <c r="K22" s="125"/>
      <c r="L22" s="114"/>
      <c r="M22" s="3">
        <f>'Default Preise'!J20</f>
        <v>80</v>
      </c>
      <c r="N22" s="3"/>
      <c r="O22" s="125"/>
      <c r="P22" s="114"/>
      <c r="Q22" s="3"/>
      <c r="R22" s="3"/>
    </row>
    <row r="23" spans="2:18" x14ac:dyDescent="0.2">
      <c r="B23" s="3"/>
      <c r="C23" s="3" t="s">
        <v>27</v>
      </c>
      <c r="D23" s="3" t="s">
        <v>479</v>
      </c>
      <c r="E23" s="3">
        <f>E22</f>
        <v>25</v>
      </c>
      <c r="F23" s="3"/>
      <c r="G23" s="125"/>
      <c r="H23" s="114"/>
      <c r="I23" s="3">
        <f>'Default Preise'!J19</f>
        <v>45</v>
      </c>
      <c r="J23" s="3"/>
      <c r="K23" s="125"/>
      <c r="L23" s="114"/>
      <c r="M23" s="3">
        <f>'Default Preise'!J20</f>
        <v>80</v>
      </c>
      <c r="N23" s="3"/>
      <c r="O23" s="125"/>
      <c r="P23" s="114"/>
      <c r="Q23" s="3"/>
      <c r="R23" s="3"/>
    </row>
    <row r="24" spans="2:18" x14ac:dyDescent="0.2">
      <c r="B24" s="3"/>
      <c r="C24" s="3"/>
      <c r="D24" s="3"/>
      <c r="E24" s="3"/>
      <c r="F24" s="3"/>
      <c r="G24" s="3"/>
      <c r="H24" s="114"/>
      <c r="I24" s="3"/>
      <c r="J24" s="3"/>
      <c r="K24" s="3"/>
      <c r="L24" s="114"/>
      <c r="M24" s="3"/>
      <c r="N24" s="3"/>
      <c r="O24" s="3"/>
      <c r="P24" s="114"/>
      <c r="Q24" s="3"/>
      <c r="R24" s="3"/>
    </row>
    <row r="25" spans="2:18" x14ac:dyDescent="0.2">
      <c r="B25" s="3"/>
      <c r="C25" s="3"/>
      <c r="D25" s="3"/>
      <c r="E25" s="3"/>
      <c r="F25" s="3"/>
      <c r="G25" s="3"/>
      <c r="H25" s="114"/>
      <c r="I25" s="3"/>
      <c r="J25" s="3"/>
      <c r="K25" s="3"/>
      <c r="L25" s="114"/>
      <c r="M25" s="3"/>
      <c r="N25" s="3"/>
      <c r="O25" s="3"/>
      <c r="P25" s="3"/>
      <c r="Q25" s="3"/>
      <c r="R25" s="3"/>
    </row>
    <row r="30" spans="2:18" x14ac:dyDescent="0.2">
      <c r="C30" s="131"/>
    </row>
    <row r="33" spans="4:4" x14ac:dyDescent="0.2">
      <c r="D33" s="131"/>
    </row>
  </sheetData>
  <sheetProtection algorithmName="SHA-512" hashValue="ZcpPF/1qULrj2Dh0Hi8p3Z0qb10z/MDATXSic/mB1QBxu/7ANB1XLJvWl+302Bf6DRZM4rq01EnJp4bB5wVg/A==" saltValue="ZLbp9qpGGrAC+Ww89YdOkg==" spinCount="100000" sheet="1" selectLockedCells="1"/>
  <mergeCells count="2">
    <mergeCell ref="C3:E3"/>
    <mergeCell ref="C5:M5"/>
  </mergeCells>
  <hyperlinks>
    <hyperlink ref="A1" location="Cockpit!A1" display="zurück zu Cockpit" xr:uid="{625FDE68-1AB4-41BD-8ACF-C5FF97A1F9A9}"/>
  </hyperlinks>
  <printOptions horizontalCentered="1"/>
  <pageMargins left="0.39370078740157483" right="0.39370078740157483" top="0.39370078740157483" bottom="0.59055118110236227" header="0.19685039370078741" footer="0.19685039370078741"/>
  <pageSetup paperSize="9" scale="78" orientation="landscape" verticalDpi="60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4CB-C7A1-49E8-A50E-A363A234FC74}">
  <sheetPr>
    <pageSetUpPr fitToPage="1"/>
  </sheetPr>
  <dimension ref="A1:O34"/>
  <sheetViews>
    <sheetView workbookViewId="0"/>
  </sheetViews>
  <sheetFormatPr baseColWidth="10" defaultColWidth="9" defaultRowHeight="12.75" x14ac:dyDescent="0.2"/>
  <cols>
    <col min="1" max="1" width="3.625" style="2" customWidth="1"/>
    <col min="2" max="2" width="4.125" style="2" customWidth="1"/>
    <col min="3" max="3" width="26.875" style="2" customWidth="1"/>
    <col min="4" max="4" width="30.375" style="2" bestFit="1" customWidth="1"/>
    <col min="5" max="5" width="18.625" style="2" bestFit="1" customWidth="1"/>
    <col min="6" max="6" width="9.375" style="2"/>
    <col min="7" max="8" width="9" style="2"/>
    <col min="9" max="9" width="9.875" style="164" customWidth="1"/>
    <col min="10" max="10" width="14.5" style="2" customWidth="1"/>
    <col min="11" max="11" width="8.375" style="2" customWidth="1"/>
    <col min="12" max="12" width="86.375" style="2" customWidth="1"/>
    <col min="13" max="13" width="5.875" style="2" customWidth="1"/>
    <col min="14" max="16384" width="9" style="2"/>
  </cols>
  <sheetData>
    <row r="1" spans="1:15" x14ac:dyDescent="0.2">
      <c r="A1" s="425" t="s">
        <v>467</v>
      </c>
    </row>
    <row r="2" spans="1:15" x14ac:dyDescent="0.2">
      <c r="A2" s="126"/>
      <c r="B2" s="127"/>
      <c r="C2" s="128"/>
      <c r="D2" s="128"/>
      <c r="E2" s="127"/>
      <c r="F2" s="127"/>
      <c r="G2" s="127"/>
      <c r="H2" s="127"/>
      <c r="I2" s="129"/>
      <c r="J2" s="127"/>
      <c r="K2" s="127"/>
      <c r="L2" s="127"/>
      <c r="M2" s="127"/>
      <c r="N2" s="126"/>
      <c r="O2" s="126"/>
    </row>
    <row r="3" spans="1:15" ht="18" x14ac:dyDescent="0.2">
      <c r="A3" s="126"/>
      <c r="B3" s="127"/>
      <c r="C3" s="470" t="s">
        <v>263</v>
      </c>
      <c r="D3" s="470"/>
      <c r="E3" s="127"/>
      <c r="F3" s="127"/>
      <c r="G3" s="127"/>
      <c r="H3" s="127"/>
      <c r="I3" s="129"/>
      <c r="J3" s="127"/>
      <c r="K3" s="127"/>
      <c r="L3" s="127"/>
      <c r="M3" s="127"/>
      <c r="N3" s="126"/>
      <c r="O3" s="126"/>
    </row>
    <row r="4" spans="1:15" ht="18" x14ac:dyDescent="0.2">
      <c r="A4" s="126"/>
      <c r="B4" s="127"/>
      <c r="C4" s="128"/>
      <c r="D4" s="130"/>
      <c r="E4" s="127"/>
      <c r="F4" s="127"/>
      <c r="G4" s="127"/>
      <c r="H4" s="127"/>
      <c r="I4" s="129"/>
      <c r="J4" s="127"/>
      <c r="K4" s="127"/>
      <c r="L4" s="127"/>
      <c r="M4" s="127"/>
      <c r="N4" s="126"/>
      <c r="O4" s="126"/>
    </row>
    <row r="5" spans="1:15" ht="32.25" customHeight="1" x14ac:dyDescent="0.2">
      <c r="A5" s="126"/>
      <c r="B5" s="127"/>
      <c r="C5" s="475" t="s">
        <v>181</v>
      </c>
      <c r="D5" s="475"/>
      <c r="E5" s="475"/>
      <c r="F5" s="475"/>
      <c r="G5" s="475"/>
      <c r="H5" s="475"/>
      <c r="I5" s="475"/>
      <c r="J5" s="475"/>
      <c r="K5" s="475"/>
      <c r="L5" s="127"/>
      <c r="M5" s="127"/>
      <c r="N5" s="126"/>
      <c r="O5" s="126"/>
    </row>
    <row r="6" spans="1:15" x14ac:dyDescent="0.2">
      <c r="A6" s="131"/>
      <c r="B6" s="8"/>
      <c r="C6" s="8"/>
      <c r="D6" s="8"/>
      <c r="E6" s="8"/>
      <c r="F6" s="8"/>
      <c r="G6" s="8"/>
      <c r="H6" s="8"/>
      <c r="I6" s="13"/>
      <c r="J6" s="8"/>
      <c r="K6" s="8"/>
      <c r="L6" s="8"/>
      <c r="M6" s="8"/>
      <c r="N6" s="131"/>
      <c r="O6" s="131"/>
    </row>
    <row r="7" spans="1:15" x14ac:dyDescent="0.2">
      <c r="A7" s="131"/>
      <c r="B7" s="8"/>
      <c r="C7" s="8"/>
      <c r="D7" s="8"/>
      <c r="E7" s="8"/>
      <c r="F7" s="13" t="s">
        <v>84</v>
      </c>
      <c r="G7" s="13"/>
      <c r="H7" s="13"/>
      <c r="I7" s="13"/>
      <c r="J7" s="472"/>
      <c r="K7" s="472"/>
      <c r="L7" s="8"/>
      <c r="M7" s="8"/>
      <c r="N7" s="131"/>
      <c r="O7" s="131"/>
    </row>
    <row r="8" spans="1:15" x14ac:dyDescent="0.2">
      <c r="A8" s="131"/>
      <c r="B8" s="8"/>
      <c r="C8" s="58" t="s">
        <v>18</v>
      </c>
      <c r="D8" s="58" t="s">
        <v>20</v>
      </c>
      <c r="E8" s="58" t="s">
        <v>19</v>
      </c>
      <c r="F8" s="59">
        <v>2020</v>
      </c>
      <c r="G8" s="59">
        <v>2021</v>
      </c>
      <c r="H8" s="59">
        <v>2022</v>
      </c>
      <c r="I8" s="59">
        <v>2025</v>
      </c>
      <c r="J8" s="473" t="s">
        <v>85</v>
      </c>
      <c r="K8" s="473"/>
      <c r="L8" s="58" t="s">
        <v>21</v>
      </c>
      <c r="M8" s="8"/>
      <c r="N8" s="131"/>
      <c r="O8" s="131"/>
    </row>
    <row r="9" spans="1:15" x14ac:dyDescent="0.2">
      <c r="B9" s="3"/>
      <c r="C9" s="132" t="s">
        <v>29</v>
      </c>
      <c r="D9" s="133" t="s">
        <v>318</v>
      </c>
      <c r="E9" s="133" t="s">
        <v>86</v>
      </c>
      <c r="F9" s="134">
        <v>60.6</v>
      </c>
      <c r="G9" s="134"/>
      <c r="H9" s="134"/>
      <c r="I9" s="134"/>
      <c r="J9" s="135">
        <f>ROUND(F9,0)</f>
        <v>61</v>
      </c>
      <c r="K9" s="136" t="s">
        <v>86</v>
      </c>
      <c r="L9" s="14" t="s">
        <v>271</v>
      </c>
      <c r="M9" s="3"/>
    </row>
    <row r="10" spans="1:15" x14ac:dyDescent="0.2">
      <c r="B10" s="3"/>
      <c r="C10" s="78" t="s">
        <v>30</v>
      </c>
      <c r="D10" s="137" t="s">
        <v>321</v>
      </c>
      <c r="E10" s="137" t="s">
        <v>117</v>
      </c>
      <c r="F10" s="138">
        <v>45</v>
      </c>
      <c r="G10" s="138"/>
      <c r="H10" s="138"/>
      <c r="I10" s="138"/>
      <c r="J10" s="139">
        <f>ROUND(F10/100/9.8/1000*10^6,0)</f>
        <v>46</v>
      </c>
      <c r="K10" s="140" t="s">
        <v>86</v>
      </c>
      <c r="L10" s="14" t="s">
        <v>182</v>
      </c>
      <c r="M10" s="3"/>
    </row>
    <row r="11" spans="1:15" ht="28.5" x14ac:dyDescent="0.2">
      <c r="B11" s="3"/>
      <c r="C11" s="132" t="s">
        <v>31</v>
      </c>
      <c r="D11" s="133" t="s">
        <v>319</v>
      </c>
      <c r="E11" s="133" t="s">
        <v>86</v>
      </c>
      <c r="F11" s="134">
        <v>172</v>
      </c>
      <c r="G11" s="134"/>
      <c r="H11" s="134"/>
      <c r="I11" s="134"/>
      <c r="J11" s="141">
        <f>F11</f>
        <v>172</v>
      </c>
      <c r="K11" s="135" t="s">
        <v>86</v>
      </c>
      <c r="L11" s="14" t="s">
        <v>272</v>
      </c>
      <c r="M11" s="3"/>
    </row>
    <row r="12" spans="1:15" x14ac:dyDescent="0.2">
      <c r="B12" s="3"/>
      <c r="C12" s="78" t="s">
        <v>92</v>
      </c>
      <c r="D12" s="137" t="s">
        <v>264</v>
      </c>
      <c r="E12" s="137" t="s">
        <v>86</v>
      </c>
      <c r="F12" s="138">
        <v>2.5</v>
      </c>
      <c r="G12" s="138"/>
      <c r="H12" s="138"/>
      <c r="I12" s="138"/>
      <c r="J12" s="142">
        <f>J11+F12</f>
        <v>174.5</v>
      </c>
      <c r="K12" s="143" t="s">
        <v>86</v>
      </c>
      <c r="L12" s="14" t="s">
        <v>313</v>
      </c>
      <c r="M12" s="116"/>
    </row>
    <row r="13" spans="1:15" x14ac:dyDescent="0.2">
      <c r="B13" s="3"/>
      <c r="C13" s="132" t="s">
        <v>111</v>
      </c>
      <c r="D13" s="133" t="s">
        <v>322</v>
      </c>
      <c r="E13" s="133" t="s">
        <v>156</v>
      </c>
      <c r="F13" s="134">
        <v>56.03</v>
      </c>
      <c r="G13" s="134"/>
      <c r="H13" s="134"/>
      <c r="I13" s="134"/>
      <c r="J13" s="144">
        <f>ROUND(F13*7.111/10,0)</f>
        <v>40</v>
      </c>
      <c r="K13" s="135" t="s">
        <v>86</v>
      </c>
      <c r="L13" s="14" t="s">
        <v>312</v>
      </c>
      <c r="M13" s="3"/>
    </row>
    <row r="14" spans="1:15" x14ac:dyDescent="0.2">
      <c r="B14" s="3"/>
      <c r="C14" s="78" t="s">
        <v>32</v>
      </c>
      <c r="D14" s="137" t="s">
        <v>320</v>
      </c>
      <c r="E14" s="137" t="s">
        <v>117</v>
      </c>
      <c r="F14" s="138">
        <v>112.4</v>
      </c>
      <c r="G14" s="138"/>
      <c r="H14" s="138"/>
      <c r="I14" s="138"/>
      <c r="J14" s="145">
        <f>F14/100</f>
        <v>1.1240000000000001</v>
      </c>
      <c r="K14" s="143" t="s">
        <v>109</v>
      </c>
      <c r="L14" s="14" t="s">
        <v>118</v>
      </c>
      <c r="M14" s="3"/>
    </row>
    <row r="15" spans="1:15" ht="15.75" x14ac:dyDescent="0.2">
      <c r="B15" s="3"/>
      <c r="C15" s="132" t="s">
        <v>480</v>
      </c>
      <c r="D15" s="133" t="s">
        <v>273</v>
      </c>
      <c r="E15" s="133" t="s">
        <v>265</v>
      </c>
      <c r="F15" s="134">
        <v>24.45</v>
      </c>
      <c r="G15" s="134"/>
      <c r="H15" s="134"/>
      <c r="I15" s="134"/>
      <c r="J15" s="146"/>
      <c r="K15" s="146"/>
      <c r="L15" s="14" t="s">
        <v>267</v>
      </c>
      <c r="M15" s="3"/>
    </row>
    <row r="16" spans="1:15" ht="15.75" x14ac:dyDescent="0.2">
      <c r="B16" s="3"/>
      <c r="C16" s="132"/>
      <c r="D16" s="421" t="s">
        <v>274</v>
      </c>
      <c r="E16" s="133" t="s">
        <v>265</v>
      </c>
      <c r="F16" s="134"/>
      <c r="G16" s="134">
        <v>52.68</v>
      </c>
      <c r="H16" s="134"/>
      <c r="I16" s="134"/>
      <c r="J16" s="146"/>
      <c r="K16" s="146"/>
      <c r="L16" s="14" t="s">
        <v>268</v>
      </c>
      <c r="M16" s="3"/>
    </row>
    <row r="17" spans="2:15" ht="15.75" x14ac:dyDescent="0.2">
      <c r="B17" s="3"/>
      <c r="C17" s="132"/>
      <c r="D17" s="133" t="s">
        <v>275</v>
      </c>
      <c r="E17" s="133" t="s">
        <v>265</v>
      </c>
      <c r="F17" s="134"/>
      <c r="G17" s="134"/>
      <c r="H17" s="134">
        <v>81.069999999999993</v>
      </c>
      <c r="I17" s="134"/>
      <c r="J17" s="146"/>
      <c r="K17" s="146"/>
      <c r="L17" s="14" t="s">
        <v>269</v>
      </c>
      <c r="M17" s="3"/>
    </row>
    <row r="18" spans="2:15" ht="15.75" x14ac:dyDescent="0.2">
      <c r="B18" s="3"/>
      <c r="C18" s="132"/>
      <c r="D18" s="133" t="s">
        <v>481</v>
      </c>
      <c r="E18" s="133" t="s">
        <v>265</v>
      </c>
      <c r="F18" s="134">
        <v>0</v>
      </c>
      <c r="G18" s="134">
        <v>25</v>
      </c>
      <c r="H18" s="134">
        <v>30</v>
      </c>
      <c r="I18" s="134">
        <v>45</v>
      </c>
      <c r="J18" s="146">
        <f>ROUNDUP(F15,0)</f>
        <v>25</v>
      </c>
      <c r="K18" s="146" t="s">
        <v>266</v>
      </c>
      <c r="L18" s="14" t="s">
        <v>76</v>
      </c>
      <c r="M18" s="122"/>
      <c r="N18" s="147"/>
      <c r="O18" s="147"/>
    </row>
    <row r="19" spans="2:15" ht="14.25" x14ac:dyDescent="0.2">
      <c r="B19" s="3"/>
      <c r="C19" s="132"/>
      <c r="D19" s="148"/>
      <c r="E19" s="148"/>
      <c r="F19" s="149"/>
      <c r="G19" s="149"/>
      <c r="H19" s="149"/>
      <c r="I19" s="149"/>
      <c r="J19" s="146">
        <f>I18</f>
        <v>45</v>
      </c>
      <c r="K19" s="146" t="s">
        <v>266</v>
      </c>
      <c r="L19" s="14" t="s">
        <v>94</v>
      </c>
      <c r="M19" s="122"/>
      <c r="N19" s="147"/>
      <c r="O19" s="147"/>
    </row>
    <row r="20" spans="2:15" ht="14.25" x14ac:dyDescent="0.2">
      <c r="B20" s="3"/>
      <c r="C20" s="132"/>
      <c r="D20" s="44"/>
      <c r="E20" s="44"/>
      <c r="F20" s="150"/>
      <c r="G20" s="150"/>
      <c r="H20" s="150"/>
      <c r="I20" s="151"/>
      <c r="J20" s="141">
        <f>ROUNDDOWN(H17,-1)</f>
        <v>80</v>
      </c>
      <c r="K20" s="146" t="s">
        <v>266</v>
      </c>
      <c r="L20" s="14" t="s">
        <v>93</v>
      </c>
      <c r="M20" s="122"/>
      <c r="N20" s="147"/>
      <c r="O20" s="147"/>
    </row>
    <row r="21" spans="2:15" x14ac:dyDescent="0.2">
      <c r="B21" s="3"/>
      <c r="C21" s="152"/>
      <c r="D21" s="152"/>
      <c r="E21" s="152"/>
      <c r="F21" s="152"/>
      <c r="G21" s="152"/>
      <c r="H21" s="152"/>
      <c r="I21" s="153"/>
      <c r="J21" s="154"/>
      <c r="K21" s="154"/>
      <c r="L21" s="14"/>
      <c r="M21" s="3"/>
    </row>
    <row r="22" spans="2:15" x14ac:dyDescent="0.2">
      <c r="B22" s="3"/>
      <c r="C22" s="78"/>
      <c r="D22" s="15"/>
      <c r="E22" s="15"/>
      <c r="F22" s="15"/>
      <c r="G22" s="15"/>
      <c r="H22" s="15"/>
      <c r="I22" s="155"/>
      <c r="J22" s="15"/>
      <c r="K22" s="15"/>
      <c r="L22" s="14"/>
      <c r="M22" s="3"/>
    </row>
    <row r="23" spans="2:15" x14ac:dyDescent="0.2">
      <c r="B23" s="3"/>
      <c r="C23" s="78"/>
      <c r="D23" s="78"/>
      <c r="E23" s="78"/>
      <c r="F23" s="78"/>
      <c r="G23" s="78"/>
      <c r="H23" s="78"/>
      <c r="I23" s="78"/>
      <c r="J23" s="78"/>
      <c r="K23" s="78"/>
      <c r="L23" s="14"/>
      <c r="M23" s="3"/>
    </row>
    <row r="24" spans="2:15" x14ac:dyDescent="0.2">
      <c r="B24" s="3"/>
      <c r="C24" s="117" t="s">
        <v>22</v>
      </c>
      <c r="D24" s="117" t="s">
        <v>468</v>
      </c>
      <c r="E24" s="117" t="s">
        <v>19</v>
      </c>
      <c r="F24" s="156"/>
      <c r="G24" s="156"/>
      <c r="H24" s="156"/>
      <c r="I24" s="47"/>
      <c r="J24" s="474" t="s">
        <v>85</v>
      </c>
      <c r="K24" s="474"/>
      <c r="L24" s="58" t="s">
        <v>21</v>
      </c>
      <c r="M24" s="3"/>
    </row>
    <row r="25" spans="2:15" x14ac:dyDescent="0.2">
      <c r="B25" s="3"/>
      <c r="C25" s="78" t="s">
        <v>24</v>
      </c>
      <c r="D25" s="157" t="s">
        <v>87</v>
      </c>
      <c r="E25" s="15" t="s">
        <v>89</v>
      </c>
      <c r="F25" s="15">
        <v>5</v>
      </c>
      <c r="G25" s="15"/>
      <c r="H25" s="15"/>
      <c r="I25" s="158"/>
      <c r="J25" s="159"/>
      <c r="K25" s="159"/>
      <c r="L25" s="14"/>
      <c r="M25" s="3"/>
    </row>
    <row r="26" spans="2:15" x14ac:dyDescent="0.2">
      <c r="B26" s="3"/>
      <c r="C26" s="156"/>
      <c r="D26" s="160" t="s">
        <v>90</v>
      </c>
      <c r="E26" s="156" t="s">
        <v>89</v>
      </c>
      <c r="F26" s="156">
        <v>10</v>
      </c>
      <c r="G26" s="156"/>
      <c r="H26" s="156"/>
      <c r="I26" s="161"/>
      <c r="J26" s="162">
        <v>8</v>
      </c>
      <c r="K26" s="162" t="s">
        <v>89</v>
      </c>
      <c r="L26" s="14" t="s">
        <v>91</v>
      </c>
      <c r="M26" s="3"/>
    </row>
    <row r="27" spans="2:15" x14ac:dyDescent="0.2">
      <c r="B27" s="3"/>
      <c r="C27" s="15"/>
      <c r="D27" s="15"/>
      <c r="E27" s="15"/>
      <c r="F27" s="15"/>
      <c r="G27" s="15"/>
      <c r="H27" s="15"/>
      <c r="I27" s="158"/>
      <c r="J27" s="159"/>
      <c r="K27" s="159"/>
      <c r="L27" s="15"/>
      <c r="M27" s="3"/>
    </row>
    <row r="28" spans="2:15" x14ac:dyDescent="0.2">
      <c r="B28" s="3"/>
      <c r="C28" s="163"/>
      <c r="D28" s="3"/>
      <c r="E28" s="3"/>
      <c r="F28" s="3"/>
      <c r="G28" s="3"/>
      <c r="H28" s="3"/>
      <c r="I28" s="163"/>
      <c r="J28" s="3"/>
      <c r="K28" s="3"/>
      <c r="L28" s="3"/>
      <c r="M28" s="3"/>
    </row>
    <row r="29" spans="2:15" x14ac:dyDescent="0.2">
      <c r="B29" s="3"/>
      <c r="C29" s="163"/>
      <c r="D29" s="3"/>
      <c r="E29" s="3"/>
      <c r="F29" s="3"/>
      <c r="G29" s="3"/>
      <c r="H29" s="3"/>
      <c r="I29" s="163"/>
      <c r="J29" s="3"/>
      <c r="K29" s="3"/>
      <c r="L29" s="3"/>
      <c r="M29" s="3"/>
    </row>
    <row r="30" spans="2:15" x14ac:dyDescent="0.2">
      <c r="B30" s="3"/>
      <c r="C30" s="13"/>
      <c r="D30" s="3"/>
      <c r="E30" s="3"/>
      <c r="F30" s="3"/>
      <c r="G30" s="3"/>
      <c r="H30" s="3"/>
      <c r="I30" s="163"/>
      <c r="J30" s="3"/>
      <c r="K30" s="3"/>
      <c r="L30" s="3"/>
      <c r="M30" s="3"/>
    </row>
    <row r="31" spans="2:15" x14ac:dyDescent="0.2">
      <c r="B31" s="3"/>
      <c r="C31" s="163"/>
      <c r="D31" s="3"/>
      <c r="E31" s="3"/>
      <c r="F31" s="3"/>
      <c r="G31" s="3"/>
      <c r="H31" s="3"/>
      <c r="I31" s="163"/>
      <c r="J31" s="3"/>
      <c r="K31" s="3"/>
      <c r="L31" s="3"/>
      <c r="M31" s="3"/>
    </row>
    <row r="32" spans="2:15" x14ac:dyDescent="0.2">
      <c r="B32" s="3"/>
      <c r="C32" s="163"/>
      <c r="D32" s="3"/>
      <c r="E32" s="3"/>
      <c r="F32" s="3"/>
      <c r="G32" s="3"/>
      <c r="H32" s="3"/>
      <c r="I32" s="163"/>
      <c r="J32" s="3"/>
      <c r="K32" s="3"/>
      <c r="L32" s="3"/>
      <c r="M32" s="3"/>
    </row>
    <row r="33" spans="2:13" x14ac:dyDescent="0.2">
      <c r="B33" s="3"/>
      <c r="C33" s="163"/>
      <c r="D33" s="8"/>
      <c r="E33" s="3"/>
      <c r="F33" s="3"/>
      <c r="G33" s="3"/>
      <c r="H33" s="3"/>
      <c r="I33" s="163"/>
      <c r="J33" s="3"/>
      <c r="K33" s="3"/>
      <c r="L33" s="3"/>
      <c r="M33" s="3"/>
    </row>
    <row r="34" spans="2:13" x14ac:dyDescent="0.2">
      <c r="B34" s="3"/>
      <c r="C34" s="163"/>
      <c r="D34" s="3"/>
      <c r="E34" s="3"/>
      <c r="F34" s="3"/>
      <c r="G34" s="3"/>
      <c r="H34" s="3"/>
      <c r="I34" s="163"/>
      <c r="J34" s="3"/>
      <c r="K34" s="3"/>
      <c r="L34" s="3"/>
      <c r="M34" s="3"/>
    </row>
  </sheetData>
  <sheetProtection algorithmName="SHA-512" hashValue="MJdiTgaOAmUXbUqDoUrjtljZFGiuDNhP88k9iDqX2ZTEi3AzFu4KjE1/8fBl0z8II2gmy+L8CcxEZUjeF3l78w==" saltValue="qmeYfVjs7dD9KY1nMB0/KQ==" spinCount="100000" sheet="1" selectLockedCells="1" selectUnlockedCells="1"/>
  <mergeCells count="5">
    <mergeCell ref="C3:D3"/>
    <mergeCell ref="J7:K7"/>
    <mergeCell ref="J8:K8"/>
    <mergeCell ref="J24:K24"/>
    <mergeCell ref="C5:K5"/>
  </mergeCells>
  <hyperlinks>
    <hyperlink ref="A1" location="Cockpit!A1" display="zurück zu Cockpit" xr:uid="{FAC611E0-59A4-4504-A16F-D5F45C2140B4}"/>
  </hyperlinks>
  <printOptions horizontalCentered="1"/>
  <pageMargins left="0.39370078740157483" right="0.39370078740157483" top="0.39370078740157483" bottom="0.59055118110236227" header="0.19685039370078741" footer="0.19685039370078741"/>
  <pageSetup paperSize="9" scale="54" orientation="landscape" verticalDpi="601"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16</vt:i4>
      </vt:variant>
    </vt:vector>
  </HeadingPairs>
  <TitlesOfParts>
    <vt:vector size="40" baseType="lpstr">
      <vt:lpstr>Cockpit</vt:lpstr>
      <vt:lpstr>Referenz Plattenfertiger</vt:lpstr>
      <vt:lpstr>THG Bilanz Jahr W</vt:lpstr>
      <vt:lpstr>THG Bilanz Jahr X </vt:lpstr>
      <vt:lpstr>THG Bilanz Jahr Y</vt:lpstr>
      <vt:lpstr>THG Bilanz Jahr Z</vt:lpstr>
      <vt:lpstr>Vergleich Bilanzjahre</vt:lpstr>
      <vt:lpstr>Eingabe Preise</vt:lpstr>
      <vt:lpstr>Default Preise</vt:lpstr>
      <vt:lpstr>Eingabe EF</vt:lpstr>
      <vt:lpstr>Default EF</vt:lpstr>
      <vt:lpstr>M1 Härtekammern</vt:lpstr>
      <vt:lpstr>M2 Fuhrpark</vt:lpstr>
      <vt:lpstr>M3 Effizienz Stapler</vt:lpstr>
      <vt:lpstr>M4 Grünstrom</vt:lpstr>
      <vt:lpstr>M5 PV-Anlage</vt:lpstr>
      <vt:lpstr>M6 allgemeine Effizienz</vt:lpstr>
      <vt:lpstr>M7 Rezeptur, Einsatzmenge</vt:lpstr>
      <vt:lpstr>M8 Rezeptur, geringerer EF</vt:lpstr>
      <vt:lpstr>M9 Rezeptur, Recycling</vt:lpstr>
      <vt:lpstr>Quellen</vt:lpstr>
      <vt:lpstr>Lizenzbedingungen Ecoinvent</vt:lpstr>
      <vt:lpstr>Impressum</vt:lpstr>
      <vt:lpstr>Drop-Down</vt:lpstr>
      <vt:lpstr>'Default Preise'!Druckbereich</vt:lpstr>
      <vt:lpstr>'Eingabe EF'!Druckbereich</vt:lpstr>
      <vt:lpstr>'M1 Härtekammern'!Druckbereich</vt:lpstr>
      <vt:lpstr>'M2 Fuhrpark'!Druckbereich</vt:lpstr>
      <vt:lpstr>'M3 Effizienz Stapler'!Druckbereich</vt:lpstr>
      <vt:lpstr>'M4 Grünstrom'!Druckbereich</vt:lpstr>
      <vt:lpstr>'M5 PV-Anlage'!Druckbereich</vt:lpstr>
      <vt:lpstr>'M6 allgemeine Effizienz'!Druckbereich</vt:lpstr>
      <vt:lpstr>'M8 Rezeptur, geringerer EF'!Druckbereich</vt:lpstr>
      <vt:lpstr>'M9 Rezeptur, Recycling'!Druckbereich</vt:lpstr>
      <vt:lpstr>'Referenz Plattenfertiger'!Druckbereich</vt:lpstr>
      <vt:lpstr>'THG Bilanz Jahr W'!Druckbereich</vt:lpstr>
      <vt:lpstr>'THG Bilanz Jahr X '!Druckbereich</vt:lpstr>
      <vt:lpstr>'THG Bilanz Jahr Y'!Druckbereich</vt:lpstr>
      <vt:lpstr>'THG Bilanz Jahr Z'!Druckbereich</vt:lpstr>
      <vt:lpstr>'Vergleich Bilanzjahre'!Druckbereich</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2024-12-04T15:08:58Z</dcterms:modified>
</cp:coreProperties>
</file>