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5.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4.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5.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2.xml" ContentType="application/vnd.openxmlformats-officedocument.spreadsheetml.comment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1.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5.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6.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698B3251-93AC-44E4-88E3-E05A74544DA7}" xr6:coauthVersionLast="47" xr6:coauthVersionMax="47" xr10:uidLastSave="{00000000-0000-0000-0000-000000000000}"/>
  <bookViews>
    <workbookView xWindow="34860" yWindow="4230" windowWidth="28800" windowHeight="15435" tabRatio="731" xr2:uid="{ADFC5FA8-1A8C-4377-A280-BC7D7046DEFE}"/>
  </bookViews>
  <sheets>
    <sheet name="Impressum" sheetId="6" r:id="rId1"/>
    <sheet name="Referenz Plattenwerk" sheetId="12" r:id="rId2"/>
    <sheet name="Eingabe Preise" sheetId="3" r:id="rId3"/>
    <sheet name="Default Preise" sheetId="13" r:id="rId4"/>
    <sheet name="Eingabe EF" sheetId="11" r:id="rId5"/>
    <sheet name="Default EF" sheetId="14" r:id="rId6"/>
    <sheet name="M1 Härtekammern" sheetId="4" r:id="rId7"/>
    <sheet name="M2 Fuhrpark" sheetId="23" r:id="rId8"/>
    <sheet name="M3 Effizienz Stapler" sheetId="24" r:id="rId9"/>
    <sheet name="M4 Grünstrom" sheetId="25" r:id="rId10"/>
    <sheet name="M5 PV-Anlage" sheetId="27" r:id="rId11"/>
    <sheet name="M6 allgemeine Effizienz" sheetId="28" r:id="rId12"/>
    <sheet name="M7 Rezeptur, Einsatzmenge" sheetId="29" r:id="rId13"/>
    <sheet name="M8 Rezeptur, geringerer EF" sheetId="30" r:id="rId14"/>
    <sheet name="M9 Rezeptur, Recycling" sheetId="31" r:id="rId15"/>
    <sheet name="Quellen" sheetId="9" r:id="rId16"/>
    <sheet name="Lizenzbedingungen Ecoinvent" sheetId="32" r:id="rId17"/>
    <sheet name="Drop-Down" sheetId="26"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29" l="1"/>
  <c r="D25" i="29"/>
  <c r="D23" i="29"/>
  <c r="E240" i="29"/>
  <c r="E239" i="29"/>
  <c r="E238" i="29"/>
  <c r="E237" i="29"/>
  <c r="E160" i="29"/>
  <c r="E159" i="29"/>
  <c r="E158" i="29"/>
  <c r="E157" i="29"/>
  <c r="E242" i="29"/>
  <c r="H281" i="29" s="1"/>
  <c r="H202" i="29"/>
  <c r="E162" i="29"/>
  <c r="D150" i="29"/>
  <c r="H268" i="31"/>
  <c r="H267" i="31"/>
  <c r="H266" i="31"/>
  <c r="H190" i="31"/>
  <c r="H189" i="31"/>
  <c r="H188" i="31"/>
  <c r="H187" i="31"/>
  <c r="D150" i="31"/>
  <c r="V43" i="12"/>
  <c r="V44" i="12"/>
  <c r="O55" i="12"/>
  <c r="O56" i="12"/>
  <c r="O57" i="12"/>
  <c r="O54" i="12"/>
  <c r="V14" i="11"/>
  <c r="F24" i="12"/>
  <c r="F22" i="12"/>
  <c r="F21" i="12"/>
  <c r="F18" i="12"/>
  <c r="F17" i="12"/>
  <c r="F16" i="12"/>
  <c r="I83" i="12" l="1"/>
  <c r="K83" i="12" s="1"/>
  <c r="I82" i="12"/>
  <c r="K82" i="12" s="1"/>
  <c r="D148" i="30"/>
  <c r="D149" i="29"/>
  <c r="D131" i="28"/>
  <c r="D126" i="27"/>
  <c r="D135" i="23"/>
  <c r="D126" i="4"/>
  <c r="X21" i="14"/>
  <c r="AA21" i="14" s="1"/>
  <c r="AA9" i="14"/>
  <c r="Z9" i="14"/>
  <c r="I74" i="12" l="1"/>
  <c r="X61" i="14"/>
  <c r="AA61" i="14" s="1"/>
  <c r="X60" i="14"/>
  <c r="AA60" i="14" s="1"/>
  <c r="X59" i="14"/>
  <c r="AA59" i="14" s="1"/>
  <c r="X58" i="14"/>
  <c r="AA58" i="14" s="1"/>
  <c r="X55" i="14"/>
  <c r="AA55" i="14" s="1"/>
  <c r="X51" i="14"/>
  <c r="AA51" i="14" s="1"/>
  <c r="X47" i="14"/>
  <c r="AA47" i="14" s="1"/>
  <c r="X43" i="14"/>
  <c r="AA43" i="14" s="1"/>
  <c r="X40" i="14"/>
  <c r="AA40" i="14" s="1"/>
  <c r="X39" i="14"/>
  <c r="AA39" i="14" s="1"/>
  <c r="X38" i="14"/>
  <c r="AA38" i="14" s="1"/>
  <c r="X37" i="14"/>
  <c r="AA37" i="14" s="1"/>
  <c r="X32" i="14"/>
  <c r="AA32" i="14" s="1"/>
  <c r="X33" i="14"/>
  <c r="AA33" i="14" s="1"/>
  <c r="X34" i="14"/>
  <c r="AA34" i="14" s="1"/>
  <c r="X29" i="14"/>
  <c r="AA29" i="14" s="1"/>
  <c r="X25" i="14"/>
  <c r="AA25" i="14" s="1"/>
  <c r="X20" i="14"/>
  <c r="AA20" i="14" s="1"/>
  <c r="X19" i="14"/>
  <c r="AA19" i="14" s="1"/>
  <c r="X16" i="14"/>
  <c r="AA16" i="14" s="1"/>
  <c r="X15" i="14"/>
  <c r="AA15" i="14" s="1"/>
  <c r="X13" i="14"/>
  <c r="AA13" i="14" s="1"/>
  <c r="V13" i="14"/>
  <c r="Y13" i="14" s="1"/>
  <c r="X11" i="14"/>
  <c r="AA11" i="14" s="1"/>
  <c r="V11" i="14"/>
  <c r="Y11" i="14" s="1"/>
  <c r="X8" i="14"/>
  <c r="AA8" i="14" s="1"/>
  <c r="V8" i="14"/>
  <c r="Y8" i="14" s="1"/>
  <c r="X7" i="14"/>
  <c r="AA7" i="14" s="1"/>
  <c r="V7" i="14"/>
  <c r="Y7" i="14" s="1"/>
  <c r="J213" i="31" l="1"/>
  <c r="J292" i="31"/>
  <c r="G289" i="31"/>
  <c r="F289" i="31"/>
  <c r="G210" i="31"/>
  <c r="F210" i="31"/>
  <c r="H209" i="30"/>
  <c r="D135" i="24"/>
  <c r="J20" i="13" l="1"/>
  <c r="D89" i="12"/>
  <c r="D88" i="12"/>
  <c r="D87" i="12"/>
  <c r="D86" i="12"/>
  <c r="D85" i="12"/>
  <c r="D84" i="12"/>
  <c r="D83" i="12"/>
  <c r="D82" i="12"/>
  <c r="D81" i="12"/>
  <c r="H213" i="29"/>
  <c r="J18" i="13" l="1"/>
  <c r="J9" i="13"/>
  <c r="J10" i="13"/>
  <c r="J13" i="13"/>
  <c r="G307" i="31" l="1"/>
  <c r="F307" i="31"/>
  <c r="H305" i="31"/>
  <c r="G305" i="31"/>
  <c r="F305" i="31"/>
  <c r="H304" i="31"/>
  <c r="G304" i="31"/>
  <c r="F304" i="31"/>
  <c r="G303" i="31"/>
  <c r="F303" i="31"/>
  <c r="H300" i="31"/>
  <c r="G300" i="31"/>
  <c r="F300" i="31"/>
  <c r="G299" i="31"/>
  <c r="F299" i="31"/>
  <c r="H298" i="31"/>
  <c r="G298" i="31"/>
  <c r="F298" i="31"/>
  <c r="G295" i="31"/>
  <c r="F295" i="31"/>
  <c r="H294" i="31"/>
  <c r="G294" i="31"/>
  <c r="F294" i="31"/>
  <c r="J291" i="31"/>
  <c r="H291" i="31"/>
  <c r="K291" i="31" s="1"/>
  <c r="J290" i="31"/>
  <c r="H290" i="31"/>
  <c r="G287" i="31"/>
  <c r="F287" i="31"/>
  <c r="G286" i="31"/>
  <c r="F286" i="31"/>
  <c r="G285" i="31"/>
  <c r="F285" i="31"/>
  <c r="G284" i="31"/>
  <c r="F284" i="31"/>
  <c r="G281" i="31"/>
  <c r="F281" i="31"/>
  <c r="G280" i="31"/>
  <c r="F280" i="31"/>
  <c r="S279" i="31"/>
  <c r="G279" i="31"/>
  <c r="F279" i="31"/>
  <c r="S276" i="31"/>
  <c r="G276" i="31"/>
  <c r="F276" i="31"/>
  <c r="G274" i="31"/>
  <c r="F274" i="31"/>
  <c r="G273" i="31"/>
  <c r="F273" i="31"/>
  <c r="G272" i="31"/>
  <c r="F272" i="31"/>
  <c r="S264" i="31"/>
  <c r="W98" i="31" s="1"/>
  <c r="G263" i="31"/>
  <c r="F263" i="31"/>
  <c r="G262" i="31"/>
  <c r="F262" i="31"/>
  <c r="G260" i="31"/>
  <c r="G259" i="31"/>
  <c r="S257" i="31"/>
  <c r="W95" i="31" s="1"/>
  <c r="W134" i="31" s="1"/>
  <c r="H257" i="31"/>
  <c r="G257" i="31"/>
  <c r="F257" i="31"/>
  <c r="G256" i="31"/>
  <c r="S250" i="31"/>
  <c r="W94" i="31" s="1"/>
  <c r="W133" i="31" s="1"/>
  <c r="H250" i="31"/>
  <c r="G250" i="31"/>
  <c r="F250" i="31"/>
  <c r="G269" i="31"/>
  <c r="E238" i="31"/>
  <c r="H274" i="31" s="1"/>
  <c r="E237" i="31"/>
  <c r="H273" i="31" s="1"/>
  <c r="E236" i="31"/>
  <c r="G228" i="31"/>
  <c r="F228" i="31"/>
  <c r="H226" i="31"/>
  <c r="G226" i="31"/>
  <c r="F226" i="31"/>
  <c r="H225" i="31"/>
  <c r="G225" i="31"/>
  <c r="F225" i="31"/>
  <c r="G224" i="31"/>
  <c r="F224" i="31"/>
  <c r="H221" i="31"/>
  <c r="G221" i="31"/>
  <c r="F221" i="31"/>
  <c r="G220" i="31"/>
  <c r="F220" i="31"/>
  <c r="H219" i="31"/>
  <c r="G219" i="31"/>
  <c r="F219" i="31"/>
  <c r="G216" i="31"/>
  <c r="F216" i="31"/>
  <c r="H215" i="31"/>
  <c r="G215" i="31"/>
  <c r="F215" i="31"/>
  <c r="J212" i="31"/>
  <c r="H212" i="31"/>
  <c r="K212" i="31" s="1"/>
  <c r="J211" i="31"/>
  <c r="H211" i="31"/>
  <c r="G208" i="31"/>
  <c r="F208" i="31"/>
  <c r="G207" i="31"/>
  <c r="F207" i="31"/>
  <c r="G206" i="31"/>
  <c r="F206" i="31"/>
  <c r="G205" i="31"/>
  <c r="F205" i="31"/>
  <c r="G202" i="31"/>
  <c r="F202" i="31"/>
  <c r="G201" i="31"/>
  <c r="F201" i="31"/>
  <c r="G200" i="31"/>
  <c r="F200" i="31"/>
  <c r="G197" i="31"/>
  <c r="F197" i="31"/>
  <c r="G195" i="31"/>
  <c r="F195" i="31"/>
  <c r="G194" i="31"/>
  <c r="F194" i="31"/>
  <c r="G193" i="31"/>
  <c r="F193" i="31"/>
  <c r="S186" i="31"/>
  <c r="S278" i="31" s="1"/>
  <c r="S185" i="31"/>
  <c r="V98" i="31" s="1"/>
  <c r="S184" i="31"/>
  <c r="S275" i="31" s="1"/>
  <c r="G184" i="31"/>
  <c r="F184" i="31"/>
  <c r="G183" i="31"/>
  <c r="F183" i="31"/>
  <c r="G181" i="31"/>
  <c r="G180" i="31"/>
  <c r="S178" i="31"/>
  <c r="V95" i="31" s="1"/>
  <c r="V134" i="31" s="1"/>
  <c r="H178" i="31"/>
  <c r="G178" i="31"/>
  <c r="F178" i="31"/>
  <c r="G177" i="31"/>
  <c r="S171" i="31"/>
  <c r="V94" i="31" s="1"/>
  <c r="V133" i="31" s="1"/>
  <c r="H171" i="31"/>
  <c r="G171" i="31"/>
  <c r="F171" i="31"/>
  <c r="E158" i="31"/>
  <c r="H195" i="31" s="1"/>
  <c r="E157" i="31"/>
  <c r="E156" i="31"/>
  <c r="T139" i="31"/>
  <c r="W138" i="31"/>
  <c r="V138" i="31"/>
  <c r="U138" i="31"/>
  <c r="T138" i="31"/>
  <c r="O138" i="31"/>
  <c r="N138" i="31"/>
  <c r="M138" i="31"/>
  <c r="L138" i="31"/>
  <c r="W137" i="31"/>
  <c r="V137" i="31"/>
  <c r="U137" i="31"/>
  <c r="T137" i="31"/>
  <c r="O137" i="31"/>
  <c r="N137" i="31"/>
  <c r="M137" i="31"/>
  <c r="L137" i="31"/>
  <c r="U136" i="31"/>
  <c r="T136" i="31"/>
  <c r="O136" i="31"/>
  <c r="N136" i="31"/>
  <c r="M136" i="31"/>
  <c r="L136" i="31"/>
  <c r="M135" i="31"/>
  <c r="D134" i="31"/>
  <c r="G133" i="31"/>
  <c r="F133" i="31"/>
  <c r="E133" i="31"/>
  <c r="D133" i="31"/>
  <c r="G132" i="31"/>
  <c r="F132" i="31"/>
  <c r="E132" i="31"/>
  <c r="D132" i="31"/>
  <c r="G131" i="31"/>
  <c r="F131" i="31"/>
  <c r="E131" i="31"/>
  <c r="D131" i="31"/>
  <c r="D130" i="31"/>
  <c r="D129" i="31"/>
  <c r="D128" i="31"/>
  <c r="D100" i="31"/>
  <c r="L139" i="31" s="1"/>
  <c r="D99" i="31"/>
  <c r="D98" i="31"/>
  <c r="D96" i="31"/>
  <c r="L135" i="31" s="1"/>
  <c r="D95" i="31"/>
  <c r="L134" i="31" s="1"/>
  <c r="D94" i="31"/>
  <c r="L133" i="31" s="1"/>
  <c r="D93" i="31"/>
  <c r="L132" i="31" s="1"/>
  <c r="D92" i="31"/>
  <c r="L131" i="31" s="1"/>
  <c r="D91" i="31"/>
  <c r="L130" i="31" s="1"/>
  <c r="D90" i="31"/>
  <c r="L129" i="31" s="1"/>
  <c r="D89" i="31"/>
  <c r="L128" i="31" s="1"/>
  <c r="G278" i="30"/>
  <c r="G277" i="30"/>
  <c r="F278" i="30"/>
  <c r="F277" i="30"/>
  <c r="K209" i="30"/>
  <c r="G200" i="30"/>
  <c r="G199" i="30"/>
  <c r="F200" i="30"/>
  <c r="F199" i="30"/>
  <c r="G303" i="30"/>
  <c r="F303" i="30"/>
  <c r="H301" i="30"/>
  <c r="G301" i="30"/>
  <c r="F301" i="30"/>
  <c r="H300" i="30"/>
  <c r="G300" i="30"/>
  <c r="F300" i="30"/>
  <c r="G299" i="30"/>
  <c r="F299" i="30"/>
  <c r="H296" i="30"/>
  <c r="G296" i="30"/>
  <c r="F296" i="30"/>
  <c r="G295" i="30"/>
  <c r="F295" i="30"/>
  <c r="H294" i="30"/>
  <c r="G294" i="30"/>
  <c r="F294" i="30"/>
  <c r="G291" i="30"/>
  <c r="F291" i="30"/>
  <c r="H290" i="30"/>
  <c r="G290" i="30"/>
  <c r="F290" i="30"/>
  <c r="J288" i="30"/>
  <c r="H288" i="30"/>
  <c r="K288" i="30" s="1"/>
  <c r="J287" i="30"/>
  <c r="H287" i="30"/>
  <c r="H286" i="30" s="1"/>
  <c r="G94" i="30" s="1"/>
  <c r="G286" i="30"/>
  <c r="F286" i="30"/>
  <c r="G284" i="30"/>
  <c r="F284" i="30"/>
  <c r="G283" i="30"/>
  <c r="F283" i="30"/>
  <c r="G282" i="30"/>
  <c r="F282" i="30"/>
  <c r="G281" i="30"/>
  <c r="F281" i="30"/>
  <c r="S276" i="30"/>
  <c r="G276" i="30"/>
  <c r="F276" i="30"/>
  <c r="S273" i="30"/>
  <c r="G273" i="30"/>
  <c r="F273" i="30"/>
  <c r="H271" i="30"/>
  <c r="G271" i="30"/>
  <c r="F271" i="30"/>
  <c r="H270" i="30"/>
  <c r="G270" i="30"/>
  <c r="F270" i="30"/>
  <c r="G269" i="30"/>
  <c r="F269" i="30"/>
  <c r="S261" i="30"/>
  <c r="G260" i="30"/>
  <c r="F260" i="30"/>
  <c r="G259" i="30"/>
  <c r="F259" i="30"/>
  <c r="G257" i="30"/>
  <c r="G256" i="30"/>
  <c r="S254" i="30"/>
  <c r="W93" i="30" s="1"/>
  <c r="W132" i="30" s="1"/>
  <c r="H254" i="30"/>
  <c r="G254" i="30"/>
  <c r="F254" i="30"/>
  <c r="G253" i="30"/>
  <c r="S247" i="30"/>
  <c r="W92" i="30" s="1"/>
  <c r="W131" i="30" s="1"/>
  <c r="H247" i="30"/>
  <c r="G247" i="30"/>
  <c r="F247" i="30"/>
  <c r="E236" i="30"/>
  <c r="H266" i="30" s="1"/>
  <c r="E235" i="30"/>
  <c r="E234" i="30"/>
  <c r="G264" i="30" s="1"/>
  <c r="E233" i="30"/>
  <c r="G225" i="30"/>
  <c r="F225" i="30"/>
  <c r="H223" i="30"/>
  <c r="G223" i="30"/>
  <c r="F223" i="30"/>
  <c r="H222" i="30"/>
  <c r="G222" i="30"/>
  <c r="F222" i="30"/>
  <c r="G221" i="30"/>
  <c r="F221" i="30"/>
  <c r="H218" i="30"/>
  <c r="G218" i="30"/>
  <c r="F218" i="30"/>
  <c r="G217" i="30"/>
  <c r="F217" i="30"/>
  <c r="H216" i="30"/>
  <c r="G216" i="30"/>
  <c r="F216" i="30"/>
  <c r="G213" i="30"/>
  <c r="F213" i="30"/>
  <c r="H212" i="30"/>
  <c r="G212" i="30"/>
  <c r="F212" i="30"/>
  <c r="J210" i="30"/>
  <c r="H210" i="30"/>
  <c r="J209" i="30"/>
  <c r="G208" i="30"/>
  <c r="F208" i="30"/>
  <c r="G206" i="30"/>
  <c r="F206" i="30"/>
  <c r="G205" i="30"/>
  <c r="F205" i="30"/>
  <c r="G204" i="30"/>
  <c r="F204" i="30"/>
  <c r="G203" i="30"/>
  <c r="F203" i="30"/>
  <c r="G198" i="30"/>
  <c r="F198" i="30"/>
  <c r="G195" i="30"/>
  <c r="F195" i="30"/>
  <c r="H193" i="30"/>
  <c r="G193" i="30"/>
  <c r="F193" i="30"/>
  <c r="H192" i="30"/>
  <c r="G192" i="30"/>
  <c r="F192" i="30"/>
  <c r="G191" i="30"/>
  <c r="F191" i="30"/>
  <c r="S184" i="30"/>
  <c r="S275" i="30" s="1"/>
  <c r="S262" i="30" s="1"/>
  <c r="W97" i="30" s="1"/>
  <c r="S183" i="30"/>
  <c r="V96" i="30" s="1"/>
  <c r="S182" i="30"/>
  <c r="S272" i="30" s="1"/>
  <c r="G182" i="30"/>
  <c r="F182" i="30"/>
  <c r="G181" i="30"/>
  <c r="F181" i="30"/>
  <c r="G179" i="30"/>
  <c r="G178" i="30"/>
  <c r="S176" i="30"/>
  <c r="V93" i="30" s="1"/>
  <c r="V132" i="30" s="1"/>
  <c r="H176" i="30"/>
  <c r="G176" i="30"/>
  <c r="F176" i="30"/>
  <c r="G175" i="30"/>
  <c r="S169" i="30"/>
  <c r="V92" i="30" s="1"/>
  <c r="V131" i="30" s="1"/>
  <c r="H169" i="30"/>
  <c r="G169" i="30"/>
  <c r="F169" i="30"/>
  <c r="E157" i="30"/>
  <c r="H188" i="30" s="1"/>
  <c r="E156" i="30"/>
  <c r="E155" i="30"/>
  <c r="G186" i="30" s="1"/>
  <c r="E154" i="30"/>
  <c r="T137" i="30"/>
  <c r="W136" i="30"/>
  <c r="V136" i="30"/>
  <c r="U136" i="30"/>
  <c r="T136" i="30"/>
  <c r="O136" i="30"/>
  <c r="N136" i="30"/>
  <c r="M136" i="30"/>
  <c r="L136" i="30"/>
  <c r="W135" i="30"/>
  <c r="V135" i="30"/>
  <c r="U135" i="30"/>
  <c r="T135" i="30"/>
  <c r="O135" i="30"/>
  <c r="N135" i="30"/>
  <c r="M135" i="30"/>
  <c r="L135" i="30"/>
  <c r="U134" i="30"/>
  <c r="T134" i="30"/>
  <c r="O134" i="30"/>
  <c r="N134" i="30"/>
  <c r="M134" i="30"/>
  <c r="L134" i="30"/>
  <c r="O133" i="30"/>
  <c r="N133" i="30"/>
  <c r="M133" i="30"/>
  <c r="L133" i="30"/>
  <c r="D132" i="30"/>
  <c r="G131" i="30"/>
  <c r="F131" i="30"/>
  <c r="E131" i="30"/>
  <c r="D131" i="30"/>
  <c r="G130" i="30"/>
  <c r="F130" i="30"/>
  <c r="E130" i="30"/>
  <c r="D130" i="30"/>
  <c r="G129" i="30"/>
  <c r="F129" i="30"/>
  <c r="E129" i="30"/>
  <c r="D129" i="30"/>
  <c r="D128" i="30"/>
  <c r="D127" i="30"/>
  <c r="D126" i="30"/>
  <c r="D98" i="30"/>
  <c r="L137" i="30" s="1"/>
  <c r="D97" i="30"/>
  <c r="W96" i="30"/>
  <c r="D96" i="30"/>
  <c r="V95" i="30"/>
  <c r="V134" i="30" s="1"/>
  <c r="D94" i="30"/>
  <c r="D93" i="30"/>
  <c r="L132" i="30" s="1"/>
  <c r="D92" i="30"/>
  <c r="L131" i="30" s="1"/>
  <c r="D91" i="30"/>
  <c r="L130" i="30" s="1"/>
  <c r="D90" i="30"/>
  <c r="L129" i="30" s="1"/>
  <c r="D89" i="30"/>
  <c r="L128" i="30" s="1"/>
  <c r="D88" i="30"/>
  <c r="L127" i="30" s="1"/>
  <c r="D87" i="30"/>
  <c r="L126" i="30" s="1"/>
  <c r="E241" i="31" l="1"/>
  <c r="H292" i="31" s="1"/>
  <c r="E161" i="31"/>
  <c r="F188" i="31"/>
  <c r="H194" i="31"/>
  <c r="K194" i="31" s="1"/>
  <c r="F266" i="31"/>
  <c r="F187" i="31"/>
  <c r="V97" i="31"/>
  <c r="V136" i="31" s="1"/>
  <c r="J210" i="31"/>
  <c r="K211" i="31"/>
  <c r="V99" i="31"/>
  <c r="S263" i="31"/>
  <c r="W97" i="31" s="1"/>
  <c r="W136" i="31" s="1"/>
  <c r="S265" i="31"/>
  <c r="W99" i="31" s="1"/>
  <c r="G261" i="31"/>
  <c r="F185" i="30"/>
  <c r="J221" i="31"/>
  <c r="J226" i="31"/>
  <c r="J220" i="31"/>
  <c r="J263" i="31"/>
  <c r="J274" i="31"/>
  <c r="J307" i="31"/>
  <c r="J228" i="31"/>
  <c r="J195" i="30"/>
  <c r="J192" i="30"/>
  <c r="F302" i="31"/>
  <c r="J217" i="30"/>
  <c r="J276" i="31"/>
  <c r="J281" i="31"/>
  <c r="J221" i="30"/>
  <c r="J216" i="31"/>
  <c r="J218" i="30"/>
  <c r="J197" i="31"/>
  <c r="J205" i="31"/>
  <c r="K274" i="31"/>
  <c r="J207" i="31"/>
  <c r="K222" i="30"/>
  <c r="J262" i="31"/>
  <c r="G271" i="31"/>
  <c r="F297" i="31"/>
  <c r="F192" i="31"/>
  <c r="K193" i="30"/>
  <c r="J193" i="31"/>
  <c r="F278" i="31"/>
  <c r="J286" i="31"/>
  <c r="J298" i="31"/>
  <c r="K301" i="30"/>
  <c r="J272" i="31"/>
  <c r="J304" i="31"/>
  <c r="J269" i="30"/>
  <c r="J282" i="30"/>
  <c r="J194" i="31"/>
  <c r="G297" i="31"/>
  <c r="J270" i="30"/>
  <c r="G199" i="31"/>
  <c r="K221" i="31"/>
  <c r="K226" i="31"/>
  <c r="G283" i="31"/>
  <c r="K300" i="30"/>
  <c r="J260" i="30"/>
  <c r="J284" i="30"/>
  <c r="K219" i="31"/>
  <c r="J280" i="31"/>
  <c r="J303" i="31"/>
  <c r="F190" i="30"/>
  <c r="G280" i="30"/>
  <c r="F199" i="31"/>
  <c r="G223" i="31"/>
  <c r="G182" i="31"/>
  <c r="G192" i="31"/>
  <c r="J200" i="31"/>
  <c r="K215" i="31"/>
  <c r="F261" i="31"/>
  <c r="K304" i="31"/>
  <c r="F182" i="31"/>
  <c r="K195" i="31"/>
  <c r="J201" i="31"/>
  <c r="G204" i="31"/>
  <c r="K298" i="31"/>
  <c r="K300" i="31"/>
  <c r="K305" i="31"/>
  <c r="K290" i="30"/>
  <c r="J273" i="30"/>
  <c r="F258" i="30"/>
  <c r="J224" i="31"/>
  <c r="J257" i="31"/>
  <c r="O103" i="31" s="1"/>
  <c r="G278" i="31"/>
  <c r="J287" i="31"/>
  <c r="J294" i="31"/>
  <c r="K192" i="30"/>
  <c r="J300" i="30"/>
  <c r="K216" i="30"/>
  <c r="G258" i="30"/>
  <c r="K225" i="31"/>
  <c r="F271" i="31"/>
  <c r="J271" i="31" s="1"/>
  <c r="J284" i="31"/>
  <c r="G302" i="31"/>
  <c r="F180" i="30"/>
  <c r="G202" i="30"/>
  <c r="G215" i="30"/>
  <c r="G293" i="30"/>
  <c r="G298" i="30"/>
  <c r="J205" i="30"/>
  <c r="G220" i="30"/>
  <c r="J271" i="30"/>
  <c r="J303" i="30"/>
  <c r="G218" i="31"/>
  <c r="J300" i="31"/>
  <c r="K171" i="31"/>
  <c r="K178" i="31"/>
  <c r="J171" i="31"/>
  <c r="N101" i="31" s="1"/>
  <c r="K250" i="31"/>
  <c r="K257" i="31"/>
  <c r="J169" i="30"/>
  <c r="N99" i="30" s="1"/>
  <c r="K169" i="30"/>
  <c r="F190" i="31"/>
  <c r="H269" i="31"/>
  <c r="F268" i="31"/>
  <c r="G266" i="31"/>
  <c r="J184" i="31"/>
  <c r="G188" i="31"/>
  <c r="F223" i="31"/>
  <c r="F269" i="31"/>
  <c r="F283" i="31"/>
  <c r="K290" i="31"/>
  <c r="K294" i="31"/>
  <c r="J183" i="31"/>
  <c r="G187" i="31"/>
  <c r="G190" i="31"/>
  <c r="J195" i="31"/>
  <c r="J206" i="31"/>
  <c r="G268" i="31"/>
  <c r="J279" i="31"/>
  <c r="J299" i="31"/>
  <c r="J178" i="31"/>
  <c r="N103" i="31" s="1"/>
  <c r="F189" i="31"/>
  <c r="J202" i="31"/>
  <c r="F218" i="31"/>
  <c r="J219" i="31"/>
  <c r="J250" i="31"/>
  <c r="O101" i="31" s="1"/>
  <c r="J273" i="31"/>
  <c r="J289" i="31"/>
  <c r="J295" i="31"/>
  <c r="J305" i="31"/>
  <c r="G189" i="31"/>
  <c r="J208" i="31"/>
  <c r="J215" i="31"/>
  <c r="J225" i="31"/>
  <c r="F267" i="31"/>
  <c r="K273" i="31"/>
  <c r="J285" i="31"/>
  <c r="F204" i="31"/>
  <c r="G267" i="31"/>
  <c r="H208" i="30"/>
  <c r="F94" i="30" s="1"/>
  <c r="F293" i="30"/>
  <c r="J247" i="30"/>
  <c r="O99" i="30" s="1"/>
  <c r="K254" i="30"/>
  <c r="F268" i="30"/>
  <c r="J290" i="30"/>
  <c r="J294" i="30"/>
  <c r="G190" i="30"/>
  <c r="K210" i="30"/>
  <c r="K270" i="30"/>
  <c r="K294" i="30"/>
  <c r="J182" i="30"/>
  <c r="K212" i="30"/>
  <c r="K218" i="30"/>
  <c r="J225" i="30"/>
  <c r="K271" i="30"/>
  <c r="J193" i="30"/>
  <c r="S260" i="30"/>
  <c r="W95" i="30" s="1"/>
  <c r="W134" i="30" s="1"/>
  <c r="J191" i="30"/>
  <c r="J203" i="30"/>
  <c r="K247" i="30"/>
  <c r="G268" i="30"/>
  <c r="K176" i="30"/>
  <c r="G180" i="30"/>
  <c r="F220" i="30"/>
  <c r="J277" i="30"/>
  <c r="K286" i="30"/>
  <c r="V97" i="30"/>
  <c r="F188" i="30"/>
  <c r="J198" i="30"/>
  <c r="J200" i="30"/>
  <c r="J208" i="30"/>
  <c r="J213" i="30"/>
  <c r="J223" i="30"/>
  <c r="F263" i="30"/>
  <c r="F266" i="30"/>
  <c r="F280" i="30"/>
  <c r="J281" i="30"/>
  <c r="K287" i="30"/>
  <c r="J296" i="30"/>
  <c r="J181" i="30"/>
  <c r="G185" i="30"/>
  <c r="G188" i="30"/>
  <c r="J204" i="30"/>
  <c r="K223" i="30"/>
  <c r="J259" i="30"/>
  <c r="G263" i="30"/>
  <c r="G266" i="30"/>
  <c r="K296" i="30"/>
  <c r="J176" i="30"/>
  <c r="N101" i="30" s="1"/>
  <c r="F187" i="30"/>
  <c r="F215" i="30"/>
  <c r="J216" i="30"/>
  <c r="J254" i="30"/>
  <c r="O101" i="30" s="1"/>
  <c r="F265" i="30"/>
  <c r="J283" i="30"/>
  <c r="F298" i="30"/>
  <c r="J299" i="30"/>
  <c r="G187" i="30"/>
  <c r="J206" i="30"/>
  <c r="J212" i="30"/>
  <c r="J222" i="30"/>
  <c r="G265" i="30"/>
  <c r="J276" i="30"/>
  <c r="J295" i="30"/>
  <c r="F202" i="30"/>
  <c r="G275" i="30"/>
  <c r="J286" i="30"/>
  <c r="J291" i="30"/>
  <c r="J301" i="30"/>
  <c r="F186" i="30"/>
  <c r="F264" i="30"/>
  <c r="E244" i="29"/>
  <c r="E243" i="29"/>
  <c r="F269" i="29"/>
  <c r="H271" i="29"/>
  <c r="F189" i="29"/>
  <c r="H293" i="29"/>
  <c r="H292" i="29"/>
  <c r="H214" i="29"/>
  <c r="F210" i="29"/>
  <c r="E164" i="29"/>
  <c r="E163" i="29"/>
  <c r="H192" i="29"/>
  <c r="G190" i="29"/>
  <c r="G305" i="30" l="1"/>
  <c r="F305" i="30"/>
  <c r="F309" i="31"/>
  <c r="J302" i="31"/>
  <c r="J188" i="31"/>
  <c r="K208" i="30"/>
  <c r="I24" i="31"/>
  <c r="E24" i="31"/>
  <c r="H213" i="31"/>
  <c r="J261" i="31"/>
  <c r="J199" i="31"/>
  <c r="J220" i="30"/>
  <c r="J297" i="31"/>
  <c r="J268" i="31"/>
  <c r="J293" i="30"/>
  <c r="J278" i="31"/>
  <c r="J192" i="31"/>
  <c r="J190" i="30"/>
  <c r="J180" i="30"/>
  <c r="J190" i="31"/>
  <c r="J258" i="30"/>
  <c r="J182" i="31"/>
  <c r="J268" i="30"/>
  <c r="K190" i="31"/>
  <c r="G186" i="31"/>
  <c r="F265" i="31"/>
  <c r="G265" i="31"/>
  <c r="G309" i="31" s="1"/>
  <c r="J266" i="31"/>
  <c r="J189" i="31"/>
  <c r="J283" i="31"/>
  <c r="J267" i="31"/>
  <c r="J187" i="31"/>
  <c r="K269" i="31"/>
  <c r="J269" i="31"/>
  <c r="J223" i="31"/>
  <c r="F186" i="31"/>
  <c r="J204" i="31"/>
  <c r="J218" i="31"/>
  <c r="J199" i="30"/>
  <c r="J280" i="30"/>
  <c r="J187" i="30"/>
  <c r="K266" i="30"/>
  <c r="J266" i="30"/>
  <c r="G262" i="30"/>
  <c r="J298" i="30"/>
  <c r="K188" i="30"/>
  <c r="J188" i="30"/>
  <c r="J202" i="30"/>
  <c r="J215" i="30"/>
  <c r="J185" i="30"/>
  <c r="F184" i="30"/>
  <c r="J186" i="30"/>
  <c r="J265" i="30"/>
  <c r="G184" i="30"/>
  <c r="J278" i="30"/>
  <c r="J263" i="30"/>
  <c r="F262" i="30"/>
  <c r="F197" i="30"/>
  <c r="F275" i="30"/>
  <c r="J264" i="30"/>
  <c r="G197" i="30"/>
  <c r="G269" i="29"/>
  <c r="F282" i="29"/>
  <c r="G282" i="29"/>
  <c r="F270" i="29"/>
  <c r="G270" i="29"/>
  <c r="F283" i="29"/>
  <c r="F268" i="29"/>
  <c r="G283" i="29"/>
  <c r="G268" i="29"/>
  <c r="F271" i="29"/>
  <c r="G271" i="29"/>
  <c r="F204" i="29"/>
  <c r="G189" i="29"/>
  <c r="F192" i="29"/>
  <c r="G192" i="29"/>
  <c r="G204" i="29"/>
  <c r="F190" i="29"/>
  <c r="F191" i="29"/>
  <c r="F203" i="29"/>
  <c r="G191" i="29"/>
  <c r="G203" i="29"/>
  <c r="H289" i="31" l="1"/>
  <c r="K292" i="31"/>
  <c r="K213" i="31"/>
  <c r="H210" i="31"/>
  <c r="J265" i="31"/>
  <c r="J186" i="31"/>
  <c r="J262" i="30"/>
  <c r="J275" i="30"/>
  <c r="J197" i="30"/>
  <c r="J184" i="30"/>
  <c r="O136" i="29"/>
  <c r="N136" i="29"/>
  <c r="M136" i="29"/>
  <c r="L136" i="29"/>
  <c r="D97" i="29"/>
  <c r="K293" i="29"/>
  <c r="J293" i="29"/>
  <c r="K292" i="29"/>
  <c r="J292" i="29"/>
  <c r="H291" i="29"/>
  <c r="G97" i="29" s="1"/>
  <c r="G291" i="29"/>
  <c r="F291" i="29"/>
  <c r="H212" i="29"/>
  <c r="F97" i="29" s="1"/>
  <c r="G212" i="29"/>
  <c r="F212" i="29"/>
  <c r="K214" i="29"/>
  <c r="J214" i="29"/>
  <c r="K213" i="29"/>
  <c r="J213" i="29"/>
  <c r="Q36" i="12"/>
  <c r="S250" i="29"/>
  <c r="H252" i="29"/>
  <c r="G252" i="29"/>
  <c r="F252" i="29"/>
  <c r="S172" i="29"/>
  <c r="H173" i="29"/>
  <c r="G173" i="29"/>
  <c r="F173" i="29"/>
  <c r="G308" i="29"/>
  <c r="F308" i="29"/>
  <c r="H306" i="29"/>
  <c r="G306" i="29"/>
  <c r="F306" i="29"/>
  <c r="H305" i="29"/>
  <c r="G305" i="29"/>
  <c r="F305" i="29"/>
  <c r="G304" i="29"/>
  <c r="F304" i="29"/>
  <c r="H301" i="29"/>
  <c r="G301" i="29"/>
  <c r="F301" i="29"/>
  <c r="G300" i="29"/>
  <c r="F300" i="29"/>
  <c r="H299" i="29"/>
  <c r="G299" i="29"/>
  <c r="F299" i="29"/>
  <c r="G296" i="29"/>
  <c r="F296" i="29"/>
  <c r="H295" i="29"/>
  <c r="G295" i="29"/>
  <c r="F295" i="29"/>
  <c r="G289" i="29"/>
  <c r="F289" i="29"/>
  <c r="G288" i="29"/>
  <c r="F288" i="29"/>
  <c r="G287" i="29"/>
  <c r="F287" i="29"/>
  <c r="G286" i="29"/>
  <c r="F286" i="29"/>
  <c r="S279" i="29"/>
  <c r="G281" i="29"/>
  <c r="F281" i="29"/>
  <c r="S276" i="29"/>
  <c r="G278" i="29"/>
  <c r="F278" i="29"/>
  <c r="H276" i="29"/>
  <c r="G276" i="29"/>
  <c r="F276" i="29"/>
  <c r="H275" i="29"/>
  <c r="G275" i="29"/>
  <c r="F275" i="29"/>
  <c r="G274" i="29"/>
  <c r="F274" i="29"/>
  <c r="S264" i="29"/>
  <c r="W99" i="29" s="1"/>
  <c r="G265" i="29"/>
  <c r="F265" i="29"/>
  <c r="G264" i="29"/>
  <c r="F264" i="29"/>
  <c r="G262" i="29"/>
  <c r="G261" i="29"/>
  <c r="S257" i="29"/>
  <c r="W96" i="29" s="1"/>
  <c r="W135" i="29" s="1"/>
  <c r="H259" i="29"/>
  <c r="G259" i="29"/>
  <c r="F259" i="29"/>
  <c r="G258" i="29"/>
  <c r="G229" i="29"/>
  <c r="F229" i="29"/>
  <c r="H227" i="29"/>
  <c r="G227" i="29"/>
  <c r="F227" i="29"/>
  <c r="H226" i="29"/>
  <c r="G226" i="29"/>
  <c r="F226" i="29"/>
  <c r="G225" i="29"/>
  <c r="F225" i="29"/>
  <c r="H222" i="29"/>
  <c r="G222" i="29"/>
  <c r="F222" i="29"/>
  <c r="G221" i="29"/>
  <c r="F221" i="29"/>
  <c r="H220" i="29"/>
  <c r="G220" i="29"/>
  <c r="F220" i="29"/>
  <c r="G217" i="29"/>
  <c r="F217" i="29"/>
  <c r="H216" i="29"/>
  <c r="G216" i="29"/>
  <c r="F216" i="29"/>
  <c r="G210" i="29"/>
  <c r="G209" i="29"/>
  <c r="F209" i="29"/>
  <c r="G208" i="29"/>
  <c r="F208" i="29"/>
  <c r="G207" i="29"/>
  <c r="F207" i="29"/>
  <c r="G202" i="29"/>
  <c r="F202" i="29"/>
  <c r="G199" i="29"/>
  <c r="F199" i="29"/>
  <c r="H197" i="29"/>
  <c r="G197" i="29"/>
  <c r="F197" i="29"/>
  <c r="H196" i="29"/>
  <c r="G196" i="29"/>
  <c r="F196" i="29"/>
  <c r="G195" i="29"/>
  <c r="F195" i="29"/>
  <c r="S187" i="29"/>
  <c r="S278" i="29" s="1"/>
  <c r="S186" i="29"/>
  <c r="V99" i="29" s="1"/>
  <c r="S185" i="29"/>
  <c r="S275" i="29" s="1"/>
  <c r="G186" i="29"/>
  <c r="F186" i="29"/>
  <c r="G185" i="29"/>
  <c r="F185" i="29"/>
  <c r="G183" i="29"/>
  <c r="G182" i="29"/>
  <c r="S179" i="29"/>
  <c r="V96" i="29" s="1"/>
  <c r="V135" i="29" s="1"/>
  <c r="H180" i="29"/>
  <c r="G180" i="29"/>
  <c r="F180" i="29"/>
  <c r="G179" i="29"/>
  <c r="T140" i="29"/>
  <c r="W139" i="29"/>
  <c r="V139" i="29"/>
  <c r="U139" i="29"/>
  <c r="T139" i="29"/>
  <c r="W138" i="29"/>
  <c r="V138" i="29"/>
  <c r="U138" i="29"/>
  <c r="T138" i="29"/>
  <c r="O139" i="29"/>
  <c r="N139" i="29"/>
  <c r="M139" i="29"/>
  <c r="L139" i="29"/>
  <c r="U137" i="29"/>
  <c r="T137" i="29"/>
  <c r="O138" i="29"/>
  <c r="N138" i="29"/>
  <c r="M138" i="29"/>
  <c r="L138" i="29"/>
  <c r="O137" i="29"/>
  <c r="N137" i="29"/>
  <c r="M137" i="29"/>
  <c r="L137" i="29"/>
  <c r="D135" i="29"/>
  <c r="G134" i="29"/>
  <c r="F134" i="29"/>
  <c r="E134" i="29"/>
  <c r="D134" i="29"/>
  <c r="G133" i="29"/>
  <c r="F133" i="29"/>
  <c r="E133" i="29"/>
  <c r="D133" i="29"/>
  <c r="G132" i="29"/>
  <c r="F132" i="29"/>
  <c r="E132" i="29"/>
  <c r="D132" i="29"/>
  <c r="D131" i="29"/>
  <c r="D130" i="29"/>
  <c r="D129" i="29"/>
  <c r="D101" i="29"/>
  <c r="L140" i="29" s="1"/>
  <c r="D100" i="29"/>
  <c r="D99" i="29"/>
  <c r="D96" i="29"/>
  <c r="L135" i="29" s="1"/>
  <c r="D95" i="29"/>
  <c r="L134" i="29" s="1"/>
  <c r="D94" i="29"/>
  <c r="L133" i="29" s="1"/>
  <c r="D93" i="29"/>
  <c r="L132" i="29" s="1"/>
  <c r="D92" i="29"/>
  <c r="L131" i="29" s="1"/>
  <c r="D91" i="29"/>
  <c r="L130" i="29" s="1"/>
  <c r="D90" i="29"/>
  <c r="L129" i="29" s="1"/>
  <c r="S236" i="28"/>
  <c r="H236" i="28"/>
  <c r="G236" i="28"/>
  <c r="F236" i="28"/>
  <c r="S160" i="28"/>
  <c r="H160" i="28"/>
  <c r="G160" i="28"/>
  <c r="F160" i="28"/>
  <c r="G152" i="28"/>
  <c r="G151" i="28"/>
  <c r="G150" i="28"/>
  <c r="G149" i="28"/>
  <c r="G148" i="28"/>
  <c r="G227" i="28"/>
  <c r="G226" i="28"/>
  <c r="G225" i="28"/>
  <c r="G224" i="28"/>
  <c r="G223" i="28"/>
  <c r="E227" i="28"/>
  <c r="E226" i="28"/>
  <c r="F226" i="28" s="1"/>
  <c r="G242" i="28" s="1"/>
  <c r="E221" i="28"/>
  <c r="E152" i="28"/>
  <c r="E151" i="28"/>
  <c r="E146" i="28"/>
  <c r="E145" i="28"/>
  <c r="E220" i="28"/>
  <c r="G288" i="28"/>
  <c r="F288" i="28"/>
  <c r="H286" i="28"/>
  <c r="G286" i="28"/>
  <c r="F286" i="28"/>
  <c r="H285" i="28"/>
  <c r="G285" i="28"/>
  <c r="F285" i="28"/>
  <c r="G284" i="28"/>
  <c r="F284" i="28"/>
  <c r="H281" i="28"/>
  <c r="G281" i="28"/>
  <c r="F281" i="28"/>
  <c r="G280" i="28"/>
  <c r="F280" i="28"/>
  <c r="H279" i="28"/>
  <c r="G279" i="28"/>
  <c r="F279" i="28"/>
  <c r="G276" i="28"/>
  <c r="F276" i="28"/>
  <c r="H275" i="28"/>
  <c r="G275" i="28"/>
  <c r="F275" i="28"/>
  <c r="G273" i="28"/>
  <c r="F273" i="28"/>
  <c r="G272" i="28"/>
  <c r="F272" i="28"/>
  <c r="G271" i="28"/>
  <c r="F271" i="28"/>
  <c r="G270" i="28"/>
  <c r="F270" i="28"/>
  <c r="G267" i="28"/>
  <c r="F267" i="28"/>
  <c r="G266" i="28"/>
  <c r="F266" i="28"/>
  <c r="S265" i="28"/>
  <c r="G265" i="28"/>
  <c r="F265" i="28"/>
  <c r="S262" i="28"/>
  <c r="G262" i="28"/>
  <c r="F262" i="28"/>
  <c r="H260" i="28"/>
  <c r="G260" i="28"/>
  <c r="F260" i="28"/>
  <c r="H259" i="28"/>
  <c r="G259" i="28"/>
  <c r="F259" i="28"/>
  <c r="G258" i="28"/>
  <c r="F258" i="28"/>
  <c r="H255" i="28"/>
  <c r="G255" i="28"/>
  <c r="F255" i="28"/>
  <c r="G254" i="28"/>
  <c r="F254" i="28"/>
  <c r="G253" i="28"/>
  <c r="F253" i="28"/>
  <c r="G252" i="28"/>
  <c r="F252" i="28"/>
  <c r="S250" i="28"/>
  <c r="W87" i="28" s="1"/>
  <c r="G249" i="28"/>
  <c r="F249" i="28"/>
  <c r="G248" i="28"/>
  <c r="F248" i="28"/>
  <c r="G246" i="28"/>
  <c r="G245" i="28"/>
  <c r="G212" i="28"/>
  <c r="F212" i="28"/>
  <c r="H210" i="28"/>
  <c r="G210" i="28"/>
  <c r="F210" i="28"/>
  <c r="H209" i="28"/>
  <c r="G209" i="28"/>
  <c r="F209" i="28"/>
  <c r="G208" i="28"/>
  <c r="F208" i="28"/>
  <c r="H205" i="28"/>
  <c r="G205" i="28"/>
  <c r="F205" i="28"/>
  <c r="G204" i="28"/>
  <c r="F204" i="28"/>
  <c r="H203" i="28"/>
  <c r="G203" i="28"/>
  <c r="F203" i="28"/>
  <c r="G200" i="28"/>
  <c r="F200" i="28"/>
  <c r="H199" i="28"/>
  <c r="G199" i="28"/>
  <c r="F199" i="28"/>
  <c r="G197" i="28"/>
  <c r="F197" i="28"/>
  <c r="G196" i="28"/>
  <c r="F196" i="28"/>
  <c r="G195" i="28"/>
  <c r="F195" i="28"/>
  <c r="G194" i="28"/>
  <c r="F194" i="28"/>
  <c r="G191" i="28"/>
  <c r="F191" i="28"/>
  <c r="G190" i="28"/>
  <c r="F190" i="28"/>
  <c r="G189" i="28"/>
  <c r="F189" i="28"/>
  <c r="G186" i="28"/>
  <c r="F186" i="28"/>
  <c r="H184" i="28"/>
  <c r="G184" i="28"/>
  <c r="F184" i="28"/>
  <c r="H183" i="28"/>
  <c r="G183" i="28"/>
  <c r="F183" i="28"/>
  <c r="G182" i="28"/>
  <c r="F182" i="28"/>
  <c r="H179" i="28"/>
  <c r="G179" i="28"/>
  <c r="F179" i="28"/>
  <c r="G178" i="28"/>
  <c r="F178" i="28"/>
  <c r="G177" i="28"/>
  <c r="F177" i="28"/>
  <c r="G176" i="28"/>
  <c r="F176" i="28"/>
  <c r="S175" i="28"/>
  <c r="S264" i="28" s="1"/>
  <c r="S174" i="28"/>
  <c r="V87" i="28" s="1"/>
  <c r="S173" i="28"/>
  <c r="S261" i="28" s="1"/>
  <c r="G173" i="28"/>
  <c r="F173" i="28"/>
  <c r="G172" i="28"/>
  <c r="F172" i="28"/>
  <c r="G170" i="28"/>
  <c r="G169" i="28"/>
  <c r="T128" i="28"/>
  <c r="W127" i="28"/>
  <c r="V127" i="28"/>
  <c r="U127" i="28"/>
  <c r="T127" i="28"/>
  <c r="W126" i="28"/>
  <c r="V126" i="28"/>
  <c r="U126" i="28"/>
  <c r="T126" i="28"/>
  <c r="O126" i="28"/>
  <c r="N126" i="28"/>
  <c r="M126" i="28"/>
  <c r="L126" i="28"/>
  <c r="U125" i="28"/>
  <c r="T125" i="28"/>
  <c r="O125" i="28"/>
  <c r="N125" i="28"/>
  <c r="M125" i="28"/>
  <c r="L125" i="28"/>
  <c r="O124" i="28"/>
  <c r="N124" i="28"/>
  <c r="M124" i="28"/>
  <c r="L124" i="28"/>
  <c r="D123" i="28"/>
  <c r="G122" i="28"/>
  <c r="F122" i="28"/>
  <c r="E122" i="28"/>
  <c r="D122" i="28"/>
  <c r="G121" i="28"/>
  <c r="F121" i="28"/>
  <c r="E121" i="28"/>
  <c r="D121" i="28"/>
  <c r="G120" i="28"/>
  <c r="F120" i="28"/>
  <c r="E120" i="28"/>
  <c r="D120" i="28"/>
  <c r="D119" i="28"/>
  <c r="D118" i="28"/>
  <c r="D117" i="28"/>
  <c r="L97" i="28"/>
  <c r="L127" i="28" s="1"/>
  <c r="L96" i="28"/>
  <c r="L95" i="28"/>
  <c r="L93" i="28"/>
  <c r="L123" i="28" s="1"/>
  <c r="L92" i="28"/>
  <c r="L122" i="28" s="1"/>
  <c r="L91" i="28"/>
  <c r="L121" i="28" s="1"/>
  <c r="L90" i="28"/>
  <c r="L120" i="28" s="1"/>
  <c r="L89" i="28"/>
  <c r="L119" i="28" s="1"/>
  <c r="L88" i="28"/>
  <c r="L118" i="28" s="1"/>
  <c r="L87" i="28"/>
  <c r="L117" i="28" s="1"/>
  <c r="E211" i="27"/>
  <c r="E140" i="27"/>
  <c r="S221" i="27"/>
  <c r="H221" i="27"/>
  <c r="G221" i="27"/>
  <c r="F221" i="27"/>
  <c r="S150" i="27"/>
  <c r="H150" i="27"/>
  <c r="G150" i="27"/>
  <c r="F150" i="27"/>
  <c r="G273" i="27"/>
  <c r="F273" i="27"/>
  <c r="H271" i="27"/>
  <c r="G271" i="27"/>
  <c r="F271" i="27"/>
  <c r="H270" i="27"/>
  <c r="G270" i="27"/>
  <c r="F270" i="27"/>
  <c r="G269" i="27"/>
  <c r="F269" i="27"/>
  <c r="H266" i="27"/>
  <c r="G266" i="27"/>
  <c r="F266" i="27"/>
  <c r="G265" i="27"/>
  <c r="F265" i="27"/>
  <c r="H264" i="27"/>
  <c r="G264" i="27"/>
  <c r="F264" i="27"/>
  <c r="G261" i="27"/>
  <c r="F261" i="27"/>
  <c r="H260" i="27"/>
  <c r="G260" i="27"/>
  <c r="F260" i="27"/>
  <c r="G258" i="27"/>
  <c r="F258" i="27"/>
  <c r="G257" i="27"/>
  <c r="F257" i="27"/>
  <c r="G256" i="27"/>
  <c r="F256" i="27"/>
  <c r="G255" i="27"/>
  <c r="F255" i="27"/>
  <c r="G252" i="27"/>
  <c r="F252" i="27"/>
  <c r="G251" i="27"/>
  <c r="F251" i="27"/>
  <c r="S250" i="27"/>
  <c r="G250" i="27"/>
  <c r="F250" i="27"/>
  <c r="S247" i="27"/>
  <c r="G247" i="27"/>
  <c r="F247" i="27"/>
  <c r="H245" i="27"/>
  <c r="G245" i="27"/>
  <c r="F245" i="27"/>
  <c r="H244" i="27"/>
  <c r="G244" i="27"/>
  <c r="F244" i="27"/>
  <c r="G243" i="27"/>
  <c r="F243" i="27"/>
  <c r="H240" i="27"/>
  <c r="G240" i="27"/>
  <c r="F240" i="27"/>
  <c r="G239" i="27"/>
  <c r="F239" i="27"/>
  <c r="G238" i="27"/>
  <c r="F238" i="27"/>
  <c r="G237" i="27"/>
  <c r="F237" i="27"/>
  <c r="S235" i="27"/>
  <c r="W81" i="27" s="1"/>
  <c r="G234" i="27"/>
  <c r="F234" i="27"/>
  <c r="G233" i="27"/>
  <c r="F233" i="27"/>
  <c r="G231" i="27"/>
  <c r="G230" i="27"/>
  <c r="S228" i="27"/>
  <c r="W78" i="27" s="1"/>
  <c r="W117" i="27" s="1"/>
  <c r="H228" i="27"/>
  <c r="G228" i="27"/>
  <c r="F228" i="27"/>
  <c r="G227" i="27"/>
  <c r="G202" i="27"/>
  <c r="F202" i="27"/>
  <c r="H200" i="27"/>
  <c r="G200" i="27"/>
  <c r="F200" i="27"/>
  <c r="H199" i="27"/>
  <c r="G199" i="27"/>
  <c r="F199" i="27"/>
  <c r="G198" i="27"/>
  <c r="F198" i="27"/>
  <c r="H195" i="27"/>
  <c r="G195" i="27"/>
  <c r="F195" i="27"/>
  <c r="G194" i="27"/>
  <c r="F194" i="27"/>
  <c r="H193" i="27"/>
  <c r="G193" i="27"/>
  <c r="F193" i="27"/>
  <c r="G190" i="27"/>
  <c r="F190" i="27"/>
  <c r="H189" i="27"/>
  <c r="G189" i="27"/>
  <c r="F189" i="27"/>
  <c r="G187" i="27"/>
  <c r="F187" i="27"/>
  <c r="G186" i="27"/>
  <c r="F186" i="27"/>
  <c r="G185" i="27"/>
  <c r="F185" i="27"/>
  <c r="G184" i="27"/>
  <c r="F184" i="27"/>
  <c r="G181" i="27"/>
  <c r="F181" i="27"/>
  <c r="G180" i="27"/>
  <c r="F180" i="27"/>
  <c r="G179" i="27"/>
  <c r="F179" i="27"/>
  <c r="G176" i="27"/>
  <c r="F176" i="27"/>
  <c r="H174" i="27"/>
  <c r="G174" i="27"/>
  <c r="F174" i="27"/>
  <c r="H173" i="27"/>
  <c r="G173" i="27"/>
  <c r="F173" i="27"/>
  <c r="G172" i="27"/>
  <c r="F172" i="27"/>
  <c r="H169" i="27"/>
  <c r="G169" i="27"/>
  <c r="F169" i="27"/>
  <c r="G168" i="27"/>
  <c r="F168" i="27"/>
  <c r="G167" i="27"/>
  <c r="F167" i="27"/>
  <c r="G166" i="27"/>
  <c r="F166" i="27"/>
  <c r="S165" i="27"/>
  <c r="S249" i="27" s="1"/>
  <c r="S164" i="27"/>
  <c r="V81" i="27" s="1"/>
  <c r="S163" i="27"/>
  <c r="S246" i="27" s="1"/>
  <c r="G163" i="27"/>
  <c r="F163" i="27"/>
  <c r="G162" i="27"/>
  <c r="F162" i="27"/>
  <c r="G160" i="27"/>
  <c r="G159" i="27"/>
  <c r="S157" i="27"/>
  <c r="V78" i="27" s="1"/>
  <c r="V117" i="27" s="1"/>
  <c r="H157" i="27"/>
  <c r="G157" i="27"/>
  <c r="F157" i="27"/>
  <c r="G156" i="27"/>
  <c r="T122" i="27"/>
  <c r="W121" i="27"/>
  <c r="V121" i="27"/>
  <c r="U121" i="27"/>
  <c r="T121" i="27"/>
  <c r="W120" i="27"/>
  <c r="V120" i="27"/>
  <c r="U120" i="27"/>
  <c r="T120" i="27"/>
  <c r="O120" i="27"/>
  <c r="N120" i="27"/>
  <c r="M120" i="27"/>
  <c r="L120" i="27"/>
  <c r="U119" i="27"/>
  <c r="T119" i="27"/>
  <c r="O119" i="27"/>
  <c r="N119" i="27"/>
  <c r="M119" i="27"/>
  <c r="L119" i="27"/>
  <c r="O118" i="27"/>
  <c r="N118" i="27"/>
  <c r="M118" i="27"/>
  <c r="L118" i="27"/>
  <c r="D117" i="27"/>
  <c r="G116" i="27"/>
  <c r="F116" i="27"/>
  <c r="E116" i="27"/>
  <c r="D116" i="27"/>
  <c r="G115" i="27"/>
  <c r="F115" i="27"/>
  <c r="E115" i="27"/>
  <c r="D115" i="27"/>
  <c r="G114" i="27"/>
  <c r="F114" i="27"/>
  <c r="E114" i="27"/>
  <c r="D114" i="27"/>
  <c r="D113" i="27"/>
  <c r="D112" i="27"/>
  <c r="D111" i="27"/>
  <c r="L91" i="27"/>
  <c r="L121" i="27" s="1"/>
  <c r="L90" i="27"/>
  <c r="L89" i="27"/>
  <c r="L87" i="27"/>
  <c r="L117" i="27" s="1"/>
  <c r="L86" i="27"/>
  <c r="L116" i="27" s="1"/>
  <c r="L85" i="27"/>
  <c r="L115" i="27" s="1"/>
  <c r="L84" i="27"/>
  <c r="L114" i="27" s="1"/>
  <c r="L83" i="27"/>
  <c r="L113" i="27" s="1"/>
  <c r="L82" i="27"/>
  <c r="L112" i="27" s="1"/>
  <c r="L81" i="27"/>
  <c r="L111" i="27" s="1"/>
  <c r="S218" i="25"/>
  <c r="H218" i="25"/>
  <c r="G218" i="25"/>
  <c r="F218" i="25"/>
  <c r="S145" i="25"/>
  <c r="H145" i="25"/>
  <c r="G145" i="25"/>
  <c r="F145" i="25"/>
  <c r="E205" i="25"/>
  <c r="F205" i="25" s="1"/>
  <c r="E133" i="25"/>
  <c r="F133" i="25" s="1"/>
  <c r="G270" i="25"/>
  <c r="F270" i="25"/>
  <c r="H268" i="25"/>
  <c r="G268" i="25"/>
  <c r="F268" i="25"/>
  <c r="H267" i="25"/>
  <c r="G267" i="25"/>
  <c r="F267" i="25"/>
  <c r="G266" i="25"/>
  <c r="F266" i="25"/>
  <c r="H263" i="25"/>
  <c r="G263" i="25"/>
  <c r="F263" i="25"/>
  <c r="G262" i="25"/>
  <c r="F262" i="25"/>
  <c r="H261" i="25"/>
  <c r="G261" i="25"/>
  <c r="F261" i="25"/>
  <c r="G258" i="25"/>
  <c r="F258" i="25"/>
  <c r="H257" i="25"/>
  <c r="G257" i="25"/>
  <c r="F257" i="25"/>
  <c r="G255" i="25"/>
  <c r="F255" i="25"/>
  <c r="G254" i="25"/>
  <c r="F254" i="25"/>
  <c r="G253" i="25"/>
  <c r="F253" i="25"/>
  <c r="G252" i="25"/>
  <c r="F252" i="25"/>
  <c r="G249" i="25"/>
  <c r="F249" i="25"/>
  <c r="G248" i="25"/>
  <c r="F248" i="25"/>
  <c r="G247" i="25"/>
  <c r="F247" i="25"/>
  <c r="G244" i="25"/>
  <c r="F244" i="25"/>
  <c r="H242" i="25"/>
  <c r="G242" i="25"/>
  <c r="F242" i="25"/>
  <c r="H241" i="25"/>
  <c r="G241" i="25"/>
  <c r="F241" i="25"/>
  <c r="G240" i="25"/>
  <c r="F240" i="25"/>
  <c r="H237" i="25"/>
  <c r="G237" i="25"/>
  <c r="F237" i="25"/>
  <c r="G236" i="25"/>
  <c r="F236" i="25"/>
  <c r="G235" i="25"/>
  <c r="F235" i="25"/>
  <c r="G234" i="25"/>
  <c r="F234" i="25"/>
  <c r="G231" i="25"/>
  <c r="F231" i="25"/>
  <c r="G230" i="25"/>
  <c r="F230" i="25"/>
  <c r="G228" i="25"/>
  <c r="G227" i="25"/>
  <c r="S225" i="25"/>
  <c r="W72" i="25" s="1"/>
  <c r="W111" i="25" s="1"/>
  <c r="H225" i="25"/>
  <c r="G225" i="25"/>
  <c r="F225" i="25"/>
  <c r="G224" i="25"/>
  <c r="G197" i="25"/>
  <c r="F197" i="25"/>
  <c r="H195" i="25"/>
  <c r="G195" i="25"/>
  <c r="F195" i="25"/>
  <c r="H194" i="25"/>
  <c r="G194" i="25"/>
  <c r="F194" i="25"/>
  <c r="G193" i="25"/>
  <c r="F193" i="25"/>
  <c r="H190" i="25"/>
  <c r="G190" i="25"/>
  <c r="F190" i="25"/>
  <c r="G189" i="25"/>
  <c r="F189" i="25"/>
  <c r="H188" i="25"/>
  <c r="G188" i="25"/>
  <c r="F188" i="25"/>
  <c r="G185" i="25"/>
  <c r="F185" i="25"/>
  <c r="H184" i="25"/>
  <c r="G184" i="25"/>
  <c r="F184" i="25"/>
  <c r="G182" i="25"/>
  <c r="F182" i="25"/>
  <c r="G181" i="25"/>
  <c r="F181" i="25"/>
  <c r="G180" i="25"/>
  <c r="F180" i="25"/>
  <c r="G179" i="25"/>
  <c r="F179" i="25"/>
  <c r="G176" i="25"/>
  <c r="F176" i="25"/>
  <c r="G175" i="25"/>
  <c r="F175" i="25"/>
  <c r="G174" i="25"/>
  <c r="F174" i="25"/>
  <c r="G171" i="25"/>
  <c r="F171" i="25"/>
  <c r="H169" i="25"/>
  <c r="G169" i="25"/>
  <c r="F169" i="25"/>
  <c r="H168" i="25"/>
  <c r="G168" i="25"/>
  <c r="F168" i="25"/>
  <c r="G167" i="25"/>
  <c r="F167" i="25"/>
  <c r="H164" i="25"/>
  <c r="G164" i="25"/>
  <c r="F164" i="25"/>
  <c r="G163" i="25"/>
  <c r="F163" i="25"/>
  <c r="G162" i="25"/>
  <c r="F162" i="25"/>
  <c r="G161" i="25"/>
  <c r="F161" i="25"/>
  <c r="W76" i="25"/>
  <c r="V75" i="25"/>
  <c r="G158" i="25"/>
  <c r="F158" i="25"/>
  <c r="G157" i="25"/>
  <c r="F157" i="25"/>
  <c r="G155" i="25"/>
  <c r="G154" i="25"/>
  <c r="S152" i="25"/>
  <c r="V72" i="25" s="1"/>
  <c r="V111" i="25" s="1"/>
  <c r="H152" i="25"/>
  <c r="G152" i="25"/>
  <c r="F152" i="25"/>
  <c r="G151" i="25"/>
  <c r="T116" i="25"/>
  <c r="W115" i="25"/>
  <c r="V115" i="25"/>
  <c r="U115" i="25"/>
  <c r="T115" i="25"/>
  <c r="W114" i="25"/>
  <c r="V114" i="25"/>
  <c r="U114" i="25"/>
  <c r="T114" i="25"/>
  <c r="O114" i="25"/>
  <c r="N114" i="25"/>
  <c r="M114" i="25"/>
  <c r="L114" i="25"/>
  <c r="U113" i="25"/>
  <c r="T113" i="25"/>
  <c r="O113" i="25"/>
  <c r="N113" i="25"/>
  <c r="M113" i="25"/>
  <c r="L113" i="25"/>
  <c r="O112" i="25"/>
  <c r="N112" i="25"/>
  <c r="M112" i="25"/>
  <c r="L112" i="25"/>
  <c r="D111" i="25"/>
  <c r="G110" i="25"/>
  <c r="F110" i="25"/>
  <c r="E110" i="25"/>
  <c r="D110" i="25"/>
  <c r="G109" i="25"/>
  <c r="F109" i="25"/>
  <c r="E109" i="25"/>
  <c r="D109" i="25"/>
  <c r="D108" i="25"/>
  <c r="D107" i="25"/>
  <c r="D106" i="25"/>
  <c r="D105" i="25"/>
  <c r="L85" i="25"/>
  <c r="L115" i="25" s="1"/>
  <c r="L84" i="25"/>
  <c r="L83" i="25"/>
  <c r="L81" i="25"/>
  <c r="L111" i="25" s="1"/>
  <c r="L80" i="25"/>
  <c r="L110" i="25" s="1"/>
  <c r="L79" i="25"/>
  <c r="L109" i="25" s="1"/>
  <c r="L78" i="25"/>
  <c r="L108" i="25" s="1"/>
  <c r="L77" i="25"/>
  <c r="L107" i="25" s="1"/>
  <c r="L76" i="25"/>
  <c r="L106" i="25" s="1"/>
  <c r="W75" i="25"/>
  <c r="L75" i="25"/>
  <c r="L105" i="25" s="1"/>
  <c r="E217" i="24"/>
  <c r="S253" i="24" s="1"/>
  <c r="E148" i="24"/>
  <c r="S170" i="24" s="1"/>
  <c r="S252" i="24" s="1"/>
  <c r="G278" i="24"/>
  <c r="F278" i="24"/>
  <c r="H276" i="24"/>
  <c r="G276" i="24"/>
  <c r="F276" i="24"/>
  <c r="H275" i="24"/>
  <c r="G275" i="24"/>
  <c r="F275" i="24"/>
  <c r="G274" i="24"/>
  <c r="F274" i="24"/>
  <c r="H271" i="24"/>
  <c r="G271" i="24"/>
  <c r="F271" i="24"/>
  <c r="G270" i="24"/>
  <c r="F270" i="24"/>
  <c r="H269" i="24"/>
  <c r="G269" i="24"/>
  <c r="F269" i="24"/>
  <c r="G266" i="24"/>
  <c r="F266" i="24"/>
  <c r="H265" i="24"/>
  <c r="G265" i="24"/>
  <c r="F265" i="24"/>
  <c r="G263" i="24"/>
  <c r="F263" i="24"/>
  <c r="G262" i="24"/>
  <c r="F262" i="24"/>
  <c r="G261" i="24"/>
  <c r="F261" i="24"/>
  <c r="G260" i="24"/>
  <c r="F260" i="24"/>
  <c r="G257" i="24"/>
  <c r="F257" i="24"/>
  <c r="S256" i="24"/>
  <c r="G256" i="24"/>
  <c r="F256" i="24"/>
  <c r="G255" i="24"/>
  <c r="F255" i="24"/>
  <c r="G252" i="24"/>
  <c r="F252" i="24"/>
  <c r="H250" i="24"/>
  <c r="G250" i="24"/>
  <c r="F250" i="24"/>
  <c r="H249" i="24"/>
  <c r="G249" i="24"/>
  <c r="F249" i="24"/>
  <c r="G248" i="24"/>
  <c r="F248" i="24"/>
  <c r="H245" i="24"/>
  <c r="G245" i="24"/>
  <c r="F245" i="24"/>
  <c r="G244" i="24"/>
  <c r="F244" i="24"/>
  <c r="G243" i="24"/>
  <c r="F243" i="24"/>
  <c r="G242" i="24"/>
  <c r="F242" i="24"/>
  <c r="S240" i="24"/>
  <c r="W90" i="24" s="1"/>
  <c r="G239" i="24"/>
  <c r="F239" i="24"/>
  <c r="G238" i="24"/>
  <c r="F238" i="24"/>
  <c r="G236" i="24"/>
  <c r="S233" i="24"/>
  <c r="W87" i="24" s="1"/>
  <c r="W126" i="24" s="1"/>
  <c r="H233" i="24"/>
  <c r="G233" i="24"/>
  <c r="F233" i="24"/>
  <c r="G232" i="24"/>
  <c r="S226" i="24"/>
  <c r="W86" i="24" s="1"/>
  <c r="W125" i="24" s="1"/>
  <c r="H226" i="24"/>
  <c r="G226" i="24"/>
  <c r="F226" i="24"/>
  <c r="G209" i="24"/>
  <c r="F209" i="24"/>
  <c r="H207" i="24"/>
  <c r="G207" i="24"/>
  <c r="F207" i="24"/>
  <c r="H206" i="24"/>
  <c r="G206" i="24"/>
  <c r="F206" i="24"/>
  <c r="G205" i="24"/>
  <c r="F205" i="24"/>
  <c r="H202" i="24"/>
  <c r="G202" i="24"/>
  <c r="F202" i="24"/>
  <c r="G201" i="24"/>
  <c r="F201" i="24"/>
  <c r="H200" i="24"/>
  <c r="G200" i="24"/>
  <c r="F200" i="24"/>
  <c r="G197" i="24"/>
  <c r="F197" i="24"/>
  <c r="H196" i="24"/>
  <c r="G196" i="24"/>
  <c r="F196" i="24"/>
  <c r="G194" i="24"/>
  <c r="F194" i="24"/>
  <c r="G193" i="24"/>
  <c r="F193" i="24"/>
  <c r="G192" i="24"/>
  <c r="F192" i="24"/>
  <c r="G191" i="24"/>
  <c r="F191" i="24"/>
  <c r="G188" i="24"/>
  <c r="F188" i="24"/>
  <c r="G187" i="24"/>
  <c r="F187" i="24"/>
  <c r="G186" i="24"/>
  <c r="F186" i="24"/>
  <c r="G183" i="24"/>
  <c r="F183" i="24"/>
  <c r="H181" i="24"/>
  <c r="G181" i="24"/>
  <c r="F181" i="24"/>
  <c r="H180" i="24"/>
  <c r="G180" i="24"/>
  <c r="F180" i="24"/>
  <c r="G179" i="24"/>
  <c r="F179" i="24"/>
  <c r="H176" i="24"/>
  <c r="G176" i="24"/>
  <c r="F176" i="24"/>
  <c r="G175" i="24"/>
  <c r="F175" i="24"/>
  <c r="G174" i="24"/>
  <c r="F174" i="24"/>
  <c r="G173" i="24"/>
  <c r="F173" i="24"/>
  <c r="S172" i="24"/>
  <c r="S255" i="24" s="1"/>
  <c r="S241" i="24" s="1"/>
  <c r="W91" i="24" s="1"/>
  <c r="S171" i="24"/>
  <c r="V90" i="24" s="1"/>
  <c r="G170" i="24"/>
  <c r="F170" i="24"/>
  <c r="G169" i="24"/>
  <c r="F169" i="24"/>
  <c r="G167" i="24"/>
  <c r="S164" i="24"/>
  <c r="V87" i="24" s="1"/>
  <c r="V126" i="24" s="1"/>
  <c r="H164" i="24"/>
  <c r="G164" i="24"/>
  <c r="F164" i="24"/>
  <c r="G163" i="24"/>
  <c r="S157" i="24"/>
  <c r="V86" i="24" s="1"/>
  <c r="V125" i="24" s="1"/>
  <c r="H157" i="24"/>
  <c r="G157" i="24"/>
  <c r="F157" i="24"/>
  <c r="T131" i="24"/>
  <c r="W130" i="24"/>
  <c r="V130" i="24"/>
  <c r="U130" i="24"/>
  <c r="T130" i="24"/>
  <c r="W129" i="24"/>
  <c r="V129" i="24"/>
  <c r="U129" i="24"/>
  <c r="T129" i="24"/>
  <c r="O129" i="24"/>
  <c r="N129" i="24"/>
  <c r="M129" i="24"/>
  <c r="L129" i="24"/>
  <c r="U128" i="24"/>
  <c r="T128" i="24"/>
  <c r="O128" i="24"/>
  <c r="N128" i="24"/>
  <c r="M128" i="24"/>
  <c r="L128" i="24"/>
  <c r="O127" i="24"/>
  <c r="N127" i="24"/>
  <c r="M127" i="24"/>
  <c r="L127" i="24"/>
  <c r="D126" i="24"/>
  <c r="G125" i="24"/>
  <c r="F125" i="24"/>
  <c r="E125" i="24"/>
  <c r="D125" i="24"/>
  <c r="G124" i="24"/>
  <c r="F124" i="24"/>
  <c r="E124" i="24"/>
  <c r="D124" i="24"/>
  <c r="G123" i="24"/>
  <c r="F123" i="24"/>
  <c r="E123" i="24"/>
  <c r="D123" i="24"/>
  <c r="D122" i="24"/>
  <c r="D121" i="24"/>
  <c r="D120" i="24"/>
  <c r="L100" i="24"/>
  <c r="L130" i="24" s="1"/>
  <c r="L99" i="24"/>
  <c r="L98" i="24"/>
  <c r="L96" i="24"/>
  <c r="L126" i="24" s="1"/>
  <c r="L95" i="24"/>
  <c r="L125" i="24" s="1"/>
  <c r="L94" i="24"/>
  <c r="L124" i="24" s="1"/>
  <c r="L93" i="24"/>
  <c r="L123" i="24" s="1"/>
  <c r="L92" i="24"/>
  <c r="L122" i="24" s="1"/>
  <c r="V91" i="24"/>
  <c r="L91" i="24"/>
  <c r="L121" i="24" s="1"/>
  <c r="L90" i="24"/>
  <c r="L120" i="24" s="1"/>
  <c r="E17" i="24"/>
  <c r="I25" i="24" s="1"/>
  <c r="E217" i="23"/>
  <c r="S252" i="23" s="1"/>
  <c r="E17" i="23"/>
  <c r="E18" i="23" s="1"/>
  <c r="E148" i="23"/>
  <c r="S170" i="23" s="1"/>
  <c r="S239" i="23"/>
  <c r="S255" i="23"/>
  <c r="S245" i="4"/>
  <c r="S242" i="4"/>
  <c r="S163" i="4"/>
  <c r="S244" i="4" s="1"/>
  <c r="S162" i="4"/>
  <c r="S161" i="4"/>
  <c r="S241" i="4" s="1"/>
  <c r="G96" i="31" l="1"/>
  <c r="O135" i="31" s="1"/>
  <c r="K289" i="31"/>
  <c r="F96" i="31"/>
  <c r="N135" i="31" s="1"/>
  <c r="K210" i="31"/>
  <c r="F237" i="24"/>
  <c r="J200" i="24"/>
  <c r="G254" i="24"/>
  <c r="J261" i="24"/>
  <c r="K276" i="24"/>
  <c r="J274" i="24"/>
  <c r="G178" i="24"/>
  <c r="F259" i="24"/>
  <c r="E25" i="23"/>
  <c r="F227" i="28"/>
  <c r="F243" i="28" s="1"/>
  <c r="F185" i="24"/>
  <c r="K202" i="24"/>
  <c r="K269" i="24"/>
  <c r="F168" i="24"/>
  <c r="J201" i="24"/>
  <c r="J291" i="29"/>
  <c r="J212" i="29"/>
  <c r="K291" i="29"/>
  <c r="K212" i="29"/>
  <c r="J196" i="29"/>
  <c r="S263" i="29"/>
  <c r="W98" i="29" s="1"/>
  <c r="W137" i="29" s="1"/>
  <c r="J227" i="29"/>
  <c r="J275" i="29"/>
  <c r="F263" i="29"/>
  <c r="J276" i="29"/>
  <c r="J296" i="29"/>
  <c r="J306" i="29"/>
  <c r="J207" i="29"/>
  <c r="J282" i="29"/>
  <c r="G194" i="29"/>
  <c r="J208" i="29"/>
  <c r="K301" i="29"/>
  <c r="G201" i="29"/>
  <c r="V100" i="29"/>
  <c r="F201" i="29"/>
  <c r="J202" i="29"/>
  <c r="J274" i="29"/>
  <c r="J222" i="29"/>
  <c r="K259" i="29"/>
  <c r="J190" i="29"/>
  <c r="J270" i="29"/>
  <c r="K299" i="29"/>
  <c r="K216" i="29"/>
  <c r="J221" i="29"/>
  <c r="G263" i="29"/>
  <c r="J300" i="29"/>
  <c r="S265" i="29"/>
  <c r="W100" i="29" s="1"/>
  <c r="K226" i="29"/>
  <c r="G298" i="29"/>
  <c r="G184" i="29"/>
  <c r="J216" i="29"/>
  <c r="K197" i="29"/>
  <c r="J226" i="29"/>
  <c r="J264" i="29"/>
  <c r="J195" i="29"/>
  <c r="K276" i="29"/>
  <c r="G280" i="29"/>
  <c r="G303" i="29"/>
  <c r="J185" i="29"/>
  <c r="J191" i="29"/>
  <c r="J203" i="29"/>
  <c r="J220" i="29"/>
  <c r="G273" i="29"/>
  <c r="J305" i="29"/>
  <c r="J197" i="29"/>
  <c r="G219" i="29"/>
  <c r="G267" i="29"/>
  <c r="J286" i="29"/>
  <c r="J301" i="29"/>
  <c r="F184" i="29"/>
  <c r="K192" i="29"/>
  <c r="K222" i="29"/>
  <c r="J289" i="29"/>
  <c r="K180" i="29"/>
  <c r="K271" i="29"/>
  <c r="J278" i="29"/>
  <c r="F285" i="29"/>
  <c r="J304" i="29"/>
  <c r="K306" i="29"/>
  <c r="G285" i="29"/>
  <c r="G206" i="29"/>
  <c r="K220" i="29"/>
  <c r="J269" i="29"/>
  <c r="J287" i="29"/>
  <c r="J295" i="29"/>
  <c r="G188" i="29"/>
  <c r="K227" i="29"/>
  <c r="J217" i="29"/>
  <c r="G224" i="29"/>
  <c r="V98" i="29"/>
  <c r="V137" i="29" s="1"/>
  <c r="K196" i="29"/>
  <c r="K275" i="29"/>
  <c r="K295" i="29"/>
  <c r="K305" i="29"/>
  <c r="V95" i="29"/>
  <c r="V134" i="29" s="1"/>
  <c r="J186" i="29"/>
  <c r="J199" i="29"/>
  <c r="J209" i="29"/>
  <c r="W95" i="29"/>
  <c r="W134" i="29" s="1"/>
  <c r="J265" i="29"/>
  <c r="J283" i="29"/>
  <c r="J308" i="29"/>
  <c r="F194" i="29"/>
  <c r="F219" i="29"/>
  <c r="F273" i="29"/>
  <c r="F303" i="29"/>
  <c r="J180" i="29"/>
  <c r="N104" i="29" s="1"/>
  <c r="F188" i="29"/>
  <c r="J204" i="29"/>
  <c r="J229" i="29"/>
  <c r="J259" i="29"/>
  <c r="O104" i="29" s="1"/>
  <c r="F267" i="29"/>
  <c r="F280" i="29"/>
  <c r="J288" i="29"/>
  <c r="J189" i="29"/>
  <c r="J192" i="29"/>
  <c r="J210" i="29"/>
  <c r="F224" i="29"/>
  <c r="J225" i="29"/>
  <c r="J268" i="29"/>
  <c r="J271" i="29"/>
  <c r="J281" i="29"/>
  <c r="F298" i="29"/>
  <c r="J299" i="29"/>
  <c r="F206" i="29"/>
  <c r="F152" i="28"/>
  <c r="F151" i="28"/>
  <c r="F257" i="28"/>
  <c r="F188" i="28"/>
  <c r="J173" i="28"/>
  <c r="J254" i="28"/>
  <c r="J260" i="28"/>
  <c r="K210" i="28"/>
  <c r="J288" i="28"/>
  <c r="V86" i="28"/>
  <c r="V125" i="28" s="1"/>
  <c r="V88" i="28"/>
  <c r="F171" i="28"/>
  <c r="F269" i="28"/>
  <c r="K281" i="28"/>
  <c r="K179" i="28"/>
  <c r="K286" i="28"/>
  <c r="J184" i="28"/>
  <c r="G283" i="28"/>
  <c r="G181" i="28"/>
  <c r="G202" i="28"/>
  <c r="J199" i="28"/>
  <c r="J248" i="28"/>
  <c r="G251" i="28"/>
  <c r="K205" i="28"/>
  <c r="G257" i="28"/>
  <c r="S251" i="28"/>
  <c r="W88" i="28" s="1"/>
  <c r="J266" i="28"/>
  <c r="J270" i="28"/>
  <c r="K279" i="28"/>
  <c r="J183" i="28"/>
  <c r="K203" i="28"/>
  <c r="J271" i="28"/>
  <c r="K199" i="28"/>
  <c r="J210" i="28"/>
  <c r="K255" i="28"/>
  <c r="J196" i="28"/>
  <c r="J204" i="28"/>
  <c r="J253" i="28"/>
  <c r="J280" i="28"/>
  <c r="J189" i="28"/>
  <c r="J194" i="28"/>
  <c r="K209" i="28"/>
  <c r="J285" i="28"/>
  <c r="K260" i="28"/>
  <c r="J186" i="28"/>
  <c r="G264" i="28"/>
  <c r="J276" i="28"/>
  <c r="J286" i="28"/>
  <c r="S249" i="28"/>
  <c r="W86" i="28" s="1"/>
  <c r="W125" i="28" s="1"/>
  <c r="J209" i="28"/>
  <c r="J258" i="28"/>
  <c r="J267" i="28"/>
  <c r="J177" i="28"/>
  <c r="K184" i="28"/>
  <c r="J203" i="28"/>
  <c r="J205" i="28"/>
  <c r="F247" i="28"/>
  <c r="J249" i="28"/>
  <c r="J273" i="28"/>
  <c r="J284" i="28"/>
  <c r="J259" i="28"/>
  <c r="G278" i="28"/>
  <c r="J182" i="28"/>
  <c r="G188" i="28"/>
  <c r="J195" i="28"/>
  <c r="J200" i="28"/>
  <c r="G207" i="28"/>
  <c r="G247" i="28"/>
  <c r="J262" i="28"/>
  <c r="J275" i="28"/>
  <c r="J281" i="28"/>
  <c r="G193" i="28"/>
  <c r="G175" i="28"/>
  <c r="G269" i="28"/>
  <c r="J178" i="28"/>
  <c r="K183" i="28"/>
  <c r="J190" i="28"/>
  <c r="K259" i="28"/>
  <c r="K275" i="28"/>
  <c r="K285" i="28"/>
  <c r="V83" i="28"/>
  <c r="V122" i="28" s="1"/>
  <c r="W83" i="28"/>
  <c r="W122" i="28" s="1"/>
  <c r="F181" i="28"/>
  <c r="F202" i="28"/>
  <c r="F283" i="28"/>
  <c r="J172" i="28"/>
  <c r="G171" i="28"/>
  <c r="F175" i="28"/>
  <c r="J191" i="28"/>
  <c r="J212" i="28"/>
  <c r="F251" i="28"/>
  <c r="F264" i="28"/>
  <c r="J272" i="28"/>
  <c r="J176" i="28"/>
  <c r="J179" i="28"/>
  <c r="J197" i="28"/>
  <c r="F207" i="28"/>
  <c r="J208" i="28"/>
  <c r="J252" i="28"/>
  <c r="J255" i="28"/>
  <c r="J265" i="28"/>
  <c r="F278" i="28"/>
  <c r="J279" i="28"/>
  <c r="F193" i="28"/>
  <c r="S236" i="27"/>
  <c r="W82" i="27" s="1"/>
  <c r="K245" i="27"/>
  <c r="J173" i="27"/>
  <c r="J258" i="27"/>
  <c r="K193" i="27"/>
  <c r="J228" i="27"/>
  <c r="G77" i="27" s="1"/>
  <c r="G232" i="27"/>
  <c r="K264" i="27"/>
  <c r="K244" i="27"/>
  <c r="G165" i="27"/>
  <c r="K195" i="27"/>
  <c r="G263" i="27"/>
  <c r="K189" i="27"/>
  <c r="J243" i="27"/>
  <c r="K270" i="27"/>
  <c r="K266" i="27"/>
  <c r="J181" i="27"/>
  <c r="J247" i="27"/>
  <c r="V82" i="27"/>
  <c r="F161" i="27"/>
  <c r="K173" i="27"/>
  <c r="G197" i="27"/>
  <c r="K260" i="27"/>
  <c r="K157" i="27"/>
  <c r="G183" i="27"/>
  <c r="V80" i="27"/>
  <c r="V119" i="27" s="1"/>
  <c r="K174" i="27"/>
  <c r="K200" i="27"/>
  <c r="G236" i="27"/>
  <c r="J244" i="27"/>
  <c r="J257" i="27"/>
  <c r="J270" i="27"/>
  <c r="J260" i="27"/>
  <c r="J266" i="27"/>
  <c r="G254" i="27"/>
  <c r="K271" i="27"/>
  <c r="G161" i="27"/>
  <c r="J168" i="27"/>
  <c r="J180" i="27"/>
  <c r="J184" i="27"/>
  <c r="J194" i="27"/>
  <c r="J200" i="27"/>
  <c r="G268" i="27"/>
  <c r="K169" i="27"/>
  <c r="J190" i="27"/>
  <c r="J239" i="27"/>
  <c r="S234" i="27"/>
  <c r="W80" i="27" s="1"/>
  <c r="W119" i="27" s="1"/>
  <c r="J185" i="27"/>
  <c r="J193" i="27"/>
  <c r="J195" i="27"/>
  <c r="K199" i="27"/>
  <c r="K240" i="27"/>
  <c r="J162" i="27"/>
  <c r="J172" i="27"/>
  <c r="J174" i="27"/>
  <c r="K228" i="27"/>
  <c r="G249" i="27"/>
  <c r="J256" i="27"/>
  <c r="V77" i="27"/>
  <c r="V116" i="27" s="1"/>
  <c r="J163" i="27"/>
  <c r="J176" i="27"/>
  <c r="J186" i="27"/>
  <c r="W77" i="27"/>
  <c r="W116" i="27" s="1"/>
  <c r="J234" i="27"/>
  <c r="J252" i="27"/>
  <c r="J273" i="27"/>
  <c r="F171" i="27"/>
  <c r="F192" i="27"/>
  <c r="F242" i="27"/>
  <c r="F268" i="27"/>
  <c r="J269" i="27"/>
  <c r="J167" i="27"/>
  <c r="G171" i="27"/>
  <c r="F178" i="27"/>
  <c r="J179" i="27"/>
  <c r="J189" i="27"/>
  <c r="G192" i="27"/>
  <c r="J199" i="27"/>
  <c r="J238" i="27"/>
  <c r="G242" i="27"/>
  <c r="F254" i="27"/>
  <c r="J255" i="27"/>
  <c r="J265" i="27"/>
  <c r="G178" i="27"/>
  <c r="F232" i="27"/>
  <c r="J233" i="27"/>
  <c r="J245" i="27"/>
  <c r="J251" i="27"/>
  <c r="J261" i="27"/>
  <c r="J271" i="27"/>
  <c r="J157" i="27"/>
  <c r="F77" i="27" s="1"/>
  <c r="F165" i="27"/>
  <c r="J202" i="27"/>
  <c r="F236" i="27"/>
  <c r="F249" i="27"/>
  <c r="J166" i="27"/>
  <c r="J169" i="27"/>
  <c r="J187" i="27"/>
  <c r="F197" i="27"/>
  <c r="J198" i="27"/>
  <c r="J237" i="27"/>
  <c r="J240" i="27"/>
  <c r="J250" i="27"/>
  <c r="F263" i="27"/>
  <c r="J264" i="27"/>
  <c r="F183" i="27"/>
  <c r="J174" i="25"/>
  <c r="J244" i="25"/>
  <c r="J270" i="25"/>
  <c r="J188" i="25"/>
  <c r="J235" i="25"/>
  <c r="J169" i="25"/>
  <c r="J230" i="25"/>
  <c r="J171" i="25"/>
  <c r="J180" i="25"/>
  <c r="K188" i="25"/>
  <c r="J181" i="25"/>
  <c r="G260" i="25"/>
  <c r="F265" i="25"/>
  <c r="G239" i="25"/>
  <c r="G265" i="25"/>
  <c r="J190" i="25"/>
  <c r="F187" i="25"/>
  <c r="F156" i="25"/>
  <c r="F173" i="25"/>
  <c r="G192" i="25"/>
  <c r="F251" i="25"/>
  <c r="K263" i="25"/>
  <c r="J157" i="25"/>
  <c r="G160" i="25"/>
  <c r="K194" i="25"/>
  <c r="J248" i="25"/>
  <c r="K261" i="25"/>
  <c r="J158" i="25"/>
  <c r="J152" i="25"/>
  <c r="F71" i="25" s="1"/>
  <c r="J167" i="25"/>
  <c r="J241" i="25"/>
  <c r="J267" i="25"/>
  <c r="J168" i="25"/>
  <c r="J258" i="25"/>
  <c r="K164" i="25"/>
  <c r="J189" i="25"/>
  <c r="F239" i="25"/>
  <c r="K241" i="25"/>
  <c r="K268" i="25"/>
  <c r="K168" i="25"/>
  <c r="K184" i="25"/>
  <c r="G187" i="25"/>
  <c r="K242" i="25"/>
  <c r="J249" i="25"/>
  <c r="J252" i="25"/>
  <c r="J262" i="25"/>
  <c r="G156" i="25"/>
  <c r="F166" i="25"/>
  <c r="J266" i="25"/>
  <c r="K152" i="25"/>
  <c r="J162" i="25"/>
  <c r="G166" i="25"/>
  <c r="G173" i="25"/>
  <c r="K190" i="25"/>
  <c r="J194" i="25"/>
  <c r="G233" i="25"/>
  <c r="G246" i="25"/>
  <c r="J255" i="25"/>
  <c r="K169" i="25"/>
  <c r="J184" i="25"/>
  <c r="K195" i="25"/>
  <c r="K225" i="25"/>
  <c r="K237" i="25"/>
  <c r="J240" i="25"/>
  <c r="J179" i="25"/>
  <c r="J231" i="25"/>
  <c r="J257" i="25"/>
  <c r="V74" i="25"/>
  <c r="V113" i="25" s="1"/>
  <c r="W74" i="25"/>
  <c r="W113" i="25" s="1"/>
  <c r="V76" i="25"/>
  <c r="J163" i="25"/>
  <c r="J175" i="25"/>
  <c r="G178" i="25"/>
  <c r="J185" i="25"/>
  <c r="J195" i="25"/>
  <c r="J236" i="25"/>
  <c r="J253" i="25"/>
  <c r="K257" i="25"/>
  <c r="J263" i="25"/>
  <c r="K267" i="25"/>
  <c r="V71" i="25"/>
  <c r="V110" i="25" s="1"/>
  <c r="W71" i="25"/>
  <c r="W110" i="25" s="1"/>
  <c r="F229" i="25"/>
  <c r="J242" i="25"/>
  <c r="G251" i="25"/>
  <c r="J268" i="25"/>
  <c r="F160" i="25"/>
  <c r="J176" i="25"/>
  <c r="J197" i="25"/>
  <c r="J225" i="25"/>
  <c r="G71" i="25" s="1"/>
  <c r="G229" i="25"/>
  <c r="F233" i="25"/>
  <c r="F246" i="25"/>
  <c r="J254" i="25"/>
  <c r="J161" i="25"/>
  <c r="J164" i="25"/>
  <c r="J182" i="25"/>
  <c r="F192" i="25"/>
  <c r="J193" i="25"/>
  <c r="J234" i="25"/>
  <c r="J237" i="25"/>
  <c r="J247" i="25"/>
  <c r="F260" i="25"/>
  <c r="J261" i="25"/>
  <c r="F178" i="25"/>
  <c r="S239" i="24"/>
  <c r="K176" i="24"/>
  <c r="J197" i="24"/>
  <c r="J263" i="24"/>
  <c r="J187" i="24"/>
  <c r="J244" i="24"/>
  <c r="J257" i="24"/>
  <c r="J270" i="24"/>
  <c r="J196" i="24"/>
  <c r="G237" i="24"/>
  <c r="J237" i="24" s="1"/>
  <c r="J179" i="24"/>
  <c r="G185" i="24"/>
  <c r="J194" i="24"/>
  <c r="J183" i="24"/>
  <c r="J188" i="24"/>
  <c r="G199" i="24"/>
  <c r="J265" i="24"/>
  <c r="J164" i="24"/>
  <c r="F86" i="24" s="1"/>
  <c r="J180" i="24"/>
  <c r="K200" i="24"/>
  <c r="J209" i="24"/>
  <c r="J226" i="24"/>
  <c r="G84" i="24" s="1"/>
  <c r="G273" i="24"/>
  <c r="K206" i="24"/>
  <c r="J181" i="24"/>
  <c r="J191" i="24"/>
  <c r="J243" i="24"/>
  <c r="J248" i="24"/>
  <c r="J260" i="24"/>
  <c r="J275" i="24"/>
  <c r="G168" i="24"/>
  <c r="J175" i="24"/>
  <c r="F204" i="24"/>
  <c r="J207" i="24"/>
  <c r="K233" i="24"/>
  <c r="K245" i="24"/>
  <c r="J249" i="24"/>
  <c r="J256" i="24"/>
  <c r="J266" i="24"/>
  <c r="J271" i="24"/>
  <c r="J276" i="24"/>
  <c r="J169" i="24"/>
  <c r="J173" i="24"/>
  <c r="J186" i="24"/>
  <c r="G204" i="24"/>
  <c r="J239" i="24"/>
  <c r="J252" i="24"/>
  <c r="G259" i="24"/>
  <c r="G268" i="24"/>
  <c r="J157" i="24"/>
  <c r="F84" i="24" s="1"/>
  <c r="J192" i="24"/>
  <c r="K207" i="24"/>
  <c r="K250" i="24"/>
  <c r="K271" i="24"/>
  <c r="G247" i="24"/>
  <c r="E25" i="24"/>
  <c r="E149" i="24" s="1"/>
  <c r="J174" i="24"/>
  <c r="J176" i="24"/>
  <c r="J206" i="24"/>
  <c r="K164" i="24"/>
  <c r="J170" i="24"/>
  <c r="G190" i="24"/>
  <c r="K196" i="24"/>
  <c r="J238" i="24"/>
  <c r="G241" i="24"/>
  <c r="J250" i="24"/>
  <c r="K181" i="24"/>
  <c r="J193" i="24"/>
  <c r="J202" i="24"/>
  <c r="K157" i="24"/>
  <c r="K180" i="24"/>
  <c r="K226" i="24"/>
  <c r="K249" i="24"/>
  <c r="K265" i="24"/>
  <c r="K275" i="24"/>
  <c r="J278" i="24"/>
  <c r="F178" i="24"/>
  <c r="F199" i="24"/>
  <c r="F247" i="24"/>
  <c r="F273" i="24"/>
  <c r="F172" i="24"/>
  <c r="J233" i="24"/>
  <c r="G86" i="24" s="1"/>
  <c r="F241" i="24"/>
  <c r="F254" i="24"/>
  <c r="J255" i="24"/>
  <c r="J262" i="24"/>
  <c r="G172" i="24"/>
  <c r="J205" i="24"/>
  <c r="J242" i="24"/>
  <c r="J245" i="24"/>
  <c r="F268" i="24"/>
  <c r="J269" i="24"/>
  <c r="F190" i="24"/>
  <c r="G166" i="23"/>
  <c r="V89" i="23"/>
  <c r="V128" i="23" s="1"/>
  <c r="G234" i="23"/>
  <c r="S231" i="4"/>
  <c r="S225" i="23"/>
  <c r="W86" i="23" s="1"/>
  <c r="W125" i="23" s="1"/>
  <c r="H225" i="23"/>
  <c r="G225" i="23"/>
  <c r="F225" i="23"/>
  <c r="S157" i="23"/>
  <c r="V86" i="23" s="1"/>
  <c r="V125" i="23" s="1"/>
  <c r="H157" i="23"/>
  <c r="G157" i="23"/>
  <c r="F157" i="23"/>
  <c r="G277" i="23"/>
  <c r="F277" i="23"/>
  <c r="H275" i="23"/>
  <c r="G275" i="23"/>
  <c r="F275" i="23"/>
  <c r="H274" i="23"/>
  <c r="G274" i="23"/>
  <c r="F274" i="23"/>
  <c r="G273" i="23"/>
  <c r="F273" i="23"/>
  <c r="H270" i="23"/>
  <c r="G270" i="23"/>
  <c r="F270" i="23"/>
  <c r="G269" i="23"/>
  <c r="F269" i="23"/>
  <c r="H268" i="23"/>
  <c r="G268" i="23"/>
  <c r="F268" i="23"/>
  <c r="G265" i="23"/>
  <c r="F265" i="23"/>
  <c r="H264" i="23"/>
  <c r="G264" i="23"/>
  <c r="F264" i="23"/>
  <c r="G262" i="23"/>
  <c r="F262" i="23"/>
  <c r="G261" i="23"/>
  <c r="F261" i="23"/>
  <c r="G260" i="23"/>
  <c r="F260" i="23"/>
  <c r="G259" i="23"/>
  <c r="F259" i="23"/>
  <c r="G256" i="23"/>
  <c r="F256" i="23"/>
  <c r="G255" i="23"/>
  <c r="F255" i="23"/>
  <c r="G254" i="23"/>
  <c r="F254" i="23"/>
  <c r="G251" i="23"/>
  <c r="F251" i="23"/>
  <c r="H249" i="23"/>
  <c r="G249" i="23"/>
  <c r="F249" i="23"/>
  <c r="H248" i="23"/>
  <c r="G248" i="23"/>
  <c r="F248" i="23"/>
  <c r="G247" i="23"/>
  <c r="F247" i="23"/>
  <c r="H244" i="23"/>
  <c r="G244" i="23"/>
  <c r="F244" i="23"/>
  <c r="G243" i="23"/>
  <c r="F243" i="23"/>
  <c r="G242" i="23"/>
  <c r="F242" i="23"/>
  <c r="G241" i="23"/>
  <c r="F241" i="23"/>
  <c r="W90" i="23"/>
  <c r="G238" i="23"/>
  <c r="F238" i="23"/>
  <c r="G237" i="23"/>
  <c r="F237" i="23"/>
  <c r="G235" i="23"/>
  <c r="S232" i="23"/>
  <c r="W87" i="23" s="1"/>
  <c r="W126" i="23" s="1"/>
  <c r="H232" i="23"/>
  <c r="G232" i="23"/>
  <c r="F232" i="23"/>
  <c r="G231" i="23"/>
  <c r="G209" i="23"/>
  <c r="F209" i="23"/>
  <c r="H207" i="23"/>
  <c r="G207" i="23"/>
  <c r="F207" i="23"/>
  <c r="H206" i="23"/>
  <c r="G206" i="23"/>
  <c r="F206" i="23"/>
  <c r="G205" i="23"/>
  <c r="F205" i="23"/>
  <c r="H202" i="23"/>
  <c r="G202" i="23"/>
  <c r="F202" i="23"/>
  <c r="G201" i="23"/>
  <c r="F201" i="23"/>
  <c r="H200" i="23"/>
  <c r="G200" i="23"/>
  <c r="F200" i="23"/>
  <c r="G197" i="23"/>
  <c r="F197" i="23"/>
  <c r="H196" i="23"/>
  <c r="G196" i="23"/>
  <c r="F196" i="23"/>
  <c r="G194" i="23"/>
  <c r="F194" i="23"/>
  <c r="G193" i="23"/>
  <c r="F193" i="23"/>
  <c r="G192" i="23"/>
  <c r="F192" i="23"/>
  <c r="G191" i="23"/>
  <c r="F191" i="23"/>
  <c r="G188" i="23"/>
  <c r="F188" i="23"/>
  <c r="G187" i="23"/>
  <c r="F187" i="23"/>
  <c r="G186" i="23"/>
  <c r="F186" i="23"/>
  <c r="G183" i="23"/>
  <c r="F183" i="23"/>
  <c r="H181" i="23"/>
  <c r="G181" i="23"/>
  <c r="F181" i="23"/>
  <c r="H180" i="23"/>
  <c r="G180" i="23"/>
  <c r="F180" i="23"/>
  <c r="G179" i="23"/>
  <c r="F179" i="23"/>
  <c r="H176" i="23"/>
  <c r="G176" i="23"/>
  <c r="F176" i="23"/>
  <c r="G175" i="23"/>
  <c r="F175" i="23"/>
  <c r="G174" i="23"/>
  <c r="F174" i="23"/>
  <c r="G173" i="23"/>
  <c r="F173" i="23"/>
  <c r="S172" i="23"/>
  <c r="S171" i="23"/>
  <c r="V90" i="23" s="1"/>
  <c r="G170" i="23"/>
  <c r="F170" i="23"/>
  <c r="G169" i="23"/>
  <c r="F169" i="23"/>
  <c r="G167" i="23"/>
  <c r="S164" i="23"/>
  <c r="V87" i="23" s="1"/>
  <c r="V126" i="23" s="1"/>
  <c r="H164" i="23"/>
  <c r="G164" i="23"/>
  <c r="F164" i="23"/>
  <c r="G163" i="23"/>
  <c r="T131" i="23"/>
  <c r="W130" i="23"/>
  <c r="V130" i="23"/>
  <c r="U130" i="23"/>
  <c r="T130" i="23"/>
  <c r="W129" i="23"/>
  <c r="V129" i="23"/>
  <c r="U129" i="23"/>
  <c r="T129" i="23"/>
  <c r="O129" i="23"/>
  <c r="N129" i="23"/>
  <c r="M129" i="23"/>
  <c r="L129" i="23"/>
  <c r="U128" i="23"/>
  <c r="T128" i="23"/>
  <c r="O128" i="23"/>
  <c r="N128" i="23"/>
  <c r="M128" i="23"/>
  <c r="L128" i="23"/>
  <c r="O127" i="23"/>
  <c r="N127" i="23"/>
  <c r="M127" i="23"/>
  <c r="L127" i="23"/>
  <c r="D126" i="23"/>
  <c r="G125" i="23"/>
  <c r="F125" i="23"/>
  <c r="E125" i="23"/>
  <c r="D125" i="23"/>
  <c r="G124" i="23"/>
  <c r="F124" i="23"/>
  <c r="E124" i="23"/>
  <c r="D124" i="23"/>
  <c r="G123" i="23"/>
  <c r="F123" i="23"/>
  <c r="E123" i="23"/>
  <c r="D123" i="23"/>
  <c r="D122" i="23"/>
  <c r="D121" i="23"/>
  <c r="D120" i="23"/>
  <c r="L100" i="23"/>
  <c r="L130" i="23" s="1"/>
  <c r="L99" i="23"/>
  <c r="L98" i="23"/>
  <c r="L96" i="23"/>
  <c r="L126" i="23" s="1"/>
  <c r="L95" i="23"/>
  <c r="L125" i="23" s="1"/>
  <c r="L94" i="23"/>
  <c r="L124" i="23" s="1"/>
  <c r="L93" i="23"/>
  <c r="L123" i="23" s="1"/>
  <c r="L92" i="23"/>
  <c r="L122" i="23" s="1"/>
  <c r="L91" i="23"/>
  <c r="L121" i="23" s="1"/>
  <c r="L90" i="23"/>
  <c r="L120" i="23" s="1"/>
  <c r="T122" i="4"/>
  <c r="F310" i="29" l="1"/>
  <c r="G310" i="29"/>
  <c r="J168" i="24"/>
  <c r="H243" i="28"/>
  <c r="J259" i="24"/>
  <c r="V91" i="23"/>
  <c r="S254" i="23"/>
  <c r="S240" i="23" s="1"/>
  <c r="W91" i="23" s="1"/>
  <c r="G243" i="28"/>
  <c r="J243" i="28" s="1"/>
  <c r="G83" i="28" s="1"/>
  <c r="S243" i="28"/>
  <c r="W84" i="28" s="1"/>
  <c r="W123" i="28" s="1"/>
  <c r="J239" i="25"/>
  <c r="J185" i="24"/>
  <c r="G166" i="24"/>
  <c r="E218" i="24"/>
  <c r="G235" i="24" s="1"/>
  <c r="J263" i="29"/>
  <c r="J184" i="29"/>
  <c r="J201" i="29"/>
  <c r="J285" i="29"/>
  <c r="J298" i="29"/>
  <c r="J224" i="29"/>
  <c r="J252" i="29"/>
  <c r="O102" i="29" s="1"/>
  <c r="K252" i="29"/>
  <c r="J219" i="29"/>
  <c r="J280" i="29"/>
  <c r="J194" i="29"/>
  <c r="J173" i="29"/>
  <c r="N102" i="29" s="1"/>
  <c r="K173" i="29"/>
  <c r="J206" i="29"/>
  <c r="J303" i="29"/>
  <c r="J267" i="29"/>
  <c r="J188" i="29"/>
  <c r="J273" i="29"/>
  <c r="G166" i="28"/>
  <c r="H167" i="28"/>
  <c r="G167" i="28"/>
  <c r="F167" i="28"/>
  <c r="S167" i="28"/>
  <c r="V84" i="28" s="1"/>
  <c r="V123" i="28" s="1"/>
  <c r="J257" i="28"/>
  <c r="J269" i="28"/>
  <c r="J247" i="28"/>
  <c r="J188" i="28"/>
  <c r="J171" i="28"/>
  <c r="J278" i="28"/>
  <c r="J207" i="28"/>
  <c r="J264" i="28"/>
  <c r="J236" i="28"/>
  <c r="G81" i="28" s="1"/>
  <c r="K236" i="28"/>
  <c r="J202" i="28"/>
  <c r="J175" i="28"/>
  <c r="J181" i="28"/>
  <c r="J283" i="28"/>
  <c r="J251" i="28"/>
  <c r="J160" i="28"/>
  <c r="F81" i="28" s="1"/>
  <c r="K160" i="28"/>
  <c r="J193" i="28"/>
  <c r="J161" i="27"/>
  <c r="J268" i="27"/>
  <c r="J249" i="27"/>
  <c r="J236" i="27"/>
  <c r="J242" i="27"/>
  <c r="J183" i="27"/>
  <c r="J197" i="27"/>
  <c r="J232" i="27"/>
  <c r="J221" i="27"/>
  <c r="G75" i="27" s="1"/>
  <c r="K221" i="27"/>
  <c r="J254" i="27"/>
  <c r="J192" i="27"/>
  <c r="J165" i="27"/>
  <c r="J263" i="27"/>
  <c r="J171" i="27"/>
  <c r="J178" i="27"/>
  <c r="J150" i="27"/>
  <c r="F75" i="27" s="1"/>
  <c r="K150" i="27"/>
  <c r="J265" i="25"/>
  <c r="J156" i="25"/>
  <c r="J251" i="25"/>
  <c r="J173" i="25"/>
  <c r="J187" i="25"/>
  <c r="J166" i="25"/>
  <c r="J192" i="25"/>
  <c r="J178" i="25"/>
  <c r="J229" i="25"/>
  <c r="J233" i="25"/>
  <c r="J160" i="25"/>
  <c r="J218" i="25"/>
  <c r="G69" i="25" s="1"/>
  <c r="G108" i="25" s="1"/>
  <c r="K218" i="25"/>
  <c r="J145" i="25"/>
  <c r="F69" i="25" s="1"/>
  <c r="F108" i="25" s="1"/>
  <c r="K145" i="25"/>
  <c r="J260" i="25"/>
  <c r="J246" i="25"/>
  <c r="J204" i="24"/>
  <c r="J241" i="24"/>
  <c r="J273" i="24"/>
  <c r="J247" i="24"/>
  <c r="W89" i="24"/>
  <c r="W128" i="24" s="1"/>
  <c r="V89" i="24"/>
  <c r="V128" i="24" s="1"/>
  <c r="J268" i="24"/>
  <c r="J199" i="24"/>
  <c r="J172" i="24"/>
  <c r="J178" i="24"/>
  <c r="J190" i="24"/>
  <c r="J254" i="24"/>
  <c r="S251" i="23"/>
  <c r="S238" i="23" s="1"/>
  <c r="W89" i="23" s="1"/>
  <c r="W128" i="23" s="1"/>
  <c r="I25" i="23"/>
  <c r="J251" i="23"/>
  <c r="G236" i="23"/>
  <c r="J265" i="23"/>
  <c r="K274" i="23"/>
  <c r="G168" i="23"/>
  <c r="K232" i="23"/>
  <c r="J170" i="23"/>
  <c r="K181" i="23"/>
  <c r="K164" i="23"/>
  <c r="G199" i="23"/>
  <c r="J238" i="23"/>
  <c r="G178" i="23"/>
  <c r="G246" i="23"/>
  <c r="J193" i="23"/>
  <c r="J254" i="23"/>
  <c r="J187" i="23"/>
  <c r="K249" i="23"/>
  <c r="G267" i="23"/>
  <c r="J275" i="23"/>
  <c r="J200" i="23"/>
  <c r="J255" i="23"/>
  <c r="G272" i="23"/>
  <c r="J197" i="23"/>
  <c r="J261" i="23"/>
  <c r="F253" i="23"/>
  <c r="G190" i="23"/>
  <c r="J242" i="23"/>
  <c r="J268" i="23"/>
  <c r="J164" i="23"/>
  <c r="F86" i="23" s="1"/>
  <c r="G172" i="23"/>
  <c r="K180" i="23"/>
  <c r="J206" i="23"/>
  <c r="K264" i="23"/>
  <c r="K176" i="23"/>
  <c r="J183" i="23"/>
  <c r="K202" i="23"/>
  <c r="J243" i="23"/>
  <c r="J247" i="23"/>
  <c r="K275" i="23"/>
  <c r="F185" i="23"/>
  <c r="J207" i="23"/>
  <c r="G258" i="23"/>
  <c r="J186" i="23"/>
  <c r="J196" i="23"/>
  <c r="G240" i="23"/>
  <c r="K248" i="23"/>
  <c r="J175" i="23"/>
  <c r="J179" i="23"/>
  <c r="K200" i="23"/>
  <c r="G204" i="23"/>
  <c r="K207" i="23"/>
  <c r="K244" i="23"/>
  <c r="K270" i="23"/>
  <c r="J174" i="23"/>
  <c r="J264" i="23"/>
  <c r="K268" i="23"/>
  <c r="J274" i="23"/>
  <c r="F168" i="23"/>
  <c r="J169" i="23"/>
  <c r="J181" i="23"/>
  <c r="G185" i="23"/>
  <c r="J192" i="23"/>
  <c r="K196" i="23"/>
  <c r="J202" i="23"/>
  <c r="K206" i="23"/>
  <c r="F236" i="23"/>
  <c r="J237" i="23"/>
  <c r="J249" i="23"/>
  <c r="G253" i="23"/>
  <c r="J260" i="23"/>
  <c r="J270" i="23"/>
  <c r="F172" i="23"/>
  <c r="J188" i="23"/>
  <c r="J209" i="23"/>
  <c r="J232" i="23"/>
  <c r="G86" i="23" s="1"/>
  <c r="F240" i="23"/>
  <c r="J256" i="23"/>
  <c r="J277" i="23"/>
  <c r="J173" i="23"/>
  <c r="J176" i="23"/>
  <c r="J194" i="23"/>
  <c r="F204" i="23"/>
  <c r="J205" i="23"/>
  <c r="J241" i="23"/>
  <c r="J244" i="23"/>
  <c r="J262" i="23"/>
  <c r="F272" i="23"/>
  <c r="J273" i="23"/>
  <c r="J180" i="23"/>
  <c r="F190" i="23"/>
  <c r="J191" i="23"/>
  <c r="J201" i="23"/>
  <c r="J248" i="23"/>
  <c r="F258" i="23"/>
  <c r="J259" i="23"/>
  <c r="J269" i="23"/>
  <c r="F178" i="23"/>
  <c r="F199" i="23"/>
  <c r="F246" i="23"/>
  <c r="F267" i="23"/>
  <c r="J185" i="23" l="1"/>
  <c r="K243" i="28"/>
  <c r="K167" i="28"/>
  <c r="J167" i="28"/>
  <c r="F83" i="28" s="1"/>
  <c r="J253" i="23"/>
  <c r="J267" i="23"/>
  <c r="J246" i="23"/>
  <c r="J272" i="23"/>
  <c r="J204" i="23"/>
  <c r="J168" i="23"/>
  <c r="J178" i="23"/>
  <c r="J240" i="23"/>
  <c r="J258" i="23"/>
  <c r="J236" i="23"/>
  <c r="K157" i="23"/>
  <c r="J157" i="23"/>
  <c r="F84" i="23" s="1"/>
  <c r="J199" i="23"/>
  <c r="J172" i="23"/>
  <c r="J190" i="23"/>
  <c r="K225" i="23"/>
  <c r="J225" i="23"/>
  <c r="G84" i="23" s="1"/>
  <c r="M118" i="4" l="1"/>
  <c r="N118" i="4"/>
  <c r="O118" i="4"/>
  <c r="M119" i="4"/>
  <c r="N119" i="4"/>
  <c r="O119" i="4"/>
  <c r="M120" i="4"/>
  <c r="N120" i="4"/>
  <c r="O120" i="4"/>
  <c r="L118" i="4"/>
  <c r="L119" i="4"/>
  <c r="L120" i="4"/>
  <c r="L91" i="4"/>
  <c r="L121" i="4" s="1"/>
  <c r="L90" i="4"/>
  <c r="L89" i="4"/>
  <c r="L87" i="4"/>
  <c r="L117" i="4" s="1"/>
  <c r="L86" i="4"/>
  <c r="L116" i="4" s="1"/>
  <c r="L85" i="4"/>
  <c r="L115" i="4" s="1"/>
  <c r="L84" i="4"/>
  <c r="L114" i="4" s="1"/>
  <c r="L83" i="4"/>
  <c r="L113" i="4" s="1"/>
  <c r="L82" i="4"/>
  <c r="L112" i="4" s="1"/>
  <c r="L81" i="4"/>
  <c r="L111" i="4" s="1"/>
  <c r="S223" i="4"/>
  <c r="S155" i="4"/>
  <c r="G253" i="4"/>
  <c r="G252" i="4"/>
  <c r="G251" i="4"/>
  <c r="G250" i="4"/>
  <c r="G242" i="4"/>
  <c r="E208" i="4"/>
  <c r="S216" i="4" s="1"/>
  <c r="G185" i="4"/>
  <c r="G184" i="4"/>
  <c r="G183" i="4"/>
  <c r="G182" i="4"/>
  <c r="H266" i="4"/>
  <c r="G266" i="4"/>
  <c r="F266" i="4"/>
  <c r="H265" i="4"/>
  <c r="G265" i="4"/>
  <c r="F265" i="4"/>
  <c r="H261" i="4"/>
  <c r="G261" i="4"/>
  <c r="F261" i="4"/>
  <c r="H259" i="4"/>
  <c r="G259" i="4"/>
  <c r="F259" i="4"/>
  <c r="H240" i="4"/>
  <c r="G240" i="4"/>
  <c r="F240" i="4"/>
  <c r="H239" i="4"/>
  <c r="G239" i="4"/>
  <c r="F239" i="4"/>
  <c r="H198" i="4"/>
  <c r="G198" i="4"/>
  <c r="F198" i="4"/>
  <c r="H197" i="4"/>
  <c r="G197" i="4"/>
  <c r="F197" i="4"/>
  <c r="F193" i="4"/>
  <c r="H193" i="4"/>
  <c r="G193" i="4"/>
  <c r="H191" i="4"/>
  <c r="G191" i="4"/>
  <c r="F191" i="4"/>
  <c r="H172" i="4"/>
  <c r="H171" i="4"/>
  <c r="G172" i="4"/>
  <c r="G171" i="4"/>
  <c r="F172" i="4"/>
  <c r="F171" i="4"/>
  <c r="G192" i="4"/>
  <c r="G187" i="4"/>
  <c r="R49" i="12"/>
  <c r="G179" i="4"/>
  <c r="G178" i="4"/>
  <c r="G177" i="4"/>
  <c r="G174" i="4"/>
  <c r="G170" i="4"/>
  <c r="G260" i="4"/>
  <c r="G255" i="4"/>
  <c r="F250" i="4"/>
  <c r="G247" i="4"/>
  <c r="G246" i="4"/>
  <c r="G245" i="4"/>
  <c r="G238" i="4"/>
  <c r="G232" i="4"/>
  <c r="H235" i="4"/>
  <c r="F235" i="4"/>
  <c r="G235" i="4"/>
  <c r="G234" i="4"/>
  <c r="G233" i="4"/>
  <c r="H167" i="4"/>
  <c r="G166" i="4"/>
  <c r="G165" i="4"/>
  <c r="G164" i="4"/>
  <c r="G167" i="4"/>
  <c r="F167" i="4"/>
  <c r="S229" i="4"/>
  <c r="S230" i="4"/>
  <c r="AN44" i="11"/>
  <c r="S70" i="12"/>
  <c r="S69" i="12"/>
  <c r="R69" i="12"/>
  <c r="R70" i="12"/>
  <c r="Q70" i="12"/>
  <c r="Q69" i="12"/>
  <c r="Q65" i="12"/>
  <c r="R65" i="12"/>
  <c r="S65" i="12"/>
  <c r="S63" i="12"/>
  <c r="R63" i="12"/>
  <c r="Q63" i="12"/>
  <c r="Q44" i="12"/>
  <c r="R44" i="12"/>
  <c r="S44" i="12"/>
  <c r="S43" i="12"/>
  <c r="R43" i="12"/>
  <c r="Q43" i="12"/>
  <c r="AY55" i="11"/>
  <c r="AY54" i="11"/>
  <c r="AY50" i="11"/>
  <c r="AY48" i="11"/>
  <c r="AY44" i="11"/>
  <c r="AY29" i="11"/>
  <c r="AY28" i="11"/>
  <c r="AY24" i="11"/>
  <c r="AY14" i="11"/>
  <c r="AY12" i="11"/>
  <c r="AU14" i="11"/>
  <c r="AU12" i="11"/>
  <c r="AQ14" i="11"/>
  <c r="AQ12" i="11"/>
  <c r="AG55" i="11"/>
  <c r="AG54" i="11"/>
  <c r="AG50" i="11"/>
  <c r="AG48" i="11"/>
  <c r="AG44" i="11"/>
  <c r="AG29" i="11"/>
  <c r="AG28" i="11"/>
  <c r="AG24" i="11"/>
  <c r="AG14" i="11"/>
  <c r="AG12" i="11"/>
  <c r="AC14" i="11"/>
  <c r="AC12" i="11"/>
  <c r="Y14" i="11"/>
  <c r="Y12" i="11"/>
  <c r="O44" i="11"/>
  <c r="O55" i="11"/>
  <c r="O54" i="11"/>
  <c r="O50" i="11"/>
  <c r="O48" i="11"/>
  <c r="O29" i="11"/>
  <c r="O28" i="11"/>
  <c r="O24" i="11"/>
  <c r="O14" i="11"/>
  <c r="O12" i="11"/>
  <c r="K14" i="11"/>
  <c r="K12" i="11"/>
  <c r="G14" i="11"/>
  <c r="G12" i="11"/>
  <c r="AO54" i="11"/>
  <c r="AO12" i="11"/>
  <c r="AN63" i="11"/>
  <c r="AN62" i="11"/>
  <c r="AN61" i="11"/>
  <c r="AN60" i="11"/>
  <c r="AN11" i="11"/>
  <c r="AM59" i="11"/>
  <c r="AM20" i="11"/>
  <c r="U8" i="11"/>
  <c r="AM8" i="11" s="1"/>
  <c r="W57" i="11"/>
  <c r="AO57" i="11" s="1"/>
  <c r="W55" i="11"/>
  <c r="AO55" i="11" s="1"/>
  <c r="W54" i="11"/>
  <c r="W53" i="11"/>
  <c r="AO53" i="11" s="1"/>
  <c r="W50" i="11"/>
  <c r="AO50" i="11" s="1"/>
  <c r="W49" i="11"/>
  <c r="AO49" i="11" s="1"/>
  <c r="W48" i="11"/>
  <c r="AO48" i="11" s="1"/>
  <c r="W45" i="11"/>
  <c r="AO45" i="11" s="1"/>
  <c r="W44" i="11"/>
  <c r="AO44" i="11" s="1"/>
  <c r="W36" i="11"/>
  <c r="AO36" i="11" s="1"/>
  <c r="W35" i="11"/>
  <c r="AO35" i="11" s="1"/>
  <c r="W34" i="11"/>
  <c r="AO34" i="11" s="1"/>
  <c r="W31" i="11"/>
  <c r="AO31" i="11" s="1"/>
  <c r="W29" i="11"/>
  <c r="AO29" i="11" s="1"/>
  <c r="W28" i="11"/>
  <c r="AO28" i="11" s="1"/>
  <c r="W27" i="11"/>
  <c r="AO27" i="11" s="1"/>
  <c r="W24" i="11"/>
  <c r="AO24" i="11" s="1"/>
  <c r="W23" i="11"/>
  <c r="AO23" i="11" s="1"/>
  <c r="W22" i="11"/>
  <c r="AO22" i="11" s="1"/>
  <c r="W21" i="11"/>
  <c r="AO21" i="11" s="1"/>
  <c r="W18" i="11"/>
  <c r="AO18" i="11" s="1"/>
  <c r="W17" i="11"/>
  <c r="AO17" i="11" s="1"/>
  <c r="W15" i="11"/>
  <c r="AO15" i="11" s="1"/>
  <c r="W14" i="11"/>
  <c r="AO14" i="11" s="1"/>
  <c r="W13" i="11"/>
  <c r="AO13" i="11" s="1"/>
  <c r="W12" i="11"/>
  <c r="W11" i="11"/>
  <c r="AO11" i="11" s="1"/>
  <c r="W10" i="11"/>
  <c r="AO10" i="11" s="1"/>
  <c r="C26" i="11"/>
  <c r="U26" i="11" s="1"/>
  <c r="AM26" i="11" s="1"/>
  <c r="C33" i="11"/>
  <c r="U33" i="11" s="1"/>
  <c r="AM33" i="11" s="1"/>
  <c r="C38" i="11"/>
  <c r="C47" i="11"/>
  <c r="U47" i="11" s="1"/>
  <c r="AM47" i="11" s="1"/>
  <c r="C52" i="11"/>
  <c r="U52" i="11" s="1"/>
  <c r="AM52" i="11" s="1"/>
  <c r="D57" i="11"/>
  <c r="V57" i="11" s="1"/>
  <c r="AN57" i="11" s="1"/>
  <c r="D55" i="11"/>
  <c r="V55" i="11" s="1"/>
  <c r="AN55" i="11" s="1"/>
  <c r="D54" i="11"/>
  <c r="V54" i="11" s="1"/>
  <c r="AN54" i="11" s="1"/>
  <c r="D53" i="11"/>
  <c r="V53" i="11" s="1"/>
  <c r="AN53" i="11" s="1"/>
  <c r="D50" i="11"/>
  <c r="V50" i="11" s="1"/>
  <c r="AN50" i="11" s="1"/>
  <c r="D49" i="11"/>
  <c r="V49" i="11" s="1"/>
  <c r="AN49" i="11" s="1"/>
  <c r="D48" i="11"/>
  <c r="V48" i="11" s="1"/>
  <c r="AN48" i="11" s="1"/>
  <c r="D45" i="11"/>
  <c r="V45" i="11" s="1"/>
  <c r="AN45" i="11" s="1"/>
  <c r="D42" i="11"/>
  <c r="V42" i="11" s="1"/>
  <c r="AN42" i="11" s="1"/>
  <c r="D41" i="11"/>
  <c r="V41" i="11" s="1"/>
  <c r="AN41" i="11" s="1"/>
  <c r="D40" i="11"/>
  <c r="V40" i="11" s="1"/>
  <c r="AN40" i="11" s="1"/>
  <c r="D39" i="11"/>
  <c r="V39" i="11" s="1"/>
  <c r="AN39" i="11" s="1"/>
  <c r="D36" i="11"/>
  <c r="V36" i="11" s="1"/>
  <c r="AN36" i="11" s="1"/>
  <c r="D35" i="11"/>
  <c r="V35" i="11" s="1"/>
  <c r="AN35" i="11" s="1"/>
  <c r="D34" i="11"/>
  <c r="V34" i="11" s="1"/>
  <c r="AN34" i="11" s="1"/>
  <c r="D31" i="11"/>
  <c r="V31" i="11" s="1"/>
  <c r="AN31" i="11" s="1"/>
  <c r="D29" i="11"/>
  <c r="V29" i="11" s="1"/>
  <c r="AN29" i="11" s="1"/>
  <c r="D28" i="11"/>
  <c r="V28" i="11" s="1"/>
  <c r="AN28" i="11" s="1"/>
  <c r="D27" i="11"/>
  <c r="V27" i="11" s="1"/>
  <c r="AN27" i="11" s="1"/>
  <c r="D22" i="11"/>
  <c r="V22" i="11" s="1"/>
  <c r="AN22" i="11" s="1"/>
  <c r="D23" i="11"/>
  <c r="V23" i="11" s="1"/>
  <c r="AN23" i="11" s="1"/>
  <c r="D24" i="11"/>
  <c r="V24" i="11" s="1"/>
  <c r="AN24" i="11" s="1"/>
  <c r="D21" i="11"/>
  <c r="V21" i="11" s="1"/>
  <c r="AN21" i="11" s="1"/>
  <c r="V12" i="11"/>
  <c r="AN12" i="11" s="1"/>
  <c r="D10" i="11"/>
  <c r="V10" i="11" s="1"/>
  <c r="AN10" i="11" s="1"/>
  <c r="D9" i="11"/>
  <c r="V9" i="11" s="1"/>
  <c r="AN9" i="11" s="1"/>
  <c r="V13" i="11"/>
  <c r="AN13" i="11" s="1"/>
  <c r="AN14" i="11"/>
  <c r="V15" i="11"/>
  <c r="AN15" i="11" s="1"/>
  <c r="V17" i="11"/>
  <c r="AN17" i="11" s="1"/>
  <c r="V18" i="11"/>
  <c r="AN18" i="11" s="1"/>
  <c r="Q59" i="12"/>
  <c r="Q60" i="12"/>
  <c r="O64" i="12"/>
  <c r="O65" i="12"/>
  <c r="O67" i="12"/>
  <c r="O68" i="12"/>
  <c r="O69" i="12"/>
  <c r="O70" i="12"/>
  <c r="O72" i="12"/>
  <c r="O62" i="12"/>
  <c r="O63" i="12"/>
  <c r="O43" i="12"/>
  <c r="O44" i="12"/>
  <c r="O46" i="12"/>
  <c r="O48" i="12"/>
  <c r="O49" i="12"/>
  <c r="O50" i="12"/>
  <c r="O51" i="12"/>
  <c r="O42" i="12"/>
  <c r="O41" i="12"/>
  <c r="O37" i="12"/>
  <c r="O38" i="12"/>
  <c r="O39" i="12"/>
  <c r="O36" i="12"/>
  <c r="O33" i="12"/>
  <c r="O32" i="12"/>
  <c r="O29" i="12"/>
  <c r="O28" i="12"/>
  <c r="O26" i="12"/>
  <c r="O25" i="12"/>
  <c r="O24" i="12"/>
  <c r="O22" i="12"/>
  <c r="O21" i="12"/>
  <c r="O18" i="12"/>
  <c r="O19" i="12"/>
  <c r="O17" i="12"/>
  <c r="O16" i="12"/>
  <c r="Q49" i="12"/>
  <c r="Q50" i="12"/>
  <c r="Q51" i="12"/>
  <c r="Q64" i="12"/>
  <c r="H255" i="4"/>
  <c r="F255" i="4"/>
  <c r="H187" i="4"/>
  <c r="F187" i="4"/>
  <c r="H216" i="4" l="1"/>
  <c r="F216" i="4"/>
  <c r="G216" i="4"/>
  <c r="J259" i="4"/>
  <c r="J198" i="4"/>
  <c r="G176" i="4"/>
  <c r="G163" i="4"/>
  <c r="G190" i="4"/>
  <c r="G169" i="4"/>
  <c r="G181" i="4"/>
  <c r="J240" i="4"/>
  <c r="K265" i="4"/>
  <c r="K266" i="4"/>
  <c r="K261" i="4"/>
  <c r="K198" i="4"/>
  <c r="K193" i="4"/>
  <c r="J193" i="4"/>
  <c r="J266" i="4"/>
  <c r="J265" i="4"/>
  <c r="J261" i="4"/>
  <c r="K259" i="4"/>
  <c r="G258" i="4"/>
  <c r="K240" i="4"/>
  <c r="K239" i="4"/>
  <c r="J239" i="4"/>
  <c r="G237" i="4"/>
  <c r="K197" i="4"/>
  <c r="J197" i="4"/>
  <c r="J191" i="4"/>
  <c r="K191" i="4"/>
  <c r="K172" i="4"/>
  <c r="K171" i="4"/>
  <c r="J171" i="4"/>
  <c r="J172" i="4"/>
  <c r="G249" i="4"/>
  <c r="G244" i="4"/>
  <c r="K235" i="4"/>
  <c r="J235" i="4"/>
  <c r="G231" i="4"/>
  <c r="J167" i="4"/>
  <c r="K167" i="4"/>
  <c r="V70" i="12"/>
  <c r="U69" i="12"/>
  <c r="U70" i="12"/>
  <c r="V69" i="12"/>
  <c r="U44" i="12"/>
  <c r="U65" i="12"/>
  <c r="V65" i="12"/>
  <c r="U63" i="12"/>
  <c r="Q62" i="12"/>
  <c r="V63" i="12"/>
  <c r="U43" i="12"/>
  <c r="Q48" i="12"/>
  <c r="S59" i="12"/>
  <c r="R59" i="12"/>
  <c r="Q26" i="12"/>
  <c r="S39" i="12"/>
  <c r="R39" i="12"/>
  <c r="Q39" i="12"/>
  <c r="Q38" i="12"/>
  <c r="T121" i="4"/>
  <c r="T120" i="4"/>
  <c r="T119" i="4"/>
  <c r="V120" i="4"/>
  <c r="W120" i="4"/>
  <c r="V121" i="4"/>
  <c r="W121" i="4"/>
  <c r="U119" i="4"/>
  <c r="U121" i="4"/>
  <c r="U120" i="4"/>
  <c r="W82" i="4"/>
  <c r="V82" i="4"/>
  <c r="W80" i="4"/>
  <c r="W119" i="4" s="1"/>
  <c r="W81" i="4"/>
  <c r="V80" i="4"/>
  <c r="V119" i="4" s="1"/>
  <c r="V81" i="4"/>
  <c r="V39" i="12" l="1"/>
  <c r="U39" i="12"/>
  <c r="W78" i="4"/>
  <c r="W117" i="4" s="1"/>
  <c r="V78" i="4"/>
  <c r="V117" i="4" s="1"/>
  <c r="G264" i="4"/>
  <c r="G263" i="4" s="1"/>
  <c r="F264" i="4"/>
  <c r="F263" i="4" s="1"/>
  <c r="G256" i="4"/>
  <c r="F256" i="4"/>
  <c r="G268" i="4"/>
  <c r="F268" i="4"/>
  <c r="G229" i="4"/>
  <c r="F229" i="4"/>
  <c r="G228" i="4"/>
  <c r="F228" i="4"/>
  <c r="G226" i="4"/>
  <c r="G225" i="4"/>
  <c r="H223" i="4"/>
  <c r="G223" i="4"/>
  <c r="F223" i="4"/>
  <c r="G222" i="4"/>
  <c r="F253" i="4"/>
  <c r="F252" i="4"/>
  <c r="F251" i="4"/>
  <c r="F260" i="4"/>
  <c r="F247" i="4"/>
  <c r="F246" i="4"/>
  <c r="F245" i="4"/>
  <c r="F238" i="4"/>
  <c r="F237" i="4" s="1"/>
  <c r="F242" i="4"/>
  <c r="F234" i="4"/>
  <c r="F233" i="4"/>
  <c r="F232" i="4"/>
  <c r="H155" i="4"/>
  <c r="G155" i="4"/>
  <c r="F155" i="4"/>
  <c r="G157" i="4"/>
  <c r="G158" i="4"/>
  <c r="G160" i="4"/>
  <c r="F160" i="4"/>
  <c r="G161" i="4"/>
  <c r="F161" i="4"/>
  <c r="G196" i="4"/>
  <c r="G195" i="4" s="1"/>
  <c r="F196" i="4"/>
  <c r="F195" i="4" s="1"/>
  <c r="G188" i="4"/>
  <c r="F188" i="4"/>
  <c r="G200" i="4"/>
  <c r="F200" i="4"/>
  <c r="G154" i="4"/>
  <c r="F192" i="4"/>
  <c r="F190" i="4" s="1"/>
  <c r="F179" i="4"/>
  <c r="F178" i="4"/>
  <c r="F177" i="4"/>
  <c r="F170" i="4"/>
  <c r="F169" i="4" s="1"/>
  <c r="F174" i="4"/>
  <c r="F185" i="4"/>
  <c r="F184" i="4"/>
  <c r="F183" i="4"/>
  <c r="F182" i="4"/>
  <c r="F166" i="4"/>
  <c r="F165" i="4"/>
  <c r="F164" i="4"/>
  <c r="F249" i="4" l="1"/>
  <c r="F176" i="4"/>
  <c r="F227" i="4"/>
  <c r="F163" i="4"/>
  <c r="F159" i="4"/>
  <c r="J195" i="4"/>
  <c r="F258" i="4"/>
  <c r="J258" i="4" s="1"/>
  <c r="F244" i="4"/>
  <c r="F181" i="4"/>
  <c r="G159" i="4"/>
  <c r="J263" i="4"/>
  <c r="G227" i="4"/>
  <c r="F231" i="4"/>
  <c r="J237" i="4"/>
  <c r="J190" i="4"/>
  <c r="J169" i="4"/>
  <c r="J253" i="4"/>
  <c r="J233" i="4"/>
  <c r="J245" i="4"/>
  <c r="J264" i="4"/>
  <c r="J229" i="4"/>
  <c r="J260" i="4"/>
  <c r="J238" i="4"/>
  <c r="J178" i="4"/>
  <c r="J170" i="4"/>
  <c r="J187" i="4"/>
  <c r="J246" i="4"/>
  <c r="J192" i="4"/>
  <c r="J161" i="4"/>
  <c r="J247" i="4"/>
  <c r="J252" i="4"/>
  <c r="J196" i="4"/>
  <c r="J234" i="4"/>
  <c r="J165" i="4"/>
  <c r="J184" i="4"/>
  <c r="J177" i="4"/>
  <c r="J185" i="4"/>
  <c r="K255" i="4"/>
  <c r="J228" i="4"/>
  <c r="J160" i="4"/>
  <c r="J255" i="4"/>
  <c r="J188" i="4"/>
  <c r="J166" i="4"/>
  <c r="J223" i="4"/>
  <c r="G77" i="4" s="1"/>
  <c r="K223" i="4"/>
  <c r="J268" i="4"/>
  <c r="J256" i="4"/>
  <c r="J232" i="4"/>
  <c r="K155" i="4"/>
  <c r="J200" i="4"/>
  <c r="J179" i="4"/>
  <c r="J164" i="4"/>
  <c r="J155" i="4"/>
  <c r="F77" i="4" s="1"/>
  <c r="D111" i="4"/>
  <c r="D112" i="4"/>
  <c r="D113" i="4"/>
  <c r="D115" i="4"/>
  <c r="D116" i="4"/>
  <c r="D117" i="4"/>
  <c r="D114" i="4"/>
  <c r="Q61" i="14"/>
  <c r="Q60" i="14"/>
  <c r="Q59" i="14"/>
  <c r="Q58" i="14"/>
  <c r="P61" i="14"/>
  <c r="P60" i="14"/>
  <c r="P59" i="14"/>
  <c r="P58" i="14"/>
  <c r="J227" i="4" l="1"/>
  <c r="J249" i="4"/>
  <c r="J159" i="4"/>
  <c r="J231" i="4"/>
  <c r="J244" i="4"/>
  <c r="J163" i="4"/>
  <c r="J176" i="4"/>
  <c r="M9" i="14"/>
  <c r="M68" i="14" s="1"/>
  <c r="Q9" i="14" s="1"/>
  <c r="L9" i="14"/>
  <c r="L68" i="14" s="1"/>
  <c r="P9" i="14" l="1"/>
  <c r="AG11" i="11" s="1"/>
  <c r="AC11" i="11"/>
  <c r="AB21" i="12"/>
  <c r="AB20" i="12"/>
  <c r="J14" i="13"/>
  <c r="E14" i="3" s="1"/>
  <c r="AB22" i="12" s="1"/>
  <c r="E13" i="3"/>
  <c r="I13" i="3" s="1"/>
  <c r="D14" i="3"/>
  <c r="D15" i="3"/>
  <c r="D12" i="3"/>
  <c r="D11" i="3"/>
  <c r="E11" i="3"/>
  <c r="D10" i="3"/>
  <c r="G114" i="4"/>
  <c r="F114" i="4"/>
  <c r="J11" i="13"/>
  <c r="E10" i="3"/>
  <c r="R26" i="12"/>
  <c r="R19" i="12"/>
  <c r="Q11" i="14"/>
  <c r="P11" i="14"/>
  <c r="I11" i="14"/>
  <c r="H11" i="14"/>
  <c r="J12" i="13" l="1"/>
  <c r="E15" i="3" s="1"/>
  <c r="S177" i="31"/>
  <c r="V93" i="31" s="1"/>
  <c r="V132" i="31" s="1"/>
  <c r="S175" i="30"/>
  <c r="V91" i="30" s="1"/>
  <c r="V130" i="30" s="1"/>
  <c r="S178" i="29"/>
  <c r="V94" i="29" s="1"/>
  <c r="V133" i="29" s="1"/>
  <c r="S156" i="27"/>
  <c r="V76" i="27" s="1"/>
  <c r="V115" i="27" s="1"/>
  <c r="S163" i="24"/>
  <c r="V85" i="24" s="1"/>
  <c r="V124" i="24" s="1"/>
  <c r="S151" i="25"/>
  <c r="V70" i="25" s="1"/>
  <c r="V109" i="25" s="1"/>
  <c r="S163" i="23"/>
  <c r="V85" i="23" s="1"/>
  <c r="V124" i="23" s="1"/>
  <c r="S166" i="28"/>
  <c r="V82" i="28" s="1"/>
  <c r="V121" i="28" s="1"/>
  <c r="S154" i="4"/>
  <c r="V76" i="4" s="1"/>
  <c r="V115" i="4" s="1"/>
  <c r="U79" i="4"/>
  <c r="U118" i="4" s="1"/>
  <c r="U88" i="23"/>
  <c r="U127" i="23" s="1"/>
  <c r="U96" i="31"/>
  <c r="U135" i="31" s="1"/>
  <c r="U94" i="30"/>
  <c r="U133" i="30" s="1"/>
  <c r="U79" i="27"/>
  <c r="U118" i="27" s="1"/>
  <c r="U73" i="25"/>
  <c r="U112" i="25" s="1"/>
  <c r="U97" i="29"/>
  <c r="U136" i="29" s="1"/>
  <c r="U85" i="28"/>
  <c r="U124" i="28" s="1"/>
  <c r="U88" i="24"/>
  <c r="U127" i="24" s="1"/>
  <c r="E12" i="3"/>
  <c r="U92" i="30"/>
  <c r="U131" i="30" s="1"/>
  <c r="U94" i="31"/>
  <c r="U133" i="31" s="1"/>
  <c r="U78" i="4"/>
  <c r="U117" i="4" s="1"/>
  <c r="U93" i="30"/>
  <c r="U132" i="30" s="1"/>
  <c r="U95" i="31"/>
  <c r="U134" i="31" s="1"/>
  <c r="U87" i="24"/>
  <c r="U126" i="24" s="1"/>
  <c r="U78" i="27"/>
  <c r="U117" i="27" s="1"/>
  <c r="U84" i="28"/>
  <c r="U123" i="28" s="1"/>
  <c r="U72" i="25"/>
  <c r="U111" i="25" s="1"/>
  <c r="U96" i="29"/>
  <c r="U135" i="29" s="1"/>
  <c r="U87" i="23"/>
  <c r="U126" i="23" s="1"/>
  <c r="U95" i="29"/>
  <c r="U77" i="27"/>
  <c r="U83" i="28"/>
  <c r="U77" i="4"/>
  <c r="U116" i="4" s="1"/>
  <c r="U86" i="24"/>
  <c r="U71" i="25"/>
  <c r="U86" i="23"/>
  <c r="AB19" i="12"/>
  <c r="M13" i="3"/>
  <c r="I14" i="3"/>
  <c r="S253" i="30" l="1"/>
  <c r="W91" i="30" s="1"/>
  <c r="W130" i="30" s="1"/>
  <c r="S256" i="31"/>
  <c r="W93" i="31" s="1"/>
  <c r="W132" i="31" s="1"/>
  <c r="S256" i="29"/>
  <c r="W94" i="29" s="1"/>
  <c r="W133" i="29" s="1"/>
  <c r="S227" i="27"/>
  <c r="W76" i="27" s="1"/>
  <c r="W115" i="27" s="1"/>
  <c r="S232" i="24"/>
  <c r="W85" i="24" s="1"/>
  <c r="W124" i="24" s="1"/>
  <c r="S224" i="25"/>
  <c r="W70" i="25" s="1"/>
  <c r="W109" i="25" s="1"/>
  <c r="S231" i="23"/>
  <c r="W85" i="23" s="1"/>
  <c r="W124" i="23" s="1"/>
  <c r="S242" i="28"/>
  <c r="W82" i="28" s="1"/>
  <c r="W121" i="28" s="1"/>
  <c r="S222" i="4"/>
  <c r="W76" i="4" s="1"/>
  <c r="W115" i="4" s="1"/>
  <c r="M14" i="3"/>
  <c r="S178" i="30"/>
  <c r="S181" i="31"/>
  <c r="S180" i="31"/>
  <c r="S179" i="30"/>
  <c r="S182" i="29"/>
  <c r="S181" i="29"/>
  <c r="S170" i="28"/>
  <c r="S160" i="27"/>
  <c r="S154" i="25"/>
  <c r="S169" i="28"/>
  <c r="S159" i="27"/>
  <c r="S155" i="25"/>
  <c r="S167" i="24"/>
  <c r="S166" i="23"/>
  <c r="S167" i="23"/>
  <c r="S166" i="24"/>
  <c r="S158" i="4"/>
  <c r="S157" i="4"/>
  <c r="U76" i="4"/>
  <c r="U115" i="4" s="1"/>
  <c r="U91" i="30"/>
  <c r="U130" i="30" s="1"/>
  <c r="U93" i="31"/>
  <c r="U132" i="31" s="1"/>
  <c r="U94" i="29"/>
  <c r="U133" i="29" s="1"/>
  <c r="U76" i="27"/>
  <c r="U115" i="27" s="1"/>
  <c r="U82" i="28"/>
  <c r="U121" i="28" s="1"/>
  <c r="U85" i="24"/>
  <c r="U124" i="24" s="1"/>
  <c r="U70" i="25"/>
  <c r="U109" i="25" s="1"/>
  <c r="U85" i="23"/>
  <c r="U124" i="23" s="1"/>
  <c r="U122" i="28"/>
  <c r="U116" i="27"/>
  <c r="U134" i="29"/>
  <c r="U125" i="23"/>
  <c r="U110" i="25"/>
  <c r="U125" i="24"/>
  <c r="Q19" i="12"/>
  <c r="S19" i="12"/>
  <c r="S26" i="12"/>
  <c r="AY13" i="11"/>
  <c r="AQ13" i="11"/>
  <c r="AG13" i="11"/>
  <c r="Y13" i="11"/>
  <c r="O13" i="11"/>
  <c r="S25" i="12" s="1"/>
  <c r="R25" i="12"/>
  <c r="G13" i="11"/>
  <c r="Q25" i="12" s="1"/>
  <c r="G166" i="30" l="1"/>
  <c r="G247" i="31"/>
  <c r="G168" i="31"/>
  <c r="G244" i="30"/>
  <c r="G147" i="27"/>
  <c r="G170" i="29"/>
  <c r="G223" i="24"/>
  <c r="G249" i="29"/>
  <c r="G157" i="28"/>
  <c r="G218" i="27"/>
  <c r="G142" i="25"/>
  <c r="G233" i="28"/>
  <c r="G215" i="25"/>
  <c r="G154" i="24"/>
  <c r="G222" i="23"/>
  <c r="G154" i="23"/>
  <c r="G167" i="30"/>
  <c r="G248" i="31"/>
  <c r="G245" i="30"/>
  <c r="G169" i="31"/>
  <c r="G224" i="24"/>
  <c r="G148" i="27"/>
  <c r="G171" i="29"/>
  <c r="G250" i="29"/>
  <c r="G158" i="28"/>
  <c r="G219" i="27"/>
  <c r="G143" i="25"/>
  <c r="G234" i="28"/>
  <c r="G216" i="25"/>
  <c r="G155" i="24"/>
  <c r="G155" i="23"/>
  <c r="G223" i="23"/>
  <c r="F249" i="31"/>
  <c r="F168" i="30"/>
  <c r="F170" i="31"/>
  <c r="F246" i="30"/>
  <c r="F235" i="28"/>
  <c r="F225" i="24"/>
  <c r="E212" i="27"/>
  <c r="F212" i="27" s="1"/>
  <c r="F156" i="24"/>
  <c r="F172" i="29"/>
  <c r="E141" i="27"/>
  <c r="F141" i="27" s="1"/>
  <c r="F251" i="29"/>
  <c r="F159" i="28"/>
  <c r="F217" i="25"/>
  <c r="F224" i="23"/>
  <c r="F156" i="23"/>
  <c r="F144" i="25"/>
  <c r="H168" i="30"/>
  <c r="H156" i="23"/>
  <c r="H170" i="31"/>
  <c r="H159" i="28"/>
  <c r="H156" i="24"/>
  <c r="H172" i="29"/>
  <c r="G168" i="30"/>
  <c r="G170" i="31"/>
  <c r="G156" i="24"/>
  <c r="G172" i="29"/>
  <c r="G159" i="28"/>
  <c r="G156" i="23"/>
  <c r="V96" i="31"/>
  <c r="V135" i="31" s="1"/>
  <c r="H154" i="4"/>
  <c r="H175" i="30"/>
  <c r="H177" i="31"/>
  <c r="H151" i="25"/>
  <c r="H179" i="29"/>
  <c r="H163" i="24"/>
  <c r="H156" i="27"/>
  <c r="H163" i="23"/>
  <c r="H166" i="28"/>
  <c r="F222" i="4"/>
  <c r="J222" i="4" s="1"/>
  <c r="G76" i="4" s="1"/>
  <c r="F256" i="31"/>
  <c r="F253" i="30"/>
  <c r="F227" i="27"/>
  <c r="F258" i="29"/>
  <c r="F232" i="24"/>
  <c r="F224" i="25"/>
  <c r="F242" i="28"/>
  <c r="F231" i="23"/>
  <c r="F154" i="4"/>
  <c r="J154" i="4" s="1"/>
  <c r="F76" i="4" s="1"/>
  <c r="F177" i="31"/>
  <c r="F175" i="30"/>
  <c r="F156" i="27"/>
  <c r="F163" i="24"/>
  <c r="F151" i="25"/>
  <c r="F179" i="29"/>
  <c r="F163" i="23"/>
  <c r="F166" i="28"/>
  <c r="H222" i="4"/>
  <c r="H256" i="31"/>
  <c r="H253" i="30"/>
  <c r="H258" i="29"/>
  <c r="H224" i="25"/>
  <c r="H232" i="24"/>
  <c r="H227" i="27"/>
  <c r="H242" i="28"/>
  <c r="H231" i="23"/>
  <c r="V79" i="27"/>
  <c r="V118" i="27" s="1"/>
  <c r="V88" i="23"/>
  <c r="V127" i="23" s="1"/>
  <c r="V79" i="4"/>
  <c r="V118" i="4" s="1"/>
  <c r="V97" i="29"/>
  <c r="V136" i="29" s="1"/>
  <c r="V73" i="25"/>
  <c r="V94" i="30"/>
  <c r="V85" i="28"/>
  <c r="V88" i="24"/>
  <c r="S256" i="30"/>
  <c r="S259" i="31"/>
  <c r="S257" i="30"/>
  <c r="S260" i="31"/>
  <c r="S259" i="29"/>
  <c r="S228" i="25"/>
  <c r="S227" i="25"/>
  <c r="S236" i="24"/>
  <c r="S245" i="28"/>
  <c r="S230" i="27"/>
  <c r="S260" i="29"/>
  <c r="S246" i="28"/>
  <c r="S231" i="27"/>
  <c r="S235" i="23"/>
  <c r="S234" i="23"/>
  <c r="S235" i="24"/>
  <c r="S225" i="4"/>
  <c r="S226" i="4"/>
  <c r="J183" i="4"/>
  <c r="J251" i="4"/>
  <c r="J250" i="4"/>
  <c r="V25" i="12"/>
  <c r="V19" i="12"/>
  <c r="U25" i="12"/>
  <c r="U26" i="12"/>
  <c r="V26" i="12"/>
  <c r="U19" i="12"/>
  <c r="AY63" i="11"/>
  <c r="H209" i="25" s="1"/>
  <c r="AY62" i="11"/>
  <c r="H208" i="25" s="1"/>
  <c r="AY61" i="11"/>
  <c r="H207" i="25" s="1"/>
  <c r="AY60" i="11"/>
  <c r="H206" i="25" s="1"/>
  <c r="H205" i="25" s="1"/>
  <c r="H217" i="25" s="1"/>
  <c r="AU63" i="11"/>
  <c r="G209" i="25" s="1"/>
  <c r="AU62" i="11"/>
  <c r="G208" i="25" s="1"/>
  <c r="AU61" i="11"/>
  <c r="G207" i="25" s="1"/>
  <c r="AU60" i="11"/>
  <c r="G206" i="25" s="1"/>
  <c r="G205" i="25" s="1"/>
  <c r="G217" i="25" s="1"/>
  <c r="AC63" i="11"/>
  <c r="G137" i="25" s="1"/>
  <c r="AC62" i="11"/>
  <c r="G136" i="25" s="1"/>
  <c r="AC61" i="11"/>
  <c r="AC60" i="11"/>
  <c r="G134" i="25" s="1"/>
  <c r="G133" i="25" s="1"/>
  <c r="G144" i="25" s="1"/>
  <c r="AG63" i="11"/>
  <c r="H137" i="25" s="1"/>
  <c r="AG62" i="11"/>
  <c r="H136" i="25" s="1"/>
  <c r="AG61" i="11"/>
  <c r="AG60" i="11"/>
  <c r="H134" i="25" s="1"/>
  <c r="H133" i="25" s="1"/>
  <c r="H144" i="25" s="1"/>
  <c r="O53" i="11"/>
  <c r="O45" i="11"/>
  <c r="O57" i="11"/>
  <c r="O49" i="11"/>
  <c r="O36" i="11"/>
  <c r="O35" i="11"/>
  <c r="O34" i="11"/>
  <c r="O27" i="11"/>
  <c r="O42" i="11"/>
  <c r="O41" i="11"/>
  <c r="O40" i="11"/>
  <c r="O39" i="11"/>
  <c r="S54" i="12" s="1"/>
  <c r="O23" i="11"/>
  <c r="O22" i="11"/>
  <c r="O21" i="11"/>
  <c r="O18" i="11"/>
  <c r="O17" i="11"/>
  <c r="O15" i="11"/>
  <c r="O10" i="11"/>
  <c r="O11" i="11"/>
  <c r="O9" i="11"/>
  <c r="K11" i="11"/>
  <c r="G10" i="11"/>
  <c r="G15" i="11"/>
  <c r="G9" i="11"/>
  <c r="Q8" i="14"/>
  <c r="AY10" i="11" s="1"/>
  <c r="AY11" i="11"/>
  <c r="Q13" i="14"/>
  <c r="AY15" i="11" s="1"/>
  <c r="Q15" i="14"/>
  <c r="AY17" i="11" s="1"/>
  <c r="Q16" i="14"/>
  <c r="AY18" i="11" s="1"/>
  <c r="Q19" i="14"/>
  <c r="AY21" i="11" s="1"/>
  <c r="Q20" i="14"/>
  <c r="AY22" i="11" s="1"/>
  <c r="Q21" i="14"/>
  <c r="AY23" i="11" s="1"/>
  <c r="Q37" i="14"/>
  <c r="AY39" i="11" s="1"/>
  <c r="Q38" i="14"/>
  <c r="AY40" i="11" s="1"/>
  <c r="Q39" i="14"/>
  <c r="AY41" i="11" s="1"/>
  <c r="Q40" i="14"/>
  <c r="AY42" i="11" s="1"/>
  <c r="Q25" i="14"/>
  <c r="AY27" i="11" s="1"/>
  <c r="H272" i="31" s="1"/>
  <c r="Q32" i="14"/>
  <c r="AY34" i="11" s="1"/>
  <c r="Q33" i="14"/>
  <c r="AY35" i="11" s="1"/>
  <c r="Q34" i="14"/>
  <c r="AY36" i="11" s="1"/>
  <c r="Q47" i="14"/>
  <c r="AY49" i="11" s="1"/>
  <c r="Q55" i="14"/>
  <c r="AY57" i="11" s="1"/>
  <c r="Q43" i="14"/>
  <c r="AY45" i="11" s="1"/>
  <c r="Q51" i="14"/>
  <c r="Q7" i="14"/>
  <c r="AY9" i="11" s="1"/>
  <c r="P7" i="14"/>
  <c r="AG9" i="11" s="1"/>
  <c r="P8" i="14"/>
  <c r="AG10" i="11" s="1"/>
  <c r="P13" i="14"/>
  <c r="AG15" i="11" s="1"/>
  <c r="P15" i="14"/>
  <c r="AG17" i="11" s="1"/>
  <c r="P16" i="14"/>
  <c r="AG18" i="11" s="1"/>
  <c r="P19" i="14"/>
  <c r="AG21" i="11" s="1"/>
  <c r="P20" i="14"/>
  <c r="AG22" i="11" s="1"/>
  <c r="P21" i="14"/>
  <c r="AG23" i="11" s="1"/>
  <c r="P37" i="14"/>
  <c r="AG39" i="11" s="1"/>
  <c r="P38" i="14"/>
  <c r="AG40" i="11" s="1"/>
  <c r="P39" i="14"/>
  <c r="AG41" i="11" s="1"/>
  <c r="P40" i="14"/>
  <c r="AG42" i="11" s="1"/>
  <c r="P25" i="14"/>
  <c r="AG27" i="11" s="1"/>
  <c r="H193" i="31" s="1"/>
  <c r="P32" i="14"/>
  <c r="AG34" i="11" s="1"/>
  <c r="P33" i="14"/>
  <c r="AG35" i="11" s="1"/>
  <c r="P34" i="14"/>
  <c r="AG36" i="11" s="1"/>
  <c r="P47" i="14"/>
  <c r="AG49" i="11" s="1"/>
  <c r="P55" i="14"/>
  <c r="AG57" i="11" s="1"/>
  <c r="P43" i="14"/>
  <c r="AG45" i="11" s="1"/>
  <c r="P51" i="14"/>
  <c r="AG53" i="11" s="1"/>
  <c r="AU11" i="11"/>
  <c r="I7" i="14"/>
  <c r="AQ9" i="11" s="1"/>
  <c r="I8" i="14"/>
  <c r="AQ10" i="11" s="1"/>
  <c r="I13" i="14"/>
  <c r="AQ15" i="11" s="1"/>
  <c r="H13" i="14"/>
  <c r="Y15" i="11" s="1"/>
  <c r="H8" i="14"/>
  <c r="Y10" i="11" s="1"/>
  <c r="H7" i="14"/>
  <c r="Y9" i="11" s="1"/>
  <c r="O29" i="14"/>
  <c r="P29" i="14" s="1"/>
  <c r="AG31" i="11" s="1"/>
  <c r="J217" i="25" l="1"/>
  <c r="H185" i="30"/>
  <c r="K187" i="31"/>
  <c r="W88" i="24"/>
  <c r="W127" i="24" s="1"/>
  <c r="K154" i="4"/>
  <c r="K156" i="24"/>
  <c r="J156" i="24"/>
  <c r="J156" i="23"/>
  <c r="K156" i="23"/>
  <c r="G212" i="27"/>
  <c r="F220" i="27" s="1"/>
  <c r="F213" i="27"/>
  <c r="K159" i="28"/>
  <c r="J159" i="28"/>
  <c r="J170" i="31"/>
  <c r="K170" i="31"/>
  <c r="G141" i="27"/>
  <c r="F149" i="27" s="1"/>
  <c r="F142" i="27"/>
  <c r="K168" i="30"/>
  <c r="J168" i="30"/>
  <c r="K222" i="4"/>
  <c r="K172" i="29"/>
  <c r="J172" i="29"/>
  <c r="K217" i="25"/>
  <c r="H199" i="30"/>
  <c r="K199" i="30" s="1"/>
  <c r="H201" i="31"/>
  <c r="K201" i="31" s="1"/>
  <c r="H203" i="29"/>
  <c r="K203" i="29" s="1"/>
  <c r="H190" i="28"/>
  <c r="K190" i="28" s="1"/>
  <c r="H180" i="27"/>
  <c r="K180" i="27" s="1"/>
  <c r="H175" i="25"/>
  <c r="K175" i="25" s="1"/>
  <c r="H187" i="24"/>
  <c r="K187" i="24" s="1"/>
  <c r="H187" i="23"/>
  <c r="K187" i="23" s="1"/>
  <c r="K144" i="25"/>
  <c r="J144" i="25"/>
  <c r="K163" i="24"/>
  <c r="J163" i="24"/>
  <c r="F85" i="24" s="1"/>
  <c r="G249" i="31"/>
  <c r="G246" i="30"/>
  <c r="G251" i="29"/>
  <c r="G235" i="28"/>
  <c r="G225" i="24"/>
  <c r="G224" i="23"/>
  <c r="H170" i="4"/>
  <c r="H169" i="4" s="1"/>
  <c r="N84" i="4" s="1"/>
  <c r="N114" i="4" s="1"/>
  <c r="H191" i="30"/>
  <c r="H182" i="28"/>
  <c r="H172" i="27"/>
  <c r="H167" i="25"/>
  <c r="H179" i="24"/>
  <c r="H195" i="29"/>
  <c r="H179" i="23"/>
  <c r="H161" i="4"/>
  <c r="K161" i="4" s="1"/>
  <c r="H182" i="30"/>
  <c r="K182" i="30" s="1"/>
  <c r="H184" i="31"/>
  <c r="K184" i="31" s="1"/>
  <c r="H158" i="25"/>
  <c r="K158" i="25" s="1"/>
  <c r="H170" i="24"/>
  <c r="K170" i="24" s="1"/>
  <c r="H186" i="29"/>
  <c r="K186" i="29" s="1"/>
  <c r="H173" i="28"/>
  <c r="K173" i="28" s="1"/>
  <c r="H163" i="27"/>
  <c r="K163" i="27" s="1"/>
  <c r="H170" i="23"/>
  <c r="K170" i="23" s="1"/>
  <c r="H307" i="31"/>
  <c r="H303" i="30"/>
  <c r="H285" i="31"/>
  <c r="K285" i="31" s="1"/>
  <c r="H282" i="30"/>
  <c r="K282" i="30" s="1"/>
  <c r="H287" i="29"/>
  <c r="K287" i="29" s="1"/>
  <c r="H271" i="28"/>
  <c r="K271" i="28" s="1"/>
  <c r="H256" i="27"/>
  <c r="K256" i="27" s="1"/>
  <c r="H261" i="24"/>
  <c r="K261" i="24" s="1"/>
  <c r="H253" i="25"/>
  <c r="K253" i="25" s="1"/>
  <c r="H260" i="23"/>
  <c r="K260" i="23" s="1"/>
  <c r="H251" i="4"/>
  <c r="H249" i="31"/>
  <c r="H246" i="30"/>
  <c r="H251" i="29"/>
  <c r="H225" i="24"/>
  <c r="H235" i="28"/>
  <c r="H224" i="23"/>
  <c r="G135" i="25"/>
  <c r="K156" i="27"/>
  <c r="J156" i="27"/>
  <c r="F76" i="27" s="1"/>
  <c r="J258" i="29"/>
  <c r="O103" i="29" s="1"/>
  <c r="K258" i="29"/>
  <c r="H287" i="31"/>
  <c r="K287" i="31" s="1"/>
  <c r="H284" i="30"/>
  <c r="K284" i="30" s="1"/>
  <c r="H255" i="25"/>
  <c r="K255" i="25" s="1"/>
  <c r="H289" i="29"/>
  <c r="K289" i="29" s="1"/>
  <c r="H273" i="28"/>
  <c r="K273" i="28" s="1"/>
  <c r="H258" i="27"/>
  <c r="K258" i="27" s="1"/>
  <c r="H263" i="24"/>
  <c r="K263" i="24" s="1"/>
  <c r="H262" i="23"/>
  <c r="K262" i="23" s="1"/>
  <c r="H253" i="4"/>
  <c r="K253" i="4" s="1"/>
  <c r="J232" i="24"/>
  <c r="G85" i="24" s="1"/>
  <c r="K232" i="24"/>
  <c r="H174" i="4"/>
  <c r="N85" i="4" s="1"/>
  <c r="N115" i="4" s="1"/>
  <c r="H197" i="31"/>
  <c r="H195" i="30"/>
  <c r="H171" i="25"/>
  <c r="H183" i="24"/>
  <c r="H199" i="29"/>
  <c r="H186" i="28"/>
  <c r="H176" i="27"/>
  <c r="H183" i="23"/>
  <c r="H221" i="30"/>
  <c r="H224" i="31"/>
  <c r="H208" i="31"/>
  <c r="K208" i="31" s="1"/>
  <c r="H206" i="30"/>
  <c r="K206" i="30" s="1"/>
  <c r="H194" i="24"/>
  <c r="K194" i="24" s="1"/>
  <c r="H197" i="28"/>
  <c r="K197" i="28" s="1"/>
  <c r="H187" i="27"/>
  <c r="K187" i="27" s="1"/>
  <c r="H182" i="25"/>
  <c r="K182" i="25" s="1"/>
  <c r="H210" i="29"/>
  <c r="K210" i="29" s="1"/>
  <c r="H194" i="23"/>
  <c r="K194" i="23" s="1"/>
  <c r="H185" i="4"/>
  <c r="K185" i="4" s="1"/>
  <c r="H160" i="4"/>
  <c r="K160" i="4" s="1"/>
  <c r="H181" i="30"/>
  <c r="H183" i="31"/>
  <c r="H172" i="28"/>
  <c r="H162" i="27"/>
  <c r="H157" i="25"/>
  <c r="H169" i="24"/>
  <c r="H185" i="29"/>
  <c r="H169" i="23"/>
  <c r="H260" i="4"/>
  <c r="K260" i="4" s="1"/>
  <c r="H299" i="31"/>
  <c r="H295" i="30"/>
  <c r="H270" i="24"/>
  <c r="H262" i="25"/>
  <c r="H300" i="29"/>
  <c r="H280" i="28"/>
  <c r="H265" i="27"/>
  <c r="H269" i="23"/>
  <c r="H281" i="30"/>
  <c r="H284" i="31"/>
  <c r="H252" i="25"/>
  <c r="H260" i="24"/>
  <c r="H286" i="29"/>
  <c r="H270" i="28"/>
  <c r="H255" i="27"/>
  <c r="H259" i="23"/>
  <c r="H250" i="4"/>
  <c r="K250" i="4" s="1"/>
  <c r="H245" i="30"/>
  <c r="H248" i="31"/>
  <c r="H219" i="27"/>
  <c r="H250" i="29"/>
  <c r="H216" i="25"/>
  <c r="H224" i="24"/>
  <c r="H234" i="28"/>
  <c r="H223" i="23"/>
  <c r="J175" i="30"/>
  <c r="N100" i="30" s="1"/>
  <c r="K175" i="30"/>
  <c r="J227" i="27"/>
  <c r="G76" i="27" s="1"/>
  <c r="K227" i="27"/>
  <c r="K151" i="25"/>
  <c r="J151" i="25"/>
  <c r="F70" i="25" s="1"/>
  <c r="H256" i="4"/>
  <c r="O88" i="4" s="1"/>
  <c r="H291" i="30"/>
  <c r="H295" i="31"/>
  <c r="H258" i="25"/>
  <c r="H296" i="29"/>
  <c r="H276" i="28"/>
  <c r="H261" i="27"/>
  <c r="H266" i="24"/>
  <c r="H265" i="23"/>
  <c r="H186" i="30"/>
  <c r="H190" i="29"/>
  <c r="K190" i="29" s="1"/>
  <c r="H205" i="30"/>
  <c r="K205" i="30" s="1"/>
  <c r="H207" i="31"/>
  <c r="K207" i="31" s="1"/>
  <c r="H181" i="25"/>
  <c r="K181" i="25" s="1"/>
  <c r="H193" i="24"/>
  <c r="K193" i="24" s="1"/>
  <c r="H186" i="27"/>
  <c r="K186" i="27" s="1"/>
  <c r="H209" i="29"/>
  <c r="K209" i="29" s="1"/>
  <c r="H196" i="28"/>
  <c r="K196" i="28" s="1"/>
  <c r="H193" i="23"/>
  <c r="K193" i="23" s="1"/>
  <c r="H184" i="4"/>
  <c r="K184" i="4" s="1"/>
  <c r="H270" i="29"/>
  <c r="K270" i="29" s="1"/>
  <c r="H265" i="30"/>
  <c r="K265" i="30" s="1"/>
  <c r="K268" i="31"/>
  <c r="J253" i="30"/>
  <c r="O100" i="30" s="1"/>
  <c r="K253" i="30"/>
  <c r="K166" i="28"/>
  <c r="J166" i="28"/>
  <c r="F82" i="28" s="1"/>
  <c r="K256" i="31"/>
  <c r="J256" i="31"/>
  <c r="O102" i="31" s="1"/>
  <c r="F248" i="31"/>
  <c r="F245" i="30"/>
  <c r="F224" i="24"/>
  <c r="F216" i="25"/>
  <c r="F250" i="29"/>
  <c r="F219" i="27"/>
  <c r="F234" i="28"/>
  <c r="F223" i="23"/>
  <c r="H200" i="31"/>
  <c r="H198" i="30"/>
  <c r="H186" i="24"/>
  <c r="K186" i="24" s="1"/>
  <c r="H189" i="28"/>
  <c r="K189" i="28" s="1"/>
  <c r="H179" i="27"/>
  <c r="K179" i="27" s="1"/>
  <c r="H174" i="25"/>
  <c r="K174" i="25" s="1"/>
  <c r="K202" i="29"/>
  <c r="H186" i="23"/>
  <c r="K186" i="23" s="1"/>
  <c r="H283" i="30"/>
  <c r="K283" i="30" s="1"/>
  <c r="H286" i="31"/>
  <c r="K286" i="31" s="1"/>
  <c r="H272" i="28"/>
  <c r="K272" i="28" s="1"/>
  <c r="H288" i="29"/>
  <c r="K288" i="29" s="1"/>
  <c r="H254" i="25"/>
  <c r="K254" i="25" s="1"/>
  <c r="H257" i="27"/>
  <c r="K257" i="27" s="1"/>
  <c r="H262" i="24"/>
  <c r="K262" i="24" s="1"/>
  <c r="H261" i="23"/>
  <c r="K261" i="23" s="1"/>
  <c r="H252" i="4"/>
  <c r="K252" i="4" s="1"/>
  <c r="H188" i="4"/>
  <c r="K188" i="4" s="1"/>
  <c r="H216" i="31"/>
  <c r="H213" i="30"/>
  <c r="H190" i="27"/>
  <c r="H200" i="28"/>
  <c r="H197" i="24"/>
  <c r="H217" i="29"/>
  <c r="H185" i="25"/>
  <c r="H197" i="23"/>
  <c r="H179" i="30"/>
  <c r="H181" i="31"/>
  <c r="H178" i="30"/>
  <c r="H180" i="31"/>
  <c r="H169" i="28"/>
  <c r="H159" i="27"/>
  <c r="H170" i="28"/>
  <c r="H160" i="27"/>
  <c r="H154" i="25"/>
  <c r="H182" i="29"/>
  <c r="H155" i="25"/>
  <c r="H167" i="24"/>
  <c r="H183" i="29"/>
  <c r="H167" i="23"/>
  <c r="H166" i="23"/>
  <c r="H166" i="24"/>
  <c r="H281" i="31"/>
  <c r="K281" i="31" s="1"/>
  <c r="H278" i="30"/>
  <c r="K278" i="30" s="1"/>
  <c r="H283" i="29"/>
  <c r="J177" i="31"/>
  <c r="N102" i="31" s="1"/>
  <c r="K177" i="31"/>
  <c r="H263" i="30"/>
  <c r="K263" i="30" s="1"/>
  <c r="H268" i="29"/>
  <c r="H135" i="25"/>
  <c r="K163" i="23"/>
  <c r="J163" i="23"/>
  <c r="F85" i="23" s="1"/>
  <c r="J231" i="23"/>
  <c r="G85" i="23" s="1"/>
  <c r="K231" i="23"/>
  <c r="H228" i="4"/>
  <c r="K228" i="4" s="1"/>
  <c r="H262" i="31"/>
  <c r="H259" i="30"/>
  <c r="H248" i="28"/>
  <c r="H233" i="27"/>
  <c r="H238" i="24"/>
  <c r="H264" i="29"/>
  <c r="H230" i="25"/>
  <c r="H237" i="23"/>
  <c r="K224" i="25"/>
  <c r="J224" i="25"/>
  <c r="G70" i="25" s="1"/>
  <c r="F247" i="31"/>
  <c r="F244" i="30"/>
  <c r="F233" i="28"/>
  <c r="F215" i="25"/>
  <c r="F249" i="29"/>
  <c r="F223" i="24"/>
  <c r="F218" i="27"/>
  <c r="F222" i="23"/>
  <c r="K185" i="30"/>
  <c r="H189" i="29"/>
  <c r="H259" i="31"/>
  <c r="H256" i="30"/>
  <c r="H260" i="31"/>
  <c r="H257" i="30"/>
  <c r="H230" i="27"/>
  <c r="H261" i="29"/>
  <c r="H231" i="27"/>
  <c r="H227" i="25"/>
  <c r="H236" i="24"/>
  <c r="H246" i="28"/>
  <c r="H262" i="29"/>
  <c r="H245" i="28"/>
  <c r="H228" i="25"/>
  <c r="H235" i="23"/>
  <c r="H234" i="23"/>
  <c r="H235" i="24"/>
  <c r="F166" i="30"/>
  <c r="F168" i="31"/>
  <c r="F170" i="29"/>
  <c r="F147" i="27"/>
  <c r="F157" i="28"/>
  <c r="F142" i="25"/>
  <c r="F154" i="24"/>
  <c r="F154" i="23"/>
  <c r="F169" i="31"/>
  <c r="F167" i="30"/>
  <c r="F148" i="27"/>
  <c r="F143" i="25"/>
  <c r="F155" i="24"/>
  <c r="F158" i="28"/>
  <c r="F171" i="29"/>
  <c r="F155" i="23"/>
  <c r="H228" i="31"/>
  <c r="H225" i="30"/>
  <c r="H206" i="31"/>
  <c r="K206" i="31" s="1"/>
  <c r="H204" i="30"/>
  <c r="K204" i="30" s="1"/>
  <c r="H208" i="29"/>
  <c r="K208" i="29" s="1"/>
  <c r="H195" i="28"/>
  <c r="K195" i="28" s="1"/>
  <c r="H185" i="27"/>
  <c r="K185" i="27" s="1"/>
  <c r="H180" i="25"/>
  <c r="K180" i="25" s="1"/>
  <c r="H192" i="24"/>
  <c r="K192" i="24" s="1"/>
  <c r="H192" i="23"/>
  <c r="K192" i="23" s="1"/>
  <c r="H183" i="4"/>
  <c r="K183" i="4" s="1"/>
  <c r="H169" i="31"/>
  <c r="H167" i="30"/>
  <c r="H148" i="27"/>
  <c r="H155" i="24"/>
  <c r="H158" i="28"/>
  <c r="H171" i="29"/>
  <c r="H143" i="25"/>
  <c r="H155" i="23"/>
  <c r="H246" i="4"/>
  <c r="K246" i="4" s="1"/>
  <c r="H277" i="30"/>
  <c r="K277" i="30" s="1"/>
  <c r="H280" i="31"/>
  <c r="K280" i="31" s="1"/>
  <c r="H282" i="29"/>
  <c r="K282" i="29" s="1"/>
  <c r="H266" i="28"/>
  <c r="K266" i="28" s="1"/>
  <c r="H251" i="27"/>
  <c r="K251" i="27" s="1"/>
  <c r="H248" i="25"/>
  <c r="K248" i="25" s="1"/>
  <c r="H256" i="24"/>
  <c r="K256" i="24" s="1"/>
  <c r="H255" i="23"/>
  <c r="K255" i="23" s="1"/>
  <c r="K267" i="31"/>
  <c r="H264" i="30"/>
  <c r="H269" i="29"/>
  <c r="K269" i="29" s="1"/>
  <c r="F179" i="30"/>
  <c r="F181" i="31"/>
  <c r="F180" i="31"/>
  <c r="F178" i="30"/>
  <c r="F155" i="25"/>
  <c r="F167" i="24"/>
  <c r="F183" i="29"/>
  <c r="F169" i="28"/>
  <c r="F159" i="27"/>
  <c r="F154" i="25"/>
  <c r="F182" i="29"/>
  <c r="F170" i="28"/>
  <c r="F160" i="27"/>
  <c r="F167" i="23"/>
  <c r="F166" i="23"/>
  <c r="F166" i="24"/>
  <c r="H220" i="31"/>
  <c r="H217" i="30"/>
  <c r="H221" i="29"/>
  <c r="H189" i="25"/>
  <c r="H201" i="24"/>
  <c r="H204" i="28"/>
  <c r="H194" i="27"/>
  <c r="H201" i="23"/>
  <c r="H205" i="31"/>
  <c r="H203" i="30"/>
  <c r="H179" i="25"/>
  <c r="H191" i="24"/>
  <c r="H207" i="29"/>
  <c r="H194" i="28"/>
  <c r="H184" i="27"/>
  <c r="H191" i="23"/>
  <c r="H182" i="4"/>
  <c r="H166" i="30"/>
  <c r="H168" i="31"/>
  <c r="H170" i="29"/>
  <c r="H157" i="28"/>
  <c r="H142" i="25"/>
  <c r="H154" i="24"/>
  <c r="H147" i="27"/>
  <c r="H154" i="23"/>
  <c r="H245" i="4"/>
  <c r="H279" i="31"/>
  <c r="H276" i="30"/>
  <c r="H247" i="25"/>
  <c r="K247" i="25" s="1"/>
  <c r="H255" i="24"/>
  <c r="K255" i="24" s="1"/>
  <c r="H250" i="27"/>
  <c r="K250" i="27" s="1"/>
  <c r="H265" i="28"/>
  <c r="K265" i="28" s="1"/>
  <c r="K281" i="29"/>
  <c r="H254" i="23"/>
  <c r="K254" i="23" s="1"/>
  <c r="F260" i="31"/>
  <c r="F257" i="30"/>
  <c r="F259" i="31"/>
  <c r="F256" i="30"/>
  <c r="F262" i="29"/>
  <c r="F245" i="28"/>
  <c r="F228" i="25"/>
  <c r="F230" i="27"/>
  <c r="F261" i="29"/>
  <c r="F227" i="25"/>
  <c r="F236" i="24"/>
  <c r="F246" i="28"/>
  <c r="F231" i="27"/>
  <c r="F234" i="23"/>
  <c r="F235" i="23"/>
  <c r="F235" i="24"/>
  <c r="H202" i="31"/>
  <c r="K202" i="31" s="1"/>
  <c r="H200" i="30"/>
  <c r="K200" i="30" s="1"/>
  <c r="H204" i="29"/>
  <c r="H191" i="29"/>
  <c r="K191" i="29" s="1"/>
  <c r="K189" i="31"/>
  <c r="H187" i="30"/>
  <c r="K187" i="30" s="1"/>
  <c r="H247" i="31"/>
  <c r="H244" i="30"/>
  <c r="H233" i="28"/>
  <c r="H218" i="27"/>
  <c r="H223" i="24"/>
  <c r="H249" i="29"/>
  <c r="H215" i="25"/>
  <c r="H222" i="23"/>
  <c r="H238" i="4"/>
  <c r="H237" i="4" s="1"/>
  <c r="H269" i="30"/>
  <c r="H240" i="25"/>
  <c r="H258" i="28"/>
  <c r="H243" i="27"/>
  <c r="H248" i="24"/>
  <c r="H274" i="29"/>
  <c r="H247" i="23"/>
  <c r="H229" i="4"/>
  <c r="K229" i="4" s="1"/>
  <c r="H260" i="30"/>
  <c r="K260" i="30" s="1"/>
  <c r="H263" i="31"/>
  <c r="K263" i="31" s="1"/>
  <c r="H265" i="29"/>
  <c r="K265" i="29" s="1"/>
  <c r="H231" i="25"/>
  <c r="K231" i="25" s="1"/>
  <c r="H239" i="24"/>
  <c r="K239" i="24" s="1"/>
  <c r="H249" i="28"/>
  <c r="K249" i="28" s="1"/>
  <c r="H234" i="27"/>
  <c r="K234" i="27" s="1"/>
  <c r="H238" i="23"/>
  <c r="K238" i="23" s="1"/>
  <c r="K179" i="29"/>
  <c r="J179" i="29"/>
  <c r="N103" i="29" s="1"/>
  <c r="J242" i="28"/>
  <c r="G82" i="28" s="1"/>
  <c r="K242" i="28"/>
  <c r="W88" i="23"/>
  <c r="W79" i="4"/>
  <c r="W118" i="4" s="1"/>
  <c r="W85" i="28"/>
  <c r="W124" i="28" s="1"/>
  <c r="W94" i="30"/>
  <c r="W133" i="30" s="1"/>
  <c r="W97" i="29"/>
  <c r="W79" i="27"/>
  <c r="W118" i="27" s="1"/>
  <c r="W96" i="31"/>
  <c r="W135" i="31" s="1"/>
  <c r="W73" i="25"/>
  <c r="V124" i="28"/>
  <c r="V133" i="30"/>
  <c r="V127" i="24"/>
  <c r="V112" i="25"/>
  <c r="M99" i="30"/>
  <c r="M101" i="31"/>
  <c r="AB16" i="12"/>
  <c r="U73" i="4" s="1"/>
  <c r="F252" i="31"/>
  <c r="G173" i="31"/>
  <c r="F249" i="30"/>
  <c r="F173" i="31"/>
  <c r="H171" i="30"/>
  <c r="G252" i="31"/>
  <c r="G249" i="30"/>
  <c r="G171" i="30"/>
  <c r="H173" i="31"/>
  <c r="H252" i="31"/>
  <c r="H249" i="30"/>
  <c r="F171" i="30"/>
  <c r="F152" i="27"/>
  <c r="H220" i="25"/>
  <c r="E223" i="28"/>
  <c r="F223" i="28" s="1"/>
  <c r="G220" i="25"/>
  <c r="H254" i="29"/>
  <c r="H175" i="29"/>
  <c r="F220" i="25"/>
  <c r="H147" i="25"/>
  <c r="H159" i="24"/>
  <c r="H152" i="27"/>
  <c r="G254" i="29"/>
  <c r="G175" i="29"/>
  <c r="H223" i="27"/>
  <c r="G147" i="25"/>
  <c r="G159" i="24"/>
  <c r="F228" i="24"/>
  <c r="F254" i="29"/>
  <c r="F175" i="29"/>
  <c r="G223" i="27"/>
  <c r="F147" i="25"/>
  <c r="H228" i="24"/>
  <c r="F159" i="24"/>
  <c r="E148" i="28"/>
  <c r="F148" i="28" s="1"/>
  <c r="F223" i="27"/>
  <c r="G228" i="24"/>
  <c r="G152" i="27"/>
  <c r="H227" i="23"/>
  <c r="F159" i="23"/>
  <c r="G227" i="23"/>
  <c r="G159" i="23"/>
  <c r="F227" i="23"/>
  <c r="H159" i="23"/>
  <c r="H172" i="30"/>
  <c r="H253" i="31"/>
  <c r="G172" i="30"/>
  <c r="G253" i="31"/>
  <c r="H250" i="30"/>
  <c r="F172" i="30"/>
  <c r="F253" i="31"/>
  <c r="H174" i="31"/>
  <c r="G250" i="30"/>
  <c r="G174" i="31"/>
  <c r="F250" i="30"/>
  <c r="F174" i="31"/>
  <c r="F255" i="29"/>
  <c r="F176" i="29"/>
  <c r="E224" i="28"/>
  <c r="F224" i="28" s="1"/>
  <c r="G224" i="27"/>
  <c r="F148" i="25"/>
  <c r="H229" i="24"/>
  <c r="F160" i="24"/>
  <c r="H148" i="25"/>
  <c r="G148" i="25"/>
  <c r="F224" i="27"/>
  <c r="G229" i="24"/>
  <c r="H153" i="27"/>
  <c r="F229" i="24"/>
  <c r="H255" i="29"/>
  <c r="G153" i="27"/>
  <c r="H160" i="24"/>
  <c r="H224" i="27"/>
  <c r="G160" i="24"/>
  <c r="F153" i="27"/>
  <c r="H221" i="25"/>
  <c r="F221" i="25"/>
  <c r="G221" i="25"/>
  <c r="H176" i="29"/>
  <c r="E149" i="28"/>
  <c r="F149" i="28" s="1"/>
  <c r="G255" i="29"/>
  <c r="G176" i="29"/>
  <c r="H160" i="23"/>
  <c r="G160" i="23"/>
  <c r="H228" i="23"/>
  <c r="F160" i="23"/>
  <c r="G228" i="23"/>
  <c r="F228" i="23"/>
  <c r="M103" i="31"/>
  <c r="M101" i="30"/>
  <c r="E77" i="27"/>
  <c r="E86" i="24"/>
  <c r="E83" i="28"/>
  <c r="E71" i="25"/>
  <c r="M104" i="29"/>
  <c r="E86" i="23"/>
  <c r="M102" i="31"/>
  <c r="M100" i="30"/>
  <c r="E85" i="24"/>
  <c r="M103" i="29"/>
  <c r="E70" i="25"/>
  <c r="E76" i="27"/>
  <c r="E82" i="28"/>
  <c r="E85" i="23"/>
  <c r="H233" i="4"/>
  <c r="K233" i="4" s="1"/>
  <c r="H235" i="25"/>
  <c r="K235" i="25" s="1"/>
  <c r="H243" i="24"/>
  <c r="K243" i="24" s="1"/>
  <c r="H238" i="27"/>
  <c r="K238" i="27" s="1"/>
  <c r="H253" i="28"/>
  <c r="K253" i="28" s="1"/>
  <c r="H242" i="23"/>
  <c r="K242" i="23" s="1"/>
  <c r="H166" i="4"/>
  <c r="K166" i="4" s="1"/>
  <c r="H163" i="25"/>
  <c r="K163" i="25" s="1"/>
  <c r="H168" i="27"/>
  <c r="K168" i="27" s="1"/>
  <c r="H175" i="24"/>
  <c r="K175" i="24" s="1"/>
  <c r="H178" i="28"/>
  <c r="K178" i="28" s="1"/>
  <c r="H175" i="23"/>
  <c r="K175" i="23" s="1"/>
  <c r="H232" i="4"/>
  <c r="K232" i="4" s="1"/>
  <c r="H252" i="28"/>
  <c r="H234" i="25"/>
  <c r="H242" i="24"/>
  <c r="H237" i="27"/>
  <c r="H241" i="23"/>
  <c r="H166" i="27"/>
  <c r="H173" i="24"/>
  <c r="H176" i="28"/>
  <c r="H161" i="25"/>
  <c r="H173" i="23"/>
  <c r="H164" i="4"/>
  <c r="K164" i="4" s="1"/>
  <c r="H165" i="4"/>
  <c r="K165" i="4" s="1"/>
  <c r="H174" i="24"/>
  <c r="K174" i="24" s="1"/>
  <c r="H177" i="28"/>
  <c r="K177" i="28" s="1"/>
  <c r="H162" i="25"/>
  <c r="K162" i="25" s="1"/>
  <c r="H167" i="27"/>
  <c r="K167" i="27" s="1"/>
  <c r="H174" i="23"/>
  <c r="K174" i="23" s="1"/>
  <c r="H234" i="4"/>
  <c r="K234" i="4" s="1"/>
  <c r="H239" i="27"/>
  <c r="K239" i="27" s="1"/>
  <c r="H254" i="28"/>
  <c r="K254" i="28" s="1"/>
  <c r="H236" i="25"/>
  <c r="K236" i="25" s="1"/>
  <c r="H244" i="24"/>
  <c r="K244" i="24" s="1"/>
  <c r="H243" i="23"/>
  <c r="K243" i="23" s="1"/>
  <c r="H200" i="4"/>
  <c r="H202" i="27"/>
  <c r="H229" i="29"/>
  <c r="H212" i="28"/>
  <c r="H197" i="25"/>
  <c r="H209" i="24"/>
  <c r="H209" i="23"/>
  <c r="H268" i="4"/>
  <c r="O91" i="4" s="1"/>
  <c r="O121" i="4" s="1"/>
  <c r="H308" i="29"/>
  <c r="H273" i="27"/>
  <c r="H270" i="25"/>
  <c r="H288" i="28"/>
  <c r="H278" i="24"/>
  <c r="H277" i="23"/>
  <c r="H196" i="4"/>
  <c r="H195" i="4" s="1"/>
  <c r="N90" i="4" s="1"/>
  <c r="H193" i="25"/>
  <c r="H208" i="28"/>
  <c r="H198" i="27"/>
  <c r="H205" i="24"/>
  <c r="H225" i="29"/>
  <c r="H205" i="23"/>
  <c r="H176" i="25"/>
  <c r="H188" i="24"/>
  <c r="H181" i="27"/>
  <c r="H191" i="28"/>
  <c r="H188" i="23"/>
  <c r="H247" i="4"/>
  <c r="K247" i="4" s="1"/>
  <c r="H252" i="27"/>
  <c r="H249" i="25"/>
  <c r="H257" i="24"/>
  <c r="H267" i="28"/>
  <c r="H256" i="23"/>
  <c r="M102" i="29"/>
  <c r="E75" i="27"/>
  <c r="E81" i="28"/>
  <c r="E75" i="4"/>
  <c r="E114" i="4" s="1"/>
  <c r="E84" i="24"/>
  <c r="E69" i="25"/>
  <c r="E84" i="23"/>
  <c r="K200" i="4"/>
  <c r="N91" i="4"/>
  <c r="N121" i="4" s="1"/>
  <c r="J182" i="4"/>
  <c r="AY53" i="11"/>
  <c r="H219" i="4"/>
  <c r="F151" i="4"/>
  <c r="Q22" i="12"/>
  <c r="H151" i="4"/>
  <c r="F219" i="4"/>
  <c r="S22" i="12"/>
  <c r="F218" i="4"/>
  <c r="Q21" i="12"/>
  <c r="H150" i="4"/>
  <c r="H218" i="4"/>
  <c r="R22" i="12"/>
  <c r="J242" i="4"/>
  <c r="J174" i="4"/>
  <c r="G219" i="4"/>
  <c r="G151" i="4"/>
  <c r="R21" i="12"/>
  <c r="G218" i="4"/>
  <c r="G150" i="4"/>
  <c r="AB17" i="12"/>
  <c r="H179" i="4"/>
  <c r="K179" i="4" s="1"/>
  <c r="H178" i="4"/>
  <c r="K178" i="4" s="1"/>
  <c r="H177" i="4"/>
  <c r="H226" i="4"/>
  <c r="H225" i="4"/>
  <c r="H157" i="4"/>
  <c r="H158" i="4"/>
  <c r="F150" i="4"/>
  <c r="F226" i="4"/>
  <c r="F225" i="4"/>
  <c r="F157" i="4"/>
  <c r="F158" i="4"/>
  <c r="K187" i="4"/>
  <c r="H192" i="4"/>
  <c r="H190" i="4" s="1"/>
  <c r="N89" i="4" s="1"/>
  <c r="G116" i="4"/>
  <c r="F116" i="4"/>
  <c r="E77" i="4"/>
  <c r="E116" i="4" s="1"/>
  <c r="G115" i="4"/>
  <c r="E76" i="4"/>
  <c r="E115" i="4" s="1"/>
  <c r="F115" i="4"/>
  <c r="S16" i="12"/>
  <c r="S21" i="12"/>
  <c r="O31" i="11"/>
  <c r="Q29" i="14"/>
  <c r="AY31" i="11" s="1"/>
  <c r="N88" i="4" l="1"/>
  <c r="H159" i="4"/>
  <c r="K159" i="4" s="1"/>
  <c r="G149" i="27"/>
  <c r="J149" i="27" s="1"/>
  <c r="H149" i="27"/>
  <c r="W127" i="23"/>
  <c r="H220" i="27"/>
  <c r="G220" i="27"/>
  <c r="H244" i="4"/>
  <c r="K244" i="4" s="1"/>
  <c r="H181" i="4"/>
  <c r="N87" i="4" s="1"/>
  <c r="N117" i="4" s="1"/>
  <c r="K169" i="4"/>
  <c r="K170" i="4"/>
  <c r="K245" i="4"/>
  <c r="K238" i="4"/>
  <c r="K195" i="4"/>
  <c r="K182" i="4"/>
  <c r="K196" i="4"/>
  <c r="H249" i="4"/>
  <c r="K249" i="4" s="1"/>
  <c r="H231" i="4"/>
  <c r="O83" i="4" s="1"/>
  <c r="O113" i="4" s="1"/>
  <c r="H268" i="30"/>
  <c r="K269" i="30"/>
  <c r="F98" i="30"/>
  <c r="N137" i="30" s="1"/>
  <c r="K225" i="30"/>
  <c r="K272" i="31"/>
  <c r="H271" i="31"/>
  <c r="K235" i="24"/>
  <c r="J235" i="24"/>
  <c r="J230" i="27"/>
  <c r="K230" i="27"/>
  <c r="K203" i="30"/>
  <c r="H202" i="30"/>
  <c r="K217" i="30"/>
  <c r="H215" i="30"/>
  <c r="K154" i="25"/>
  <c r="J154" i="25"/>
  <c r="J181" i="31"/>
  <c r="K181" i="31"/>
  <c r="F100" i="31"/>
  <c r="N139" i="31" s="1"/>
  <c r="K228" i="31"/>
  <c r="J169" i="31"/>
  <c r="K169" i="31"/>
  <c r="J168" i="31"/>
  <c r="K168" i="31"/>
  <c r="K249" i="29"/>
  <c r="J249" i="29"/>
  <c r="K230" i="25"/>
  <c r="H229" i="25"/>
  <c r="H265" i="31"/>
  <c r="K266" i="31"/>
  <c r="K217" i="29"/>
  <c r="F98" i="29"/>
  <c r="H199" i="31"/>
  <c r="K200" i="31"/>
  <c r="K248" i="31"/>
  <c r="J248" i="31"/>
  <c r="K266" i="24"/>
  <c r="O97" i="24"/>
  <c r="H254" i="27"/>
  <c r="K255" i="27"/>
  <c r="H263" i="27"/>
  <c r="K265" i="27"/>
  <c r="K169" i="23"/>
  <c r="H168" i="23"/>
  <c r="F94" i="29"/>
  <c r="N133" i="29" s="1"/>
  <c r="K199" i="29"/>
  <c r="G98" i="30"/>
  <c r="O137" i="30" s="1"/>
  <c r="K303" i="30"/>
  <c r="H181" i="28"/>
  <c r="K182" i="28"/>
  <c r="K251" i="29"/>
  <c r="J251" i="29"/>
  <c r="J260" i="31"/>
  <c r="K260" i="31"/>
  <c r="J180" i="31"/>
  <c r="K180" i="31"/>
  <c r="K269" i="23"/>
  <c r="H267" i="23"/>
  <c r="K251" i="4"/>
  <c r="K256" i="4"/>
  <c r="H246" i="23"/>
  <c r="K247" i="23"/>
  <c r="K235" i="23"/>
  <c r="J235" i="23"/>
  <c r="J228" i="25"/>
  <c r="K228" i="25"/>
  <c r="H204" i="31"/>
  <c r="K205" i="31"/>
  <c r="K220" i="31"/>
  <c r="H218" i="31"/>
  <c r="K159" i="27"/>
  <c r="J159" i="27"/>
  <c r="K179" i="30"/>
  <c r="J179" i="30"/>
  <c r="J155" i="23"/>
  <c r="K155" i="23"/>
  <c r="K154" i="23"/>
  <c r="J154" i="23"/>
  <c r="K166" i="30"/>
  <c r="J166" i="30"/>
  <c r="K215" i="25"/>
  <c r="J215" i="25"/>
  <c r="H263" i="29"/>
  <c r="K264" i="29"/>
  <c r="K197" i="24"/>
  <c r="N97" i="24"/>
  <c r="K223" i="23"/>
  <c r="J223" i="23"/>
  <c r="O88" i="27"/>
  <c r="K261" i="27"/>
  <c r="H269" i="28"/>
  <c r="K270" i="28"/>
  <c r="K280" i="28"/>
  <c r="H278" i="28"/>
  <c r="H184" i="29"/>
  <c r="K185" i="29"/>
  <c r="N94" i="24"/>
  <c r="N124" i="24" s="1"/>
  <c r="K183" i="24"/>
  <c r="K307" i="31"/>
  <c r="G100" i="31"/>
  <c r="O139" i="31" s="1"/>
  <c r="K193" i="31"/>
  <c r="H192" i="31"/>
  <c r="K246" i="30"/>
  <c r="J246" i="30"/>
  <c r="K261" i="29"/>
  <c r="J261" i="29"/>
  <c r="K223" i="24"/>
  <c r="J223" i="24"/>
  <c r="K253" i="31"/>
  <c r="H273" i="29"/>
  <c r="K274" i="29"/>
  <c r="J234" i="23"/>
  <c r="G87" i="23" s="1"/>
  <c r="G126" i="23" s="1"/>
  <c r="K234" i="23"/>
  <c r="K245" i="28"/>
  <c r="J245" i="28"/>
  <c r="H190" i="23"/>
  <c r="K191" i="23"/>
  <c r="K201" i="23"/>
  <c r="H199" i="23"/>
  <c r="K166" i="24"/>
  <c r="J166" i="24"/>
  <c r="K169" i="28"/>
  <c r="J169" i="28"/>
  <c r="K171" i="29"/>
  <c r="J171" i="29"/>
  <c r="K154" i="24"/>
  <c r="J154" i="24"/>
  <c r="K233" i="28"/>
  <c r="J233" i="28"/>
  <c r="H237" i="24"/>
  <c r="K238" i="24"/>
  <c r="N94" i="28"/>
  <c r="K200" i="28"/>
  <c r="K234" i="28"/>
  <c r="J234" i="28"/>
  <c r="O94" i="28"/>
  <c r="K276" i="28"/>
  <c r="H285" i="29"/>
  <c r="K286" i="29"/>
  <c r="K300" i="29"/>
  <c r="H298" i="29"/>
  <c r="K169" i="24"/>
  <c r="H168" i="24"/>
  <c r="N79" i="25"/>
  <c r="N109" i="25" s="1"/>
  <c r="K171" i="25"/>
  <c r="K191" i="30"/>
  <c r="H190" i="30"/>
  <c r="J249" i="31"/>
  <c r="K249" i="31"/>
  <c r="K221" i="29"/>
  <c r="H219" i="29"/>
  <c r="O97" i="23"/>
  <c r="K265" i="23"/>
  <c r="H180" i="30"/>
  <c r="K181" i="30"/>
  <c r="K172" i="27"/>
  <c r="H171" i="27"/>
  <c r="H258" i="4"/>
  <c r="K258" i="4" s="1"/>
  <c r="H247" i="24"/>
  <c r="K248" i="24"/>
  <c r="K231" i="27"/>
  <c r="J231" i="27"/>
  <c r="J262" i="29"/>
  <c r="K262" i="29"/>
  <c r="H183" i="27"/>
  <c r="K184" i="27"/>
  <c r="K194" i="27"/>
  <c r="H192" i="27"/>
  <c r="K166" i="23"/>
  <c r="J166" i="23"/>
  <c r="K183" i="29"/>
  <c r="J183" i="29"/>
  <c r="H262" i="30"/>
  <c r="K264" i="30"/>
  <c r="J158" i="28"/>
  <c r="K158" i="28"/>
  <c r="J142" i="25"/>
  <c r="K142" i="25"/>
  <c r="J244" i="30"/>
  <c r="K244" i="30"/>
  <c r="H232" i="27"/>
  <c r="K233" i="27"/>
  <c r="K190" i="27"/>
  <c r="N88" i="27"/>
  <c r="K219" i="27"/>
  <c r="J219" i="27"/>
  <c r="G98" i="29"/>
  <c r="K296" i="29"/>
  <c r="K260" i="24"/>
  <c r="H259" i="24"/>
  <c r="H260" i="25"/>
  <c r="K262" i="25"/>
  <c r="K157" i="25"/>
  <c r="H156" i="25"/>
  <c r="K224" i="31"/>
  <c r="H223" i="31"/>
  <c r="K195" i="30"/>
  <c r="F91" i="30"/>
  <c r="N130" i="30" s="1"/>
  <c r="H178" i="23"/>
  <c r="K179" i="23"/>
  <c r="K198" i="30"/>
  <c r="H197" i="30"/>
  <c r="N91" i="28"/>
  <c r="N121" i="28" s="1"/>
  <c r="K186" i="28"/>
  <c r="H242" i="4"/>
  <c r="O85" i="4" s="1"/>
  <c r="O115" i="4" s="1"/>
  <c r="H276" i="31"/>
  <c r="H273" i="30"/>
  <c r="H262" i="28"/>
  <c r="H247" i="27"/>
  <c r="H252" i="24"/>
  <c r="H278" i="29"/>
  <c r="H244" i="25"/>
  <c r="H251" i="23"/>
  <c r="H303" i="31"/>
  <c r="H299" i="30"/>
  <c r="H227" i="4"/>
  <c r="K227" i="4" s="1"/>
  <c r="K243" i="27"/>
  <c r="H242" i="27"/>
  <c r="J246" i="28"/>
  <c r="K246" i="28"/>
  <c r="K256" i="30"/>
  <c r="J256" i="30"/>
  <c r="H193" i="28"/>
  <c r="K194" i="28"/>
  <c r="K204" i="28"/>
  <c r="H202" i="28"/>
  <c r="J167" i="23"/>
  <c r="K167" i="23"/>
  <c r="J167" i="24"/>
  <c r="K167" i="24"/>
  <c r="J155" i="24"/>
  <c r="K155" i="24"/>
  <c r="K157" i="28"/>
  <c r="J157" i="28"/>
  <c r="J247" i="31"/>
  <c r="K247" i="31"/>
  <c r="H247" i="28"/>
  <c r="K248" i="28"/>
  <c r="F95" i="30"/>
  <c r="K213" i="30"/>
  <c r="K250" i="29"/>
  <c r="J250" i="29"/>
  <c r="O82" i="25"/>
  <c r="K258" i="25"/>
  <c r="K252" i="25"/>
  <c r="H251" i="25"/>
  <c r="H268" i="24"/>
  <c r="K270" i="24"/>
  <c r="K162" i="27"/>
  <c r="H161" i="27"/>
  <c r="H220" i="30"/>
  <c r="K221" i="30"/>
  <c r="F93" i="31"/>
  <c r="N132" i="31" s="1"/>
  <c r="K197" i="31"/>
  <c r="K195" i="29"/>
  <c r="H194" i="29"/>
  <c r="K179" i="25"/>
  <c r="H178" i="25"/>
  <c r="J167" i="30"/>
  <c r="K167" i="30"/>
  <c r="K185" i="25"/>
  <c r="N82" i="25"/>
  <c r="H258" i="23"/>
  <c r="K259" i="23"/>
  <c r="K258" i="28"/>
  <c r="H257" i="28"/>
  <c r="J236" i="24"/>
  <c r="K236" i="24"/>
  <c r="J259" i="31"/>
  <c r="K259" i="31"/>
  <c r="K207" i="29"/>
  <c r="H206" i="29"/>
  <c r="K201" i="24"/>
  <c r="H199" i="24"/>
  <c r="J160" i="27"/>
  <c r="K160" i="27"/>
  <c r="K155" i="25"/>
  <c r="J155" i="25"/>
  <c r="J143" i="25"/>
  <c r="K143" i="25"/>
  <c r="J147" i="27"/>
  <c r="K147" i="27"/>
  <c r="J222" i="23"/>
  <c r="K222" i="23"/>
  <c r="K259" i="30"/>
  <c r="H258" i="30"/>
  <c r="F97" i="31"/>
  <c r="K216" i="31"/>
  <c r="J216" i="25"/>
  <c r="K216" i="25"/>
  <c r="H184" i="30"/>
  <c r="K186" i="30"/>
  <c r="G97" i="31"/>
  <c r="K295" i="31"/>
  <c r="K284" i="31"/>
  <c r="H283" i="31"/>
  <c r="K295" i="30"/>
  <c r="H293" i="30"/>
  <c r="K172" i="28"/>
  <c r="H171" i="28"/>
  <c r="N94" i="23"/>
  <c r="N124" i="23" s="1"/>
  <c r="K183" i="23"/>
  <c r="H178" i="24"/>
  <c r="K179" i="24"/>
  <c r="K224" i="23"/>
  <c r="J224" i="23"/>
  <c r="H278" i="31"/>
  <c r="K279" i="31"/>
  <c r="J182" i="29"/>
  <c r="K182" i="29"/>
  <c r="H236" i="23"/>
  <c r="K237" i="23"/>
  <c r="K245" i="30"/>
  <c r="J245" i="30"/>
  <c r="K235" i="28"/>
  <c r="J235" i="28"/>
  <c r="K240" i="25"/>
  <c r="H239" i="25"/>
  <c r="K227" i="25"/>
  <c r="J227" i="25"/>
  <c r="K257" i="30"/>
  <c r="J257" i="30"/>
  <c r="H275" i="30"/>
  <c r="K276" i="30"/>
  <c r="H190" i="24"/>
  <c r="K191" i="24"/>
  <c r="H187" i="25"/>
  <c r="K189" i="25"/>
  <c r="K170" i="28"/>
  <c r="J170" i="28"/>
  <c r="J178" i="30"/>
  <c r="K178" i="30"/>
  <c r="J148" i="27"/>
  <c r="K148" i="27"/>
  <c r="K170" i="29"/>
  <c r="J170" i="29"/>
  <c r="K218" i="27"/>
  <c r="J218" i="27"/>
  <c r="H261" i="31"/>
  <c r="K262" i="31"/>
  <c r="K197" i="23"/>
  <c r="N97" i="23"/>
  <c r="J224" i="24"/>
  <c r="K224" i="24"/>
  <c r="H186" i="31"/>
  <c r="K188" i="31"/>
  <c r="K291" i="30"/>
  <c r="G95" i="30"/>
  <c r="H280" i="30"/>
  <c r="K281" i="30"/>
  <c r="H297" i="31"/>
  <c r="K299" i="31"/>
  <c r="H182" i="31"/>
  <c r="K183" i="31"/>
  <c r="N85" i="27"/>
  <c r="N115" i="27" s="1"/>
  <c r="K176" i="27"/>
  <c r="K167" i="25"/>
  <c r="H166" i="25"/>
  <c r="J225" i="24"/>
  <c r="K225" i="24"/>
  <c r="W136" i="29"/>
  <c r="W112" i="25"/>
  <c r="H239" i="28"/>
  <c r="G239" i="28"/>
  <c r="F239" i="28"/>
  <c r="F162" i="28"/>
  <c r="H162" i="28"/>
  <c r="G162" i="28"/>
  <c r="G238" i="28"/>
  <c r="H238" i="28"/>
  <c r="F238" i="28"/>
  <c r="J228" i="23"/>
  <c r="K228" i="23"/>
  <c r="K224" i="27"/>
  <c r="J224" i="27"/>
  <c r="K176" i="29"/>
  <c r="J176" i="29"/>
  <c r="K159" i="23"/>
  <c r="J159" i="23"/>
  <c r="J159" i="24"/>
  <c r="K159" i="24"/>
  <c r="J220" i="25"/>
  <c r="K220" i="25"/>
  <c r="K173" i="31"/>
  <c r="J173" i="31"/>
  <c r="K221" i="25"/>
  <c r="J221" i="25"/>
  <c r="K255" i="29"/>
  <c r="J255" i="29"/>
  <c r="K249" i="30"/>
  <c r="J249" i="30"/>
  <c r="J160" i="23"/>
  <c r="K160" i="23"/>
  <c r="F163" i="28"/>
  <c r="H163" i="28"/>
  <c r="G163" i="28"/>
  <c r="J172" i="30"/>
  <c r="K172" i="30"/>
  <c r="J147" i="25"/>
  <c r="K147" i="25"/>
  <c r="K153" i="27"/>
  <c r="J153" i="27"/>
  <c r="J229" i="24"/>
  <c r="K229" i="24"/>
  <c r="K160" i="24"/>
  <c r="J160" i="24"/>
  <c r="K174" i="31"/>
  <c r="J174" i="31"/>
  <c r="J152" i="27"/>
  <c r="K152" i="27"/>
  <c r="K252" i="31"/>
  <c r="J252" i="31"/>
  <c r="K250" i="30"/>
  <c r="J250" i="30"/>
  <c r="J253" i="31"/>
  <c r="K175" i="29"/>
  <c r="J175" i="29"/>
  <c r="K171" i="30"/>
  <c r="J171" i="30"/>
  <c r="U90" i="31"/>
  <c r="U88" i="30"/>
  <c r="U73" i="27"/>
  <c r="U79" i="28"/>
  <c r="U67" i="25"/>
  <c r="U82" i="24"/>
  <c r="U91" i="29"/>
  <c r="U82" i="23"/>
  <c r="U74" i="4"/>
  <c r="U113" i="4" s="1"/>
  <c r="U91" i="31"/>
  <c r="U130" i="31" s="1"/>
  <c r="U89" i="30"/>
  <c r="U128" i="30" s="1"/>
  <c r="U80" i="28"/>
  <c r="U119" i="28" s="1"/>
  <c r="U74" i="27"/>
  <c r="U113" i="27" s="1"/>
  <c r="U68" i="25"/>
  <c r="U107" i="25" s="1"/>
  <c r="U83" i="24"/>
  <c r="U122" i="24" s="1"/>
  <c r="U92" i="29"/>
  <c r="U131" i="29" s="1"/>
  <c r="U83" i="23"/>
  <c r="U122" i="23" s="1"/>
  <c r="K148" i="25"/>
  <c r="J148" i="25"/>
  <c r="K227" i="23"/>
  <c r="J227" i="23"/>
  <c r="J223" i="27"/>
  <c r="K223" i="27"/>
  <c r="K254" i="29"/>
  <c r="J254" i="29"/>
  <c r="J228" i="24"/>
  <c r="K228" i="24"/>
  <c r="H163" i="4"/>
  <c r="N83" i="4" s="1"/>
  <c r="N113" i="4" s="1"/>
  <c r="K189" i="29"/>
  <c r="H188" i="29"/>
  <c r="H251" i="28"/>
  <c r="K252" i="28"/>
  <c r="K173" i="24"/>
  <c r="H172" i="24"/>
  <c r="H165" i="27"/>
  <c r="K166" i="27"/>
  <c r="H240" i="23"/>
  <c r="K241" i="23"/>
  <c r="K237" i="27"/>
  <c r="H236" i="27"/>
  <c r="K173" i="23"/>
  <c r="H172" i="23"/>
  <c r="H267" i="29"/>
  <c r="K268" i="29"/>
  <c r="K161" i="25"/>
  <c r="H160" i="25"/>
  <c r="K242" i="24"/>
  <c r="H241" i="24"/>
  <c r="K176" i="28"/>
  <c r="H175" i="28"/>
  <c r="K234" i="25"/>
  <c r="H233" i="25"/>
  <c r="K268" i="4"/>
  <c r="N100" i="23"/>
  <c r="N130" i="23" s="1"/>
  <c r="K209" i="23"/>
  <c r="O100" i="23"/>
  <c r="O130" i="23" s="1"/>
  <c r="K277" i="23"/>
  <c r="N100" i="24"/>
  <c r="N130" i="24" s="1"/>
  <c r="K209" i="24"/>
  <c r="N85" i="25"/>
  <c r="N115" i="25" s="1"/>
  <c r="K197" i="25"/>
  <c r="O100" i="24"/>
  <c r="O130" i="24" s="1"/>
  <c r="K278" i="24"/>
  <c r="O97" i="28"/>
  <c r="O127" i="28" s="1"/>
  <c r="K288" i="28"/>
  <c r="N97" i="28"/>
  <c r="N127" i="28" s="1"/>
  <c r="K212" i="28"/>
  <c r="O85" i="25"/>
  <c r="O115" i="25" s="1"/>
  <c r="K270" i="25"/>
  <c r="F101" i="29"/>
  <c r="N140" i="29" s="1"/>
  <c r="K229" i="29"/>
  <c r="O91" i="27"/>
  <c r="O121" i="27" s="1"/>
  <c r="K273" i="27"/>
  <c r="N91" i="27"/>
  <c r="N121" i="27" s="1"/>
  <c r="K202" i="27"/>
  <c r="G101" i="29"/>
  <c r="O140" i="29" s="1"/>
  <c r="K308" i="29"/>
  <c r="H224" i="29"/>
  <c r="K225" i="29"/>
  <c r="H204" i="23"/>
  <c r="K205" i="23"/>
  <c r="H204" i="24"/>
  <c r="K205" i="24"/>
  <c r="H207" i="28"/>
  <c r="K208" i="28"/>
  <c r="K198" i="27"/>
  <c r="H197" i="27"/>
  <c r="H192" i="25"/>
  <c r="K193" i="25"/>
  <c r="H264" i="4"/>
  <c r="K264" i="4" s="1"/>
  <c r="H269" i="27"/>
  <c r="H304" i="29"/>
  <c r="H274" i="24"/>
  <c r="H284" i="28"/>
  <c r="H266" i="25"/>
  <c r="H273" i="23"/>
  <c r="H249" i="27"/>
  <c r="K252" i="27"/>
  <c r="H176" i="4"/>
  <c r="N86" i="4" s="1"/>
  <c r="N116" i="4" s="1"/>
  <c r="K188" i="23"/>
  <c r="H185" i="23"/>
  <c r="H253" i="23"/>
  <c r="K256" i="23"/>
  <c r="H188" i="28"/>
  <c r="K191" i="28"/>
  <c r="H280" i="29"/>
  <c r="K283" i="29"/>
  <c r="H178" i="27"/>
  <c r="K181" i="27"/>
  <c r="H264" i="28"/>
  <c r="K267" i="28"/>
  <c r="K204" i="29"/>
  <c r="H201" i="29"/>
  <c r="H254" i="24"/>
  <c r="K257" i="24"/>
  <c r="H185" i="24"/>
  <c r="K188" i="24"/>
  <c r="H246" i="25"/>
  <c r="K249" i="25"/>
  <c r="K176" i="25"/>
  <c r="H173" i="25"/>
  <c r="E108" i="25"/>
  <c r="K237" i="4"/>
  <c r="O84" i="4"/>
  <c r="O114" i="4" s="1"/>
  <c r="K177" i="4"/>
  <c r="K192" i="4"/>
  <c r="K190" i="4"/>
  <c r="J181" i="4"/>
  <c r="V22" i="12"/>
  <c r="J219" i="4"/>
  <c r="U21" i="12"/>
  <c r="K218" i="4"/>
  <c r="K151" i="4"/>
  <c r="V21" i="12"/>
  <c r="U22" i="12"/>
  <c r="J151" i="4"/>
  <c r="J218" i="4"/>
  <c r="K219" i="4"/>
  <c r="U112" i="4"/>
  <c r="K174" i="4"/>
  <c r="G215" i="4"/>
  <c r="W77" i="4"/>
  <c r="W116" i="4" s="1"/>
  <c r="J158" i="4"/>
  <c r="K158" i="4"/>
  <c r="K157" i="4"/>
  <c r="J157" i="4"/>
  <c r="K225" i="4"/>
  <c r="J225" i="4"/>
  <c r="J226" i="4"/>
  <c r="K226" i="4"/>
  <c r="H215" i="4"/>
  <c r="F213" i="4"/>
  <c r="H214" i="4"/>
  <c r="F215" i="4"/>
  <c r="G214" i="4"/>
  <c r="H213" i="4"/>
  <c r="F214" i="4"/>
  <c r="G213" i="4"/>
  <c r="E139" i="4"/>
  <c r="F145" i="4" s="1"/>
  <c r="S18" i="12"/>
  <c r="R18" i="12"/>
  <c r="Q18" i="12"/>
  <c r="K149" i="27" l="1"/>
  <c r="K220" i="27"/>
  <c r="O86" i="4"/>
  <c r="O116" i="4" s="1"/>
  <c r="J220" i="27"/>
  <c r="N82" i="4"/>
  <c r="N112" i="4" s="1"/>
  <c r="O82" i="4"/>
  <c r="O112" i="4" s="1"/>
  <c r="O87" i="4"/>
  <c r="O117" i="4" s="1"/>
  <c r="K181" i="4"/>
  <c r="F82" i="24"/>
  <c r="F121" i="24" s="1"/>
  <c r="N102" i="30"/>
  <c r="F132" i="30" s="1"/>
  <c r="F82" i="23"/>
  <c r="F121" i="23" s="1"/>
  <c r="O99" i="31"/>
  <c r="G129" i="31" s="1"/>
  <c r="G67" i="25"/>
  <c r="G106" i="25" s="1"/>
  <c r="G66" i="25"/>
  <c r="G82" i="23"/>
  <c r="G121" i="23" s="1"/>
  <c r="K231" i="4"/>
  <c r="O100" i="29"/>
  <c r="G130" i="29" s="1"/>
  <c r="G73" i="27"/>
  <c r="G112" i="27" s="1"/>
  <c r="K242" i="4"/>
  <c r="N100" i="29"/>
  <c r="F130" i="29" s="1"/>
  <c r="N99" i="31"/>
  <c r="F129" i="31" s="1"/>
  <c r="N97" i="30"/>
  <c r="F127" i="30" s="1"/>
  <c r="O104" i="31"/>
  <c r="G134" i="31" s="1"/>
  <c r="O89" i="4"/>
  <c r="F87" i="24"/>
  <c r="F126" i="24" s="1"/>
  <c r="G72" i="25"/>
  <c r="G111" i="25" s="1"/>
  <c r="O97" i="30"/>
  <c r="G127" i="30" s="1"/>
  <c r="N105" i="29"/>
  <c r="F135" i="29" s="1"/>
  <c r="N104" i="31"/>
  <c r="F134" i="31" s="1"/>
  <c r="O78" i="25"/>
  <c r="O108" i="25" s="1"/>
  <c r="K239" i="25"/>
  <c r="K258" i="30"/>
  <c r="G88" i="30"/>
  <c r="O127" i="30" s="1"/>
  <c r="F93" i="29"/>
  <c r="N132" i="29" s="1"/>
  <c r="K194" i="29"/>
  <c r="O91" i="28"/>
  <c r="O121" i="28" s="1"/>
  <c r="K262" i="28"/>
  <c r="N89" i="27"/>
  <c r="K192" i="27"/>
  <c r="F78" i="27"/>
  <c r="F117" i="27" s="1"/>
  <c r="F72" i="25"/>
  <c r="F111" i="25" s="1"/>
  <c r="G87" i="24"/>
  <c r="G126" i="24" s="1"/>
  <c r="F67" i="25"/>
  <c r="F106" i="25" s="1"/>
  <c r="G93" i="30"/>
  <c r="O132" i="30" s="1"/>
  <c r="K280" i="30"/>
  <c r="N96" i="24"/>
  <c r="N126" i="24" s="1"/>
  <c r="K190" i="24"/>
  <c r="O98" i="24"/>
  <c r="K268" i="24"/>
  <c r="N93" i="28"/>
  <c r="N123" i="28" s="1"/>
  <c r="K193" i="28"/>
  <c r="H298" i="30"/>
  <c r="H305" i="30" s="1"/>
  <c r="K299" i="30"/>
  <c r="G91" i="30"/>
  <c r="O130" i="30" s="1"/>
  <c r="K273" i="30"/>
  <c r="N93" i="23"/>
  <c r="N123" i="23" s="1"/>
  <c r="K178" i="23"/>
  <c r="O83" i="25"/>
  <c r="K260" i="25"/>
  <c r="O93" i="24"/>
  <c r="O123" i="24" s="1"/>
  <c r="K247" i="24"/>
  <c r="F99" i="29"/>
  <c r="K219" i="29"/>
  <c r="N91" i="24"/>
  <c r="N121" i="24" s="1"/>
  <c r="K168" i="24"/>
  <c r="N98" i="23"/>
  <c r="K199" i="23"/>
  <c r="F91" i="29"/>
  <c r="N130" i="29" s="1"/>
  <c r="K184" i="29"/>
  <c r="O87" i="27"/>
  <c r="O117" i="27" s="1"/>
  <c r="K254" i="27"/>
  <c r="N83" i="25"/>
  <c r="K187" i="25"/>
  <c r="N93" i="24"/>
  <c r="N123" i="24" s="1"/>
  <c r="K178" i="24"/>
  <c r="O96" i="23"/>
  <c r="O126" i="23" s="1"/>
  <c r="K258" i="23"/>
  <c r="N88" i="28"/>
  <c r="N118" i="28" s="1"/>
  <c r="K171" i="28"/>
  <c r="O81" i="25"/>
  <c r="O111" i="25" s="1"/>
  <c r="K251" i="25"/>
  <c r="O102" i="30"/>
  <c r="G132" i="30" s="1"/>
  <c r="H302" i="31"/>
  <c r="H309" i="31" s="1"/>
  <c r="K303" i="31"/>
  <c r="G93" i="31"/>
  <c r="O132" i="31" s="1"/>
  <c r="K276" i="31"/>
  <c r="O96" i="24"/>
  <c r="O126" i="24" s="1"/>
  <c r="K259" i="24"/>
  <c r="G93" i="29"/>
  <c r="O132" i="29" s="1"/>
  <c r="K273" i="29"/>
  <c r="F92" i="31"/>
  <c r="N131" i="31" s="1"/>
  <c r="K192" i="31"/>
  <c r="O95" i="28"/>
  <c r="K278" i="28"/>
  <c r="F98" i="31"/>
  <c r="K218" i="31"/>
  <c r="F96" i="30"/>
  <c r="K215" i="30"/>
  <c r="G92" i="31"/>
  <c r="O131" i="31" s="1"/>
  <c r="K271" i="31"/>
  <c r="K163" i="4"/>
  <c r="G82" i="24"/>
  <c r="G121" i="24" s="1"/>
  <c r="G90" i="31"/>
  <c r="O129" i="31" s="1"/>
  <c r="K261" i="31"/>
  <c r="G92" i="30"/>
  <c r="O131" i="30" s="1"/>
  <c r="K275" i="30"/>
  <c r="G94" i="31"/>
  <c r="O133" i="31" s="1"/>
  <c r="K278" i="31"/>
  <c r="F89" i="30"/>
  <c r="N128" i="30" s="1"/>
  <c r="K184" i="30"/>
  <c r="O88" i="28"/>
  <c r="O118" i="28" s="1"/>
  <c r="K247" i="28"/>
  <c r="O94" i="23"/>
  <c r="O124" i="23" s="1"/>
  <c r="K251" i="23"/>
  <c r="O82" i="27"/>
  <c r="O112" i="27" s="1"/>
  <c r="K232" i="27"/>
  <c r="G89" i="30"/>
  <c r="O128" i="30" s="1"/>
  <c r="K262" i="30"/>
  <c r="N87" i="27"/>
  <c r="N117" i="27" s="1"/>
  <c r="K183" i="27"/>
  <c r="N84" i="27"/>
  <c r="N114" i="27" s="1"/>
  <c r="K171" i="27"/>
  <c r="G99" i="29"/>
  <c r="K298" i="29"/>
  <c r="O93" i="23"/>
  <c r="O123" i="23" s="1"/>
  <c r="K246" i="23"/>
  <c r="G91" i="31"/>
  <c r="O130" i="31" s="1"/>
  <c r="K265" i="31"/>
  <c r="O91" i="23"/>
  <c r="O121" i="23" s="1"/>
  <c r="K236" i="23"/>
  <c r="F73" i="27"/>
  <c r="F112" i="27" s="1"/>
  <c r="G96" i="30"/>
  <c r="K293" i="30"/>
  <c r="N98" i="24"/>
  <c r="K199" i="24"/>
  <c r="O90" i="28"/>
  <c r="O120" i="28" s="1"/>
  <c r="K257" i="28"/>
  <c r="N81" i="25"/>
  <c r="N111" i="25" s="1"/>
  <c r="K178" i="25"/>
  <c r="O79" i="25"/>
  <c r="O109" i="25" s="1"/>
  <c r="K244" i="25"/>
  <c r="F99" i="31"/>
  <c r="K223" i="31"/>
  <c r="N96" i="23"/>
  <c r="N126" i="23" s="1"/>
  <c r="K190" i="23"/>
  <c r="N91" i="23"/>
  <c r="N121" i="23" s="1"/>
  <c r="K168" i="23"/>
  <c r="O76" i="25"/>
  <c r="O106" i="25" s="1"/>
  <c r="K229" i="25"/>
  <c r="F93" i="30"/>
  <c r="N132" i="30" s="1"/>
  <c r="K202" i="30"/>
  <c r="G98" i="31"/>
  <c r="K297" i="31"/>
  <c r="K176" i="4"/>
  <c r="F90" i="31"/>
  <c r="N129" i="31" s="1"/>
  <c r="K182" i="31"/>
  <c r="F91" i="31"/>
  <c r="N130" i="31" s="1"/>
  <c r="K186" i="31"/>
  <c r="F97" i="30"/>
  <c r="K220" i="30"/>
  <c r="G94" i="29"/>
  <c r="O133" i="29" s="1"/>
  <c r="K278" i="29"/>
  <c r="F90" i="30"/>
  <c r="N129" i="30" s="1"/>
  <c r="K190" i="30"/>
  <c r="F84" i="28"/>
  <c r="F123" i="28" s="1"/>
  <c r="G84" i="28"/>
  <c r="G123" i="28" s="1"/>
  <c r="O93" i="28"/>
  <c r="O123" i="28" s="1"/>
  <c r="K269" i="28"/>
  <c r="G91" i="29"/>
  <c r="O130" i="29" s="1"/>
  <c r="K263" i="29"/>
  <c r="F95" i="31"/>
  <c r="N134" i="31" s="1"/>
  <c r="K204" i="31"/>
  <c r="N78" i="25"/>
  <c r="N108" i="25" s="1"/>
  <c r="K166" i="25"/>
  <c r="G95" i="31"/>
  <c r="O134" i="31" s="1"/>
  <c r="K283" i="31"/>
  <c r="K206" i="29"/>
  <c r="F96" i="29"/>
  <c r="N135" i="29" s="1"/>
  <c r="N82" i="27"/>
  <c r="N112" i="27" s="1"/>
  <c r="K161" i="27"/>
  <c r="N95" i="28"/>
  <c r="K202" i="28"/>
  <c r="O84" i="27"/>
  <c r="O114" i="27" s="1"/>
  <c r="K242" i="27"/>
  <c r="O94" i="24"/>
  <c r="O124" i="24" s="1"/>
  <c r="K252" i="24"/>
  <c r="F92" i="30"/>
  <c r="N131" i="30" s="1"/>
  <c r="K197" i="30"/>
  <c r="N76" i="25"/>
  <c r="N106" i="25" s="1"/>
  <c r="K156" i="25"/>
  <c r="F87" i="23"/>
  <c r="F126" i="23" s="1"/>
  <c r="F88" i="30"/>
  <c r="N127" i="30" s="1"/>
  <c r="K180" i="30"/>
  <c r="G96" i="29"/>
  <c r="O135" i="29" s="1"/>
  <c r="K285" i="29"/>
  <c r="O91" i="24"/>
  <c r="O121" i="24" s="1"/>
  <c r="K237" i="24"/>
  <c r="O105" i="29"/>
  <c r="G135" i="29" s="1"/>
  <c r="O98" i="23"/>
  <c r="K267" i="23"/>
  <c r="O85" i="27"/>
  <c r="O115" i="27" s="1"/>
  <c r="K247" i="27"/>
  <c r="N90" i="28"/>
  <c r="N120" i="28" s="1"/>
  <c r="K181" i="28"/>
  <c r="O89" i="27"/>
  <c r="K263" i="27"/>
  <c r="F94" i="31"/>
  <c r="N133" i="31" s="1"/>
  <c r="K199" i="31"/>
  <c r="G78" i="27"/>
  <c r="G117" i="27" s="1"/>
  <c r="G90" i="30"/>
  <c r="O129" i="30" s="1"/>
  <c r="K268" i="30"/>
  <c r="U127" i="30"/>
  <c r="N99" i="29"/>
  <c r="J163" i="28"/>
  <c r="F79" i="28" s="1"/>
  <c r="F118" i="28" s="1"/>
  <c r="K163" i="28"/>
  <c r="U129" i="31"/>
  <c r="U121" i="23"/>
  <c r="G81" i="24"/>
  <c r="G72" i="27"/>
  <c r="U130" i="29"/>
  <c r="N98" i="31"/>
  <c r="U121" i="24"/>
  <c r="F81" i="24"/>
  <c r="K239" i="28"/>
  <c r="J239" i="28"/>
  <c r="G79" i="28" s="1"/>
  <c r="G118" i="28" s="1"/>
  <c r="G81" i="23"/>
  <c r="U106" i="25"/>
  <c r="F66" i="25"/>
  <c r="O96" i="30"/>
  <c r="G105" i="25"/>
  <c r="K238" i="28"/>
  <c r="J238" i="28"/>
  <c r="F176" i="31"/>
  <c r="F252" i="30"/>
  <c r="H174" i="30"/>
  <c r="G176" i="31"/>
  <c r="H255" i="31"/>
  <c r="G255" i="31"/>
  <c r="G174" i="30"/>
  <c r="G252" i="30"/>
  <c r="F255" i="31"/>
  <c r="H176" i="31"/>
  <c r="H252" i="30"/>
  <c r="F174" i="30"/>
  <c r="F162" i="24"/>
  <c r="H162" i="24"/>
  <c r="H152" i="24" s="1"/>
  <c r="N90" i="24" s="1"/>
  <c r="N120" i="24" s="1"/>
  <c r="E225" i="28"/>
  <c r="F225" i="28" s="1"/>
  <c r="E142" i="27"/>
  <c r="G142" i="27" s="1"/>
  <c r="H257" i="29"/>
  <c r="H247" i="29" s="1"/>
  <c r="G90" i="29" s="1"/>
  <c r="O129" i="29" s="1"/>
  <c r="H178" i="29"/>
  <c r="H168" i="29" s="1"/>
  <c r="F90" i="29" s="1"/>
  <c r="N129" i="29" s="1"/>
  <c r="H231" i="24"/>
  <c r="H221" i="24" s="1"/>
  <c r="O90" i="24" s="1"/>
  <c r="O120" i="24" s="1"/>
  <c r="G257" i="29"/>
  <c r="G178" i="29"/>
  <c r="G231" i="24"/>
  <c r="G162" i="24"/>
  <c r="F257" i="29"/>
  <c r="F178" i="29"/>
  <c r="H223" i="25"/>
  <c r="H213" i="25" s="1"/>
  <c r="O75" i="25" s="1"/>
  <c r="O105" i="25" s="1"/>
  <c r="F231" i="24"/>
  <c r="E150" i="28"/>
  <c r="F150" i="28" s="1"/>
  <c r="E213" i="27"/>
  <c r="G213" i="27" s="1"/>
  <c r="H162" i="23"/>
  <c r="H152" i="23" s="1"/>
  <c r="N90" i="23" s="1"/>
  <c r="N120" i="23" s="1"/>
  <c r="F223" i="25"/>
  <c r="G162" i="23"/>
  <c r="F162" i="23"/>
  <c r="G150" i="25"/>
  <c r="F150" i="25"/>
  <c r="G223" i="25"/>
  <c r="H150" i="25"/>
  <c r="H140" i="25" s="1"/>
  <c r="N75" i="25" s="1"/>
  <c r="N105" i="25" s="1"/>
  <c r="H230" i="23"/>
  <c r="H220" i="23" s="1"/>
  <c r="O90" i="23" s="1"/>
  <c r="O120" i="23" s="1"/>
  <c r="F230" i="23"/>
  <c r="G230" i="23"/>
  <c r="O99" i="29"/>
  <c r="U118" i="28"/>
  <c r="N96" i="30"/>
  <c r="U112" i="27"/>
  <c r="O98" i="31"/>
  <c r="F72" i="27"/>
  <c r="F81" i="23"/>
  <c r="K162" i="28"/>
  <c r="J162" i="28"/>
  <c r="N89" i="28"/>
  <c r="N119" i="28" s="1"/>
  <c r="K175" i="28"/>
  <c r="G92" i="29"/>
  <c r="O131" i="29" s="1"/>
  <c r="K267" i="29"/>
  <c r="N83" i="27"/>
  <c r="N113" i="27" s="1"/>
  <c r="K165" i="27"/>
  <c r="N92" i="23"/>
  <c r="N122" i="23" s="1"/>
  <c r="K172" i="23"/>
  <c r="N92" i="24"/>
  <c r="N122" i="24" s="1"/>
  <c r="K172" i="24"/>
  <c r="O92" i="24"/>
  <c r="O122" i="24" s="1"/>
  <c r="K241" i="24"/>
  <c r="O83" i="27"/>
  <c r="O113" i="27" s="1"/>
  <c r="K236" i="27"/>
  <c r="O89" i="28"/>
  <c r="O119" i="28" s="1"/>
  <c r="K251" i="28"/>
  <c r="N77" i="25"/>
  <c r="N107" i="25" s="1"/>
  <c r="K160" i="25"/>
  <c r="F92" i="29"/>
  <c r="N131" i="29" s="1"/>
  <c r="K188" i="29"/>
  <c r="O77" i="25"/>
  <c r="O107" i="25" s="1"/>
  <c r="K233" i="25"/>
  <c r="O92" i="23"/>
  <c r="O122" i="23" s="1"/>
  <c r="K240" i="23"/>
  <c r="K304" i="29"/>
  <c r="H303" i="29"/>
  <c r="H310" i="29" s="1"/>
  <c r="N96" i="28"/>
  <c r="K207" i="28"/>
  <c r="N99" i="24"/>
  <c r="K204" i="24"/>
  <c r="K274" i="24"/>
  <c r="H273" i="24"/>
  <c r="H263" i="4"/>
  <c r="O90" i="4" s="1"/>
  <c r="K273" i="23"/>
  <c r="H272" i="23"/>
  <c r="N84" i="25"/>
  <c r="K192" i="25"/>
  <c r="N99" i="23"/>
  <c r="K204" i="23"/>
  <c r="K266" i="25"/>
  <c r="H265" i="25"/>
  <c r="N90" i="27"/>
  <c r="K197" i="27"/>
  <c r="K269" i="27"/>
  <c r="H268" i="27"/>
  <c r="K284" i="28"/>
  <c r="H283" i="28"/>
  <c r="F100" i="29"/>
  <c r="K224" i="29"/>
  <c r="O95" i="24"/>
  <c r="K254" i="24"/>
  <c r="N86" i="27"/>
  <c r="K178" i="27"/>
  <c r="N95" i="23"/>
  <c r="K185" i="23"/>
  <c r="F95" i="29"/>
  <c r="K201" i="29"/>
  <c r="O80" i="25"/>
  <c r="K246" i="25"/>
  <c r="G95" i="29"/>
  <c r="K280" i="29"/>
  <c r="N80" i="25"/>
  <c r="K173" i="25"/>
  <c r="O92" i="28"/>
  <c r="K264" i="28"/>
  <c r="N92" i="28"/>
  <c r="K188" i="28"/>
  <c r="O95" i="23"/>
  <c r="K253" i="23"/>
  <c r="N95" i="24"/>
  <c r="K185" i="24"/>
  <c r="O86" i="27"/>
  <c r="K249" i="27"/>
  <c r="F78" i="4"/>
  <c r="Q24" i="12"/>
  <c r="F153" i="4"/>
  <c r="F221" i="4"/>
  <c r="F211" i="4" s="1"/>
  <c r="H153" i="4"/>
  <c r="G153" i="4"/>
  <c r="AB18" i="12"/>
  <c r="G221" i="4"/>
  <c r="G270" i="4" s="1"/>
  <c r="H221" i="4"/>
  <c r="H211" i="4" s="1"/>
  <c r="O81" i="4" s="1"/>
  <c r="G78" i="4"/>
  <c r="J216" i="4"/>
  <c r="G75" i="4" s="1"/>
  <c r="K216" i="4"/>
  <c r="F148" i="4"/>
  <c r="G148" i="4"/>
  <c r="S148" i="4"/>
  <c r="V77" i="4" s="1"/>
  <c r="V116" i="4" s="1"/>
  <c r="H148" i="4"/>
  <c r="S24" i="12"/>
  <c r="R24" i="12"/>
  <c r="H146" i="4"/>
  <c r="H147" i="4"/>
  <c r="H145" i="4"/>
  <c r="G146" i="4"/>
  <c r="G147" i="4"/>
  <c r="G145" i="4"/>
  <c r="F147" i="4"/>
  <c r="F146" i="4"/>
  <c r="U18" i="12"/>
  <c r="J19" i="13"/>
  <c r="E21" i="3"/>
  <c r="M15" i="3"/>
  <c r="S217" i="25" s="1"/>
  <c r="I15" i="3"/>
  <c r="S144" i="25" s="1"/>
  <c r="K263" i="4" l="1"/>
  <c r="G99" i="31"/>
  <c r="K302" i="31"/>
  <c r="G97" i="30"/>
  <c r="K298" i="30"/>
  <c r="S150" i="25"/>
  <c r="V69" i="25" s="1"/>
  <c r="V108" i="25" s="1"/>
  <c r="S223" i="25"/>
  <c r="W69" i="25" s="1"/>
  <c r="W108" i="25" s="1"/>
  <c r="H272" i="25"/>
  <c r="O68" i="25" s="1"/>
  <c r="H199" i="25"/>
  <c r="N68" i="25" s="1"/>
  <c r="H231" i="29"/>
  <c r="N92" i="29" s="1"/>
  <c r="H211" i="23"/>
  <c r="N83" i="23" s="1"/>
  <c r="O92" i="29"/>
  <c r="H211" i="24"/>
  <c r="N83" i="24" s="1"/>
  <c r="F120" i="23"/>
  <c r="G128" i="31"/>
  <c r="F126" i="30"/>
  <c r="G220" i="23"/>
  <c r="G279" i="23"/>
  <c r="G211" i="23"/>
  <c r="G152" i="23"/>
  <c r="H165" i="28"/>
  <c r="G165" i="28"/>
  <c r="F165" i="28"/>
  <c r="G247" i="29"/>
  <c r="H241" i="28"/>
  <c r="H231" i="28" s="1"/>
  <c r="O87" i="28" s="1"/>
  <c r="O117" i="28" s="1"/>
  <c r="G241" i="28"/>
  <c r="F241" i="28"/>
  <c r="G227" i="30"/>
  <c r="G164" i="30"/>
  <c r="H164" i="30"/>
  <c r="F87" i="30" s="1"/>
  <c r="H227" i="30"/>
  <c r="F220" i="23"/>
  <c r="J230" i="23"/>
  <c r="K230" i="23"/>
  <c r="F279" i="23"/>
  <c r="J223" i="25"/>
  <c r="K223" i="25"/>
  <c r="F272" i="25"/>
  <c r="F213" i="25"/>
  <c r="K231" i="24"/>
  <c r="J231" i="24"/>
  <c r="F280" i="24"/>
  <c r="F221" i="24"/>
  <c r="J252" i="30"/>
  <c r="J305" i="30" s="1"/>
  <c r="F242" i="30"/>
  <c r="F78" i="28"/>
  <c r="J162" i="24"/>
  <c r="K162" i="24"/>
  <c r="F152" i="24"/>
  <c r="F211" i="24"/>
  <c r="G245" i="31"/>
  <c r="J176" i="31"/>
  <c r="K176" i="31"/>
  <c r="K230" i="31" s="1"/>
  <c r="F166" i="31"/>
  <c r="F230" i="31"/>
  <c r="K178" i="29"/>
  <c r="K231" i="29" s="1"/>
  <c r="J178" i="29"/>
  <c r="F231" i="29"/>
  <c r="F168" i="29"/>
  <c r="K174" i="30"/>
  <c r="K227" i="30" s="1"/>
  <c r="J174" i="30"/>
  <c r="F164" i="30"/>
  <c r="F227" i="30"/>
  <c r="G120" i="23"/>
  <c r="F120" i="24"/>
  <c r="G111" i="27"/>
  <c r="F129" i="29"/>
  <c r="K211" i="24"/>
  <c r="G129" i="29"/>
  <c r="G213" i="25"/>
  <c r="G272" i="25"/>
  <c r="J257" i="29"/>
  <c r="J310" i="29" s="1"/>
  <c r="K257" i="29"/>
  <c r="F247" i="29"/>
  <c r="H155" i="27"/>
  <c r="G155" i="27"/>
  <c r="F155" i="27"/>
  <c r="H242" i="30"/>
  <c r="G87" i="30" s="1"/>
  <c r="H245" i="31"/>
  <c r="G89" i="31" s="1"/>
  <c r="G126" i="30"/>
  <c r="F128" i="31"/>
  <c r="M100" i="31"/>
  <c r="E130" i="31" s="1"/>
  <c r="M98" i="30"/>
  <c r="E128" i="30" s="1"/>
  <c r="E74" i="27"/>
  <c r="E113" i="27" s="1"/>
  <c r="E80" i="28"/>
  <c r="E119" i="28" s="1"/>
  <c r="E68" i="25"/>
  <c r="E107" i="25" s="1"/>
  <c r="E83" i="24"/>
  <c r="E122" i="24" s="1"/>
  <c r="M101" i="29"/>
  <c r="E131" i="29" s="1"/>
  <c r="E83" i="23"/>
  <c r="E122" i="23" s="1"/>
  <c r="U92" i="31"/>
  <c r="U90" i="30"/>
  <c r="U69" i="25"/>
  <c r="U93" i="29"/>
  <c r="U75" i="27"/>
  <c r="U84" i="24"/>
  <c r="U81" i="28"/>
  <c r="U84" i="23"/>
  <c r="J150" i="25"/>
  <c r="K150" i="25"/>
  <c r="K199" i="25" s="1"/>
  <c r="F140" i="25"/>
  <c r="F199" i="25"/>
  <c r="G211" i="24"/>
  <c r="G152" i="24"/>
  <c r="H166" i="31"/>
  <c r="F89" i="31" s="1"/>
  <c r="H230" i="31"/>
  <c r="G166" i="31"/>
  <c r="G230" i="31"/>
  <c r="G120" i="24"/>
  <c r="F111" i="27"/>
  <c r="G199" i="25"/>
  <c r="G140" i="25"/>
  <c r="G221" i="24"/>
  <c r="G280" i="24"/>
  <c r="K255" i="31"/>
  <c r="K309" i="31" s="1"/>
  <c r="J255" i="31"/>
  <c r="J309" i="31" s="1"/>
  <c r="F245" i="31"/>
  <c r="F105" i="25"/>
  <c r="H279" i="23"/>
  <c r="O83" i="23" s="1"/>
  <c r="K162" i="23"/>
  <c r="K211" i="23" s="1"/>
  <c r="J162" i="23"/>
  <c r="F211" i="23"/>
  <c r="F152" i="23"/>
  <c r="H226" i="27"/>
  <c r="G226" i="27"/>
  <c r="F226" i="27"/>
  <c r="G168" i="29"/>
  <c r="G231" i="29"/>
  <c r="K252" i="30"/>
  <c r="G242" i="30"/>
  <c r="G78" i="28"/>
  <c r="O90" i="27"/>
  <c r="K268" i="27"/>
  <c r="O99" i="24"/>
  <c r="O101" i="24" s="1"/>
  <c r="K273" i="24"/>
  <c r="O96" i="28"/>
  <c r="K283" i="28"/>
  <c r="H280" i="24"/>
  <c r="O99" i="23"/>
  <c r="O101" i="23" s="1"/>
  <c r="K272" i="23"/>
  <c r="G100" i="29"/>
  <c r="G102" i="29" s="1"/>
  <c r="K303" i="29"/>
  <c r="O84" i="25"/>
  <c r="O86" i="25" s="1"/>
  <c r="K265" i="25"/>
  <c r="N125" i="24"/>
  <c r="N131" i="24" s="1"/>
  <c r="N101" i="24"/>
  <c r="N125" i="23"/>
  <c r="N131" i="23" s="1"/>
  <c r="N101" i="23"/>
  <c r="O110" i="25"/>
  <c r="O116" i="25" s="1"/>
  <c r="O125" i="23"/>
  <c r="O131" i="23" s="1"/>
  <c r="N116" i="27"/>
  <c r="N110" i="25"/>
  <c r="N116" i="25" s="1"/>
  <c r="N86" i="25"/>
  <c r="O134" i="29"/>
  <c r="O141" i="29" s="1"/>
  <c r="N134" i="29"/>
  <c r="N141" i="29" s="1"/>
  <c r="F102" i="29"/>
  <c r="O122" i="28"/>
  <c r="O116" i="27"/>
  <c r="N122" i="28"/>
  <c r="O125" i="24"/>
  <c r="O131" i="24" s="1"/>
  <c r="O92" i="4"/>
  <c r="O111" i="4"/>
  <c r="O122" i="4" s="1"/>
  <c r="F270" i="4"/>
  <c r="G211" i="4"/>
  <c r="J211" i="4" s="1"/>
  <c r="H143" i="4"/>
  <c r="N81" i="4" s="1"/>
  <c r="H202" i="4"/>
  <c r="G202" i="4"/>
  <c r="G143" i="4"/>
  <c r="F202" i="4"/>
  <c r="F143" i="4"/>
  <c r="H270" i="4"/>
  <c r="O73" i="4"/>
  <c r="O99" i="4" s="1"/>
  <c r="J221" i="4"/>
  <c r="K153" i="4"/>
  <c r="J153" i="4"/>
  <c r="U75" i="4"/>
  <c r="AB15" i="12"/>
  <c r="K221" i="4"/>
  <c r="K148" i="4"/>
  <c r="J148" i="4"/>
  <c r="F75" i="4" s="1"/>
  <c r="E22" i="3"/>
  <c r="M21" i="3"/>
  <c r="M23" i="3"/>
  <c r="M22" i="3"/>
  <c r="S235" i="4" s="1"/>
  <c r="W85" i="4" s="1"/>
  <c r="I23" i="3"/>
  <c r="I22" i="3"/>
  <c r="I21" i="3"/>
  <c r="V24" i="12"/>
  <c r="E74" i="4"/>
  <c r="E113" i="4" s="1"/>
  <c r="U24" i="12"/>
  <c r="J145" i="4"/>
  <c r="J215" i="4"/>
  <c r="K215" i="4"/>
  <c r="K213" i="4"/>
  <c r="J213" i="4"/>
  <c r="K214" i="4"/>
  <c r="J214" i="4"/>
  <c r="I12" i="3"/>
  <c r="M12" i="3"/>
  <c r="S241" i="28" s="1"/>
  <c r="I10" i="3"/>
  <c r="M10" i="3"/>
  <c r="M11" i="3"/>
  <c r="I11" i="3"/>
  <c r="K310" i="29" l="1"/>
  <c r="K305" i="30"/>
  <c r="O128" i="28"/>
  <c r="O98" i="28"/>
  <c r="S177" i="24"/>
  <c r="V95" i="24" s="1"/>
  <c r="V134" i="24" s="1"/>
  <c r="K279" i="23"/>
  <c r="S167" i="4"/>
  <c r="V85" i="4" s="1"/>
  <c r="S270" i="29"/>
  <c r="W104" i="29" s="1"/>
  <c r="W143" i="29" s="1"/>
  <c r="S168" i="31"/>
  <c r="S166" i="30"/>
  <c r="S142" i="25"/>
  <c r="S169" i="29"/>
  <c r="S147" i="27"/>
  <c r="S157" i="28"/>
  <c r="S154" i="24"/>
  <c r="S154" i="23"/>
  <c r="S173" i="31"/>
  <c r="S150" i="4"/>
  <c r="S147" i="25"/>
  <c r="S171" i="30"/>
  <c r="S159" i="24"/>
  <c r="S152" i="27"/>
  <c r="S159" i="23"/>
  <c r="S174" i="29"/>
  <c r="S162" i="28"/>
  <c r="S145" i="4"/>
  <c r="V73" i="4" s="1"/>
  <c r="S226" i="27"/>
  <c r="S192" i="29"/>
  <c r="V104" i="29" s="1"/>
  <c r="V143" i="29" s="1"/>
  <c r="S170" i="31"/>
  <c r="S168" i="30"/>
  <c r="S171" i="29"/>
  <c r="S159" i="28"/>
  <c r="S156" i="24"/>
  <c r="S156" i="23"/>
  <c r="S149" i="27"/>
  <c r="S174" i="30"/>
  <c r="S177" i="29"/>
  <c r="S162" i="24"/>
  <c r="S147" i="4"/>
  <c r="S176" i="31"/>
  <c r="S162" i="23"/>
  <c r="S153" i="4"/>
  <c r="S155" i="27"/>
  <c r="S246" i="24"/>
  <c r="W95" i="24" s="1"/>
  <c r="W134" i="24" s="1"/>
  <c r="S238" i="25"/>
  <c r="W80" i="25" s="1"/>
  <c r="W119" i="25" s="1"/>
  <c r="S165" i="25"/>
  <c r="V80" i="25" s="1"/>
  <c r="V119" i="25" s="1"/>
  <c r="S234" i="4"/>
  <c r="W84" i="4" s="1"/>
  <c r="W123" i="4" s="1"/>
  <c r="S165" i="28"/>
  <c r="S177" i="23"/>
  <c r="V95" i="23" s="1"/>
  <c r="V134" i="23" s="1"/>
  <c r="S169" i="31"/>
  <c r="S167" i="30"/>
  <c r="S143" i="25"/>
  <c r="S170" i="29"/>
  <c r="S148" i="27"/>
  <c r="S158" i="28"/>
  <c r="S155" i="24"/>
  <c r="S155" i="23"/>
  <c r="S174" i="31"/>
  <c r="S153" i="27"/>
  <c r="S175" i="29"/>
  <c r="S160" i="23"/>
  <c r="S148" i="25"/>
  <c r="S151" i="4"/>
  <c r="S160" i="24"/>
  <c r="S172" i="30"/>
  <c r="S163" i="28"/>
  <c r="S146" i="4"/>
  <c r="S244" i="30"/>
  <c r="S247" i="31"/>
  <c r="S223" i="24"/>
  <c r="S215" i="25"/>
  <c r="S247" i="29"/>
  <c r="S233" i="28"/>
  <c r="S218" i="27"/>
  <c r="S222" i="23"/>
  <c r="S220" i="25"/>
  <c r="S218" i="4"/>
  <c r="S252" i="31"/>
  <c r="S249" i="30"/>
  <c r="S227" i="23"/>
  <c r="S252" i="29"/>
  <c r="S223" i="27"/>
  <c r="S213" i="4"/>
  <c r="S228" i="24"/>
  <c r="S238" i="28"/>
  <c r="S249" i="31"/>
  <c r="S246" i="30"/>
  <c r="S249" i="29"/>
  <c r="S235" i="28"/>
  <c r="W81" i="28" s="1"/>
  <c r="S225" i="24"/>
  <c r="S224" i="23"/>
  <c r="S220" i="27"/>
  <c r="S215" i="4"/>
  <c r="S230" i="23"/>
  <c r="S231" i="24"/>
  <c r="S252" i="30"/>
  <c r="S255" i="29"/>
  <c r="S221" i="4"/>
  <c r="S255" i="31"/>
  <c r="S236" i="4"/>
  <c r="W86" i="4" s="1"/>
  <c r="W125" i="4" s="1"/>
  <c r="S245" i="30"/>
  <c r="S248" i="31"/>
  <c r="S248" i="29"/>
  <c r="S234" i="28"/>
  <c r="S216" i="25"/>
  <c r="S219" i="27"/>
  <c r="S224" i="24"/>
  <c r="S223" i="23"/>
  <c r="S221" i="25"/>
  <c r="S250" i="30"/>
  <c r="S229" i="24"/>
  <c r="S228" i="23"/>
  <c r="S219" i="4"/>
  <c r="S253" i="31"/>
  <c r="S224" i="27"/>
  <c r="S253" i="29"/>
  <c r="S239" i="28"/>
  <c r="S214" i="4"/>
  <c r="S245" i="23"/>
  <c r="W95" i="23" s="1"/>
  <c r="W134" i="23" s="1"/>
  <c r="K272" i="25"/>
  <c r="H290" i="28"/>
  <c r="K280" i="24"/>
  <c r="N81" i="23"/>
  <c r="N107" i="23" s="1"/>
  <c r="S175" i="23"/>
  <c r="V93" i="23" s="1"/>
  <c r="V132" i="23" s="1"/>
  <c r="O100" i="31"/>
  <c r="F68" i="25"/>
  <c r="J199" i="25"/>
  <c r="U129" i="30"/>
  <c r="U126" i="30" s="1"/>
  <c r="U87" i="30"/>
  <c r="O128" i="31"/>
  <c r="O140" i="31" s="1"/>
  <c r="G101" i="31"/>
  <c r="J247" i="29"/>
  <c r="K247" i="29"/>
  <c r="N98" i="30"/>
  <c r="J227" i="30"/>
  <c r="J272" i="25"/>
  <c r="G68" i="25"/>
  <c r="S189" i="30"/>
  <c r="V101" i="30" s="1"/>
  <c r="N89" i="30"/>
  <c r="N115" i="30" s="1"/>
  <c r="O82" i="23"/>
  <c r="O108" i="23" s="1"/>
  <c r="S244" i="23"/>
  <c r="W94" i="23" s="1"/>
  <c r="W133" i="23" s="1"/>
  <c r="S191" i="29"/>
  <c r="V103" i="29" s="1"/>
  <c r="V142" i="29" s="1"/>
  <c r="N91" i="29"/>
  <c r="N117" i="29" s="1"/>
  <c r="F83" i="23"/>
  <c r="J211" i="23"/>
  <c r="N90" i="31"/>
  <c r="N116" i="31" s="1"/>
  <c r="S190" i="31"/>
  <c r="V102" i="31" s="1"/>
  <c r="N82" i="24"/>
  <c r="N108" i="24" s="1"/>
  <c r="S176" i="24"/>
  <c r="V94" i="24" s="1"/>
  <c r="V133" i="24" s="1"/>
  <c r="U131" i="31"/>
  <c r="U128" i="31" s="1"/>
  <c r="U89" i="31"/>
  <c r="S267" i="30"/>
  <c r="W101" i="30" s="1"/>
  <c r="O89" i="30"/>
  <c r="O115" i="30" s="1"/>
  <c r="N81" i="24"/>
  <c r="N107" i="24" s="1"/>
  <c r="S175" i="24"/>
  <c r="V93" i="24" s="1"/>
  <c r="V132" i="24" s="1"/>
  <c r="K221" i="24"/>
  <c r="J221" i="24"/>
  <c r="S243" i="23"/>
  <c r="W93" i="23" s="1"/>
  <c r="W132" i="23" s="1"/>
  <c r="O81" i="23"/>
  <c r="O107" i="23" s="1"/>
  <c r="N126" i="30"/>
  <c r="N138" i="30" s="1"/>
  <c r="F99" i="30"/>
  <c r="O91" i="29"/>
  <c r="O117" i="29" s="1"/>
  <c r="S269" i="29"/>
  <c r="W103" i="29" s="1"/>
  <c r="W142" i="29" s="1"/>
  <c r="U123" i="23"/>
  <c r="U120" i="23" s="1"/>
  <c r="U81" i="23"/>
  <c r="O126" i="30"/>
  <c r="O138" i="30" s="1"/>
  <c r="G99" i="30"/>
  <c r="O101" i="29"/>
  <c r="K168" i="29"/>
  <c r="J168" i="29"/>
  <c r="K152" i="24"/>
  <c r="J152" i="24"/>
  <c r="S244" i="24"/>
  <c r="W93" i="24" s="1"/>
  <c r="W132" i="24" s="1"/>
  <c r="O81" i="24"/>
  <c r="O107" i="24" s="1"/>
  <c r="J165" i="28"/>
  <c r="K165" i="28"/>
  <c r="K214" i="28" s="1"/>
  <c r="F155" i="28"/>
  <c r="F214" i="28"/>
  <c r="K226" i="27"/>
  <c r="K275" i="27" s="1"/>
  <c r="J226" i="27"/>
  <c r="F216" i="27"/>
  <c r="F275" i="27"/>
  <c r="N67" i="25"/>
  <c r="N93" i="25" s="1"/>
  <c r="S164" i="25"/>
  <c r="V79" i="25" s="1"/>
  <c r="V118" i="25" s="1"/>
  <c r="S191" i="31"/>
  <c r="V103" i="31" s="1"/>
  <c r="N91" i="31"/>
  <c r="N117" i="31" s="1"/>
  <c r="U120" i="28"/>
  <c r="U117" i="28" s="1"/>
  <c r="U78" i="28"/>
  <c r="K155" i="27"/>
  <c r="K204" i="27" s="1"/>
  <c r="J155" i="27"/>
  <c r="F145" i="27"/>
  <c r="F204" i="27"/>
  <c r="S190" i="29"/>
  <c r="V102" i="29" s="1"/>
  <c r="V141" i="29" s="1"/>
  <c r="N90" i="29"/>
  <c r="N116" i="29" s="1"/>
  <c r="N89" i="31"/>
  <c r="S189" i="31"/>
  <c r="V101" i="31" s="1"/>
  <c r="O87" i="30"/>
  <c r="S265" i="30"/>
  <c r="W99" i="30" s="1"/>
  <c r="G83" i="24"/>
  <c r="J280" i="24"/>
  <c r="G83" i="23"/>
  <c r="J279" i="23"/>
  <c r="S188" i="30"/>
  <c r="V100" i="30" s="1"/>
  <c r="N88" i="30"/>
  <c r="N114" i="30" s="1"/>
  <c r="S266" i="30"/>
  <c r="W100" i="30" s="1"/>
  <c r="O88" i="30"/>
  <c r="O114" i="30" s="1"/>
  <c r="G216" i="27"/>
  <c r="G275" i="27"/>
  <c r="N128" i="31"/>
  <c r="N140" i="31" s="1"/>
  <c r="F101" i="31"/>
  <c r="U123" i="24"/>
  <c r="U120" i="24" s="1"/>
  <c r="U81" i="24"/>
  <c r="G204" i="27"/>
  <c r="G145" i="27"/>
  <c r="N101" i="29"/>
  <c r="J231" i="29"/>
  <c r="J166" i="31"/>
  <c r="K166" i="31"/>
  <c r="F83" i="24"/>
  <c r="J211" i="24"/>
  <c r="K242" i="30"/>
  <c r="J242" i="30"/>
  <c r="K220" i="23"/>
  <c r="J220" i="23"/>
  <c r="J241" i="28"/>
  <c r="K241" i="28"/>
  <c r="K290" i="28" s="1"/>
  <c r="F290" i="28"/>
  <c r="F231" i="28"/>
  <c r="G214" i="28"/>
  <c r="G155" i="28"/>
  <c r="H216" i="27"/>
  <c r="O81" i="27" s="1"/>
  <c r="H275" i="27"/>
  <c r="S245" i="24"/>
  <c r="W94" i="24" s="1"/>
  <c r="W133" i="24" s="1"/>
  <c r="O82" i="24"/>
  <c r="O108" i="24" s="1"/>
  <c r="S163" i="25"/>
  <c r="V78" i="25" s="1"/>
  <c r="V117" i="25" s="1"/>
  <c r="N66" i="25"/>
  <c r="N92" i="25" s="1"/>
  <c r="U114" i="27"/>
  <c r="U111" i="27" s="1"/>
  <c r="U72" i="27"/>
  <c r="H145" i="27"/>
  <c r="N81" i="27" s="1"/>
  <c r="H204" i="27"/>
  <c r="O98" i="30"/>
  <c r="J213" i="25"/>
  <c r="K213" i="25"/>
  <c r="G290" i="28"/>
  <c r="G231" i="28"/>
  <c r="H155" i="28"/>
  <c r="N87" i="28" s="1"/>
  <c r="H214" i="28"/>
  <c r="O89" i="31"/>
  <c r="S268" i="31"/>
  <c r="W101" i="31" s="1"/>
  <c r="J140" i="25"/>
  <c r="K140" i="25"/>
  <c r="U132" i="29"/>
  <c r="U129" i="29" s="1"/>
  <c r="U90" i="29"/>
  <c r="O67" i="25"/>
  <c r="O93" i="25" s="1"/>
  <c r="S237" i="25"/>
  <c r="W79" i="25" s="1"/>
  <c r="W118" i="25" s="1"/>
  <c r="N87" i="30"/>
  <c r="S187" i="30"/>
  <c r="V99" i="30" s="1"/>
  <c r="N100" i="31"/>
  <c r="J230" i="31"/>
  <c r="O66" i="25"/>
  <c r="O92" i="25" s="1"/>
  <c r="S236" i="25"/>
  <c r="W78" i="25" s="1"/>
  <c r="W117" i="25" s="1"/>
  <c r="G117" i="28"/>
  <c r="J152" i="23"/>
  <c r="K152" i="23"/>
  <c r="K245" i="31"/>
  <c r="J245" i="31"/>
  <c r="U108" i="25"/>
  <c r="U105" i="25" s="1"/>
  <c r="U66" i="25"/>
  <c r="O91" i="31"/>
  <c r="O117" i="31" s="1"/>
  <c r="S270" i="31"/>
  <c r="W103" i="31" s="1"/>
  <c r="O90" i="29"/>
  <c r="O116" i="29" s="1"/>
  <c r="S268" i="29"/>
  <c r="W102" i="29" s="1"/>
  <c r="W141" i="29" s="1"/>
  <c r="K164" i="30"/>
  <c r="J164" i="30"/>
  <c r="S269" i="31"/>
  <c r="W102" i="31" s="1"/>
  <c r="O90" i="31"/>
  <c r="O116" i="31" s="1"/>
  <c r="F117" i="28"/>
  <c r="S176" i="23"/>
  <c r="V94" i="23" s="1"/>
  <c r="V133" i="23" s="1"/>
  <c r="N82" i="23"/>
  <c r="N108" i="23" s="1"/>
  <c r="O83" i="24"/>
  <c r="O109" i="24" s="1"/>
  <c r="N118" i="29"/>
  <c r="O118" i="29"/>
  <c r="N94" i="25"/>
  <c r="O94" i="25"/>
  <c r="O109" i="23"/>
  <c r="N109" i="23"/>
  <c r="N109" i="24"/>
  <c r="K211" i="4"/>
  <c r="N92" i="4"/>
  <c r="N111" i="4"/>
  <c r="N122" i="4" s="1"/>
  <c r="S168" i="4"/>
  <c r="V86" i="4" s="1"/>
  <c r="V125" i="4" s="1"/>
  <c r="J143" i="4"/>
  <c r="S166" i="4"/>
  <c r="V84" i="4" s="1"/>
  <c r="V123" i="4" s="1"/>
  <c r="N74" i="4"/>
  <c r="N100" i="4" s="1"/>
  <c r="K143" i="4"/>
  <c r="K270" i="4"/>
  <c r="N72" i="4"/>
  <c r="N98" i="4" s="1"/>
  <c r="J270" i="4"/>
  <c r="O74" i="4"/>
  <c r="O100" i="4" s="1"/>
  <c r="N73" i="4"/>
  <c r="N99" i="4" s="1"/>
  <c r="O72" i="4"/>
  <c r="O98" i="4" s="1"/>
  <c r="U114" i="4"/>
  <c r="U111" i="4" s="1"/>
  <c r="U72" i="4"/>
  <c r="W124" i="4"/>
  <c r="G72" i="4"/>
  <c r="G111" i="4" s="1"/>
  <c r="G74" i="4"/>
  <c r="G113" i="4" s="1"/>
  <c r="G73" i="4"/>
  <c r="G112" i="4" s="1"/>
  <c r="E23" i="3"/>
  <c r="S57" i="12"/>
  <c r="S55" i="12"/>
  <c r="S56" i="12"/>
  <c r="R55" i="12"/>
  <c r="R56" i="12"/>
  <c r="R57" i="12"/>
  <c r="R54" i="12"/>
  <c r="Q55" i="12"/>
  <c r="Q56" i="12"/>
  <c r="Q57" i="12"/>
  <c r="Q54" i="12"/>
  <c r="R60" i="12"/>
  <c r="S60" i="12"/>
  <c r="Q68" i="12"/>
  <c r="Q67" i="12" s="1"/>
  <c r="R68" i="12"/>
  <c r="R67" i="12" s="1"/>
  <c r="S68" i="12"/>
  <c r="S67" i="12" s="1"/>
  <c r="Q72" i="12"/>
  <c r="R72" i="12"/>
  <c r="S72" i="12"/>
  <c r="Q37" i="12"/>
  <c r="Q35" i="12" s="1"/>
  <c r="R37" i="12"/>
  <c r="S37" i="12"/>
  <c r="R38" i="12"/>
  <c r="S38" i="12"/>
  <c r="Q46" i="12"/>
  <c r="R46" i="12"/>
  <c r="Q42" i="12"/>
  <c r="Q41" i="12" s="1"/>
  <c r="R42" i="12"/>
  <c r="R41" i="12" s="1"/>
  <c r="S42" i="12"/>
  <c r="S41" i="12" s="1"/>
  <c r="S49" i="12"/>
  <c r="R50" i="12"/>
  <c r="S50" i="12"/>
  <c r="R51" i="12"/>
  <c r="S51" i="12"/>
  <c r="R64" i="12"/>
  <c r="R62" i="12" s="1"/>
  <c r="S64" i="12"/>
  <c r="S62" i="12" s="1"/>
  <c r="S36" i="12"/>
  <c r="R36" i="12"/>
  <c r="S33" i="12"/>
  <c r="R33" i="12"/>
  <c r="S32" i="12"/>
  <c r="S29" i="12"/>
  <c r="R32" i="12"/>
  <c r="R29" i="12"/>
  <c r="S17" i="12"/>
  <c r="S28" i="12"/>
  <c r="R17" i="12"/>
  <c r="R28" i="12"/>
  <c r="R16" i="12"/>
  <c r="Q32" i="12"/>
  <c r="Q33" i="12"/>
  <c r="Q29" i="12"/>
  <c r="Q28" i="12"/>
  <c r="Q17" i="12"/>
  <c r="Q16" i="12"/>
  <c r="W90" i="30" l="1"/>
  <c r="W129" i="30" s="1"/>
  <c r="V83" i="24"/>
  <c r="V122" i="24" s="1"/>
  <c r="V81" i="28"/>
  <c r="V120" i="28" s="1"/>
  <c r="Q15" i="12"/>
  <c r="S15" i="12"/>
  <c r="R15" i="12"/>
  <c r="R31" i="12"/>
  <c r="Q31" i="12"/>
  <c r="S31" i="12"/>
  <c r="W82" i="24"/>
  <c r="W121" i="24" s="1"/>
  <c r="W92" i="31"/>
  <c r="W131" i="31" s="1"/>
  <c r="V67" i="25"/>
  <c r="E99" i="31"/>
  <c r="E97" i="30"/>
  <c r="E90" i="30"/>
  <c r="M129" i="30" s="1"/>
  <c r="E92" i="31"/>
  <c r="M131" i="31" s="1"/>
  <c r="M78" i="25"/>
  <c r="M108" i="25" s="1"/>
  <c r="M84" i="27"/>
  <c r="M114" i="27" s="1"/>
  <c r="M90" i="28"/>
  <c r="M120" i="28" s="1"/>
  <c r="E93" i="29"/>
  <c r="M132" i="29" s="1"/>
  <c r="M93" i="24"/>
  <c r="M123" i="24" s="1"/>
  <c r="M93" i="23"/>
  <c r="M123" i="23" s="1"/>
  <c r="E88" i="30"/>
  <c r="M127" i="30" s="1"/>
  <c r="E90" i="31"/>
  <c r="M129" i="31" s="1"/>
  <c r="E91" i="29"/>
  <c r="M130" i="29" s="1"/>
  <c r="M91" i="24"/>
  <c r="M121" i="24" s="1"/>
  <c r="M76" i="25"/>
  <c r="M106" i="25" s="1"/>
  <c r="M82" i="27"/>
  <c r="M112" i="27" s="1"/>
  <c r="M88" i="28"/>
  <c r="M118" i="28" s="1"/>
  <c r="M91" i="23"/>
  <c r="M121" i="23" s="1"/>
  <c r="M89" i="4"/>
  <c r="E96" i="30"/>
  <c r="E98" i="31"/>
  <c r="E99" i="29"/>
  <c r="M83" i="25"/>
  <c r="M98" i="24"/>
  <c r="M89" i="27"/>
  <c r="M95" i="28"/>
  <c r="M98" i="23"/>
  <c r="M88" i="4"/>
  <c r="E95" i="30"/>
  <c r="E97" i="31"/>
  <c r="M97" i="24"/>
  <c r="M82" i="25"/>
  <c r="M88" i="27"/>
  <c r="M94" i="28"/>
  <c r="E98" i="29"/>
  <c r="M97" i="23"/>
  <c r="E100" i="31"/>
  <c r="M139" i="31" s="1"/>
  <c r="E98" i="30"/>
  <c r="M137" i="30" s="1"/>
  <c r="W73" i="27"/>
  <c r="W112" i="27" s="1"/>
  <c r="V88" i="30"/>
  <c r="V127" i="30" s="1"/>
  <c r="V91" i="31"/>
  <c r="V130" i="31" s="1"/>
  <c r="V74" i="4"/>
  <c r="V113" i="4" s="1"/>
  <c r="W68" i="25"/>
  <c r="W107" i="25" s="1"/>
  <c r="W79" i="28"/>
  <c r="W74" i="27"/>
  <c r="W113" i="27" s="1"/>
  <c r="V75" i="27"/>
  <c r="V89" i="30"/>
  <c r="V128" i="30" s="1"/>
  <c r="V82" i="23"/>
  <c r="W74" i="4"/>
  <c r="W89" i="30"/>
  <c r="W128" i="30" s="1"/>
  <c r="V68" i="25"/>
  <c r="V66" i="25" s="1"/>
  <c r="W84" i="23"/>
  <c r="W123" i="23" s="1"/>
  <c r="V82" i="24"/>
  <c r="V121" i="24" s="1"/>
  <c r="W91" i="31"/>
  <c r="W83" i="23"/>
  <c r="W82" i="23"/>
  <c r="W121" i="23" s="1"/>
  <c r="V92" i="31"/>
  <c r="V79" i="28"/>
  <c r="V118" i="28" s="1"/>
  <c r="W83" i="24"/>
  <c r="W122" i="24" s="1"/>
  <c r="W84" i="24"/>
  <c r="W123" i="24" s="1"/>
  <c r="W88" i="30"/>
  <c r="W127" i="30" s="1"/>
  <c r="W120" i="28"/>
  <c r="V84" i="23"/>
  <c r="W90" i="31"/>
  <c r="W75" i="27"/>
  <c r="V106" i="25"/>
  <c r="W80" i="28"/>
  <c r="V75" i="4"/>
  <c r="V112" i="4"/>
  <c r="W67" i="25"/>
  <c r="W73" i="4"/>
  <c r="V92" i="29"/>
  <c r="V93" i="29"/>
  <c r="V91" i="29"/>
  <c r="W92" i="29"/>
  <c r="V84" i="24"/>
  <c r="V90" i="31"/>
  <c r="W75" i="4"/>
  <c r="V74" i="27"/>
  <c r="V90" i="30"/>
  <c r="V83" i="23"/>
  <c r="W93" i="29"/>
  <c r="W91" i="29"/>
  <c r="V80" i="28"/>
  <c r="V73" i="27"/>
  <c r="W77" i="25"/>
  <c r="O84" i="23"/>
  <c r="O110" i="23" s="1"/>
  <c r="N93" i="29"/>
  <c r="N119" i="29" s="1"/>
  <c r="N84" i="24"/>
  <c r="N110" i="24" s="1"/>
  <c r="O93" i="29"/>
  <c r="O119" i="29" s="1"/>
  <c r="W101" i="29"/>
  <c r="O84" i="24"/>
  <c r="O110" i="24" s="1"/>
  <c r="W116" i="25"/>
  <c r="V116" i="25"/>
  <c r="O80" i="28"/>
  <c r="O106" i="28" s="1"/>
  <c r="S256" i="28"/>
  <c r="W92" i="28" s="1"/>
  <c r="W131" i="28" s="1"/>
  <c r="O69" i="25"/>
  <c r="O95" i="25" s="1"/>
  <c r="V131" i="24"/>
  <c r="V92" i="24"/>
  <c r="N69" i="25"/>
  <c r="N95" i="25" s="1"/>
  <c r="V77" i="25"/>
  <c r="N84" i="23"/>
  <c r="N110" i="23" s="1"/>
  <c r="W140" i="29"/>
  <c r="V101" i="29"/>
  <c r="W131" i="23"/>
  <c r="V140" i="29"/>
  <c r="V92" i="23"/>
  <c r="W92" i="23"/>
  <c r="V131" i="23"/>
  <c r="W92" i="24"/>
  <c r="W131" i="24"/>
  <c r="G128" i="30"/>
  <c r="G133" i="30" s="1"/>
  <c r="O103" i="30"/>
  <c r="S254" i="28"/>
  <c r="W90" i="28" s="1"/>
  <c r="O78" i="28"/>
  <c r="F122" i="24"/>
  <c r="F127" i="24" s="1"/>
  <c r="F88" i="24"/>
  <c r="N73" i="27"/>
  <c r="N99" i="27" s="1"/>
  <c r="S169" i="27"/>
  <c r="V85" i="27" s="1"/>
  <c r="V124" i="27" s="1"/>
  <c r="G122" i="23"/>
  <c r="G127" i="23" s="1"/>
  <c r="G88" i="23"/>
  <c r="J216" i="27"/>
  <c r="K216" i="27"/>
  <c r="F80" i="28"/>
  <c r="J214" i="28"/>
  <c r="F128" i="30"/>
  <c r="F133" i="30" s="1"/>
  <c r="N103" i="30"/>
  <c r="F107" i="25"/>
  <c r="F112" i="25" s="1"/>
  <c r="F73" i="25"/>
  <c r="N80" i="28"/>
  <c r="N106" i="28" s="1"/>
  <c r="S180" i="28"/>
  <c r="V92" i="28" s="1"/>
  <c r="V131" i="28" s="1"/>
  <c r="N74" i="27"/>
  <c r="N100" i="27" s="1"/>
  <c r="S170" i="27"/>
  <c r="V86" i="27" s="1"/>
  <c r="V125" i="27" s="1"/>
  <c r="W139" i="30"/>
  <c r="G74" i="27"/>
  <c r="J275" i="27"/>
  <c r="G131" i="29"/>
  <c r="G136" i="29" s="1"/>
  <c r="O106" i="29"/>
  <c r="W140" i="31"/>
  <c r="W100" i="31"/>
  <c r="N117" i="28"/>
  <c r="N128" i="28" s="1"/>
  <c r="N98" i="28"/>
  <c r="N111" i="27"/>
  <c r="N122" i="27" s="1"/>
  <c r="N92" i="27"/>
  <c r="S241" i="27"/>
  <c r="W86" i="27" s="1"/>
  <c r="W125" i="27" s="1"/>
  <c r="O74" i="27"/>
  <c r="O100" i="27" s="1"/>
  <c r="G80" i="28"/>
  <c r="J290" i="28"/>
  <c r="G122" i="24"/>
  <c r="G127" i="24" s="1"/>
  <c r="G88" i="24"/>
  <c r="V141" i="31"/>
  <c r="E90" i="29"/>
  <c r="M129" i="29" s="1"/>
  <c r="M75" i="25"/>
  <c r="M105" i="25" s="1"/>
  <c r="M90" i="24"/>
  <c r="M120" i="24" s="1"/>
  <c r="M90" i="23"/>
  <c r="M120" i="23" s="1"/>
  <c r="M87" i="28"/>
  <c r="M117" i="28" s="1"/>
  <c r="M81" i="27"/>
  <c r="M111" i="27" s="1"/>
  <c r="E89" i="31"/>
  <c r="E87" i="30"/>
  <c r="F130" i="31"/>
  <c r="F135" i="31" s="1"/>
  <c r="N105" i="31"/>
  <c r="O115" i="31"/>
  <c r="O92" i="31"/>
  <c r="O118" i="31" s="1"/>
  <c r="O111" i="27"/>
  <c r="O122" i="27" s="1"/>
  <c r="O92" i="27"/>
  <c r="W98" i="30"/>
  <c r="W138" i="30"/>
  <c r="S168" i="27"/>
  <c r="V84" i="27" s="1"/>
  <c r="N72" i="27"/>
  <c r="V142" i="31"/>
  <c r="V140" i="30"/>
  <c r="G130" i="31"/>
  <c r="G135" i="31" s="1"/>
  <c r="O105" i="31"/>
  <c r="W142" i="31"/>
  <c r="S255" i="28"/>
  <c r="W91" i="28" s="1"/>
  <c r="W130" i="28" s="1"/>
  <c r="O79" i="28"/>
  <c r="O105" i="28" s="1"/>
  <c r="F131" i="29"/>
  <c r="F136" i="29" s="1"/>
  <c r="N106" i="29"/>
  <c r="O113" i="30"/>
  <c r="O90" i="30"/>
  <c r="O116" i="30" s="1"/>
  <c r="J145" i="27"/>
  <c r="K145" i="27"/>
  <c r="G107" i="25"/>
  <c r="G112" i="25" s="1"/>
  <c r="G73" i="25"/>
  <c r="V98" i="30"/>
  <c r="V138" i="30"/>
  <c r="K155" i="28"/>
  <c r="O73" i="27"/>
  <c r="O99" i="27" s="1"/>
  <c r="S240" i="27"/>
  <c r="W85" i="27" s="1"/>
  <c r="W124" i="27" s="1"/>
  <c r="V140" i="31"/>
  <c r="V100" i="31"/>
  <c r="F74" i="27"/>
  <c r="J204" i="27"/>
  <c r="N78" i="28"/>
  <c r="S178" i="28"/>
  <c r="V90" i="28" s="1"/>
  <c r="W140" i="30"/>
  <c r="F122" i="23"/>
  <c r="F127" i="23" s="1"/>
  <c r="F88" i="23"/>
  <c r="W141" i="31"/>
  <c r="N113" i="30"/>
  <c r="N90" i="30"/>
  <c r="N116" i="30" s="1"/>
  <c r="N79" i="28"/>
  <c r="N105" i="28" s="1"/>
  <c r="S179" i="28"/>
  <c r="V91" i="28" s="1"/>
  <c r="V130" i="28" s="1"/>
  <c r="V139" i="30"/>
  <c r="N115" i="31"/>
  <c r="N92" i="31"/>
  <c r="N118" i="31" s="1"/>
  <c r="J155" i="28"/>
  <c r="J231" i="28"/>
  <c r="K231" i="28"/>
  <c r="S239" i="27"/>
  <c r="W84" i="27" s="1"/>
  <c r="O72" i="27"/>
  <c r="M91" i="4"/>
  <c r="M121" i="4" s="1"/>
  <c r="M85" i="25"/>
  <c r="M115" i="25" s="1"/>
  <c r="M100" i="24"/>
  <c r="M130" i="24" s="1"/>
  <c r="M97" i="28"/>
  <c r="M127" i="28" s="1"/>
  <c r="E101" i="29"/>
  <c r="M140" i="29" s="1"/>
  <c r="M91" i="27"/>
  <c r="M121" i="27" s="1"/>
  <c r="M100" i="23"/>
  <c r="M130" i="23" s="1"/>
  <c r="M90" i="4"/>
  <c r="E100" i="29"/>
  <c r="M99" i="24"/>
  <c r="M90" i="27"/>
  <c r="M96" i="28"/>
  <c r="M84" i="25"/>
  <c r="M99" i="23"/>
  <c r="M82" i="4"/>
  <c r="M112" i="4" s="1"/>
  <c r="M81" i="4"/>
  <c r="M84" i="4"/>
  <c r="M114" i="4" s="1"/>
  <c r="W122" i="4"/>
  <c r="V83" i="4"/>
  <c r="V124" i="4"/>
  <c r="V122" i="4" s="1"/>
  <c r="W83" i="4"/>
  <c r="S48" i="12"/>
  <c r="R48" i="12"/>
  <c r="U67" i="12"/>
  <c r="V67" i="12"/>
  <c r="V41" i="12"/>
  <c r="U41" i="12"/>
  <c r="U62" i="12"/>
  <c r="V62" i="12"/>
  <c r="R35" i="12"/>
  <c r="U35" i="12" s="1"/>
  <c r="S35" i="12"/>
  <c r="Q53" i="12"/>
  <c r="U57" i="12"/>
  <c r="U56" i="12"/>
  <c r="U54" i="12"/>
  <c r="U68" i="12"/>
  <c r="U60" i="12"/>
  <c r="U55" i="12"/>
  <c r="U33" i="12"/>
  <c r="U72" i="12"/>
  <c r="U36" i="12"/>
  <c r="U64" i="12"/>
  <c r="U37" i="12"/>
  <c r="U59" i="12"/>
  <c r="U16" i="12"/>
  <c r="U28" i="12"/>
  <c r="U50" i="12"/>
  <c r="U29" i="12"/>
  <c r="U32" i="12"/>
  <c r="U49" i="12"/>
  <c r="U46" i="12"/>
  <c r="U51" i="12"/>
  <c r="U17" i="12"/>
  <c r="U42" i="12"/>
  <c r="U38" i="12"/>
  <c r="V72" i="12"/>
  <c r="V42" i="12"/>
  <c r="V51" i="12"/>
  <c r="V28" i="12"/>
  <c r="V37" i="12"/>
  <c r="V18" i="12"/>
  <c r="V68" i="12"/>
  <c r="V29" i="12"/>
  <c r="V50" i="12"/>
  <c r="V33" i="12"/>
  <c r="V36" i="12"/>
  <c r="V59" i="12"/>
  <c r="V60" i="12"/>
  <c r="V32" i="12"/>
  <c r="V49" i="12"/>
  <c r="V54" i="12"/>
  <c r="V16" i="12"/>
  <c r="V57" i="12"/>
  <c r="V17" i="12"/>
  <c r="V38" i="12"/>
  <c r="V56" i="12"/>
  <c r="V64" i="12"/>
  <c r="V55" i="12"/>
  <c r="R53" i="12"/>
  <c r="S53" i="12"/>
  <c r="R74" i="12" l="1"/>
  <c r="V31" i="12"/>
  <c r="U31" i="12"/>
  <c r="Q74" i="12"/>
  <c r="M89" i="31" s="1"/>
  <c r="M115" i="31" s="1"/>
  <c r="U15" i="12"/>
  <c r="V15" i="12"/>
  <c r="M87" i="4"/>
  <c r="M117" i="4" s="1"/>
  <c r="E95" i="31"/>
  <c r="M134" i="31" s="1"/>
  <c r="E93" i="30"/>
  <c r="M132" i="30" s="1"/>
  <c r="E96" i="29"/>
  <c r="M135" i="29" s="1"/>
  <c r="M96" i="24"/>
  <c r="M126" i="24" s="1"/>
  <c r="M87" i="27"/>
  <c r="M117" i="27" s="1"/>
  <c r="M81" i="25"/>
  <c r="M111" i="25" s="1"/>
  <c r="M93" i="28"/>
  <c r="M123" i="28" s="1"/>
  <c r="M96" i="23"/>
  <c r="M126" i="23" s="1"/>
  <c r="E89" i="30"/>
  <c r="M128" i="30" s="1"/>
  <c r="E91" i="31"/>
  <c r="M130" i="31" s="1"/>
  <c r="E92" i="30"/>
  <c r="M131" i="30" s="1"/>
  <c r="E94" i="31"/>
  <c r="M133" i="31" s="1"/>
  <c r="W118" i="28"/>
  <c r="W130" i="31"/>
  <c r="V121" i="23"/>
  <c r="V81" i="23"/>
  <c r="V107" i="25"/>
  <c r="V105" i="25" s="1"/>
  <c r="V120" i="25" s="1"/>
  <c r="W122" i="23"/>
  <c r="W120" i="23" s="1"/>
  <c r="W135" i="23" s="1"/>
  <c r="V114" i="27"/>
  <c r="W87" i="30"/>
  <c r="V81" i="25"/>
  <c r="V83" i="25" s="1"/>
  <c r="W81" i="23"/>
  <c r="W81" i="24"/>
  <c r="V81" i="24"/>
  <c r="W113" i="4"/>
  <c r="W120" i="24"/>
  <c r="W135" i="24" s="1"/>
  <c r="W126" i="30"/>
  <c r="V131" i="31"/>
  <c r="W114" i="4"/>
  <c r="V119" i="28"/>
  <c r="V117" i="28" s="1"/>
  <c r="W114" i="27"/>
  <c r="W111" i="27" s="1"/>
  <c r="W72" i="27"/>
  <c r="W130" i="29"/>
  <c r="W90" i="29"/>
  <c r="V129" i="30"/>
  <c r="V126" i="30" s="1"/>
  <c r="V130" i="29"/>
  <c r="V90" i="29"/>
  <c r="V87" i="30"/>
  <c r="W132" i="29"/>
  <c r="V113" i="27"/>
  <c r="V129" i="31"/>
  <c r="V128" i="31" s="1"/>
  <c r="V89" i="31"/>
  <c r="V132" i="29"/>
  <c r="W129" i="31"/>
  <c r="W89" i="31"/>
  <c r="V123" i="24"/>
  <c r="V120" i="24" s="1"/>
  <c r="V135" i="24" s="1"/>
  <c r="W106" i="25"/>
  <c r="W105" i="25" s="1"/>
  <c r="W120" i="25" s="1"/>
  <c r="W66" i="25"/>
  <c r="V78" i="28"/>
  <c r="V112" i="27"/>
  <c r="V72" i="27"/>
  <c r="V122" i="23"/>
  <c r="W131" i="29"/>
  <c r="V131" i="29"/>
  <c r="V123" i="23"/>
  <c r="W112" i="4"/>
  <c r="W72" i="4"/>
  <c r="W119" i="28"/>
  <c r="W78" i="28"/>
  <c r="V114" i="4"/>
  <c r="V111" i="4" s="1"/>
  <c r="V126" i="4" s="1"/>
  <c r="V72" i="4"/>
  <c r="W139" i="31"/>
  <c r="V129" i="28"/>
  <c r="V128" i="28" s="1"/>
  <c r="V89" i="28"/>
  <c r="N98" i="27"/>
  <c r="N75" i="27"/>
  <c r="N101" i="27" s="1"/>
  <c r="N104" i="28"/>
  <c r="N81" i="28"/>
  <c r="N107" i="28" s="1"/>
  <c r="V123" i="27"/>
  <c r="V122" i="27" s="1"/>
  <c r="V83" i="27"/>
  <c r="G119" i="28"/>
  <c r="G124" i="28" s="1"/>
  <c r="G85" i="28"/>
  <c r="M102" i="30"/>
  <c r="E132" i="30" s="1"/>
  <c r="M104" i="31"/>
  <c r="E134" i="31" s="1"/>
  <c r="E87" i="24"/>
  <c r="E126" i="24" s="1"/>
  <c r="E78" i="27"/>
  <c r="E117" i="27" s="1"/>
  <c r="E84" i="28"/>
  <c r="E123" i="28" s="1"/>
  <c r="E72" i="25"/>
  <c r="E111" i="25" s="1"/>
  <c r="M105" i="29"/>
  <c r="E135" i="29" s="1"/>
  <c r="E87" i="23"/>
  <c r="E126" i="23" s="1"/>
  <c r="O98" i="27"/>
  <c r="O75" i="27"/>
  <c r="O101" i="27" s="1"/>
  <c r="V137" i="30"/>
  <c r="W137" i="30"/>
  <c r="F119" i="28"/>
  <c r="F124" i="28" s="1"/>
  <c r="F85" i="28"/>
  <c r="W123" i="27"/>
  <c r="W122" i="27" s="1"/>
  <c r="W83" i="27"/>
  <c r="F113" i="27"/>
  <c r="F118" i="27" s="1"/>
  <c r="F79" i="27"/>
  <c r="M126" i="30"/>
  <c r="O104" i="28"/>
  <c r="O81" i="28"/>
  <c r="O107" i="28" s="1"/>
  <c r="E73" i="4"/>
  <c r="E112" i="4" s="1"/>
  <c r="M99" i="31"/>
  <c r="E129" i="31" s="1"/>
  <c r="M97" i="30"/>
  <c r="E127" i="30" s="1"/>
  <c r="M100" i="29"/>
  <c r="E130" i="29" s="1"/>
  <c r="E73" i="27"/>
  <c r="E112" i="27" s="1"/>
  <c r="E79" i="28"/>
  <c r="E118" i="28" s="1"/>
  <c r="E67" i="25"/>
  <c r="E106" i="25" s="1"/>
  <c r="E82" i="24"/>
  <c r="E121" i="24" s="1"/>
  <c r="E82" i="23"/>
  <c r="E121" i="23" s="1"/>
  <c r="M128" i="31"/>
  <c r="W129" i="28"/>
  <c r="W128" i="28" s="1"/>
  <c r="W89" i="28"/>
  <c r="E72" i="4"/>
  <c r="E111" i="4" s="1"/>
  <c r="M96" i="30"/>
  <c r="M98" i="31"/>
  <c r="E72" i="27"/>
  <c r="E78" i="28"/>
  <c r="E81" i="24"/>
  <c r="E66" i="25"/>
  <c r="M99" i="29"/>
  <c r="E81" i="23"/>
  <c r="V139" i="31"/>
  <c r="G113" i="27"/>
  <c r="G118" i="27" s="1"/>
  <c r="G79" i="27"/>
  <c r="M83" i="4"/>
  <c r="M113" i="4" s="1"/>
  <c r="E92" i="29"/>
  <c r="M131" i="29" s="1"/>
  <c r="M83" i="27"/>
  <c r="M113" i="27" s="1"/>
  <c r="M77" i="25"/>
  <c r="M107" i="25" s="1"/>
  <c r="M89" i="28"/>
  <c r="M119" i="28" s="1"/>
  <c r="M92" i="24"/>
  <c r="M122" i="24" s="1"/>
  <c r="M92" i="23"/>
  <c r="M122" i="23" s="1"/>
  <c r="M86" i="4"/>
  <c r="M116" i="4" s="1"/>
  <c r="M86" i="27"/>
  <c r="M80" i="25"/>
  <c r="E95" i="29"/>
  <c r="M95" i="24"/>
  <c r="M92" i="28"/>
  <c r="M95" i="23"/>
  <c r="M111" i="4"/>
  <c r="V48" i="12"/>
  <c r="U48" i="12"/>
  <c r="F117" i="4"/>
  <c r="G117" i="4"/>
  <c r="G118" i="4" s="1"/>
  <c r="E78" i="4"/>
  <c r="E117" i="4" s="1"/>
  <c r="U53" i="12"/>
  <c r="V53" i="12"/>
  <c r="V35" i="12"/>
  <c r="M66" i="25" l="1"/>
  <c r="AB26" i="12"/>
  <c r="U90" i="28" s="1"/>
  <c r="M78" i="28"/>
  <c r="M72" i="4"/>
  <c r="M98" i="4" s="1"/>
  <c r="M90" i="29"/>
  <c r="M116" i="29" s="1"/>
  <c r="M72" i="27"/>
  <c r="M98" i="27" s="1"/>
  <c r="M87" i="30"/>
  <c r="M113" i="30" s="1"/>
  <c r="M81" i="23"/>
  <c r="M107" i="23" s="1"/>
  <c r="M81" i="24"/>
  <c r="M107" i="24" s="1"/>
  <c r="V111" i="27"/>
  <c r="V126" i="27" s="1"/>
  <c r="W117" i="28"/>
  <c r="W132" i="28" s="1"/>
  <c r="V102" i="30"/>
  <c r="V105" i="30" s="1"/>
  <c r="U74" i="12"/>
  <c r="Q75" i="12"/>
  <c r="V104" i="31"/>
  <c r="V106" i="31" s="1"/>
  <c r="E118" i="4"/>
  <c r="W128" i="31"/>
  <c r="W143" i="31" s="1"/>
  <c r="W102" i="30"/>
  <c r="W105" i="30" s="1"/>
  <c r="V143" i="31"/>
  <c r="V132" i="28"/>
  <c r="V96" i="23"/>
  <c r="V99" i="23" s="1"/>
  <c r="V96" i="24"/>
  <c r="V99" i="24" s="1"/>
  <c r="V120" i="23"/>
  <c r="V135" i="23" s="1"/>
  <c r="V93" i="28"/>
  <c r="V95" i="28" s="1"/>
  <c r="W96" i="23"/>
  <c r="W99" i="23" s="1"/>
  <c r="W87" i="27"/>
  <c r="W90" i="27" s="1"/>
  <c r="V141" i="30"/>
  <c r="V87" i="27"/>
  <c r="V89" i="27" s="1"/>
  <c r="W141" i="30"/>
  <c r="W93" i="28"/>
  <c r="W95" i="28" s="1"/>
  <c r="W104" i="31"/>
  <c r="W106" i="31" s="1"/>
  <c r="V84" i="25"/>
  <c r="W96" i="24"/>
  <c r="V105" i="29"/>
  <c r="W129" i="29"/>
  <c r="W144" i="29" s="1"/>
  <c r="W126" i="27"/>
  <c r="V129" i="29"/>
  <c r="V144" i="29" s="1"/>
  <c r="W111" i="4"/>
  <c r="W126" i="4" s="1"/>
  <c r="W105" i="29"/>
  <c r="V87" i="4"/>
  <c r="W81" i="25"/>
  <c r="W87" i="4"/>
  <c r="E117" i="28"/>
  <c r="E124" i="28" s="1"/>
  <c r="E85" i="28"/>
  <c r="E111" i="27"/>
  <c r="E118" i="27" s="1"/>
  <c r="E79" i="27"/>
  <c r="M105" i="31"/>
  <c r="E128" i="31"/>
  <c r="E135" i="31" s="1"/>
  <c r="M103" i="30"/>
  <c r="E126" i="30"/>
  <c r="E133" i="30" s="1"/>
  <c r="E120" i="23"/>
  <c r="E127" i="23" s="1"/>
  <c r="E88" i="23"/>
  <c r="E129" i="29"/>
  <c r="E136" i="29" s="1"/>
  <c r="M106" i="29"/>
  <c r="E105" i="25"/>
  <c r="E112" i="25" s="1"/>
  <c r="E73" i="25"/>
  <c r="M90" i="31"/>
  <c r="M88" i="30"/>
  <c r="M114" i="30" s="1"/>
  <c r="E120" i="24"/>
  <c r="E127" i="24" s="1"/>
  <c r="E88" i="24"/>
  <c r="M134" i="29"/>
  <c r="M122" i="28"/>
  <c r="M110" i="25"/>
  <c r="M125" i="23"/>
  <c r="M125" i="24"/>
  <c r="M116" i="27"/>
  <c r="M79" i="28"/>
  <c r="M105" i="28" s="1"/>
  <c r="M91" i="29"/>
  <c r="M117" i="29" s="1"/>
  <c r="M73" i="27"/>
  <c r="M99" i="27" s="1"/>
  <c r="U102" i="29"/>
  <c r="M104" i="28"/>
  <c r="R75" i="12"/>
  <c r="M67" i="25"/>
  <c r="M93" i="25" s="1"/>
  <c r="M82" i="24"/>
  <c r="M108" i="24" s="1"/>
  <c r="M82" i="23"/>
  <c r="M108" i="23" s="1"/>
  <c r="M92" i="25"/>
  <c r="U75" i="12"/>
  <c r="M73" i="4"/>
  <c r="M99" i="4" s="1"/>
  <c r="AB27" i="12"/>
  <c r="E79" i="4"/>
  <c r="S46" i="12"/>
  <c r="U93" i="24" l="1"/>
  <c r="U84" i="4"/>
  <c r="U123" i="4" s="1"/>
  <c r="U101" i="31"/>
  <c r="U140" i="31" s="1"/>
  <c r="U93" i="23"/>
  <c r="U132" i="23" s="1"/>
  <c r="U78" i="25"/>
  <c r="U117" i="25" s="1"/>
  <c r="U84" i="27"/>
  <c r="U123" i="27" s="1"/>
  <c r="U99" i="30"/>
  <c r="V104" i="30"/>
  <c r="W104" i="30"/>
  <c r="S74" i="12"/>
  <c r="V74" i="12" s="1"/>
  <c r="V107" i="31"/>
  <c r="V98" i="23"/>
  <c r="E93" i="31"/>
  <c r="E91" i="30"/>
  <c r="M85" i="27"/>
  <c r="M79" i="25"/>
  <c r="M91" i="28"/>
  <c r="M94" i="24"/>
  <c r="E94" i="29"/>
  <c r="M94" i="23"/>
  <c r="V98" i="24"/>
  <c r="V96" i="28"/>
  <c r="W96" i="28"/>
  <c r="W98" i="23"/>
  <c r="W89" i="27"/>
  <c r="W107" i="31"/>
  <c r="V90" i="27"/>
  <c r="W99" i="24"/>
  <c r="W98" i="24"/>
  <c r="V107" i="29"/>
  <c r="V108" i="29"/>
  <c r="W89" i="4"/>
  <c r="W90" i="4"/>
  <c r="W84" i="25"/>
  <c r="W83" i="25"/>
  <c r="V89" i="4"/>
  <c r="V90" i="4"/>
  <c r="W107" i="29"/>
  <c r="W108" i="29"/>
  <c r="U138" i="30"/>
  <c r="U102" i="31"/>
  <c r="U100" i="30"/>
  <c r="M116" i="31"/>
  <c r="U91" i="28"/>
  <c r="U103" i="29"/>
  <c r="U85" i="27"/>
  <c r="U141" i="29"/>
  <c r="U129" i="28"/>
  <c r="U132" i="24"/>
  <c r="U85" i="4"/>
  <c r="U94" i="24"/>
  <c r="U79" i="25"/>
  <c r="U94" i="23"/>
  <c r="M85" i="4"/>
  <c r="N75" i="4"/>
  <c r="N101" i="4" s="1"/>
  <c r="G79" i="4"/>
  <c r="V46" i="12"/>
  <c r="M109" i="25" l="1"/>
  <c r="M116" i="25" s="1"/>
  <c r="M86" i="25"/>
  <c r="M115" i="27"/>
  <c r="M122" i="27" s="1"/>
  <c r="M92" i="27"/>
  <c r="M121" i="28"/>
  <c r="M128" i="28" s="1"/>
  <c r="M98" i="28"/>
  <c r="M130" i="30"/>
  <c r="M138" i="30" s="1"/>
  <c r="E99" i="30"/>
  <c r="M132" i="31"/>
  <c r="M140" i="31" s="1"/>
  <c r="E101" i="31"/>
  <c r="M124" i="23"/>
  <c r="M131" i="23" s="1"/>
  <c r="M101" i="23"/>
  <c r="M133" i="29"/>
  <c r="M141" i="29" s="1"/>
  <c r="E102" i="29"/>
  <c r="M124" i="24"/>
  <c r="M131" i="24" s="1"/>
  <c r="M101" i="24"/>
  <c r="M91" i="31"/>
  <c r="M89" i="30"/>
  <c r="U139" i="30"/>
  <c r="U141" i="31"/>
  <c r="M92" i="29"/>
  <c r="M74" i="27"/>
  <c r="M80" i="28"/>
  <c r="U124" i="27"/>
  <c r="U142" i="29"/>
  <c r="U130" i="28"/>
  <c r="U133" i="24"/>
  <c r="U133" i="23"/>
  <c r="U118" i="25"/>
  <c r="U124" i="4"/>
  <c r="S75" i="12"/>
  <c r="M83" i="24"/>
  <c r="M68" i="25"/>
  <c r="M83" i="23"/>
  <c r="V75" i="12"/>
  <c r="M115" i="4"/>
  <c r="M122" i="4" s="1"/>
  <c r="M92" i="4"/>
  <c r="AB28" i="12"/>
  <c r="M74" i="4"/>
  <c r="M100" i="4" s="1"/>
  <c r="O75" i="4"/>
  <c r="O101" i="4" s="1"/>
  <c r="M115" i="30" l="1"/>
  <c r="M90" i="30"/>
  <c r="M116" i="30" s="1"/>
  <c r="M117" i="31"/>
  <c r="M92" i="31"/>
  <c r="M118" i="31" s="1"/>
  <c r="U101" i="30"/>
  <c r="U103" i="31"/>
  <c r="M106" i="28"/>
  <c r="M81" i="28"/>
  <c r="M107" i="28" s="1"/>
  <c r="U104" i="29"/>
  <c r="U86" i="27"/>
  <c r="U92" i="28"/>
  <c r="M100" i="27"/>
  <c r="M75" i="27"/>
  <c r="M101" i="27" s="1"/>
  <c r="M118" i="29"/>
  <c r="M93" i="29"/>
  <c r="M119" i="29" s="1"/>
  <c r="M109" i="24"/>
  <c r="M84" i="24"/>
  <c r="M110" i="24" s="1"/>
  <c r="M94" i="25"/>
  <c r="M69" i="25"/>
  <c r="M95" i="25" s="1"/>
  <c r="U80" i="25"/>
  <c r="U95" i="24"/>
  <c r="U95" i="23"/>
  <c r="M109" i="23"/>
  <c r="M84" i="23"/>
  <c r="M110" i="23" s="1"/>
  <c r="M75" i="4"/>
  <c r="M101" i="4" s="1"/>
  <c r="AB25" i="12"/>
  <c r="AB30" i="12" s="1"/>
  <c r="U86" i="4"/>
  <c r="U142" i="31" l="1"/>
  <c r="U139" i="31" s="1"/>
  <c r="U143" i="31" s="1"/>
  <c r="U100" i="31"/>
  <c r="U140" i="30"/>
  <c r="U137" i="30" s="1"/>
  <c r="U141" i="30" s="1"/>
  <c r="U98" i="30"/>
  <c r="U131" i="28"/>
  <c r="U128" i="28" s="1"/>
  <c r="U132" i="28" s="1"/>
  <c r="U89" i="28"/>
  <c r="U125" i="27"/>
  <c r="U122" i="27" s="1"/>
  <c r="U126" i="27" s="1"/>
  <c r="U83" i="27"/>
  <c r="U143" i="29"/>
  <c r="U140" i="29" s="1"/>
  <c r="U144" i="29" s="1"/>
  <c r="U101" i="29"/>
  <c r="U119" i="25"/>
  <c r="U116" i="25" s="1"/>
  <c r="U120" i="25" s="1"/>
  <c r="U77" i="25"/>
  <c r="U134" i="24"/>
  <c r="U131" i="24" s="1"/>
  <c r="U135" i="24" s="1"/>
  <c r="U92" i="24"/>
  <c r="U134" i="23"/>
  <c r="U131" i="23" s="1"/>
  <c r="U135" i="23" s="1"/>
  <c r="U92" i="23"/>
  <c r="U125" i="4"/>
  <c r="U122" i="4" s="1"/>
  <c r="U126" i="4" s="1"/>
  <c r="U83" i="4"/>
  <c r="K146" i="4"/>
  <c r="J146" i="4"/>
  <c r="K147" i="4"/>
  <c r="J147" i="4"/>
  <c r="U102" i="30" l="1"/>
  <c r="U104" i="31"/>
  <c r="U87" i="27"/>
  <c r="U93" i="28"/>
  <c r="U105" i="29"/>
  <c r="U96" i="24"/>
  <c r="U81" i="25"/>
  <c r="U96" i="23"/>
  <c r="U87" i="4"/>
  <c r="F73" i="4"/>
  <c r="F112" i="4" s="1"/>
  <c r="F74" i="4"/>
  <c r="F113" i="4" s="1"/>
  <c r="K145" i="4"/>
  <c r="J150" i="4"/>
  <c r="F72" i="4" s="1"/>
  <c r="F111" i="4" s="1"/>
  <c r="K150" i="4"/>
  <c r="U107" i="31" l="1"/>
  <c r="U106" i="31"/>
  <c r="U104" i="30"/>
  <c r="U105" i="30"/>
  <c r="U96" i="28"/>
  <c r="U95" i="28"/>
  <c r="U107" i="29"/>
  <c r="U108" i="29"/>
  <c r="U89" i="27"/>
  <c r="U90" i="27"/>
  <c r="U99" i="23"/>
  <c r="U98" i="23"/>
  <c r="U83" i="25"/>
  <c r="U84" i="25"/>
  <c r="U98" i="24"/>
  <c r="U99" i="24"/>
  <c r="K202" i="4"/>
  <c r="J202" i="4"/>
  <c r="U90" i="4"/>
  <c r="U89" i="4"/>
  <c r="F118" i="4"/>
  <c r="F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14" authorId="0" shapeId="0" xr:uid="{F5C0D0CF-25C2-4336-A403-7ABC09D2476B}">
      <text>
        <r>
          <rPr>
            <sz val="11"/>
            <color theme="1"/>
            <rFont val="Arial"/>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Der erscheinende Hinweis zur Handeingabe für das Jahr 2030 sollte wieder verschwinden, wenn für 2030 ein Wert größer/gleich dem Wert für 2025 erfolgt ist. Gilt auch für z. B. M5 PV-Anlage und M6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305" authorId="0" shapeId="0" xr:uid="{24BE383D-DD7B-49F7-9C4F-C4D8B27AF57C}">
      <text>
        <r>
          <rPr>
            <sz val="11"/>
            <color theme="1"/>
            <rFont val="Arial"/>
            <family val="2"/>
            <scheme val="minor"/>
          </rPr>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H286 wurde nicht abgezogen. Somit sind die Werte in H287+H288 doppelt erfasst.
Wurde korrigiert.
</t>
        </r>
      </text>
    </comment>
  </commentList>
</comments>
</file>

<file path=xl/sharedStrings.xml><?xml version="1.0" encoding="utf-8"?>
<sst xmlns="http://schemas.openxmlformats.org/spreadsheetml/2006/main" count="5347" uniqueCount="488">
  <si>
    <t>Impressum</t>
  </si>
  <si>
    <t xml:space="preserve">erarbeitet durch: </t>
  </si>
  <si>
    <t>FutureCamp Climate GmbH</t>
  </si>
  <si>
    <t>Aschauer Str. 30</t>
  </si>
  <si>
    <t>81549 München</t>
  </si>
  <si>
    <t>www.future-camp.de</t>
  </si>
  <si>
    <t>Letzte Aktualisierung:</t>
  </si>
  <si>
    <t>Modellversion:</t>
  </si>
  <si>
    <t>1.0</t>
  </si>
  <si>
    <t>Kontakt:</t>
  </si>
  <si>
    <t>webkontakt@future-camp.de</t>
  </si>
  <si>
    <t xml:space="preserve">Johanna Lausen </t>
  </si>
  <si>
    <t>im Auftrag von:</t>
  </si>
  <si>
    <t>Projektleitung:</t>
  </si>
  <si>
    <t>Review:</t>
  </si>
  <si>
    <t>Gestaltung:</t>
  </si>
  <si>
    <t>Betonverband Straße, Landschaft, Garten e.V. (SLG)</t>
  </si>
  <si>
    <t>Schloßallee 10</t>
  </si>
  <si>
    <t>53179 Bonn</t>
  </si>
  <si>
    <t>Michael Gollinger</t>
  </si>
  <si>
    <t>Preise der Energieträger</t>
  </si>
  <si>
    <t>Einheit</t>
  </si>
  <si>
    <t>Quelle</t>
  </si>
  <si>
    <t>Kommentar</t>
  </si>
  <si>
    <t>Wirtschaftlichkeitsparameter</t>
  </si>
  <si>
    <t>Abschreibungszeitraum</t>
  </si>
  <si>
    <t>Zinssatz</t>
  </si>
  <si>
    <t>Scope 1</t>
  </si>
  <si>
    <t>Scope 2</t>
  </si>
  <si>
    <t>Scope 3</t>
  </si>
  <si>
    <t>CAPEX</t>
  </si>
  <si>
    <t>Erdgas</t>
  </si>
  <si>
    <t>Heizöl</t>
  </si>
  <si>
    <t>Strom</t>
  </si>
  <si>
    <t>Diesel</t>
  </si>
  <si>
    <t>Emissionsfaktoren</t>
  </si>
  <si>
    <t>Quellenverzeichnis</t>
  </si>
  <si>
    <t>Emissionsquelle</t>
  </si>
  <si>
    <t>Einheit der Emissionsquelle</t>
  </si>
  <si>
    <t>Gesamt</t>
  </si>
  <si>
    <t>kWh Hs</t>
  </si>
  <si>
    <t>Liter</t>
  </si>
  <si>
    <t>kWh</t>
  </si>
  <si>
    <t>kWh Hi</t>
  </si>
  <si>
    <t>Strommix Dtld 2020</t>
  </si>
  <si>
    <t>Transport vorgelagert</t>
  </si>
  <si>
    <t>Transport nachgelagert</t>
  </si>
  <si>
    <t>Zement - CEM I</t>
  </si>
  <si>
    <t>t</t>
  </si>
  <si>
    <t>Zement - CEM II</t>
  </si>
  <si>
    <t>Weißzement</t>
  </si>
  <si>
    <t>Zusatzmittel</t>
  </si>
  <si>
    <t>Plastifizierer - Concrete admixtures – Plasticizer and superplasticizer - Deutsche Bauchemie e.V. (DBC) (A1-A3)</t>
  </si>
  <si>
    <t>Jeweils auf Zusatzm.</t>
  </si>
  <si>
    <t>Luftporenbildner - Sodium ligninsulfonate</t>
  </si>
  <si>
    <t>Stabilisierer - Concrete admixtures – Retarders – Deutsche Bauchemie e.V. (DBC) (A1-A3)</t>
  </si>
  <si>
    <t>Hydrophobierer - Phenylmethyl siloxane</t>
  </si>
  <si>
    <t>Farben</t>
  </si>
  <si>
    <t>Eurocolour e.V., The groups of pigments and their CF values; Inorganic pigments and fillers, Status: May 2022</t>
  </si>
  <si>
    <t>Flugasche</t>
  </si>
  <si>
    <t>Quarzsteinmehl</t>
  </si>
  <si>
    <t>Kalksteinmehl</t>
  </si>
  <si>
    <t>Imprägniermittel  (Aushärtung über Infrarot)</t>
  </si>
  <si>
    <t>Verpackungsmaterial</t>
  </si>
  <si>
    <t>Abwasser</t>
  </si>
  <si>
    <t>cbm</t>
  </si>
  <si>
    <t>Stahlkugeln (Strahlanlage)</t>
  </si>
  <si>
    <t>Zement Gesamt</t>
  </si>
  <si>
    <t>Zement</t>
  </si>
  <si>
    <t>Summe</t>
  </si>
  <si>
    <t>Default Wert Rechner 2025</t>
  </si>
  <si>
    <t>Default Wert Rechner 2030</t>
  </si>
  <si>
    <t xml:space="preserve">Grünstrom </t>
  </si>
  <si>
    <t>Härtekammern</t>
  </si>
  <si>
    <t>Energieträger</t>
  </si>
  <si>
    <t>Radlader (1x)</t>
  </si>
  <si>
    <t>Scope 1 und 2</t>
  </si>
  <si>
    <t>Handeingabe</t>
  </si>
  <si>
    <t>Handeingabe Verbrauchswerte</t>
  </si>
  <si>
    <t xml:space="preserve">Default Verbrauchswerte </t>
  </si>
  <si>
    <t>Default</t>
  </si>
  <si>
    <t>Referenzjahr 2020</t>
  </si>
  <si>
    <t>Scope2</t>
  </si>
  <si>
    <t>Produktionsmenge</t>
  </si>
  <si>
    <t>Kosten</t>
  </si>
  <si>
    <t>Handeingabe Referenz 2020</t>
  </si>
  <si>
    <t xml:space="preserve"> Handeingabe 2025</t>
  </si>
  <si>
    <t xml:space="preserve"> Handeingabe 2030</t>
  </si>
  <si>
    <t>Summe Scope 1 und Scope 2</t>
  </si>
  <si>
    <t>Referenz</t>
  </si>
  <si>
    <t>Energieträger Betrieb</t>
  </si>
  <si>
    <t>Referenzjahr 2025</t>
  </si>
  <si>
    <t>Referenzjahr 2030</t>
  </si>
  <si>
    <r>
      <t>Emissionen [t CO</t>
    </r>
    <r>
      <rPr>
        <b/>
        <vertAlign val="subscript"/>
        <sz val="9"/>
        <rFont val="Arial"/>
        <family val="2"/>
      </rPr>
      <t>2</t>
    </r>
    <r>
      <rPr>
        <b/>
        <sz val="9"/>
        <rFont val="Arial"/>
        <family val="2"/>
      </rPr>
      <t>e pro Einheit]</t>
    </r>
  </si>
  <si>
    <t>Bezugsjahr</t>
  </si>
  <si>
    <t>Default Wert Rechner</t>
  </si>
  <si>
    <t>€/MWh</t>
  </si>
  <si>
    <t>Vogl et al. (2018)</t>
  </si>
  <si>
    <t>a</t>
  </si>
  <si>
    <t>%</t>
  </si>
  <si>
    <t>BCG/VDEh. (2013)</t>
  </si>
  <si>
    <t>Mittelwert Vogl/BCG</t>
  </si>
  <si>
    <t>Grünstrom</t>
  </si>
  <si>
    <t>Bezugsjahr 2030</t>
  </si>
  <si>
    <t>Bezugsjahr 2025</t>
  </si>
  <si>
    <t>€</t>
  </si>
  <si>
    <t>€/a</t>
  </si>
  <si>
    <t>Muster Werk (ohne Härtekammern)</t>
  </si>
  <si>
    <t>PV</t>
  </si>
  <si>
    <t>Wind</t>
  </si>
  <si>
    <t>Wasser</t>
  </si>
  <si>
    <t>Scope 1 und Scope 2</t>
  </si>
  <si>
    <t>Scope 1 und 2 Emissionen</t>
  </si>
  <si>
    <t>Emissionen Scope 1 und Scope 2</t>
  </si>
  <si>
    <t>Rechner Emissionen</t>
  </si>
  <si>
    <t xml:space="preserve">Scope 1 </t>
  </si>
  <si>
    <t>Gesamtemissionen</t>
  </si>
  <si>
    <t xml:space="preserve">Rechner Kosten </t>
  </si>
  <si>
    <t>-</t>
  </si>
  <si>
    <t xml:space="preserve">Energiekosten </t>
  </si>
  <si>
    <t>€/l</t>
  </si>
  <si>
    <t>Heizung/Sonstige Wärmeversorgung</t>
  </si>
  <si>
    <t>Flüssiggas</t>
  </si>
  <si>
    <t>Alternative Energieträger Härtekammer</t>
  </si>
  <si>
    <t>Alternative Energieträger restliche Werk</t>
  </si>
  <si>
    <t>Erdgas Härtekammer</t>
  </si>
  <si>
    <t>Alternativer Energieträger Härtekammer</t>
  </si>
  <si>
    <t>Alternativer Energieträger restliche Werk</t>
  </si>
  <si>
    <t>ct/l</t>
  </si>
  <si>
    <t>Durchschnittlicher Preis für Dieselkraftstoff in Deutschland 2020</t>
  </si>
  <si>
    <t>Alternativer Energieträger</t>
  </si>
  <si>
    <t>Elektrische Energie (deutscher Mix)</t>
  </si>
  <si>
    <t>Referenz 
Default Wert Rechner 2020</t>
  </si>
  <si>
    <t>Gesamtkosten</t>
  </si>
  <si>
    <t>Kosten 2020</t>
  </si>
  <si>
    <t>Strommix Dtld (bis 2045 klimaneutral)</t>
  </si>
  <si>
    <r>
      <t>CO</t>
    </r>
    <r>
      <rPr>
        <b/>
        <vertAlign val="subscript"/>
        <sz val="10"/>
        <color theme="1"/>
        <rFont val="Arial"/>
        <family val="2"/>
      </rPr>
      <t>2</t>
    </r>
    <r>
      <rPr>
        <b/>
        <sz val="10"/>
        <color theme="1"/>
        <rFont val="Arial"/>
        <family val="2"/>
      </rPr>
      <t>-Preis</t>
    </r>
  </si>
  <si>
    <t>Ökostrommix Dtld 2020</t>
  </si>
  <si>
    <t>Windstrom</t>
  </si>
  <si>
    <t>Wasserstrom</t>
  </si>
  <si>
    <t>PV-Strom</t>
  </si>
  <si>
    <t>Quellen</t>
  </si>
  <si>
    <t>Quellen (Kürzel)</t>
  </si>
  <si>
    <t>Quellen (lang)</t>
  </si>
  <si>
    <t>Diagrammtabelle</t>
  </si>
  <si>
    <t>In Diagramm anzeigen</t>
  </si>
  <si>
    <t>Härtekammer</t>
  </si>
  <si>
    <t>Heizung</t>
  </si>
  <si>
    <t>Restliche Werk</t>
  </si>
  <si>
    <t>Alternativer Energieträger restliches Werk</t>
  </si>
  <si>
    <t>Strommix Dtld.</t>
  </si>
  <si>
    <t>Reduktion EF Strom Scope 2 und 3</t>
  </si>
  <si>
    <t>Strommix Dtld Härtekammer</t>
  </si>
  <si>
    <t>Zusätzliche Kosten</t>
  </si>
  <si>
    <r>
      <t>CO</t>
    </r>
    <r>
      <rPr>
        <b/>
        <vertAlign val="subscript"/>
        <sz val="10"/>
        <color theme="1"/>
        <rFont val="Arial"/>
        <family val="2"/>
      </rPr>
      <t>2</t>
    </r>
    <r>
      <rPr>
        <b/>
        <sz val="10"/>
        <color theme="1"/>
        <rFont val="Arial"/>
        <family val="2"/>
      </rPr>
      <t>-Kosten Gesamt</t>
    </r>
  </si>
  <si>
    <r>
      <t>CO</t>
    </r>
    <r>
      <rPr>
        <i/>
        <vertAlign val="subscript"/>
        <sz val="10"/>
        <color theme="1"/>
        <rFont val="Arial"/>
        <family val="2"/>
      </rPr>
      <t>2</t>
    </r>
    <r>
      <rPr>
        <i/>
        <sz val="10"/>
        <color theme="1"/>
        <rFont val="Arial"/>
        <family val="2"/>
      </rPr>
      <t>-Kosten Scope 1</t>
    </r>
  </si>
  <si>
    <r>
      <t>CO</t>
    </r>
    <r>
      <rPr>
        <i/>
        <vertAlign val="subscript"/>
        <sz val="10"/>
        <color theme="1"/>
        <rFont val="Arial"/>
        <family val="2"/>
      </rPr>
      <t>2</t>
    </r>
    <r>
      <rPr>
        <i/>
        <sz val="10"/>
        <color theme="1"/>
        <rFont val="Arial"/>
        <family val="2"/>
      </rPr>
      <t>-Kosten Scope 2</t>
    </r>
  </si>
  <si>
    <r>
      <t>CO</t>
    </r>
    <r>
      <rPr>
        <i/>
        <vertAlign val="subscript"/>
        <sz val="10"/>
        <color theme="1"/>
        <rFont val="Arial"/>
        <family val="2"/>
      </rPr>
      <t>2</t>
    </r>
    <r>
      <rPr>
        <i/>
        <sz val="10"/>
        <color theme="1"/>
        <rFont val="Arial"/>
        <family val="2"/>
      </rPr>
      <t>-Kosten Scope 3</t>
    </r>
  </si>
  <si>
    <t>Energieträger intern</t>
  </si>
  <si>
    <r>
      <t>Summe ohne CO</t>
    </r>
    <r>
      <rPr>
        <vertAlign val="subscript"/>
        <sz val="10"/>
        <color theme="1"/>
        <rFont val="Arial"/>
        <family val="2"/>
      </rPr>
      <t>2</t>
    </r>
    <r>
      <rPr>
        <sz val="10"/>
        <color theme="1"/>
        <rFont val="Arial"/>
        <family val="2"/>
      </rPr>
      <t>-Kosten</t>
    </r>
  </si>
  <si>
    <t>Einmalige Kosten</t>
  </si>
  <si>
    <t>Weitere Zementsorte</t>
  </si>
  <si>
    <r>
      <t>t CO</t>
    </r>
    <r>
      <rPr>
        <vertAlign val="subscript"/>
        <sz val="10"/>
        <color theme="1"/>
        <rFont val="Arial"/>
        <family val="2"/>
      </rPr>
      <t>2</t>
    </r>
    <r>
      <rPr>
        <sz val="10"/>
        <color theme="1"/>
        <rFont val="Arial"/>
        <family val="2"/>
      </rPr>
      <t>e</t>
    </r>
  </si>
  <si>
    <r>
      <t>t CO</t>
    </r>
    <r>
      <rPr>
        <b/>
        <vertAlign val="subscript"/>
        <sz val="10"/>
        <color theme="1"/>
        <rFont val="Arial"/>
        <family val="2"/>
      </rPr>
      <t>2</t>
    </r>
    <r>
      <rPr>
        <b/>
        <sz val="10"/>
        <color theme="1"/>
        <rFont val="Arial"/>
        <family val="2"/>
      </rPr>
      <t>e</t>
    </r>
  </si>
  <si>
    <r>
      <t>t CO</t>
    </r>
    <r>
      <rPr>
        <b/>
        <vertAlign val="subscript"/>
        <sz val="10"/>
        <color theme="1"/>
        <rFont val="Arial"/>
        <family val="2"/>
      </rPr>
      <t>2</t>
    </r>
    <r>
      <rPr>
        <b/>
        <sz val="10"/>
        <color theme="1"/>
        <rFont val="Arial"/>
        <family val="2"/>
      </rPr>
      <t>e / t Produkt</t>
    </r>
  </si>
  <si>
    <t>Heizöl Härtekammer</t>
  </si>
  <si>
    <t>Strommix Dtld. Härtekammer</t>
  </si>
  <si>
    <t>Strommix Dtld..</t>
  </si>
  <si>
    <r>
      <rPr>
        <vertAlign val="superscript"/>
        <sz val="9"/>
        <color theme="1" tint="0.249977111117893"/>
        <rFont val="Arial"/>
        <family val="2"/>
      </rPr>
      <t>1)</t>
    </r>
    <r>
      <rPr>
        <sz val="9"/>
        <color theme="1" tint="0.249977111117893"/>
        <rFont val="Arial"/>
        <family val="2"/>
      </rPr>
      <t xml:space="preserve"> Z. B. Mehrkosten bei Wartung, Instandhaltung, Personal, etc. </t>
    </r>
  </si>
  <si>
    <t>Ergebnisse Maßnahme 1</t>
  </si>
  <si>
    <t>€/ 100l</t>
  </si>
  <si>
    <r>
      <rPr>
        <vertAlign val="superscript"/>
        <sz val="10"/>
        <color theme="1"/>
        <rFont val="Arial"/>
        <family val="2"/>
      </rPr>
      <t>1)</t>
    </r>
    <r>
      <rPr>
        <sz val="10"/>
        <color theme="1"/>
        <rFont val="Arial"/>
        <family val="2"/>
      </rPr>
      <t xml:space="preserve"> Im Musterwerk wird von Eigengewinnung ausgegangen, somit sind die Emissionen bereits beim Strom enthalten.</t>
    </r>
  </si>
  <si>
    <t xml:space="preserve">© Betonverband Straße, Landschaft, Garten e.V. und FutureCamp Climate. Alle Rechte vorbehalten. </t>
  </si>
  <si>
    <t>Nutzung der Methoden, Standarddaten und Ergebnisse nur mit  Verweis auf den Herausgeber gestattet.</t>
  </si>
  <si>
    <t>in Kooperation mit Vertretern</t>
  </si>
  <si>
    <t>der SLG-Mitgliedsunternehmen</t>
  </si>
  <si>
    <t>Herausgeber: Betonverband Straße, Landschaft, Garten e.V. (SLG)</t>
  </si>
  <si>
    <t>Gesteinskörnungen (Zuschlagsstoffe)</t>
  </si>
  <si>
    <t>Sand, Kies</t>
  </si>
  <si>
    <t>Brechsand, Splitt</t>
  </si>
  <si>
    <t>RC-Material (Sand, Splitt)</t>
  </si>
  <si>
    <t>Zusatzstoffe (Füllstoffe)</t>
  </si>
  <si>
    <t>Oberflächenschutzsysteme</t>
  </si>
  <si>
    <t>Hydrophobierung</t>
  </si>
  <si>
    <t>Beschichtung</t>
  </si>
  <si>
    <t>Oberflächenbearbeitung (vor/nach Erhärtung)</t>
  </si>
  <si>
    <t>Oberflächenbearbeitungsarten</t>
  </si>
  <si>
    <t>Weitere Materialen</t>
  </si>
  <si>
    <t>k.A.</t>
  </si>
  <si>
    <t>Transport gesamt</t>
  </si>
  <si>
    <t>Energieträger gesamt</t>
  </si>
  <si>
    <r>
      <t xml:space="preserve">Einmalige Kosten </t>
    </r>
    <r>
      <rPr>
        <b/>
        <vertAlign val="superscript"/>
        <sz val="10"/>
        <color theme="1"/>
        <rFont val="Arial"/>
        <family val="2"/>
      </rPr>
      <t>2)</t>
    </r>
  </si>
  <si>
    <t>Aufteilung der Scope 3 Emissionen</t>
  </si>
  <si>
    <t>Wasser &amp; Abwasser</t>
  </si>
  <si>
    <t xml:space="preserve">Gesamtemissionen </t>
  </si>
  <si>
    <r>
      <rPr>
        <b/>
        <sz val="10"/>
        <color theme="1"/>
        <rFont val="Arial"/>
        <family val="2"/>
      </rPr>
      <t xml:space="preserve">Erläuterung: </t>
    </r>
    <r>
      <rPr>
        <sz val="10"/>
        <color theme="1"/>
        <rFont val="Arial"/>
        <family val="2"/>
      </rPr>
      <t>In diesem Blatt werden die zentralen Quellen zur Herleitung der Default Werte für Preisannahmen und Wirtschaftlichkeitsberechnungen aufgeführt.</t>
    </r>
  </si>
  <si>
    <t>Heizwert 9,8 kWh / Liter</t>
  </si>
  <si>
    <r>
      <t>t CO</t>
    </r>
    <r>
      <rPr>
        <b/>
        <vertAlign val="subscript"/>
        <sz val="10"/>
        <rFont val="Arial"/>
        <family val="2"/>
      </rPr>
      <t>2</t>
    </r>
    <r>
      <rPr>
        <b/>
        <sz val="10"/>
        <rFont val="Arial"/>
        <family val="2"/>
      </rPr>
      <t>e</t>
    </r>
  </si>
  <si>
    <r>
      <t>t CO</t>
    </r>
    <r>
      <rPr>
        <vertAlign val="subscript"/>
        <sz val="10"/>
        <rFont val="Arial"/>
        <family val="2"/>
      </rPr>
      <t>2</t>
    </r>
    <r>
      <rPr>
        <sz val="10"/>
        <rFont val="Arial"/>
        <family val="2"/>
      </rPr>
      <t>e</t>
    </r>
  </si>
  <si>
    <t>Jährliche Kosten</t>
  </si>
  <si>
    <r>
      <t>CO</t>
    </r>
    <r>
      <rPr>
        <vertAlign val="subscript"/>
        <sz val="10"/>
        <rFont val="Arial"/>
        <family val="2"/>
      </rPr>
      <t>2</t>
    </r>
    <r>
      <rPr>
        <sz val="10"/>
        <rFont val="Arial"/>
        <family val="2"/>
      </rPr>
      <t xml:space="preserve"> Kosten Scope 1</t>
    </r>
  </si>
  <si>
    <r>
      <t>CO</t>
    </r>
    <r>
      <rPr>
        <vertAlign val="subscript"/>
        <sz val="10"/>
        <rFont val="Arial"/>
        <family val="2"/>
      </rPr>
      <t>2</t>
    </r>
    <r>
      <rPr>
        <sz val="10"/>
        <rFont val="Arial"/>
        <family val="2"/>
      </rPr>
      <t xml:space="preserve"> Kosten Scope 2</t>
    </r>
  </si>
  <si>
    <r>
      <t>CO</t>
    </r>
    <r>
      <rPr>
        <vertAlign val="subscript"/>
        <sz val="10"/>
        <rFont val="Arial"/>
        <family val="2"/>
      </rPr>
      <t>2</t>
    </r>
    <r>
      <rPr>
        <sz val="10"/>
        <rFont val="Arial"/>
        <family val="2"/>
      </rPr>
      <t xml:space="preserve"> Kosten Scope 3</t>
    </r>
  </si>
  <si>
    <r>
      <t xml:space="preserve">Wasser </t>
    </r>
    <r>
      <rPr>
        <b/>
        <vertAlign val="superscript"/>
        <sz val="10"/>
        <color theme="1"/>
        <rFont val="Arial"/>
        <family val="2"/>
      </rPr>
      <t>1)</t>
    </r>
  </si>
  <si>
    <t>Eingaben und Ergebnisse zu Maßnahme 1</t>
  </si>
  <si>
    <t>Maßnahme 1: Verminderung oder Vermeiden von Brennstoffeinsatz für die Härtekammern</t>
  </si>
  <si>
    <t>Berechnungsfaktor</t>
  </si>
  <si>
    <r>
      <t>t CO</t>
    </r>
    <r>
      <rPr>
        <vertAlign val="subscript"/>
        <sz val="10"/>
        <color theme="1"/>
        <rFont val="Arial"/>
        <family val="2"/>
      </rPr>
      <t>2</t>
    </r>
    <r>
      <rPr>
        <sz val="10"/>
        <color theme="1"/>
        <rFont val="Arial"/>
        <family val="2"/>
      </rPr>
      <t>e/t</t>
    </r>
    <r>
      <rPr>
        <vertAlign val="subscript"/>
        <sz val="10"/>
        <color theme="1"/>
        <rFont val="Arial"/>
        <family val="2"/>
      </rPr>
      <t>Produkt</t>
    </r>
  </si>
  <si>
    <t>Gesamtemissionen pro Tonne Produkt</t>
  </si>
  <si>
    <r>
      <t>t CO</t>
    </r>
    <r>
      <rPr>
        <b/>
        <vertAlign val="subscript"/>
        <sz val="10"/>
        <color theme="1"/>
        <rFont val="Arial"/>
        <family val="2"/>
      </rPr>
      <t>2</t>
    </r>
    <r>
      <rPr>
        <b/>
        <sz val="10"/>
        <color theme="1"/>
        <rFont val="Arial"/>
        <family val="2"/>
      </rPr>
      <t>e/t</t>
    </r>
    <r>
      <rPr>
        <b/>
        <vertAlign val="subscript"/>
        <sz val="10"/>
        <color theme="1"/>
        <rFont val="Arial"/>
        <family val="2"/>
      </rPr>
      <t>Produkt</t>
    </r>
  </si>
  <si>
    <r>
      <t>Summe ohne CO</t>
    </r>
    <r>
      <rPr>
        <vertAlign val="subscript"/>
        <sz val="10"/>
        <color theme="1"/>
        <rFont val="Arial"/>
        <family val="2"/>
      </rPr>
      <t>2</t>
    </r>
    <r>
      <rPr>
        <sz val="10"/>
        <color theme="1"/>
        <rFont val="Arial"/>
        <family val="2"/>
      </rPr>
      <t>-Kosten Scope 3</t>
    </r>
  </si>
  <si>
    <t>Eingaben und Ergebnisse zu Maßnahme 2</t>
  </si>
  <si>
    <t>Ergebnisse Maßnahme 2</t>
  </si>
  <si>
    <t>Investitionskosten je Stapler</t>
  </si>
  <si>
    <t>Prozentualer Bedarf Strom (ggü. Bedarf Diesel) je Stapler</t>
  </si>
  <si>
    <r>
      <rPr>
        <vertAlign val="superscript"/>
        <sz val="9"/>
        <color theme="1" tint="0.249977111117893"/>
        <rFont val="Arial"/>
        <family val="2"/>
      </rPr>
      <t>2)</t>
    </r>
    <r>
      <rPr>
        <sz val="9"/>
        <color theme="1" tint="0.249977111117893"/>
        <rFont val="Arial"/>
        <family val="2"/>
      </rPr>
      <t xml:space="preserve"> Z. B. für zusätzlichen Brandschutz, etc.</t>
    </r>
  </si>
  <si>
    <t>Dieselberaf je Stapler</t>
  </si>
  <si>
    <t>Liter/Stapler</t>
  </si>
  <si>
    <t>Strombedarf je Stapler</t>
  </si>
  <si>
    <t>kWh/Stapler</t>
  </si>
  <si>
    <t>Heizwert Diesel</t>
  </si>
  <si>
    <t>Prozentuale Reduktion der Energieträger für die Härtekammer (ggü. Referenzjahr)</t>
  </si>
  <si>
    <t>Investitionskosten im Jahr 2025 bzw. 2030</t>
  </si>
  <si>
    <t>Hilfsrechnung Investition</t>
  </si>
  <si>
    <t>CAPEX aus 2025</t>
  </si>
  <si>
    <t>Weitere CAPEX 2030</t>
  </si>
  <si>
    <r>
      <t xml:space="preserve">Zusätzliche jährl. Kosten </t>
    </r>
    <r>
      <rPr>
        <b/>
        <vertAlign val="superscript"/>
        <sz val="10"/>
        <color theme="1"/>
        <rFont val="Arial"/>
        <family val="2"/>
      </rPr>
      <t>1)</t>
    </r>
  </si>
  <si>
    <t>Einmalige Kosten aus 2025</t>
  </si>
  <si>
    <t>Einmalige Kosten aus 2030</t>
  </si>
  <si>
    <t>Anzahl Stapler Austausch 2030</t>
  </si>
  <si>
    <t>Anzahl Stapler Austausch 2025</t>
  </si>
  <si>
    <t>Eingaben und Ergebnisse zu Maßnahme 3</t>
  </si>
  <si>
    <t>Ergebnisse Maßnahme 3</t>
  </si>
  <si>
    <t>Dieselbedarf neuer Stapler</t>
  </si>
  <si>
    <t>Prozentuale Reduktion Dieselbedarf je Stapler</t>
  </si>
  <si>
    <t>Reduktion Dieselbedarf gesamt 2025</t>
  </si>
  <si>
    <t>Lieter</t>
  </si>
  <si>
    <t>Reduktion Dieselbedarf gesamt 2030</t>
  </si>
  <si>
    <t>Eingaben und Ergebnisse zu Maßnahme 4</t>
  </si>
  <si>
    <t>Ergebnisse Maßnahme 4</t>
  </si>
  <si>
    <t>Maßnahme 4: Ökostrom-Einkauf durch z. B. Power Purchase Agreement (PPA) oder Herkunftsnachweise (HKN)</t>
  </si>
  <si>
    <t>Grünstrommix</t>
  </si>
  <si>
    <t>Die zusätzlichen Kosten werden über den Grünstrompreis im Reiter "Eingabe Preise" definiert.</t>
  </si>
  <si>
    <t>EF</t>
  </si>
  <si>
    <t>Grünstrom Auswahl</t>
  </si>
  <si>
    <r>
      <t>Auswahl Grünstrom-Quelle</t>
    </r>
    <r>
      <rPr>
        <b/>
        <vertAlign val="superscript"/>
        <sz val="10"/>
        <color theme="1"/>
        <rFont val="Arial"/>
        <family val="2"/>
      </rPr>
      <t>1)</t>
    </r>
    <r>
      <rPr>
        <b/>
        <sz val="10"/>
        <color theme="1"/>
        <rFont val="Arial"/>
        <family val="2"/>
      </rPr>
      <t xml:space="preserve"> 
für 2025 und 2030</t>
    </r>
  </si>
  <si>
    <t>Eingaben und Ergebnisse zu Maßnahme 5</t>
  </si>
  <si>
    <t>Ergebnisse Maßnahme 5</t>
  </si>
  <si>
    <t>Strommenge Härtekammer</t>
  </si>
  <si>
    <t>Strommenge restliche Werk</t>
  </si>
  <si>
    <t>Strommenge PV-Anlage</t>
  </si>
  <si>
    <t>Dtl. Mix</t>
  </si>
  <si>
    <t>kWh/a</t>
  </si>
  <si>
    <t>Eingaben und Ergebnisse zu Maßnahme 6</t>
  </si>
  <si>
    <r>
      <rPr>
        <vertAlign val="superscript"/>
        <sz val="9"/>
        <color theme="1" tint="0.249977111117893"/>
        <rFont val="Arial"/>
        <family val="2"/>
      </rPr>
      <t>1)</t>
    </r>
    <r>
      <rPr>
        <sz val="9"/>
        <color theme="1" tint="0.249977111117893"/>
        <rFont val="Arial"/>
        <family val="2"/>
      </rPr>
      <t xml:space="preserve"> Z. B. Mehrkosten bei Wartung, Instandhaltung, Personal, etc. Dies kann in der Realität sehr unterschiedlich ausfallen, je nach umgesetzter Maßnahme.</t>
    </r>
  </si>
  <si>
    <t>Prozentuale Reduktion der Energieträger (ausgenommen Härtekammer) (ggü. Referenzjahr)</t>
  </si>
  <si>
    <t>Effizienz</t>
  </si>
  <si>
    <t>Auswahl Energieträger (ohne Härtekammern)</t>
  </si>
  <si>
    <t>Eingaben und Ergebnisse zu Maßnahme 7</t>
  </si>
  <si>
    <t>Ergebnisse Maßnahme 7</t>
  </si>
  <si>
    <t>CEM I</t>
  </si>
  <si>
    <t>CEM II</t>
  </si>
  <si>
    <t>Scope 3 Emissionen</t>
  </si>
  <si>
    <t>Aufteilung der Scope 1 und Scope 2 Emissionen</t>
  </si>
  <si>
    <t>Emissionen Scope 3</t>
  </si>
  <si>
    <t>Berechnungsfaktoren</t>
  </si>
  <si>
    <t>Maßnahme 3: Ersatz von Dieselstapler durch Dieselstapler mit besserer Effizienz</t>
  </si>
  <si>
    <t>Ersatzstoff 1</t>
  </si>
  <si>
    <t>Ersatzstoff 2</t>
  </si>
  <si>
    <t>Emissionsfaktor (Scope 3)  Ersatzsstoff 1</t>
  </si>
  <si>
    <t>Emissionsfaktor (Scope 3)  Ersatzsstoff 2</t>
  </si>
  <si>
    <t>Zusätzliche Ersatzstoffe</t>
  </si>
  <si>
    <t>Maßnahme 2: Umstellung Dieselstapler auf Elektroantrieb</t>
  </si>
  <si>
    <t>Anzahl Dieselstapler im Werk</t>
  </si>
  <si>
    <t>Umstellung Anzahl Dieselstapler</t>
  </si>
  <si>
    <t>Name Werk</t>
  </si>
  <si>
    <t>Datum</t>
  </si>
  <si>
    <t>Name Mitarbeiter</t>
  </si>
  <si>
    <r>
      <t>Weitere Zementsorte</t>
    </r>
    <r>
      <rPr>
        <vertAlign val="superscript"/>
        <sz val="10"/>
        <color theme="1"/>
        <rFont val="Arial"/>
        <family val="2"/>
      </rPr>
      <t>1)</t>
    </r>
  </si>
  <si>
    <r>
      <t>Investitionskosten</t>
    </r>
    <r>
      <rPr>
        <b/>
        <vertAlign val="superscript"/>
        <sz val="10"/>
        <color theme="1"/>
        <rFont val="Arial"/>
        <family val="2"/>
      </rPr>
      <t>3)</t>
    </r>
    <r>
      <rPr>
        <b/>
        <sz val="10"/>
        <color theme="1"/>
        <rFont val="Arial"/>
        <family val="2"/>
      </rPr>
      <t xml:space="preserve"> im Jahr 2025 bzw. 2030</t>
    </r>
  </si>
  <si>
    <r>
      <t xml:space="preserve">Zusätzliche jährl. Kosten </t>
    </r>
    <r>
      <rPr>
        <b/>
        <vertAlign val="superscript"/>
        <sz val="10"/>
        <color theme="1"/>
        <rFont val="Arial"/>
        <family val="2"/>
      </rPr>
      <t>4)</t>
    </r>
  </si>
  <si>
    <r>
      <t xml:space="preserve">Einmalige Kosten </t>
    </r>
    <r>
      <rPr>
        <b/>
        <vertAlign val="superscript"/>
        <sz val="10"/>
        <color theme="1"/>
        <rFont val="Arial"/>
        <family val="2"/>
      </rPr>
      <t>5)</t>
    </r>
  </si>
  <si>
    <t>Weiterer Ersatzsstoff 1</t>
  </si>
  <si>
    <t>Weiterer Ersatzstoff 2</t>
  </si>
  <si>
    <t>Kommentarfeld</t>
  </si>
  <si>
    <t>Eingaben und Ergebnisse zu Maßnahme 8</t>
  </si>
  <si>
    <t>Maßnahme 8: Rezepturänderung - Einsatz von Sorten mit geringeren Emissionsfaktoren (über allgemeine Marktentwicklung hinausgehend)</t>
  </si>
  <si>
    <t>Reduzierung Emissionsfaktor (ggü. Referenzjahr) folgender Stoffe:</t>
  </si>
  <si>
    <t>Eingaben und Ergebnisse zu Maßnahme 9</t>
  </si>
  <si>
    <t>Maßnahme 9: Einsatz von Recyclingmaterial</t>
  </si>
  <si>
    <t>Ergebnisse Maßnahme 9</t>
  </si>
  <si>
    <t>Ergebnisse Maßnahme 8</t>
  </si>
  <si>
    <t>Eingabe der Preisannahmen</t>
  </si>
  <si>
    <r>
      <t>€/tCO</t>
    </r>
    <r>
      <rPr>
        <vertAlign val="subscript"/>
        <sz val="10"/>
        <color theme="1"/>
        <rFont val="Arial"/>
        <family val="2"/>
      </rPr>
      <t>2</t>
    </r>
  </si>
  <si>
    <t>Preisannahmen Default Werte</t>
  </si>
  <si>
    <t>Bischoff &amp; Ditze (2020)</t>
  </si>
  <si>
    <r>
      <t>€/tCO</t>
    </r>
    <r>
      <rPr>
        <vertAlign val="subscript"/>
        <sz val="10"/>
        <rFont val="Arial"/>
        <family val="2"/>
      </rPr>
      <t>2</t>
    </r>
  </si>
  <si>
    <r>
      <t>€/tCO</t>
    </r>
    <r>
      <rPr>
        <b/>
        <vertAlign val="subscript"/>
        <sz val="10"/>
        <rFont val="Arial"/>
        <family val="2"/>
      </rPr>
      <t>2</t>
    </r>
  </si>
  <si>
    <t>EUA Futures DEC 2020; 01.01.2020 bis 14.12.2020</t>
  </si>
  <si>
    <t>EUA Futures DEC 2021; 01.01.2021 bis 20.12.2021</t>
  </si>
  <si>
    <t>EUA Futures DEC 2022; 01.01.2022 bis 07.11.2022</t>
  </si>
  <si>
    <t>https://www.rheingas.de/fluessiggas/gastank/preisentwicklung</t>
  </si>
  <si>
    <t>Erdgaspreise für Haushalte Durchschnitt 2020</t>
  </si>
  <si>
    <r>
      <t>Strompreis für Nicht-Haushalte Durchschnitt 2020; Beschaffungskosten bereinigt um den CO</t>
    </r>
    <r>
      <rPr>
        <vertAlign val="subscript"/>
        <sz val="10"/>
        <color theme="1"/>
        <rFont val="Arial"/>
        <family val="2"/>
      </rPr>
      <t>2</t>
    </r>
    <r>
      <rPr>
        <sz val="10"/>
        <color theme="1"/>
        <rFont val="Arial"/>
        <family val="2"/>
      </rPr>
      <t>-Anteil im Strompreis 
(Annahme: preissetzendes Grenzkraftwerk: Steinkohle)</t>
    </r>
  </si>
  <si>
    <t>ICE (2020)</t>
  </si>
  <si>
    <t>ICE (2021)</t>
  </si>
  <si>
    <t>ICE (2022)</t>
  </si>
  <si>
    <t>t/1000l</t>
  </si>
  <si>
    <t xml:space="preserve"> GJ/t</t>
  </si>
  <si>
    <t>Dichte Diesel</t>
  </si>
  <si>
    <t>Hier nur Eintragungen vornehmen, falls bereits im Referenzfall eine weitere Zementsorte relevant ist (siehe Reiter Referenzwerk). Neue in Zukunft zum Einsatz kommende Zementsorten bitte bei Ersatzstoffe eintragen.</t>
  </si>
  <si>
    <t>1)</t>
  </si>
  <si>
    <t>2)</t>
  </si>
  <si>
    <t>3)</t>
  </si>
  <si>
    <t>4)</t>
  </si>
  <si>
    <t>5)</t>
  </si>
  <si>
    <t>Ersatzstoffe sind die Stoffe, die zusätzlich eingesetzt werden, um den Zementeinsatz (gemäß Referenz 2020) reduzieren zu können. Dies können zum Beispiel Zusatzstoffe, Zusatzmittel, Bindemittel oder auch andere Zementsorten sein.</t>
  </si>
  <si>
    <t xml:space="preserve">Z. B. Mehrkosten bei Wartung, Instandhaltung, Personal, etc. </t>
  </si>
  <si>
    <t>Z. B. für zusätzlichen Brandschutz, etc.</t>
  </si>
  <si>
    <t>Hier ist kein Default Wert hinterlegt. Investitionen sind abhängig von Maßnahmen und Unternehmen (z. B. Mischtechnologie und Silokapazitäten) und können nicht vordefiniert werden.</t>
  </si>
  <si>
    <r>
      <t>tCO</t>
    </r>
    <r>
      <rPr>
        <vertAlign val="subscript"/>
        <sz val="10"/>
        <color theme="1"/>
        <rFont val="Arial"/>
        <family val="2"/>
      </rPr>
      <t>2</t>
    </r>
    <r>
      <rPr>
        <sz val="10"/>
        <color theme="1"/>
        <rFont val="Arial"/>
        <family val="2"/>
      </rPr>
      <t>e/t</t>
    </r>
    <r>
      <rPr>
        <vertAlign val="subscript"/>
        <sz val="10"/>
        <color theme="1"/>
        <rFont val="Arial"/>
        <family val="2"/>
      </rPr>
      <t>Ersatzstoff</t>
    </r>
  </si>
  <si>
    <t>Emissionen Startbilanz - Referenzjahr 2020</t>
  </si>
  <si>
    <r>
      <t>CO</t>
    </r>
    <r>
      <rPr>
        <b/>
        <vertAlign val="subscript"/>
        <sz val="10"/>
        <color theme="1"/>
        <rFont val="Arial"/>
        <family val="2"/>
      </rPr>
      <t>2</t>
    </r>
    <r>
      <rPr>
        <b/>
        <sz val="10"/>
        <color theme="1"/>
        <rFont val="Arial"/>
        <family val="2"/>
      </rPr>
      <t>-Kosten</t>
    </r>
  </si>
  <si>
    <r>
      <rPr>
        <b/>
        <sz val="10"/>
        <color theme="1"/>
        <rFont val="Arial"/>
        <family val="2"/>
      </rPr>
      <t xml:space="preserve">Erläuterung: </t>
    </r>
    <r>
      <rPr>
        <sz val="10"/>
        <color theme="1"/>
        <rFont val="Arial"/>
        <family val="2"/>
      </rPr>
      <t>In diesem Blatt werden die Default Werte für Preisannahmen aufgeführt. Die hinterlegten Default Werte zu den Preisen können durch Handeingaben angepasst werden. Dies ist für die drei betrachteten Jahre 2020, 2025 und 2030 unterschiedlich möglich. 
Zudem wird der CO</t>
    </r>
    <r>
      <rPr>
        <vertAlign val="subscript"/>
        <sz val="10"/>
        <color theme="1"/>
        <rFont val="Arial"/>
        <family val="2"/>
      </rPr>
      <t>2</t>
    </r>
    <r>
      <rPr>
        <sz val="10"/>
        <color theme="1"/>
        <rFont val="Arial"/>
        <family val="2"/>
      </rPr>
      <t>-Preis je Scope dargestellt, da der CO</t>
    </r>
    <r>
      <rPr>
        <vertAlign val="subscript"/>
        <sz val="10"/>
        <color theme="1"/>
        <rFont val="Arial"/>
        <family val="2"/>
      </rPr>
      <t>2</t>
    </r>
    <r>
      <rPr>
        <sz val="10"/>
        <color theme="1"/>
        <rFont val="Arial"/>
        <family val="2"/>
      </rPr>
      <t>-Preis durch unterschiedliche Systeme geprägt sein kann (z. B. der Erdgaspreis im Werk in Scope 1 durch das nationale Emissionshandelssystem (nEHS) und die Scope 2 Emissionen Strombezug aus dem Europäischen Emissionshandel (EU ETS)).</t>
    </r>
  </si>
  <si>
    <t>Default Wert</t>
  </si>
  <si>
    <r>
      <t>kWh</t>
    </r>
    <r>
      <rPr>
        <vertAlign val="subscript"/>
        <sz val="10"/>
        <color theme="1"/>
        <rFont val="Arial"/>
        <family val="2"/>
      </rPr>
      <t>Hs</t>
    </r>
  </si>
  <si>
    <t>Erläuterungen:</t>
  </si>
  <si>
    <r>
      <rPr>
        <b/>
        <sz val="10.5"/>
        <color theme="1"/>
        <rFont val="Arial"/>
        <family val="2"/>
        <scheme val="minor"/>
      </rPr>
      <t>Erläuterungen:</t>
    </r>
    <r>
      <rPr>
        <sz val="10.5"/>
        <color theme="1"/>
        <rFont val="Arial"/>
        <family val="2"/>
        <scheme val="minor"/>
      </rPr>
      <t xml:space="preserve"> </t>
    </r>
  </si>
  <si>
    <t>Maßnahme 5: Produktion von eigenem regenerativen Strom, speziell Photovoltaik</t>
  </si>
  <si>
    <r>
      <rPr>
        <vertAlign val="superscript"/>
        <sz val="10"/>
        <color theme="1"/>
        <rFont val="Arial"/>
        <family val="2"/>
      </rPr>
      <t xml:space="preserve">1) </t>
    </r>
    <r>
      <rPr>
        <sz val="10"/>
        <color theme="1"/>
        <rFont val="Arial"/>
        <family val="2"/>
      </rPr>
      <t>Die Scope 2 Emssionen betragen bei allen Grünstromarten null. Jedoch sind die Scope 3 Emissionen je nach erneuerbare Energienquelle unterschiedlich.</t>
    </r>
  </si>
  <si>
    <t>Maßnahme 6: Generell Energieeinsparmaßnahmen ohne Einfluss auf die Härtekammern</t>
  </si>
  <si>
    <r>
      <t>Bentötigte Ersatzstoffe</t>
    </r>
    <r>
      <rPr>
        <b/>
        <vertAlign val="superscript"/>
        <sz val="10"/>
        <color theme="1"/>
        <rFont val="Arial"/>
        <family val="2"/>
      </rPr>
      <t>2)</t>
    </r>
    <r>
      <rPr>
        <b/>
        <sz val="10"/>
        <color theme="1"/>
        <rFont val="Arial"/>
        <family val="2"/>
      </rPr>
      <t xml:space="preserve"> :</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</si>
  <si>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6</t>
    </r>
    <r>
      <rPr>
        <sz val="10.5"/>
        <color theme="1"/>
        <rFont val="Arial"/>
        <family val="2"/>
        <scheme val="minor"/>
      </rPr>
      <t xml:space="preserve"> kann eine Vielzahl von Maßnahmen umfassen. Einige Beispiele sind: 
   - Energieeffizienzmaßnahmen
   - Modernisierung und Neuanschaffung von Produktionsanlagen
   - Effizienzsteigerung energieintensiver Druckluft- und Hydrauliktechnik
   - Abwärmenutzung und Energierückgewinnung.
Da die Maßnahmen sowie das zu realisierende Potenzial im jeweilig betrachteten Unternehmen sehr unterschiedlich ausfallen können, sind die Default Werte eher als Platzhalter zu verstehen. 
Die </t>
    </r>
    <r>
      <rPr>
        <b/>
        <sz val="10.5"/>
        <color theme="1"/>
        <rFont val="Arial"/>
        <family val="2"/>
        <scheme val="minor"/>
      </rPr>
      <t>prozentuale Reduktion</t>
    </r>
    <r>
      <rPr>
        <sz val="10.5"/>
        <color theme="1"/>
        <rFont val="Arial"/>
        <family val="2"/>
        <scheme val="minor"/>
      </rPr>
      <t xml:space="preserve"> bezieht sich auf den Referenzwert 2020. Somit beinhaltet der Wert 2030 auch den Wert von 2025 und ist nicht als zusätzlich anzusehen. 
Beispiel (Default Wert): Im Jahr 2025 werden bereits 5 % der Energie eingespart. Da der Default Wert 2030 immer noch 5 % beträgt, sind keine weiteren Einsparungen realisiert worden.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
</t>
    </r>
    <r>
      <rPr>
        <b/>
        <u/>
        <sz val="10.5"/>
        <color theme="1"/>
        <rFont val="Arial"/>
        <family val="2"/>
        <scheme val="minor"/>
      </rPr>
      <t>Anmerkung:</t>
    </r>
    <r>
      <rPr>
        <sz val="10.5"/>
        <color theme="1"/>
        <rFont val="Arial"/>
        <family val="2"/>
        <scheme val="minor"/>
      </rPr>
      <t xml:space="preserve"> Der hinterlegte Default Wert für den Energieträger ist der Strombedarf des Werks (ohne Härtekammer). Sollten Effizienzmaßnahmen für andere Energieträger durchgeführt werden, muss dies erst ausgewählt werden. Eine Abbildung von Effizienzmaßnahmen für mehrere Energieträger gleichzeitig, ist mit diesem Rechner nicht abbildbar. </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</si>
  <si>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1</t>
    </r>
    <r>
      <rPr>
        <sz val="10.5"/>
        <color theme="1"/>
        <rFont val="Arial"/>
        <family val="2"/>
        <scheme val="minor"/>
      </rPr>
      <t xml:space="preserve"> bewertet die Reduktion von Scope 1 bzw. Scope 2 Emission im Werk durch die Reduktion oder die Vermeidung vom Einsatz fossiler Energieträger für die Härtekammern.
Die </t>
    </r>
    <r>
      <rPr>
        <b/>
        <sz val="10.5"/>
        <color theme="1"/>
        <rFont val="Arial"/>
        <family val="2"/>
        <scheme val="minor"/>
      </rPr>
      <t xml:space="preserve">prozentuale Reduktion </t>
    </r>
    <r>
      <rPr>
        <sz val="10.5"/>
        <color theme="1"/>
        <rFont val="Arial"/>
        <family val="2"/>
        <scheme val="minor"/>
      </rPr>
      <t xml:space="preserve">bezieht sich auf den Referenzwert 2020. Somit beinhaltet der Wert 2030 auch den Wert von 2025 und ist nicht als zusätzlich anzusehen. 
</t>
    </r>
    <r>
      <rPr>
        <u/>
        <sz val="10.5"/>
        <color theme="1"/>
        <rFont val="Arial"/>
        <family val="2"/>
        <scheme val="minor"/>
      </rPr>
      <t>Beispiel (Default Wert):</t>
    </r>
    <r>
      <rPr>
        <sz val="10.5"/>
        <color theme="1"/>
        <rFont val="Arial"/>
        <family val="2"/>
        <scheme val="minor"/>
      </rPr>
      <t xml:space="preserve"> Im Jahr 2025 werden bereits 30% der Energie eingespart. Da der Default Wert 2030 immer noch 30% beträgt, sind keine weiteren Einsparungen realisiert worden.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</si>
  <si>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7 </t>
    </r>
    <r>
      <rPr>
        <sz val="10.5"/>
        <color theme="1"/>
        <rFont val="Arial"/>
        <family val="2"/>
        <scheme val="minor"/>
      </rPr>
      <t>betrachtet eine Rezepturänderung. Konkret wird im Default Fall die Reduzierung vom Zementeinsatz (CEM I, CEM II und Weißzement und falls vorhanden auch eine weitere Zementsorte) betrachtet. Um diesen zu reduzieren, wird zudem angenommen, dass ein Mehrverbrauch von Quarzsteinmehl und Kalksteinmehl erforderlich ist. Zudem besteht im Eingabefeld die Möglichkeit zwei weitere Ersatzstoffe einzutragen und zu berücksichtigen. Da diese Stoffe im Referenzfall (Werk 2020) nicht berücksichtigt sind, müssen diese Eingaben in Tonnen erfolgen und nicht in Prozent, wie die bereits vorhandenen Stoffe. 
Die</t>
    </r>
    <r>
      <rPr>
        <b/>
        <sz val="10.5"/>
        <color theme="1"/>
        <rFont val="Arial"/>
        <family val="2"/>
        <scheme val="minor"/>
      </rPr>
      <t xml:space="preserve"> prozentuale Reduktion und auch der Mehrverbrauch</t>
    </r>
    <r>
      <rPr>
        <sz val="10.5"/>
        <color theme="1"/>
        <rFont val="Arial"/>
        <family val="2"/>
        <scheme val="minor"/>
      </rPr>
      <t xml:space="preserve"> von Materialien bezieht sich auf den Referenzwert 2020. Somit beinhaltet der Wert 2030 auch den Wert von 2025 und ist nicht als zusätzlich anzusehen. </t>
    </r>
  </si>
  <si>
    <r>
      <t>tCO</t>
    </r>
    <r>
      <rPr>
        <vertAlign val="subscript"/>
        <sz val="10"/>
        <color theme="1"/>
        <rFont val="Arial"/>
        <family val="2"/>
      </rPr>
      <t>2</t>
    </r>
    <r>
      <rPr>
        <sz val="10"/>
        <color theme="1"/>
        <rFont val="Arial"/>
        <family val="2"/>
      </rPr>
      <t>e/t</t>
    </r>
    <r>
      <rPr>
        <vertAlign val="subscript"/>
        <sz val="10"/>
        <color theme="1"/>
        <rFont val="Arial"/>
        <family val="2"/>
      </rPr>
      <t>Recyc.</t>
    </r>
  </si>
  <si>
    <t>Menge Recyclingmaterial</t>
  </si>
  <si>
    <t>Ersatzstoffe &amp; Recyclingmaterial</t>
  </si>
  <si>
    <t>Recyclingmaterial</t>
  </si>
  <si>
    <r>
      <t>Menge Recyclingmaterial</t>
    </r>
    <r>
      <rPr>
        <vertAlign val="superscript"/>
        <sz val="10"/>
        <color theme="1"/>
        <rFont val="Arial"/>
        <family val="2"/>
      </rPr>
      <t>3)</t>
    </r>
  </si>
  <si>
    <t>Menge Recyclingmaterial wird berechnet anhand "Anteiliger Einsatz"</t>
  </si>
  <si>
    <t>6)</t>
  </si>
  <si>
    <r>
      <t>Investitionskosten</t>
    </r>
    <r>
      <rPr>
        <b/>
        <vertAlign val="superscript"/>
        <sz val="10"/>
        <color theme="1"/>
        <rFont val="Arial"/>
        <family val="2"/>
      </rPr>
      <t>4)</t>
    </r>
    <r>
      <rPr>
        <b/>
        <sz val="10"/>
        <color theme="1"/>
        <rFont val="Arial"/>
        <family val="2"/>
      </rPr>
      <t xml:space="preserve"> im Jahr 2025 bzw. 2030</t>
    </r>
  </si>
  <si>
    <r>
      <t xml:space="preserve">Zusätzliche jährl. Kosten </t>
    </r>
    <r>
      <rPr>
        <b/>
        <vertAlign val="superscript"/>
        <sz val="10"/>
        <color theme="1"/>
        <rFont val="Arial"/>
        <family val="2"/>
      </rPr>
      <t>5)</t>
    </r>
  </si>
  <si>
    <r>
      <t xml:space="preserve">Einmalige Kosten </t>
    </r>
    <r>
      <rPr>
        <b/>
        <vertAlign val="superscript"/>
        <sz val="10"/>
        <color theme="1"/>
        <rFont val="Arial"/>
        <family val="2"/>
      </rPr>
      <t>6)</t>
    </r>
  </si>
  <si>
    <t>Weblink (Stand 18.10.2022)</t>
  </si>
  <si>
    <t>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t>
  </si>
  <si>
    <t>https://de.statista.com/statistik/daten/studie/1692/umfrage/preis-fuer-einen-liter-leichtes-heizoel-monatsdurchschnittswerte/#professional</t>
  </si>
  <si>
    <t xml:space="preserve">Statista (2022): Durchschnittlicher Preis für leichtes Heizöl in Deutschland in den Monaten Januar 2020 bis November 2022 </t>
  </si>
  <si>
    <t>https://www-genesis.destatis.de/genesis/online?operation=abruftabelleBearbeiten&amp;levelindex=1&amp;levelid=1662640498524&amp;auswahloperation=abruftabelleAuspraegungAuswaehlen&amp;auswahlverzeichnis=ordnungsstruktur&amp;auswahlziel=werteabruf&amp;code=61243-0006&amp;auswahltext=&amp;werteabruf=starten#abreadcrumb</t>
  </si>
  <si>
    <t>Bischoff &amp; Ditze (2020): Handel von Herkunftsnachweisen, S. 14</t>
  </si>
  <si>
    <t>Rheingas (2022): Durchschnitt 2020 der Miettank Kunden Rheingas</t>
  </si>
  <si>
    <t>https://www.rheingas.de/fluessiggas/gastank/der-energietraeger-fluessiggas/umrechner</t>
  </si>
  <si>
    <t>Rheingas (2022): Umrechnung Flüssiggas - Die Umrechnung von Flüssiggas in verschiedene Einheiten</t>
  </si>
  <si>
    <r>
      <t xml:space="preserve">Umrechnungsfaktor: 7,111 l/kWh </t>
    </r>
    <r>
      <rPr>
        <sz val="10"/>
        <color theme="0" tint="-0.499984740745262"/>
        <rFont val="Arial"/>
        <family val="2"/>
        <scheme val="minor"/>
      </rPr>
      <t>(Quelle: Rheingas 2022 b)</t>
    </r>
  </si>
  <si>
    <t>Aufpreis von 2,50 €/MWh für die Herkunftsnachweise (Grünstrom)</t>
  </si>
  <si>
    <t>Statista (2022): Durchschnittlicher Preis für Dieselkraftstoff in Deutschland in den Jahren 1950 bis 2022</t>
  </si>
  <si>
    <t>https://de.statista.com/statistik/daten/studie/779/umfrage/durchschnittspreis-fuer-dieselkraftstoff-seit-dem-jahr-1950/</t>
  </si>
  <si>
    <t>Statistische Bundesamt (2022 a): GENESIS-Online: Erdgaspreise für Haushalte 2020</t>
  </si>
  <si>
    <t>Statistische Bundesamt (2022 b): GENESIS-Online: Strompreis für Nicht-Haushalte Durchschnitt 2020</t>
  </si>
  <si>
    <t>Statistisches Bundesamt (2022 a)</t>
  </si>
  <si>
    <t>Statistisches Bundesamt (2022 b)</t>
  </si>
  <si>
    <t>Statista (2022 a)</t>
  </si>
  <si>
    <t>Statista (2022 b)</t>
  </si>
  <si>
    <t>Rheingas (2022 a)</t>
  </si>
  <si>
    <t>Rheingas (2022 b)</t>
  </si>
  <si>
    <t>Intercontinental Exchange, Inc. (2020): EUA Futures DEC 2020; 01.01.2020 bis 14.12.2020</t>
  </si>
  <si>
    <t>Intercontinental Exchange, Inc. (2021): EUA Futures DEC 2021; 01.01.2021 bis 20.12.2021</t>
  </si>
  <si>
    <t>Intercontinental Exchange, Inc. (2022): EUA Futures DEC 2022; 01.01.2022 bis 07.11.2022</t>
  </si>
  <si>
    <t>https://www.theice.com/products/197/EUA-Futures/data?marketId=7182641</t>
  </si>
  <si>
    <t>BEHG</t>
  </si>
  <si>
    <t>§ 10 Abs. 2 BEHG Novelle</t>
  </si>
  <si>
    <t>Vogl, V., Åhman, M., Nilsson, L. J. (2018). Assessment of hydrogen direct reduction for fossil-free steelmaking. Journal of Cleaner Production, Vol. 203, pp. 736-745.</t>
  </si>
  <si>
    <t>https://reader.elsevier.com/reader/sd/pii/S0959652618326301?token=141CBDF6F88338E77A3D37AB4B08B4BBBBDD032E4E72E31BB7DB4EB5F3C4AC2DA5F87F2DC7E28FABE2C99C649C1A4806</t>
  </si>
  <si>
    <t>Zweites Gesetz zur Änderung des Brennstoffemissionshandelsgesetzes - Vom 9. November 2022</t>
  </si>
  <si>
    <t>https://www.gov.uk/government/collections/government-conversion-factors-for-company-reporting</t>
  </si>
  <si>
    <t>https://iinas.org/downloads/gemis-downloads/</t>
  </si>
  <si>
    <t>https://www.umweltbundesamt.de/publikationen/entwicklung-der-spezifischen-kohlendioxid-8</t>
  </si>
  <si>
    <t>EPD-VDZ-20220153-IAG1-DE</t>
  </si>
  <si>
    <t>EPD-VDZ-20210336-IAG1-DE</t>
  </si>
  <si>
    <t>Verein Deutscher Zementwerke e.V., Umweltprodukt-Deklaration, EPD-VDZ-20220153-IAG1-DE, 08.06.2022</t>
  </si>
  <si>
    <t>https://www.vdz-online.de/fileadmin/wissensportal/publikationen/umweltschutz/Portlandzement_CEM_I.pdf</t>
  </si>
  <si>
    <t>Verein Deutscher Zementwerke e.V., Umweltprodukt-Deklaration, EPD-VDZ-20210336-IAG1-DE, 25.05.2022</t>
  </si>
  <si>
    <t>https://www.vdz-online.de/fileadmin/wissensportal/publikationen/umweltschutz/Durchschnittlicher_Zement_D.pdf</t>
  </si>
  <si>
    <t>https://www.bafa.de/SharedDocs/Downloads/DE/Energie/eew_infoblatt_co2_faktoren_2021.pdf;jsessionid=B9BD68A926560CFF69991AF149A45574.1_cid381?__blob=publicationFile&amp;v=9</t>
  </si>
  <si>
    <t>https://eurocolour.org/media/eurocolour_flyer_carbon_footprint_05.2022.pdf</t>
  </si>
  <si>
    <t>https://ecoinvent.org/the-ecoinvent-database/</t>
  </si>
  <si>
    <t>https://www.probas.umweltbundesamt.de/php/prozessdetails.php?id=%7B0E0B2C9A-9043-11D3-B2C8-0080C8941B49%7D</t>
  </si>
  <si>
    <t>https://muster-epd.deutsche-bauchemie.de/fileadmin/user_upload/EFCA-model-EPD_plasticisers_superplasticisers_final_2026-12-15.pdf</t>
  </si>
  <si>
    <t>https://muster-epd.deutsche-bauchemie.de/fileadmin/user_upload/EFCA-model-EPD_air_entrainers_final_2026-12-15.pdf</t>
  </si>
  <si>
    <t>https://muster-epd.deutsche-bauchemie.de/fileadmin/user_upload/EFCA-model-EPD_retarders_final_2026-12-15.pdf</t>
  </si>
  <si>
    <t>https://muster-epd.deutsche-bauchemie.de/fileadmin/user_upload/EFCA-model-EPD_water-resisting_admixtures_final_2026-12-15.pdf</t>
  </si>
  <si>
    <t>Institut Bauen und Umwelt e.V. (IBU), Umweltprodukt-Deklaration, EPD-EFC-20210198-IBG1-EN, 16.12.2021</t>
  </si>
  <si>
    <t>Institut Bauen und Umwelt e. V. - EPD</t>
  </si>
  <si>
    <t>https://www.agora-energiewende.de/veroeffentlichungen/transformationskostenrechner-power-2-heat/</t>
  </si>
  <si>
    <t>DEHSt (2022)</t>
  </si>
  <si>
    <t>GEMIS 5.0</t>
  </si>
  <si>
    <t>UBA (2022)</t>
  </si>
  <si>
    <t>NettoWerte</t>
  </si>
  <si>
    <t>DEFRA (2021 a)</t>
  </si>
  <si>
    <t>DEFRA (2021 b)</t>
  </si>
  <si>
    <t>DEFRA (2021 c)</t>
  </si>
  <si>
    <t>DEFRA (2021 d)</t>
  </si>
  <si>
    <t>DEFRA (2021 e)</t>
  </si>
  <si>
    <t>GEMIS (2019)</t>
  </si>
  <si>
    <t>ProBas (2022 a)</t>
  </si>
  <si>
    <t>ProBas (2022 b)</t>
  </si>
  <si>
    <t>ProBas (2022 c)</t>
  </si>
  <si>
    <t>Eurocolour (2022)</t>
  </si>
  <si>
    <t>BAFA (2021 b)</t>
  </si>
  <si>
    <t>BAFA (2021 a)</t>
  </si>
  <si>
    <t>FutureCamp (2022)</t>
  </si>
  <si>
    <r>
      <t xml:space="preserve">Zement - CEM I </t>
    </r>
    <r>
      <rPr>
        <vertAlign val="superscript"/>
        <sz val="10"/>
        <color theme="1"/>
        <rFont val="Arial"/>
        <family val="2"/>
      </rPr>
      <t>1)</t>
    </r>
  </si>
  <si>
    <r>
      <t xml:space="preserve">Zement - CEM II </t>
    </r>
    <r>
      <rPr>
        <vertAlign val="superscript"/>
        <sz val="10"/>
        <color theme="1"/>
        <rFont val="Arial"/>
        <family val="2"/>
      </rPr>
      <t>1)</t>
    </r>
  </si>
  <si>
    <r>
      <t xml:space="preserve">Weißzement </t>
    </r>
    <r>
      <rPr>
        <vertAlign val="superscript"/>
        <sz val="10"/>
        <color theme="1"/>
        <rFont val="Arial"/>
        <family val="2"/>
      </rPr>
      <t>1)</t>
    </r>
  </si>
  <si>
    <r>
      <t xml:space="preserve">Wasser </t>
    </r>
    <r>
      <rPr>
        <vertAlign val="superscript"/>
        <sz val="10"/>
        <color theme="3" tint="9.9978637043366805E-2"/>
        <rFont val="Arial"/>
        <family val="2"/>
      </rPr>
      <t>2)</t>
    </r>
  </si>
  <si>
    <r>
      <rPr>
        <vertAlign val="superscript"/>
        <sz val="10"/>
        <color theme="1"/>
        <rFont val="Arial"/>
        <family val="2"/>
      </rPr>
      <t>1)</t>
    </r>
    <r>
      <rPr>
        <sz val="10"/>
        <color theme="1"/>
        <rFont val="Arial"/>
        <family val="2"/>
      </rPr>
      <t xml:space="preserve"> Emissionsfaktoren sind Nettowertangaben.</t>
    </r>
  </si>
  <si>
    <r>
      <rPr>
        <vertAlign val="superscript"/>
        <sz val="10"/>
        <color theme="1"/>
        <rFont val="Arial"/>
        <family val="2"/>
      </rPr>
      <t>2)</t>
    </r>
    <r>
      <rPr>
        <sz val="10"/>
        <color theme="1"/>
        <rFont val="Arial"/>
        <family val="2"/>
      </rPr>
      <t xml:space="preserve"> Im Musterwerk wird von Eigengewinnung ausgegangen, somit sind die Emissionen bereits beim Strom enthalten.</t>
    </r>
  </si>
  <si>
    <t>Ecoinvent (2022 b)</t>
  </si>
  <si>
    <t>Agora (2022)</t>
  </si>
  <si>
    <t>Agora Industrie, FutureCamp, Wuppertal Institut (2022): Power-2-Heat: Direkte Elektrifizierung von industrieller Prozesswärme - Rechner für die Abschätzung der Transformationskosten Modellversion 1.0, Berlin, 05.07.22</t>
  </si>
  <si>
    <t>Bundesamt für Wirtschaft und Ausfuhrkontrolle (BAFA); Informationsblatt CO2-Faktoren, Datum des Inkrafttreten 01.11.2021; Kies (Baukies) analog Sand (Bausand)</t>
  </si>
  <si>
    <t>Bundesamt für Wirtschaft und Ausfuhrkontrolle (BAFA); Informationsblatt CO2-Faktoren, Datum des Inkrafttreten 01.11.2021; Quarzsand</t>
  </si>
  <si>
    <t xml:space="preserve">Department for Environment, Food and Rural Affairs (Britische Regierung): Fuels, Gaseous Fuels,  Natural Gas, GCV (Gross calorific value) </t>
  </si>
  <si>
    <t xml:space="preserve">Department for Environment, Food and Rural Affairs (Britische Regierung): WTT Fuels, Gaseous Fuels,  Natural Gas, GCV (Gross calorific value) </t>
  </si>
  <si>
    <t>Department for Environment, Food and Rural Affairs (Britische Regierung): Fuels, Gaseous Fuels,  LPG, NCV (Net calorific value)</t>
  </si>
  <si>
    <t>Department for Environment, Food and Rural Affairs (Britische Regierung): WTT Fuels, Gaseous Fuels,  LPG, NCV (Net calorific value)</t>
  </si>
  <si>
    <t>Department for Environment, Food and Rural Affairs (Britische Regierung): Water treatment, cubic metres</t>
  </si>
  <si>
    <t>Deutsche Emissionshandelsstelle (DEHSt) im Umweltbundesamt (2022): Leitfaden zur Erstellung von Überwachungsplänen und Emissionsberichten für stationäre Anlagen - 4. Handelsperiode (2021–2030) des europäischen Emissionshandels</t>
  </si>
  <si>
    <t>https://www.dehst.de/SharedDocs/downloads/DE/stationaere_anlagen/2021-2030/Ueberwachungsplan-Emissionsbericht_Leitfaden.pdf?__blob=publicationFile&amp;v=2</t>
  </si>
  <si>
    <t>Ecoinvent 3.8: market for acrylic varnish, without water, in 87.5% solution state</t>
  </si>
  <si>
    <t>EPD Deutsche Bauchemie (2021)</t>
  </si>
  <si>
    <t>EPD-VDZ-20210336-IAG1-DE (2022)</t>
  </si>
  <si>
    <t>EPD-VDZ-20220153-IAG1-DE (2022)</t>
  </si>
  <si>
    <t xml:space="preserve">FutureCamp Climate GmbH (2022): Eigene Herleitung/Berechnung gemäß GHG PK-Vorgaben aus 
1) AGEB: Stromerzeugung nach Energieträgern 1990 - 2021 (Stand Dezember 2021); 
2) BDEW: Bruttostromerzeugung nach Energieträgern in D (Stand Nov 2021) 
3) AGEE, Sept 2021: Zeitreihen zur Entwicklung der erneuerbaren Energien in Deutschland; Excel, S. 6 Tabelle 3; 
4) GEMIS 5.0, aktualisierte Daten Feb. 2021, El-mix-DE-2020; 
5) UBA , Mai 2021: Entwicklung der spezifischen Kohlendioxidemissionen des deutschen Strommix 1990 - 2020, Tabelle 1, S. 10 sowie S. 16, Tab. 3 </t>
  </si>
  <si>
    <t xml:space="preserve">GEMIS von Internationale Institut für Nachhaltigkeitsanalysen und – strategien (IINAS): GEMIS 5.0, Diesel-Mix-DE-2020 (inkl. Biokraftstoffe); Umrechnung Einheiten gemäß Bundesamt für Wirtschaft und Ausfuhrkontrolle, Nov. 2019: Merkblatt zur Ermittlung des Gesamtenergieverbrauchs, Tab. S. 6 </t>
  </si>
  <si>
    <t>Probas (2022 a)</t>
  </si>
  <si>
    <t>Umweltbundesamt &amp; Internationale Institut für Nachhaltigkeitsanalysen und -strategien (IINAS) - "Prozessorientierte Basisdaten für Umweltmanagement-Instrumente (ProBas)":  Steine-ErdenCaCO3-Mehl-DE-2000</t>
  </si>
  <si>
    <t>Probas (2022 b)</t>
  </si>
  <si>
    <t>Umweltbundesamt &amp; Internationale Institut für Nachhaltigkeitsanalysen und -strategien (IINAS) - "Prozessorientierte Basisdaten für Umweltmanagement-Instrumente (ProBas)": MetallStahl-mix-DE-2020</t>
  </si>
  <si>
    <t>Probas (2022 c)</t>
  </si>
  <si>
    <t>Umweltbundesamt &amp; Internationale Institut für Nachhaltigkeitsanalysen und -strategien (IINAS) - "Prozessorientierte Basisdaten für Umweltmanagement-Instrumente (ProBas)": Papier-PappeKraftpapier</t>
  </si>
  <si>
    <t>Umweltbundesamt (2022): Entwicklung der spezifischen Treibhausgas-Emissionen des deutschen Strommix in den Jahren 1990 - 2021; Climate Change - 15/2022</t>
  </si>
  <si>
    <t xml:space="preserve">Zitierempfehlung: </t>
  </si>
  <si>
    <t xml:space="preserve">Betonverband Straße, Landschaft, Garten e.V. (SLG) &amp; FutureCamp (2023): </t>
  </si>
  <si>
    <t xml:space="preserve">Wege zur klimaneutralen Betonsteinherstellung - Vermeidungskostenrechner </t>
  </si>
  <si>
    <r>
      <t xml:space="preserve">Wasser </t>
    </r>
    <r>
      <rPr>
        <vertAlign val="superscript"/>
        <sz val="10"/>
        <color theme="1"/>
        <rFont val="Arial"/>
        <family val="2"/>
      </rPr>
      <t>2)</t>
    </r>
  </si>
  <si>
    <r>
      <t xml:space="preserve">Zement </t>
    </r>
    <r>
      <rPr>
        <b/>
        <vertAlign val="superscript"/>
        <sz val="10"/>
        <color theme="1"/>
        <rFont val="Arial"/>
        <family val="2"/>
      </rPr>
      <t>1)</t>
    </r>
  </si>
  <si>
    <r>
      <rPr>
        <vertAlign val="superscript"/>
        <sz val="10"/>
        <color theme="1"/>
        <rFont val="Arial"/>
        <family val="2"/>
      </rPr>
      <t>1)</t>
    </r>
    <r>
      <rPr>
        <sz val="10"/>
        <color theme="1"/>
        <rFont val="Arial"/>
        <family val="2"/>
      </rPr>
      <t xml:space="preserve"> Die Emissionsfaktoren werden in Nettoangaben vorgenommen.</t>
    </r>
  </si>
  <si>
    <t>Autorin:</t>
  </si>
  <si>
    <r>
      <rPr>
        <vertAlign val="superscript"/>
        <sz val="10"/>
        <color theme="1"/>
        <rFont val="Arial"/>
        <family val="2"/>
      </rPr>
      <t>1)</t>
    </r>
    <r>
      <rPr>
        <sz val="10"/>
        <color theme="1"/>
        <rFont val="Arial"/>
        <family val="2"/>
      </rPr>
      <t xml:space="preserve"> Der Verbrauch der Elektrostapler ist nicht gesondert ausgewiesen. Der Verbrauch ist in „Elektrische Energie“ des Musterwerks enthalten.</t>
    </r>
  </si>
  <si>
    <t xml:space="preserve">Kontrolle Bestandteile </t>
  </si>
  <si>
    <t>Kontrolle Zusatzmittel</t>
  </si>
  <si>
    <t>Institut Bauen und Umwelt e.V. (IBU), Umweltprodukt-Deklaration, EPD-EFC-20210193-IBG1-EN, 16.12.2021</t>
  </si>
  <si>
    <t>Institut Bauen und Umwelt e.V. (IBU), Umweltprodukt-Deklaration, EPD-EFC-20210195-IBG1-EN, 16.12.2021</t>
  </si>
  <si>
    <t>Institut Bauen und Umwelt e.V. (IBU), Umweltprodukt-Deklaration, EPD-EFC-20210197-IBG1-EN, 16.12.2021</t>
  </si>
  <si>
    <r>
      <rPr>
        <b/>
        <u/>
        <sz val="10"/>
        <color theme="1"/>
        <rFont val="Arial"/>
        <family val="2"/>
      </rPr>
      <t>Hinweis:</t>
    </r>
    <r>
      <rPr>
        <sz val="10"/>
        <color theme="1"/>
        <rFont val="Arial"/>
        <family val="2"/>
      </rPr>
      <t xml:space="preserve"> Sollte ein Energieträger in Ihrem Werk nicht zum Einsatz kommen, muss bei Verbrauchswerten ohne Verbrauch zwingend eine "0" eingetragen werden.</t>
    </r>
  </si>
  <si>
    <t>Dyckerhoff GmbH (2021): Environmental Data Sheet Self-declaration based on Environdec c-PCR-001 Cement and building limes (EN 16908)</t>
  </si>
  <si>
    <t>Dyckerhoff GmbH (2021)</t>
  </si>
  <si>
    <t>Vermeidungskostenrechner: Plattenfertiger</t>
  </si>
  <si>
    <t>Musterwerk - Plattenfertiger</t>
  </si>
  <si>
    <t xml:space="preserve">Selbsterzeugte Strommenge durch eigene Photovoltaik-Anlage </t>
  </si>
  <si>
    <t>Plattenfertiger; Modellversion 1.0, München, 23.01.23</t>
  </si>
  <si>
    <r>
      <t xml:space="preserve">Gabelstapler (4x) </t>
    </r>
    <r>
      <rPr>
        <vertAlign val="superscript"/>
        <sz val="10"/>
        <color theme="1"/>
        <rFont val="Arial"/>
        <family val="2"/>
      </rPr>
      <t>1)</t>
    </r>
  </si>
  <si>
    <t>Gabelstapler (4x)</t>
  </si>
  <si>
    <t>Ergebnisse Maßnahme 6</t>
  </si>
  <si>
    <t>Alternative Energieträger restliches Werk</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</si>
  <si>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2</t>
    </r>
    <r>
      <rPr>
        <sz val="10.5"/>
        <color theme="1"/>
        <rFont val="Arial"/>
        <family val="2"/>
        <scheme val="minor"/>
      </rPr>
      <t xml:space="preserve"> betrachtet den Austausch von Dieselstaplern durch effizientere Elektrostapler. Der Dieselbedarf je Stapler wird anhand der Anzahl an Dieselstapler im Werk und der Eingabe an Dieselbedarf für Stapler im Reiter "Referenzwerk" berechnet und kann nicht gesondert eingetragen werden.
Die </t>
    </r>
    <r>
      <rPr>
        <b/>
        <sz val="10.5"/>
        <color theme="1"/>
        <rFont val="Arial"/>
        <family val="2"/>
        <scheme val="minor"/>
      </rPr>
      <t>Umstellung der Dieselstapler</t>
    </r>
    <r>
      <rPr>
        <sz val="10.5"/>
        <color theme="1"/>
        <rFont val="Arial"/>
        <family val="2"/>
        <scheme val="minor"/>
      </rPr>
      <t xml:space="preserve"> bezieht sich auf den Referenzwert 2020. Somit beinhaltet der Wert 2030 auch den Wert von 2025 und ist nicht als zusätzlich anzusehen. 
</t>
    </r>
    <r>
      <rPr>
        <u/>
        <sz val="10.5"/>
        <color theme="1"/>
        <rFont val="Arial"/>
        <family val="2"/>
        <scheme val="minor"/>
      </rPr>
      <t>Beispiel:</t>
    </r>
    <r>
      <rPr>
        <sz val="10.5"/>
        <color theme="1"/>
        <rFont val="Arial"/>
        <family val="2"/>
        <scheme val="minor"/>
      </rPr>
      <t xml:space="preserve"> Im Jahr 2025 werden bereits fünf Stapler ausgetauscht. Der Default Wert 2030 beträgt zehn. Somit werden 2030 noch einmal zusätzliche fünf Stapler ausgetauscht. Insgesamt sind somit zehn Stapler bis 2030 gegenüber dem Referenzjahr 2020 auf Elektroantrieb umgestellt.
</t>
    </r>
    <r>
      <rPr>
        <b/>
        <sz val="10.5"/>
        <color theme="1"/>
        <rFont val="Arial"/>
        <family val="2"/>
        <scheme val="minor"/>
      </rPr>
      <t>Anmerkung:</t>
    </r>
    <r>
      <rPr>
        <sz val="10.5"/>
        <color theme="1"/>
        <rFont val="Arial"/>
        <family val="2"/>
        <scheme val="minor"/>
      </rPr>
      <t xml:space="preserve"> Diese Maßnahme bezieht sich ausschließlich auf den Austausch von Dieselstaplern. Der Verbrauch von ggf. bereits vorhandenen Elektrostaplern ist nicht gesondert ausgewiesen. Dieser Verbrauch sollte im Reiter "Referenzwerk" im Wert „Elektrische Energie“ des Musterwerks angegeben werden bzw. enthalten sein.</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</si>
  <si>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3</t>
    </r>
    <r>
      <rPr>
        <sz val="10.5"/>
        <color theme="1"/>
        <rFont val="Arial"/>
        <family val="2"/>
        <scheme val="minor"/>
      </rPr>
      <t xml:space="preserve"> betrachtet den Austausch von Dieselstapler durch effizientere Dieselstapler. Der Bedarf an Diesel je Stapler wird anhand der Anzahl an Dieselstapler im Werk und der Eingabe an Dieselbedarf für Stapler im Reiter "Referenzwerk" berechnet und kann nicht gesondert eingetragen werden. 
Die</t>
    </r>
    <r>
      <rPr>
        <b/>
        <sz val="10.5"/>
        <color theme="1"/>
        <rFont val="Arial"/>
        <family val="2"/>
        <scheme val="minor"/>
      </rPr>
      <t xml:space="preserve"> Umstellung der Dieselstapler</t>
    </r>
    <r>
      <rPr>
        <sz val="10.5"/>
        <color theme="1"/>
        <rFont val="Arial"/>
        <family val="2"/>
        <scheme val="minor"/>
      </rPr>
      <t xml:space="preserve"> bezieht sich auf den Referenzwert 2020. Somit beinhaltet der Wert 2030 auch den Wert von 2025 und ist nicht als zusätzlich anzusehen. 
Beispiel: Im Jahr 2025 werden bereits fünf Stapler ausgetauscht. Der Default Wert 2030 beträgt zehn. Somit werden 2030 noch einmal zusätzliche fünf Stapler ausgetauscht. Insgesamt sind somit zehn Stapler bis 2030 gegenüber dem Referenzjahr 2020 auf Elektroantrieb umgestellt.
</t>
    </r>
    <r>
      <rPr>
        <b/>
        <sz val="10.5"/>
        <color theme="1"/>
        <rFont val="Arial"/>
        <family val="2"/>
        <scheme val="minor"/>
      </rPr>
      <t xml:space="preserve">Anmerkung: </t>
    </r>
    <r>
      <rPr>
        <sz val="10.5"/>
        <color theme="1"/>
        <rFont val="Arial"/>
        <family val="2"/>
        <scheme val="minor"/>
      </rPr>
      <t>Diese Maßnahme bezieht sich ausschließlich auf den Austausch von Dieselstaplern. Der Verbrauch von ggf. vorhandenen Elektrostaplern ist nicht gesondert ausgewiesen. Dieser Verbrauch sollte im Reiter "Referenzwerk" im Wert „Elektrische Energie“ des Musterwerks angegeben werden bzw. enthalten sein.</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</si>
  <si>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 xml:space="preserve">Maßnahme 4 </t>
    </r>
    <r>
      <rPr>
        <sz val="10.5"/>
        <color theme="1"/>
        <rFont val="Arial"/>
        <family val="2"/>
        <scheme val="minor"/>
      </rPr>
      <t>umfasst die Umstellung des Strombezugs vom deutschen Strommix auf 100 % Grünstrombezug. Der Energiebedarf wird bei dieser Maßnahme nicht beeinflusst. Bei dieser Maßnahme kann Ökostrom z. B. direkt über einen Vertrag mit einem Erzeuger von erneuerbarem Strom beschaffen werden (Power Purchse Agreement - PPA) oder über den Stromlieferanten mit Hilfe von Herkunftsnachweisen (HKN). Somit fallen keine Investitions- oder sonstigen Kosten an. Die zusätzlichen Kosten werden über den Grünstrompreis abgebildet.
Der hinterlegte Default Wert ist Grünstrommix.</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</si>
  <si>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5</t>
    </r>
    <r>
      <rPr>
        <sz val="10.5"/>
        <color theme="1"/>
        <rFont val="Arial"/>
        <family val="2"/>
        <scheme val="minor"/>
      </rPr>
      <t xml:space="preserve"> umfasst die Installation einer eigenen erneuerbaren Stromerzeugungsanlage. Im betrachtetem Default Fall wird insbesondere die Installation einer Photovoltaikanlage bewertet. Hier betrachtet ist eine Anlage, die rund 100.000 kWh pro Jahr erzeugt. Dies entspricht einer Anlage mit einer Leistung von rund 110 Kilowatt-Peak bei der durchschnittlichen Sonneneinstrahlung in Deutschland. 
Dieses Tabellenblatt ist jedoch nicht auf Photovoltaik begrenzt, sondern kann auch für andere regenerative Erzeugungsanlagen genutzt werden. Dies kann dann im Kommentarfeld hinterlegt werden. 
Die </t>
    </r>
    <r>
      <rPr>
        <b/>
        <sz val="10.5"/>
        <color theme="1"/>
        <rFont val="Arial"/>
        <family val="2"/>
        <scheme val="minor"/>
      </rPr>
      <t>angegebene selbsterzeugte Strommenge</t>
    </r>
    <r>
      <rPr>
        <sz val="10.5"/>
        <color theme="1"/>
        <rFont val="Arial"/>
        <family val="2"/>
        <scheme val="minor"/>
      </rPr>
      <t xml:space="preserve"> bezieht sich auf das jeweilige Jahr. Im Jahr 2025 werden bereits mit der neuen PV-Anlage 100.000 kWh Strom erzeugt. Es wird im Default Fall keine weitere Anlage installiert oder die bestehende ausgeweitet. Somit beträgt auch 2030 die selbsterzeugte Strommenge 100.000 kWh.  
Bei den</t>
    </r>
    <r>
      <rPr>
        <b/>
        <sz val="10.5"/>
        <color theme="1"/>
        <rFont val="Arial"/>
        <family val="2"/>
        <scheme val="minor"/>
      </rPr>
      <t xml:space="preserve"> Investitionskosten</t>
    </r>
    <r>
      <rPr>
        <sz val="10.5"/>
        <color theme="1"/>
        <rFont val="Arial"/>
        <family val="2"/>
        <scheme val="minor"/>
      </rPr>
      <t xml:space="preserve"> sind jeweils die in dem Jahr anfallenden Kosten anzugeben (2030 beinhaltet somit nicht die Kosten von 2025).</t>
    </r>
  </si>
  <si>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8</t>
    </r>
    <r>
      <rPr>
        <sz val="10.5"/>
        <color theme="1"/>
        <rFont val="Arial"/>
        <family val="2"/>
        <scheme val="minor"/>
      </rPr>
      <t xml:space="preserve"> betrachtet eine Rezepturänderung, um die Scope 3 Emissionen zu reduzieren. Betrachtet wird der Einsatz / Austausch von Zement durch Einsatzstoffe mit geringerem Emissionsfaktor. Im Default Beispiel wird angenommen, dass die Zementsorte eins zu eins durch eine andere Sorte ausgetauscht werden, welche einen geringeren Emissionsfaktor besitzen als die jeweiligen Zementsorten (2025 um 5 % geringer ggü. 2020 und bis 2030 um 10 % geringer ggü. dem Referenzjahr). Zudem sind Platzhalter vorgesehen, um ggf. weitere benötigte Ersatzstoffe einzutragen. Hierbei müssen die benötigten Mengen für das betrachtete Werk und Produktionsmenge (siehe Reiter "Referenzwerk") und der Emissionsfaktor eingetragen werden.
Die </t>
    </r>
    <r>
      <rPr>
        <b/>
        <sz val="10.5"/>
        <color theme="1"/>
        <rFont val="Arial"/>
        <family val="2"/>
        <scheme val="minor"/>
      </rPr>
      <t>prozentuale Reduktion</t>
    </r>
    <r>
      <rPr>
        <sz val="10.5"/>
        <color theme="1"/>
        <rFont val="Arial"/>
        <family val="2"/>
        <scheme val="minor"/>
      </rPr>
      <t xml:space="preserve"> des Emissionsfaktors bezieht sich auf den Referenzwert 2020. Somit beinhaltet der Wert 2030 auch den Wert von 2025 und ist nicht als zusätzlich anzusehen. </t>
    </r>
  </si>
  <si>
    <t>Emissionsfaktor (Scope 3) Recyclingmaterial</t>
  </si>
  <si>
    <t>Plastifizierer</t>
  </si>
  <si>
    <t>Luftporenbildner</t>
  </si>
  <si>
    <t>Stabilisierer</t>
  </si>
  <si>
    <t>Hydrophobierer</t>
  </si>
  <si>
    <t>EPD-Baumineral-021-DE</t>
  </si>
  <si>
    <r>
      <t>Benötigte Ersatzstoffe</t>
    </r>
    <r>
      <rPr>
        <b/>
        <vertAlign val="superscript"/>
        <sz val="10"/>
        <color theme="1"/>
        <rFont val="Arial"/>
        <family val="2"/>
      </rPr>
      <t>2)</t>
    </r>
    <r>
      <rPr>
        <b/>
        <sz val="10"/>
        <color theme="1"/>
        <rFont val="Arial"/>
        <family val="2"/>
      </rPr>
      <t xml:space="preserve"> und Recyclingmaterial:</t>
    </r>
  </si>
  <si>
    <t>Veränderung Zementeinsatz (ggü. Referenzjahr):</t>
  </si>
  <si>
    <r>
      <t>Veränderung Ersatzstoffe</t>
    </r>
    <r>
      <rPr>
        <b/>
        <vertAlign val="superscript"/>
        <sz val="10"/>
        <color theme="1"/>
        <rFont val="Arial"/>
        <family val="2"/>
      </rPr>
      <t>2)</t>
    </r>
    <r>
      <rPr>
        <b/>
        <sz val="10"/>
        <color theme="1"/>
        <rFont val="Arial"/>
        <family val="2"/>
      </rPr>
      <t xml:space="preserve"> (ggü. Referenzjahr):</t>
    </r>
  </si>
  <si>
    <t>Maßnahme 7: Rezepturänderung – Veränderung Materialeinsatz</t>
  </si>
  <si>
    <t>Anteilige Reduzierung durch Verwendung Recyclingmaterial (ggü. Referenzjahr):</t>
  </si>
  <si>
    <r>
      <t xml:space="preserve">In diesem Blatt werden die zentralen Ergebnisse in verschiedenen Tabellen und Diagrammen visualisiert. In den blau hinterlegten Feldern können relevante Parameter für die Berechnung angepasst werden. Die dargestellten Elemente in den Diagrammen können mithilfe der Häkchen neben den Tabellen variiert werden. 
</t>
    </r>
    <r>
      <rPr>
        <b/>
        <sz val="10.5"/>
        <color theme="1"/>
        <rFont val="Arial"/>
        <family val="2"/>
        <scheme val="minor"/>
      </rPr>
      <t>Maßnahme 9</t>
    </r>
    <r>
      <rPr>
        <sz val="10.5"/>
        <color theme="1"/>
        <rFont val="Arial"/>
        <family val="2"/>
        <scheme val="minor"/>
      </rPr>
      <t xml:space="preserve"> betrachtet die Reduktionsmöglichkeiten der Scope 3 Emissionen durch den Einsatz von Recyclingmaterial. 
Der</t>
    </r>
    <r>
      <rPr>
        <b/>
        <sz val="10.5"/>
        <color theme="1"/>
        <rFont val="Arial"/>
        <family val="2"/>
        <scheme val="minor"/>
      </rPr>
      <t xml:space="preserve"> prozentuale Anteil vom Recyclingmaterial</t>
    </r>
    <r>
      <rPr>
        <sz val="10.5"/>
        <color theme="1"/>
        <rFont val="Arial"/>
        <family val="2"/>
        <scheme val="minor"/>
      </rPr>
      <t xml:space="preserve"> bezieht sich auf den Referenzwert 2020. Somit beinhaltet der Wert 2030 auch den Wert von 2025 und ist nicht als zusätzlich anzusehen. Dies muss auch bei den Handeingaben berücksichtigt werden.</t>
    </r>
  </si>
  <si>
    <t>BauMineral GmbH</t>
  </si>
  <si>
    <t>BCS Öko-Garantie GmbH - Ecobility Experts</t>
  </si>
  <si>
    <t>https://www.baumineral.de/downloads/file/481/EPD-Baumineral-021-EFA-F%C3%BCller-HM.pdf</t>
  </si>
  <si>
    <t>Ecoinvent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</si>
</sst>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00000"/>
    <numFmt numFmtId="166" formatCode="0.0%"/>
    <numFmt numFmtId="167" formatCode="0.0000"/>
    <numFmt numFmtId="168" formatCode="#,##0.0"/>
    <numFmt numFmtId="169" formatCode="00000"/>
    <numFmt numFmtId="170" formatCode="0.0"/>
    <numFmt numFmtId="171" formatCode="0.000"/>
    <numFmt numFmtId="172" formatCode="#,##0\ &quot;€&quot;"/>
    <numFmt numFmtId="173" formatCode="#,##0.000"/>
    <numFmt numFmtId="174" formatCode="#,##0.00000"/>
  </numFmts>
  <fonts count="79" x14ac:knownFonts="1">
    <font>
      <sz val="11"/>
      <color theme="1"/>
      <name val="Arial"/>
      <family val="2"/>
      <scheme val="minor"/>
    </font>
    <font>
      <sz val="10"/>
      <color theme="1"/>
      <name val="Arial"/>
      <family val="2"/>
    </font>
    <font>
      <sz val="11"/>
      <color theme="1"/>
      <name val="Arial"/>
      <family val="2"/>
      <scheme val="minor"/>
    </font>
    <font>
      <u/>
      <sz val="10"/>
      <color theme="10"/>
      <name val="Arial"/>
      <family val="2"/>
    </font>
    <font>
      <b/>
      <sz val="10"/>
      <color theme="1"/>
      <name val="Arial"/>
      <family val="2"/>
    </font>
    <font>
      <sz val="11"/>
      <name val="Arial"/>
      <family val="2"/>
    </font>
    <font>
      <sz val="9"/>
      <name val="Arial"/>
      <family val="2"/>
    </font>
    <font>
      <sz val="9"/>
      <color theme="1"/>
      <name val="Arial"/>
      <family val="2"/>
    </font>
    <font>
      <b/>
      <u/>
      <sz val="14"/>
      <color theme="0"/>
      <name val="Arial"/>
      <family val="2"/>
    </font>
    <font>
      <b/>
      <u/>
      <sz val="9"/>
      <name val="Arial"/>
      <family val="2"/>
    </font>
    <font>
      <b/>
      <sz val="9"/>
      <name val="Arial"/>
      <family val="2"/>
    </font>
    <font>
      <sz val="10"/>
      <color rgb="FF323232"/>
      <name val="Arial"/>
      <family val="2"/>
    </font>
    <font>
      <sz val="10"/>
      <name val="Arial"/>
      <family val="2"/>
    </font>
    <font>
      <i/>
      <sz val="10"/>
      <color theme="0" tint="-0.499984740745262"/>
      <name val="Arial"/>
      <family val="2"/>
    </font>
    <font>
      <sz val="11"/>
      <color theme="1"/>
      <name val="Arial"/>
      <family val="2"/>
    </font>
    <font>
      <sz val="26"/>
      <color rgb="FFFF0000"/>
      <name val="Arial"/>
      <family val="2"/>
    </font>
    <font>
      <b/>
      <sz val="11"/>
      <color theme="1"/>
      <name val="Arial"/>
      <family val="2"/>
    </font>
    <font>
      <b/>
      <sz val="10"/>
      <name val="Arial"/>
      <family val="2"/>
    </font>
    <font>
      <b/>
      <vertAlign val="subscript"/>
      <sz val="9"/>
      <name val="Arial"/>
      <family val="2"/>
    </font>
    <font>
      <b/>
      <sz val="14"/>
      <color rgb="FF617494"/>
      <name val="Arial"/>
      <family val="2"/>
    </font>
    <font>
      <b/>
      <sz val="12"/>
      <name val="Arial"/>
      <family val="2"/>
    </font>
    <font>
      <sz val="26"/>
      <color theme="6"/>
      <name val="Arial"/>
      <family val="2"/>
    </font>
    <font>
      <sz val="8"/>
      <name val="Arial"/>
      <family val="2"/>
      <scheme val="minor"/>
    </font>
    <font>
      <i/>
      <sz val="10"/>
      <color theme="1"/>
      <name val="Arial"/>
      <family val="2"/>
    </font>
    <font>
      <b/>
      <sz val="18"/>
      <color rgb="FFFFC000"/>
      <name val="Arial"/>
      <family val="2"/>
    </font>
    <font>
      <u/>
      <sz val="11"/>
      <color theme="10"/>
      <name val="Arial"/>
      <family val="2"/>
      <scheme val="minor"/>
    </font>
    <font>
      <vertAlign val="subscript"/>
      <sz val="10"/>
      <color theme="1"/>
      <name val="Arial"/>
      <family val="2"/>
    </font>
    <font>
      <b/>
      <vertAlign val="subscript"/>
      <sz val="10"/>
      <color theme="1"/>
      <name val="Arial"/>
      <family val="2"/>
    </font>
    <font>
      <sz val="10"/>
      <color rgb="FF617494"/>
      <name val="Arial"/>
      <family val="2"/>
      <scheme val="minor"/>
    </font>
    <font>
      <b/>
      <sz val="15"/>
      <color indexed="56"/>
      <name val="Calibri"/>
      <family val="2"/>
    </font>
    <font>
      <b/>
      <sz val="10"/>
      <color rgb="FF617494"/>
      <name val="Calibri"/>
      <family val="2"/>
    </font>
    <font>
      <sz val="10"/>
      <color theme="1"/>
      <name val="Arial"/>
      <family val="2"/>
      <scheme val="minor"/>
    </font>
    <font>
      <b/>
      <sz val="10"/>
      <color indexed="56"/>
      <name val="Calibri"/>
      <family val="2"/>
    </font>
    <font>
      <sz val="11"/>
      <color rgb="FF617494"/>
      <name val="Arial"/>
      <family val="2"/>
      <scheme val="minor"/>
    </font>
    <font>
      <b/>
      <sz val="11"/>
      <color rgb="FF617494"/>
      <name val="Calibri"/>
      <family val="2"/>
    </font>
    <font>
      <sz val="10"/>
      <color rgb="FFFF0000"/>
      <name val="Arial"/>
      <family val="2"/>
      <scheme val="minor"/>
    </font>
    <font>
      <sz val="10"/>
      <name val="Arial"/>
      <family val="2"/>
      <scheme val="minor"/>
    </font>
    <font>
      <u/>
      <sz val="10"/>
      <name val="Arial"/>
      <family val="2"/>
    </font>
    <font>
      <b/>
      <sz val="10"/>
      <color rgb="FFFF0000"/>
      <name val="Arial"/>
      <family val="2"/>
    </font>
    <font>
      <u/>
      <sz val="10"/>
      <name val="Arial"/>
      <family val="2"/>
      <scheme val="minor"/>
    </font>
    <font>
      <u/>
      <sz val="10"/>
      <color rgb="FFFF0000"/>
      <name val="Arial"/>
      <family val="2"/>
      <scheme val="minor"/>
    </font>
    <font>
      <u/>
      <sz val="10"/>
      <color theme="10"/>
      <name val="Arial"/>
      <family val="2"/>
      <scheme val="minor"/>
    </font>
    <font>
      <sz val="10"/>
      <color theme="1" tint="0.499984740745262"/>
      <name val="Arial"/>
      <family val="2"/>
    </font>
    <font>
      <b/>
      <sz val="14"/>
      <color rgb="FF00549F"/>
      <name val="Calibri"/>
      <family val="2"/>
    </font>
    <font>
      <b/>
      <sz val="10"/>
      <color rgb="FF00549F"/>
      <name val="Calibri"/>
      <family val="2"/>
    </font>
    <font>
      <b/>
      <sz val="11"/>
      <color rgb="FF00549F"/>
      <name val="Calibri"/>
      <family val="2"/>
    </font>
    <font>
      <sz val="8"/>
      <name val="Arial"/>
      <family val="2"/>
    </font>
    <font>
      <i/>
      <vertAlign val="subscript"/>
      <sz val="10"/>
      <color theme="1"/>
      <name val="Arial"/>
      <family val="2"/>
    </font>
    <font>
      <b/>
      <sz val="12"/>
      <color theme="1"/>
      <name val="Arial"/>
      <family val="2"/>
    </font>
    <font>
      <sz val="10"/>
      <color theme="1" tint="9.9978637043366805E-2"/>
      <name val="Arial"/>
      <family val="2"/>
    </font>
    <font>
      <b/>
      <sz val="11"/>
      <name val="Arial"/>
      <family val="2"/>
    </font>
    <font>
      <vertAlign val="superscript"/>
      <sz val="10"/>
      <color theme="1"/>
      <name val="Arial"/>
      <family val="2"/>
    </font>
    <font>
      <sz val="9"/>
      <color theme="1" tint="0.249977111117893"/>
      <name val="Arial"/>
      <family val="2"/>
    </font>
    <font>
      <vertAlign val="superscript"/>
      <sz val="9"/>
      <color theme="1" tint="0.249977111117893"/>
      <name val="Arial"/>
      <family val="2"/>
    </font>
    <font>
      <sz val="10"/>
      <color theme="3" tint="9.9978637043366805E-2"/>
      <name val="Arial"/>
      <family val="2"/>
    </font>
    <font>
      <vertAlign val="superscript"/>
      <sz val="10"/>
      <color theme="3" tint="9.9978637043366805E-2"/>
      <name val="Arial"/>
      <family val="2"/>
    </font>
    <font>
      <sz val="10"/>
      <color theme="0" tint="-0.499984740745262"/>
      <name val="Arial"/>
      <family val="2"/>
    </font>
    <font>
      <b/>
      <vertAlign val="superscript"/>
      <sz val="10"/>
      <color theme="1"/>
      <name val="Arial"/>
      <family val="2"/>
    </font>
    <font>
      <b/>
      <vertAlign val="subscript"/>
      <sz val="10"/>
      <name val="Arial"/>
      <family val="2"/>
    </font>
    <font>
      <vertAlign val="subscript"/>
      <sz val="10"/>
      <name val="Arial"/>
      <family val="2"/>
    </font>
    <font>
      <b/>
      <sz val="12"/>
      <color rgb="FF00549F"/>
      <name val="Arial"/>
      <family val="2"/>
    </font>
    <font>
      <b/>
      <sz val="14"/>
      <color rgb="FF00549F"/>
      <name val="Arial"/>
      <family val="2"/>
    </font>
    <font>
      <sz val="12"/>
      <color theme="1"/>
      <name val="Arial"/>
      <family val="2"/>
    </font>
    <font>
      <b/>
      <u/>
      <sz val="11"/>
      <color theme="1"/>
      <name val="Arial"/>
      <family val="2"/>
    </font>
    <font>
      <b/>
      <sz val="14"/>
      <color theme="1"/>
      <name val="Arial"/>
      <family val="2"/>
    </font>
    <font>
      <sz val="14"/>
      <color theme="1"/>
      <name val="Arial"/>
      <family val="2"/>
    </font>
    <font>
      <b/>
      <u/>
      <sz val="14"/>
      <color rgb="FF00549F"/>
      <name val="Arial"/>
      <family val="2"/>
    </font>
    <font>
      <b/>
      <sz val="11"/>
      <color rgb="FF00549F"/>
      <name val="Arial"/>
      <family val="2"/>
    </font>
    <font>
      <b/>
      <sz val="14"/>
      <color theme="6"/>
      <name val="Arial"/>
      <family val="2"/>
    </font>
    <font>
      <vertAlign val="superscript"/>
      <sz val="8"/>
      <color theme="1" tint="0.249977111117893"/>
      <name val="Arial"/>
      <family val="2"/>
    </font>
    <font>
      <b/>
      <sz val="11"/>
      <color theme="7"/>
      <name val="Arial"/>
      <family val="2"/>
    </font>
    <font>
      <b/>
      <sz val="12"/>
      <color theme="7"/>
      <name val="Arial"/>
      <family val="2"/>
    </font>
    <font>
      <sz val="10.5"/>
      <color theme="1"/>
      <name val="Arial"/>
      <family val="2"/>
      <scheme val="minor"/>
    </font>
    <font>
      <b/>
      <sz val="10.5"/>
      <color theme="1"/>
      <name val="Arial"/>
      <family val="2"/>
      <scheme val="minor"/>
    </font>
    <font>
      <u/>
      <sz val="10.5"/>
      <color theme="1"/>
      <name val="Arial"/>
      <family val="2"/>
      <scheme val="minor"/>
    </font>
    <font>
      <b/>
      <u/>
      <sz val="10.5"/>
      <color theme="1"/>
      <name val="Arial"/>
      <family val="2"/>
      <scheme val="minor"/>
    </font>
    <font>
      <sz val="10"/>
      <color theme="0" tint="-0.499984740745262"/>
      <name val="Arial"/>
      <family val="2"/>
      <scheme val="minor"/>
    </font>
    <font>
      <sz val="10"/>
      <color rgb="FFFF0000"/>
      <name val="Arial"/>
      <family val="2"/>
    </font>
    <font>
      <b/>
      <u/>
      <sz val="10"/>
      <color theme="1"/>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rgb="FF00549F"/>
        <bgColor indexed="64"/>
      </patternFill>
    </fill>
    <fill>
      <patternFill patternType="solid">
        <fgColor theme="6"/>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1" tint="0.89999084444715716"/>
        <bgColor indexed="64"/>
      </patternFill>
    </fill>
    <fill>
      <patternFill patternType="solid">
        <fgColor theme="8" tint="0.79998168889431442"/>
        <bgColor indexed="64"/>
      </patternFill>
    </fill>
    <fill>
      <patternFill patternType="solid">
        <fgColor theme="3" tint="0.749992370372631"/>
        <bgColor indexed="64"/>
      </patternFill>
    </fill>
    <fill>
      <patternFill patternType="solid">
        <fgColor theme="1" tint="0.749992370372631"/>
        <bgColor indexed="64"/>
      </patternFill>
    </fill>
    <fill>
      <patternFill patternType="solid">
        <fgColor rgb="FFFFFFFF"/>
        <bgColor indexed="64"/>
      </patternFill>
    </fill>
    <fill>
      <patternFill patternType="solid">
        <fgColor theme="8"/>
        <bgColor indexed="64"/>
      </patternFill>
    </fill>
    <fill>
      <patternFill patternType="solid">
        <fgColor theme="8" tint="0.59999389629810485"/>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top/>
      <bottom style="thick">
        <color indexed="62"/>
      </bottom>
      <diagonal/>
    </border>
    <border>
      <left/>
      <right/>
      <top style="thin">
        <color rgb="FF617494"/>
      </top>
      <bottom/>
      <diagonal/>
    </border>
    <border>
      <left/>
      <right/>
      <top style="thin">
        <color indexed="64"/>
      </top>
      <bottom style="thin">
        <color indexed="64"/>
      </bottom>
      <diagonal/>
    </border>
    <border>
      <left/>
      <right/>
      <top/>
      <bottom style="thin">
        <color rgb="FF00549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3"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0"/>
    <xf numFmtId="0" fontId="25" fillId="0" borderId="0" applyNumberFormat="0" applyFill="0" applyBorder="0" applyAlignment="0" applyProtection="0"/>
    <xf numFmtId="0" fontId="29" fillId="0" borderId="10" applyNumberFormat="0" applyFill="0" applyAlignment="0" applyProtection="0"/>
  </cellStyleXfs>
  <cellXfs count="403">
    <xf numFmtId="0" fontId="0" fillId="0" borderId="0" xfId="0"/>
    <xf numFmtId="0" fontId="1" fillId="0" borderId="0" xfId="0" applyFont="1"/>
    <xf numFmtId="0" fontId="1" fillId="5" borderId="0" xfId="0" applyFont="1" applyFill="1"/>
    <xf numFmtId="0" fontId="1" fillId="3" borderId="0" xfId="0" applyFont="1" applyFill="1"/>
    <xf numFmtId="14" fontId="1" fillId="3" borderId="0" xfId="0" applyNumberFormat="1" applyFont="1" applyFill="1" applyAlignment="1">
      <alignment horizontal="left"/>
    </xf>
    <xf numFmtId="0" fontId="1" fillId="3" borderId="0" xfId="0" applyFont="1" applyFill="1" applyAlignment="1">
      <alignment horizontal="left"/>
    </xf>
    <xf numFmtId="0" fontId="1" fillId="6" borderId="0" xfId="0" applyFont="1" applyFill="1"/>
    <xf numFmtId="0" fontId="14" fillId="3" borderId="0" xfId="0" applyFont="1" applyFill="1"/>
    <xf numFmtId="0" fontId="4" fillId="3" borderId="0" xfId="0" applyFont="1" applyFill="1"/>
    <xf numFmtId="3" fontId="1" fillId="3" borderId="0" xfId="0" applyNumberFormat="1" applyFont="1" applyFill="1"/>
    <xf numFmtId="168" fontId="1" fillId="3" borderId="0" xfId="0" applyNumberFormat="1" applyFont="1" applyFill="1"/>
    <xf numFmtId="0" fontId="4" fillId="3" borderId="0" xfId="0" applyFont="1" applyFill="1" applyAlignment="1">
      <alignment wrapText="1"/>
    </xf>
    <xf numFmtId="0" fontId="4" fillId="3" borderId="0" xfId="0" applyFont="1" applyFill="1" applyAlignment="1">
      <alignment vertical="center" wrapText="1"/>
    </xf>
    <xf numFmtId="0" fontId="4" fillId="3" borderId="0" xfId="0" applyFont="1" applyFill="1" applyAlignment="1">
      <alignment horizontal="right"/>
    </xf>
    <xf numFmtId="0" fontId="1" fillId="3" borderId="0" xfId="0" applyFont="1" applyFill="1" applyAlignment="1">
      <alignment vertical="center" wrapText="1"/>
    </xf>
    <xf numFmtId="0" fontId="1" fillId="3" borderId="0" xfId="0" applyFont="1" applyFill="1" applyAlignment="1">
      <alignment vertical="center"/>
    </xf>
    <xf numFmtId="4" fontId="1" fillId="3" borderId="0" xfId="0" applyNumberFormat="1" applyFont="1" applyFill="1"/>
    <xf numFmtId="0" fontId="12" fillId="8" borderId="0" xfId="0" applyFont="1" applyFill="1"/>
    <xf numFmtId="0" fontId="12" fillId="8" borderId="0" xfId="0" applyFont="1" applyFill="1" applyAlignment="1">
      <alignment vertical="center"/>
    </xf>
    <xf numFmtId="171" fontId="12" fillId="8" borderId="0" xfId="0" applyNumberFormat="1" applyFont="1" applyFill="1"/>
    <xf numFmtId="1" fontId="12" fillId="8" borderId="0" xfId="0" applyNumberFormat="1" applyFont="1" applyFill="1"/>
    <xf numFmtId="0" fontId="17" fillId="8" borderId="0" xfId="0" applyFont="1" applyFill="1"/>
    <xf numFmtId="0" fontId="20" fillId="8" borderId="0" xfId="0" applyFont="1" applyFill="1"/>
    <xf numFmtId="0" fontId="16" fillId="3" borderId="3" xfId="0" applyFont="1" applyFill="1" applyBorder="1"/>
    <xf numFmtId="0" fontId="1" fillId="3" borderId="3" xfId="0" applyFont="1" applyFill="1" applyBorder="1"/>
    <xf numFmtId="0" fontId="1" fillId="9" borderId="0" xfId="0" applyFont="1" applyFill="1"/>
    <xf numFmtId="3" fontId="1" fillId="9" borderId="0" xfId="0" applyNumberFormat="1" applyFont="1" applyFill="1"/>
    <xf numFmtId="0" fontId="4" fillId="3" borderId="4" xfId="0" applyFont="1" applyFill="1" applyBorder="1"/>
    <xf numFmtId="3" fontId="4" fillId="3" borderId="4" xfId="0" applyNumberFormat="1" applyFont="1" applyFill="1" applyBorder="1"/>
    <xf numFmtId="0" fontId="4" fillId="9" borderId="0" xfId="0" applyFont="1" applyFill="1"/>
    <xf numFmtId="170" fontId="12" fillId="8" borderId="0" xfId="0" applyNumberFormat="1" applyFont="1" applyFill="1"/>
    <xf numFmtId="0" fontId="23" fillId="3" borderId="0" xfId="0" applyFont="1" applyFill="1"/>
    <xf numFmtId="168" fontId="1" fillId="9" borderId="0" xfId="0" applyNumberFormat="1" applyFont="1" applyFill="1"/>
    <xf numFmtId="168" fontId="4" fillId="3" borderId="4" xfId="0" applyNumberFormat="1" applyFont="1" applyFill="1" applyBorder="1"/>
    <xf numFmtId="0" fontId="1" fillId="3" borderId="8" xfId="0" applyFont="1" applyFill="1" applyBorder="1"/>
    <xf numFmtId="0" fontId="4" fillId="3" borderId="8" xfId="0" applyFont="1" applyFill="1" applyBorder="1"/>
    <xf numFmtId="0" fontId="12" fillId="8" borderId="1" xfId="0" applyFont="1" applyFill="1" applyBorder="1" applyAlignment="1">
      <alignment vertical="center"/>
    </xf>
    <xf numFmtId="171" fontId="12" fillId="8" borderId="1" xfId="0" applyNumberFormat="1" applyFont="1" applyFill="1" applyBorder="1"/>
    <xf numFmtId="1" fontId="12" fillId="8" borderId="1" xfId="0" applyNumberFormat="1" applyFont="1" applyFill="1" applyBorder="1"/>
    <xf numFmtId="170" fontId="12" fillId="8" borderId="1" xfId="0" applyNumberFormat="1" applyFont="1" applyFill="1" applyBorder="1"/>
    <xf numFmtId="0" fontId="12" fillId="8" borderId="1" xfId="0" applyFont="1" applyFill="1" applyBorder="1" applyAlignment="1">
      <alignment horizontal="right" vertical="center" wrapText="1"/>
    </xf>
    <xf numFmtId="0" fontId="12" fillId="8" borderId="1" xfId="0" applyFont="1" applyFill="1" applyBorder="1" applyAlignment="1">
      <alignment horizontal="right" vertical="center"/>
    </xf>
    <xf numFmtId="3" fontId="12" fillId="8" borderId="1" xfId="0" applyNumberFormat="1" applyFont="1" applyFill="1" applyBorder="1"/>
    <xf numFmtId="1" fontId="1" fillId="6" borderId="0" xfId="0" applyNumberFormat="1" applyFont="1" applyFill="1"/>
    <xf numFmtId="1" fontId="12" fillId="9" borderId="1" xfId="0" applyNumberFormat="1" applyFont="1" applyFill="1" applyBorder="1"/>
    <xf numFmtId="0" fontId="1" fillId="9" borderId="0" xfId="0" applyFont="1" applyFill="1" applyAlignment="1">
      <alignment vertical="center"/>
    </xf>
    <xf numFmtId="0" fontId="16" fillId="3" borderId="8" xfId="0" applyFont="1" applyFill="1" applyBorder="1"/>
    <xf numFmtId="0" fontId="16" fillId="3" borderId="8" xfId="0" applyFont="1" applyFill="1" applyBorder="1" applyAlignment="1">
      <alignment wrapText="1"/>
    </xf>
    <xf numFmtId="0" fontId="4" fillId="3" borderId="3" xfId="0" applyFont="1" applyFill="1" applyBorder="1" applyAlignment="1">
      <alignment horizontal="right" vertical="center"/>
    </xf>
    <xf numFmtId="0" fontId="1" fillId="3" borderId="3" xfId="0" applyFont="1" applyFill="1" applyBorder="1" applyAlignment="1">
      <alignment vertical="center" wrapText="1"/>
    </xf>
    <xf numFmtId="0" fontId="4" fillId="3" borderId="3" xfId="0" applyFont="1" applyFill="1" applyBorder="1" applyAlignment="1">
      <alignment vertical="center" wrapText="1"/>
    </xf>
    <xf numFmtId="0" fontId="23" fillId="3" borderId="3" xfId="0" applyFont="1" applyFill="1" applyBorder="1"/>
    <xf numFmtId="172" fontId="23" fillId="3" borderId="0" xfId="0" applyNumberFormat="1" applyFont="1" applyFill="1"/>
    <xf numFmtId="172" fontId="23" fillId="3" borderId="3" xfId="0" applyNumberFormat="1" applyFont="1" applyFill="1" applyBorder="1"/>
    <xf numFmtId="172" fontId="1" fillId="3" borderId="3" xfId="0" applyNumberFormat="1" applyFont="1" applyFill="1" applyBorder="1"/>
    <xf numFmtId="172" fontId="4" fillId="3" borderId="0" xfId="0" applyNumberFormat="1" applyFont="1" applyFill="1"/>
    <xf numFmtId="172" fontId="4" fillId="3" borderId="4" xfId="0" applyNumberFormat="1" applyFont="1" applyFill="1" applyBorder="1"/>
    <xf numFmtId="0" fontId="4" fillId="9" borderId="12" xfId="0" applyFont="1" applyFill="1" applyBorder="1"/>
    <xf numFmtId="172" fontId="4" fillId="9" borderId="12" xfId="0" applyNumberFormat="1" applyFont="1" applyFill="1" applyBorder="1"/>
    <xf numFmtId="0" fontId="4" fillId="3" borderId="3" xfId="0" applyFont="1" applyFill="1" applyBorder="1"/>
    <xf numFmtId="0" fontId="4" fillId="3" borderId="3" xfId="0" applyFont="1" applyFill="1" applyBorder="1" applyAlignment="1">
      <alignment horizontal="right"/>
    </xf>
    <xf numFmtId="172" fontId="4" fillId="3" borderId="3" xfId="0" applyNumberFormat="1" applyFont="1" applyFill="1" applyBorder="1"/>
    <xf numFmtId="0" fontId="48" fillId="3" borderId="0" xfId="0" applyFont="1" applyFill="1"/>
    <xf numFmtId="0" fontId="49" fillId="3" borderId="0" xfId="0" applyFont="1" applyFill="1"/>
    <xf numFmtId="9" fontId="49" fillId="3" borderId="0" xfId="4" applyFont="1" applyFill="1"/>
    <xf numFmtId="0" fontId="50" fillId="8" borderId="0" xfId="0" applyFont="1" applyFill="1"/>
    <xf numFmtId="0" fontId="52" fillId="3" borderId="0" xfId="0" applyFont="1" applyFill="1"/>
    <xf numFmtId="3" fontId="12" fillId="8" borderId="0" xfId="0" applyNumberFormat="1" applyFont="1" applyFill="1"/>
    <xf numFmtId="0" fontId="17" fillId="8" borderId="4" xfId="0" applyFont="1" applyFill="1" applyBorder="1"/>
    <xf numFmtId="1" fontId="17" fillId="8" borderId="4" xfId="0" applyNumberFormat="1" applyFont="1" applyFill="1" applyBorder="1"/>
    <xf numFmtId="0" fontId="17" fillId="11" borderId="0" xfId="0" applyFont="1" applyFill="1"/>
    <xf numFmtId="0" fontId="12" fillId="11" borderId="0" xfId="0" applyFont="1" applyFill="1"/>
    <xf numFmtId="1" fontId="17" fillId="11" borderId="1" xfId="0" applyNumberFormat="1" applyFont="1" applyFill="1" applyBorder="1"/>
    <xf numFmtId="0" fontId="4" fillId="6" borderId="0" xfId="0" applyFont="1" applyFill="1"/>
    <xf numFmtId="170" fontId="17" fillId="8" borderId="0" xfId="0" applyNumberFormat="1" applyFont="1" applyFill="1"/>
    <xf numFmtId="1" fontId="17" fillId="8" borderId="1" xfId="0" applyNumberFormat="1" applyFont="1" applyFill="1" applyBorder="1"/>
    <xf numFmtId="1" fontId="17" fillId="9" borderId="1" xfId="0" applyNumberFormat="1" applyFont="1" applyFill="1" applyBorder="1"/>
    <xf numFmtId="0" fontId="17" fillId="12" borderId="0" xfId="0" applyFont="1" applyFill="1"/>
    <xf numFmtId="1" fontId="17" fillId="12" borderId="1" xfId="0" applyNumberFormat="1" applyFont="1" applyFill="1" applyBorder="1"/>
    <xf numFmtId="0" fontId="4" fillId="3" borderId="0" xfId="0" applyFont="1" applyFill="1" applyAlignment="1">
      <alignment vertical="center"/>
    </xf>
    <xf numFmtId="3" fontId="1" fillId="3" borderId="0" xfId="0" applyNumberFormat="1" applyFont="1" applyFill="1" applyAlignment="1">
      <alignment vertical="center"/>
    </xf>
    <xf numFmtId="4" fontId="1" fillId="3" borderId="0" xfId="0" applyNumberFormat="1" applyFont="1" applyFill="1" applyAlignment="1">
      <alignment vertical="center"/>
    </xf>
    <xf numFmtId="168" fontId="1" fillId="3" borderId="0" xfId="0" applyNumberFormat="1" applyFont="1" applyFill="1" applyAlignment="1">
      <alignment vertical="center"/>
    </xf>
    <xf numFmtId="3" fontId="4" fillId="3" borderId="0" xfId="0" applyNumberFormat="1" applyFont="1" applyFill="1"/>
    <xf numFmtId="0" fontId="49" fillId="3" borderId="0" xfId="0" applyFont="1" applyFill="1" applyAlignment="1">
      <alignment wrapText="1"/>
    </xf>
    <xf numFmtId="0" fontId="49" fillId="3" borderId="0" xfId="0" applyFont="1" applyFill="1" applyAlignment="1">
      <alignment horizontal="left" vertical="top" wrapText="1"/>
    </xf>
    <xf numFmtId="0" fontId="60" fillId="3" borderId="0" xfId="0" applyFont="1" applyFill="1"/>
    <xf numFmtId="0" fontId="62" fillId="3" borderId="0" xfId="0" applyFont="1" applyFill="1"/>
    <xf numFmtId="0" fontId="60" fillId="3" borderId="13" xfId="0" applyFont="1" applyFill="1" applyBorder="1"/>
    <xf numFmtId="0" fontId="1" fillId="3" borderId="13" xfId="0" applyFont="1" applyFill="1" applyBorder="1"/>
    <xf numFmtId="0" fontId="1" fillId="13" borderId="0" xfId="0" applyFont="1" applyFill="1"/>
    <xf numFmtId="0" fontId="61" fillId="13" borderId="0" xfId="0" applyFont="1" applyFill="1"/>
    <xf numFmtId="0" fontId="63" fillId="3" borderId="0" xfId="0" applyFont="1" applyFill="1"/>
    <xf numFmtId="0" fontId="63" fillId="3" borderId="0" xfId="0" applyFont="1" applyFill="1" applyAlignment="1">
      <alignment horizontal="right"/>
    </xf>
    <xf numFmtId="0" fontId="31" fillId="0" borderId="0" xfId="0" applyFont="1" applyAlignment="1">
      <alignment vertical="center" wrapText="1"/>
    </xf>
    <xf numFmtId="0" fontId="64" fillId="3" borderId="0" xfId="0" applyFont="1" applyFill="1"/>
    <xf numFmtId="0" fontId="65" fillId="3" borderId="0" xfId="0" applyFont="1" applyFill="1"/>
    <xf numFmtId="0" fontId="66" fillId="3" borderId="0" xfId="0" applyFont="1" applyFill="1"/>
    <xf numFmtId="173" fontId="1" fillId="9" borderId="0" xfId="0" applyNumberFormat="1" applyFont="1" applyFill="1"/>
    <xf numFmtId="173" fontId="1" fillId="3" borderId="0" xfId="0" applyNumberFormat="1" applyFont="1" applyFill="1"/>
    <xf numFmtId="173" fontId="4" fillId="3" borderId="4" xfId="0" applyNumberFormat="1" applyFont="1" applyFill="1" applyBorder="1"/>
    <xf numFmtId="1" fontId="1" fillId="0" borderId="0" xfId="0" applyNumberFormat="1" applyFont="1"/>
    <xf numFmtId="0" fontId="4" fillId="2" borderId="0" xfId="0" applyFont="1" applyFill="1" applyAlignment="1">
      <alignment horizontal="right"/>
    </xf>
    <xf numFmtId="0" fontId="1" fillId="4" borderId="0" xfId="0" applyFont="1" applyFill="1"/>
    <xf numFmtId="0" fontId="72" fillId="3" borderId="0" xfId="0" applyFont="1" applyFill="1" applyAlignment="1">
      <alignment vertical="center" wrapText="1"/>
    </xf>
    <xf numFmtId="0" fontId="1" fillId="2" borderId="18" xfId="0" applyFont="1" applyFill="1" applyBorder="1"/>
    <xf numFmtId="172" fontId="1" fillId="2" borderId="18" xfId="0" applyNumberFormat="1" applyFont="1" applyFill="1" applyBorder="1"/>
    <xf numFmtId="0" fontId="1" fillId="2" borderId="19" xfId="0" applyFont="1" applyFill="1" applyBorder="1"/>
    <xf numFmtId="172" fontId="1" fillId="2" borderId="19" xfId="0" applyNumberFormat="1" applyFont="1" applyFill="1" applyBorder="1"/>
    <xf numFmtId="0" fontId="73" fillId="3" borderId="0" xfId="0" applyFont="1" applyFill="1" applyAlignment="1">
      <alignment vertical="center" wrapText="1"/>
    </xf>
    <xf numFmtId="166" fontId="1" fillId="3" borderId="0" xfId="4" applyNumberFormat="1" applyFont="1" applyFill="1" applyProtection="1"/>
    <xf numFmtId="3" fontId="1" fillId="7" borderId="1" xfId="0" applyNumberFormat="1" applyFont="1" applyFill="1" applyBorder="1" applyProtection="1">
      <protection locked="0"/>
    </xf>
    <xf numFmtId="14" fontId="1" fillId="7" borderId="1" xfId="0" applyNumberFormat="1" applyFont="1" applyFill="1" applyBorder="1" applyProtection="1">
      <protection locked="0"/>
    </xf>
    <xf numFmtId="9" fontId="1" fillId="3" borderId="0" xfId="4" applyFont="1" applyFill="1" applyProtection="1"/>
    <xf numFmtId="9" fontId="49" fillId="3" borderId="0" xfId="4" applyFont="1" applyFill="1" applyProtection="1"/>
    <xf numFmtId="1" fontId="1" fillId="7" borderId="1" xfId="0" applyNumberFormat="1" applyFont="1" applyFill="1" applyBorder="1" applyAlignment="1" applyProtection="1">
      <alignment vertical="center"/>
      <protection locked="0"/>
    </xf>
    <xf numFmtId="0" fontId="1" fillId="3" borderId="0" xfId="0" applyFont="1" applyFill="1" applyAlignment="1">
      <alignment horizontal="center" wrapText="1"/>
    </xf>
    <xf numFmtId="0" fontId="4" fillId="3" borderId="0" xfId="0" applyFont="1" applyFill="1" applyAlignment="1">
      <alignment horizontal="center" vertical="center"/>
    </xf>
    <xf numFmtId="0" fontId="1" fillId="3" borderId="0" xfId="0" applyFont="1" applyFill="1" applyAlignment="1">
      <alignment wrapText="1"/>
    </xf>
    <xf numFmtId="0" fontId="4" fillId="3" borderId="3" xfId="0" applyFont="1" applyFill="1" applyBorder="1" applyAlignment="1">
      <alignment vertical="center"/>
    </xf>
    <xf numFmtId="0" fontId="1" fillId="2" borderId="0" xfId="0" applyFont="1" applyFill="1"/>
    <xf numFmtId="0" fontId="1" fillId="16" borderId="1" xfId="0" applyFont="1" applyFill="1" applyBorder="1" applyProtection="1">
      <protection locked="0"/>
    </xf>
    <xf numFmtId="166" fontId="1" fillId="7" borderId="1" xfId="0" applyNumberFormat="1" applyFont="1" applyFill="1" applyBorder="1" applyProtection="1">
      <protection locked="0"/>
    </xf>
    <xf numFmtId="0" fontId="4" fillId="3" borderId="0" xfId="0" applyFont="1" applyFill="1" applyAlignment="1">
      <alignment horizontal="center" wrapText="1"/>
    </xf>
    <xf numFmtId="2" fontId="1" fillId="3" borderId="0" xfId="0" applyNumberFormat="1" applyFont="1" applyFill="1"/>
    <xf numFmtId="2" fontId="1" fillId="3" borderId="0" xfId="0" quotePrefix="1" applyNumberFormat="1" applyFont="1" applyFill="1" applyAlignment="1">
      <alignment horizontal="right" indent="1"/>
    </xf>
    <xf numFmtId="0" fontId="1" fillId="5" borderId="0" xfId="0" applyFont="1" applyFill="1" applyAlignment="1">
      <alignment horizontal="center" wrapText="1"/>
    </xf>
    <xf numFmtId="4" fontId="1" fillId="7" borderId="1" xfId="0" applyNumberFormat="1" applyFont="1" applyFill="1" applyBorder="1" applyProtection="1">
      <protection locked="0"/>
    </xf>
    <xf numFmtId="0" fontId="1" fillId="5" borderId="0" xfId="0" applyFont="1" applyFill="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left" vertical="top" wrapText="1"/>
    </xf>
    <xf numFmtId="0" fontId="1" fillId="3" borderId="0" xfId="0" applyFont="1" applyFill="1" applyAlignment="1">
      <alignment horizontal="right" vertical="top"/>
    </xf>
    <xf numFmtId="0" fontId="19" fillId="3" borderId="0" xfId="0" applyFont="1" applyFill="1" applyAlignment="1">
      <alignment horizontal="left" vertical="top" wrapText="1"/>
    </xf>
    <xf numFmtId="0" fontId="4" fillId="5" borderId="0" xfId="0" applyFont="1" applyFill="1"/>
    <xf numFmtId="0" fontId="4" fillId="9" borderId="0" xfId="0" applyFont="1" applyFill="1" applyAlignment="1">
      <alignment vertical="center"/>
    </xf>
    <xf numFmtId="0" fontId="12" fillId="9" borderId="0" xfId="0" applyFont="1" applyFill="1" applyAlignment="1">
      <alignment horizontal="left" vertical="center" wrapText="1"/>
    </xf>
    <xf numFmtId="0" fontId="12" fillId="9" borderId="0" xfId="0" applyFont="1" applyFill="1" applyAlignment="1">
      <alignment horizontal="right" vertical="center" wrapText="1"/>
    </xf>
    <xf numFmtId="0" fontId="4" fillId="4" borderId="0" xfId="0" applyFont="1" applyFill="1" applyAlignment="1">
      <alignment vertical="center"/>
    </xf>
    <xf numFmtId="2" fontId="4" fillId="4" borderId="0" xfId="0" applyNumberFormat="1" applyFont="1" applyFill="1" applyAlignment="1">
      <alignment vertical="center"/>
    </xf>
    <xf numFmtId="0" fontId="12" fillId="3" borderId="0" xfId="0" applyFont="1" applyFill="1" applyAlignment="1">
      <alignment horizontal="left" vertical="center" wrapText="1"/>
    </xf>
    <xf numFmtId="0" fontId="12" fillId="3" borderId="0" xfId="0" applyFont="1" applyFill="1" applyAlignment="1">
      <alignment horizontal="right" vertical="center" wrapText="1"/>
    </xf>
    <xf numFmtId="1" fontId="17" fillId="16" borderId="0" xfId="0" applyNumberFormat="1" applyFont="1" applyFill="1" applyAlignment="1">
      <alignment horizontal="right" vertical="center"/>
    </xf>
    <xf numFmtId="2" fontId="17" fillId="16" borderId="0" xfId="0" applyNumberFormat="1" applyFont="1" applyFill="1" applyAlignment="1">
      <alignment vertical="center"/>
    </xf>
    <xf numFmtId="1" fontId="4" fillId="4" borderId="0" xfId="0" applyNumberFormat="1" applyFont="1" applyFill="1" applyAlignment="1">
      <alignment vertical="center"/>
    </xf>
    <xf numFmtId="170" fontId="4" fillId="16" borderId="0" xfId="0" applyNumberFormat="1" applyFont="1" applyFill="1" applyAlignment="1">
      <alignment horizontal="right" vertical="center"/>
    </xf>
    <xf numFmtId="0" fontId="4" fillId="16" borderId="0" xfId="0" applyFont="1" applyFill="1" applyAlignment="1">
      <alignment vertical="center"/>
    </xf>
    <xf numFmtId="170" fontId="4" fillId="4" borderId="0" xfId="0" applyNumberFormat="1" applyFont="1" applyFill="1" applyAlignment="1">
      <alignment horizontal="right" vertical="center"/>
    </xf>
    <xf numFmtId="2" fontId="4" fillId="16" borderId="0" xfId="0" applyNumberFormat="1" applyFont="1" applyFill="1" applyAlignment="1">
      <alignment horizontal="right" vertical="center"/>
    </xf>
    <xf numFmtId="0" fontId="17" fillId="4" borderId="0" xfId="0" applyFont="1" applyFill="1" applyAlignment="1">
      <alignment vertical="center"/>
    </xf>
    <xf numFmtId="2" fontId="1" fillId="5" borderId="0" xfId="0" applyNumberFormat="1" applyFont="1" applyFill="1"/>
    <xf numFmtId="0" fontId="12" fillId="9" borderId="0" xfId="0" applyFont="1" applyFill="1" applyAlignment="1">
      <alignment vertical="center"/>
    </xf>
    <xf numFmtId="0" fontId="12" fillId="9" borderId="0" xfId="0" applyFont="1" applyFill="1" applyAlignment="1">
      <alignment horizontal="right" vertical="center"/>
    </xf>
    <xf numFmtId="49" fontId="12" fillId="9" borderId="0" xfId="0" applyNumberFormat="1" applyFont="1" applyFill="1" applyAlignment="1">
      <alignment horizontal="right" vertical="center"/>
    </xf>
    <xf numFmtId="0" fontId="1" fillId="9" borderId="0" xfId="0" applyFont="1" applyFill="1" applyAlignment="1">
      <alignment horizontal="right" vertical="center"/>
    </xf>
    <xf numFmtId="0" fontId="1" fillId="3" borderId="8" xfId="0" applyFont="1" applyFill="1" applyBorder="1" applyAlignment="1">
      <alignment vertical="center"/>
    </xf>
    <xf numFmtId="0" fontId="1" fillId="3" borderId="8" xfId="0" applyFont="1" applyFill="1" applyBorder="1" applyAlignment="1">
      <alignment horizontal="right" vertical="center"/>
    </xf>
    <xf numFmtId="0" fontId="1" fillId="4" borderId="8" xfId="0" applyFont="1" applyFill="1" applyBorder="1" applyAlignment="1">
      <alignment vertical="center"/>
    </xf>
    <xf numFmtId="0" fontId="4" fillId="3" borderId="0" xfId="0" applyFont="1" applyFill="1" applyAlignment="1">
      <alignment horizontal="right" vertical="center"/>
    </xf>
    <xf numFmtId="0" fontId="1" fillId="3" borderId="3" xfId="0" applyFont="1" applyFill="1" applyBorder="1" applyAlignment="1">
      <alignment vertical="center"/>
    </xf>
    <xf numFmtId="0" fontId="11" fillId="3" borderId="0" xfId="0" applyFont="1" applyFill="1" applyAlignment="1">
      <alignment vertical="center"/>
    </xf>
    <xf numFmtId="0" fontId="1" fillId="3" borderId="0" xfId="0" applyFont="1" applyFill="1" applyAlignment="1">
      <alignment horizontal="right" vertical="center"/>
    </xf>
    <xf numFmtId="0" fontId="1" fillId="4" borderId="0" xfId="0" applyFont="1" applyFill="1" applyAlignment="1">
      <alignment vertical="center"/>
    </xf>
    <xf numFmtId="0" fontId="12" fillId="3" borderId="3" xfId="0" applyFont="1" applyFill="1" applyBorder="1" applyAlignment="1">
      <alignment vertical="center"/>
    </xf>
    <xf numFmtId="0" fontId="1" fillId="3" borderId="3" xfId="0" applyFont="1" applyFill="1" applyBorder="1" applyAlignment="1">
      <alignment horizontal="right" vertical="center"/>
    </xf>
    <xf numFmtId="0" fontId="1" fillId="4" borderId="3" xfId="0" applyFont="1" applyFill="1" applyBorder="1" applyAlignment="1">
      <alignment vertical="center"/>
    </xf>
    <xf numFmtId="0" fontId="1" fillId="3" borderId="0" xfId="0" applyFont="1" applyFill="1" applyAlignment="1">
      <alignment horizontal="right"/>
    </xf>
    <xf numFmtId="0" fontId="1" fillId="5" borderId="0" xfId="0" applyFont="1" applyFill="1" applyAlignment="1">
      <alignment horizontal="right"/>
    </xf>
    <xf numFmtId="0" fontId="14" fillId="5" borderId="0" xfId="0" applyFont="1" applyFill="1"/>
    <xf numFmtId="0" fontId="24" fillId="5" borderId="0" xfId="0" applyFont="1" applyFill="1"/>
    <xf numFmtId="0" fontId="7" fillId="3" borderId="0" xfId="0" applyFont="1" applyFill="1" applyAlignment="1">
      <alignment vertical="center"/>
    </xf>
    <xf numFmtId="0" fontId="15" fillId="3" borderId="0" xfId="0" applyFont="1" applyFill="1"/>
    <xf numFmtId="0" fontId="6" fillId="3" borderId="0" xfId="0" applyFont="1" applyFill="1" applyAlignment="1">
      <alignment vertical="center"/>
    </xf>
    <xf numFmtId="0" fontId="21" fillId="3" borderId="0" xfId="0" applyFont="1" applyFill="1"/>
    <xf numFmtId="0" fontId="9" fillId="3"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0" fillId="3" borderId="0" xfId="0" applyFont="1" applyFill="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wrapText="1"/>
    </xf>
    <xf numFmtId="0" fontId="17" fillId="3" borderId="0" xfId="0" applyFont="1" applyFill="1" applyAlignment="1">
      <alignment horizontal="left" vertical="center"/>
    </xf>
    <xf numFmtId="165" fontId="1" fillId="3" borderId="0" xfId="0" applyNumberFormat="1" applyFont="1" applyFill="1"/>
    <xf numFmtId="165" fontId="1" fillId="3" borderId="0" xfId="0" applyNumberFormat="1" applyFont="1" applyFill="1" applyAlignment="1">
      <alignment horizontal="right"/>
    </xf>
    <xf numFmtId="0" fontId="11" fillId="3" borderId="0" xfId="0" applyFont="1" applyFill="1" applyAlignment="1">
      <alignment horizontal="left" vertical="center" wrapText="1" readingOrder="1"/>
    </xf>
    <xf numFmtId="165" fontId="4" fillId="3" borderId="0" xfId="0" applyNumberFormat="1" applyFont="1" applyFill="1"/>
    <xf numFmtId="0" fontId="11" fillId="3" borderId="0" xfId="0" applyFont="1" applyFill="1" applyAlignment="1">
      <alignment horizontal="right" vertical="center" wrapText="1" readingOrder="1"/>
    </xf>
    <xf numFmtId="165" fontId="12" fillId="3" borderId="0" xfId="0" applyNumberFormat="1" applyFont="1" applyFill="1" applyAlignment="1">
      <alignment horizontal="right" vertical="center"/>
    </xf>
    <xf numFmtId="0" fontId="13" fillId="3" borderId="0" xfId="0" applyFont="1" applyFill="1"/>
    <xf numFmtId="165" fontId="13" fillId="3" borderId="0" xfId="0" applyNumberFormat="1" applyFont="1" applyFill="1"/>
    <xf numFmtId="0" fontId="13" fillId="3" borderId="0" xfId="0" applyFont="1" applyFill="1" applyAlignment="1">
      <alignment horizontal="right"/>
    </xf>
    <xf numFmtId="165" fontId="49" fillId="3" borderId="0" xfId="0" applyNumberFormat="1" applyFont="1" applyFill="1"/>
    <xf numFmtId="0" fontId="49" fillId="5" borderId="0" xfId="0" applyFont="1" applyFill="1"/>
    <xf numFmtId="0" fontId="49" fillId="3" borderId="0" xfId="0" applyFont="1" applyFill="1" applyAlignment="1">
      <alignment horizontal="right"/>
    </xf>
    <xf numFmtId="0" fontId="14" fillId="3" borderId="0" xfId="0" applyFont="1" applyFill="1" applyAlignment="1">
      <alignment horizontal="right"/>
    </xf>
    <xf numFmtId="165" fontId="1" fillId="3" borderId="8" xfId="0" applyNumberFormat="1" applyFont="1" applyFill="1" applyBorder="1"/>
    <xf numFmtId="0" fontId="10" fillId="5" borderId="0" xfId="0" applyFont="1" applyFill="1" applyAlignment="1">
      <alignment horizontal="center" vertical="center"/>
    </xf>
    <xf numFmtId="0" fontId="16" fillId="5" borderId="0" xfId="0" applyFont="1" applyFill="1"/>
    <xf numFmtId="165" fontId="10" fillId="5" borderId="0" xfId="0" applyNumberFormat="1" applyFont="1" applyFill="1" applyAlignment="1">
      <alignment horizontal="center" vertical="center"/>
    </xf>
    <xf numFmtId="164" fontId="14" fillId="5" borderId="0" xfId="3" applyNumberFormat="1" applyFont="1" applyFill="1" applyBorder="1" applyProtection="1"/>
    <xf numFmtId="0" fontId="14" fillId="5" borderId="0" xfId="0" applyFont="1" applyFill="1" applyAlignment="1">
      <alignment horizontal="center" vertical="center"/>
    </xf>
    <xf numFmtId="165" fontId="14" fillId="5" borderId="0" xfId="0" applyNumberFormat="1" applyFont="1" applyFill="1"/>
    <xf numFmtId="165" fontId="14" fillId="5" borderId="0" xfId="0" applyNumberFormat="1" applyFont="1" applyFill="1" applyAlignment="1">
      <alignment vertical="center" wrapText="1"/>
    </xf>
    <xf numFmtId="165" fontId="12" fillId="5" borderId="0" xfId="0" applyNumberFormat="1" applyFont="1" applyFill="1" applyAlignment="1">
      <alignment horizontal="right" vertical="center"/>
    </xf>
    <xf numFmtId="165" fontId="5" fillId="5" borderId="0" xfId="0" applyNumberFormat="1" applyFont="1" applyFill="1"/>
    <xf numFmtId="0" fontId="12" fillId="5" borderId="0" xfId="0" applyFont="1" applyFill="1" applyAlignment="1">
      <alignment vertical="center"/>
    </xf>
    <xf numFmtId="165" fontId="5" fillId="5" borderId="0" xfId="0" applyNumberFormat="1" applyFont="1" applyFill="1" applyAlignment="1">
      <alignment vertical="center" wrapText="1"/>
    </xf>
    <xf numFmtId="0" fontId="4" fillId="5" borderId="0" xfId="0" applyFont="1" applyFill="1" applyAlignment="1">
      <alignment wrapText="1"/>
    </xf>
    <xf numFmtId="0" fontId="1" fillId="5" borderId="0" xfId="0" applyFont="1" applyFill="1" applyAlignment="1">
      <alignment wrapText="1"/>
    </xf>
    <xf numFmtId="0" fontId="1" fillId="5" borderId="0" xfId="0" quotePrefix="1" applyFont="1" applyFill="1"/>
    <xf numFmtId="165" fontId="1" fillId="7" borderId="1" xfId="0" applyNumberFormat="1" applyFont="1" applyFill="1" applyBorder="1" applyProtection="1">
      <protection locked="0"/>
    </xf>
    <xf numFmtId="165" fontId="49" fillId="7" borderId="1" xfId="0" applyNumberFormat="1" applyFont="1" applyFill="1" applyBorder="1" applyProtection="1">
      <protection locked="0"/>
    </xf>
    <xf numFmtId="0" fontId="16" fillId="3" borderId="0" xfId="0" applyFont="1" applyFill="1"/>
    <xf numFmtId="0" fontId="4" fillId="3" borderId="1" xfId="0" applyFont="1" applyFill="1" applyBorder="1"/>
    <xf numFmtId="0" fontId="9" fillId="3" borderId="5" xfId="0" applyFont="1" applyFill="1" applyBorder="1" applyAlignment="1">
      <alignment vertical="center"/>
    </xf>
    <xf numFmtId="0" fontId="9" fillId="3" borderId="6" xfId="0" applyFont="1" applyFill="1" applyBorder="1" applyAlignment="1">
      <alignment vertical="center"/>
    </xf>
    <xf numFmtId="0" fontId="1" fillId="3" borderId="16" xfId="0" applyFont="1" applyFill="1" applyBorder="1"/>
    <xf numFmtId="0" fontId="1" fillId="3" borderId="12" xfId="0" applyFont="1" applyFill="1" applyBorder="1"/>
    <xf numFmtId="0" fontId="1" fillId="3" borderId="17" xfId="0" applyFont="1" applyFill="1" applyBorder="1"/>
    <xf numFmtId="0" fontId="1" fillId="3" borderId="1" xfId="0" applyFont="1" applyFill="1" applyBorder="1"/>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1" fillId="3" borderId="14" xfId="0" applyFont="1" applyFill="1" applyBorder="1"/>
    <xf numFmtId="0" fontId="1" fillId="3" borderId="15" xfId="0" applyFont="1" applyFill="1" applyBorder="1"/>
    <xf numFmtId="0" fontId="1" fillId="3" borderId="5" xfId="0" applyFont="1" applyFill="1" applyBorder="1"/>
    <xf numFmtId="0" fontId="1" fillId="3" borderId="6" xfId="0" applyFont="1" applyFill="1" applyBorder="1"/>
    <xf numFmtId="0" fontId="1" fillId="3" borderId="20" xfId="0" quotePrefix="1" applyFont="1" applyFill="1" applyBorder="1"/>
    <xf numFmtId="165" fontId="1" fillId="3" borderId="5" xfId="0" applyNumberFormat="1" applyFont="1" applyFill="1" applyBorder="1" applyAlignment="1">
      <alignment horizontal="center"/>
    </xf>
    <xf numFmtId="165" fontId="1" fillId="3" borderId="0" xfId="0" applyNumberFormat="1" applyFont="1" applyFill="1" applyAlignment="1">
      <alignment horizontal="center"/>
    </xf>
    <xf numFmtId="165" fontId="1" fillId="3" borderId="6" xfId="0" applyNumberFormat="1" applyFont="1" applyFill="1" applyBorder="1" applyAlignment="1">
      <alignment horizontal="center"/>
    </xf>
    <xf numFmtId="0" fontId="1" fillId="3" borderId="0" xfId="0" applyFont="1" applyFill="1" applyAlignment="1">
      <alignment horizontal="center"/>
    </xf>
    <xf numFmtId="165" fontId="1" fillId="3" borderId="5" xfId="0" quotePrefix="1" applyNumberFormat="1" applyFont="1" applyFill="1" applyBorder="1" applyAlignment="1">
      <alignment horizontal="center"/>
    </xf>
    <xf numFmtId="165" fontId="1" fillId="3" borderId="0" xfId="0" quotePrefix="1" applyNumberFormat="1" applyFont="1" applyFill="1" applyAlignment="1">
      <alignment horizontal="center"/>
    </xf>
    <xf numFmtId="165" fontId="1" fillId="3" borderId="6" xfId="0" quotePrefix="1" applyNumberFormat="1" applyFont="1" applyFill="1" applyBorder="1" applyAlignment="1">
      <alignment horizontal="center"/>
    </xf>
    <xf numFmtId="0" fontId="1" fillId="3" borderId="0" xfId="0" quotePrefix="1" applyFont="1" applyFill="1"/>
    <xf numFmtId="165" fontId="12" fillId="3"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 fillId="3" borderId="20" xfId="0" applyFont="1"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165" fontId="56" fillId="3" borderId="0" xfId="0" applyNumberFormat="1" applyFont="1" applyFill="1"/>
    <xf numFmtId="0" fontId="54" fillId="3" borderId="0" xfId="0" applyFont="1" applyFill="1"/>
    <xf numFmtId="165" fontId="54" fillId="3" borderId="5" xfId="0" quotePrefix="1" applyNumberFormat="1" applyFont="1" applyFill="1" applyBorder="1" applyAlignment="1">
      <alignment horizontal="center"/>
    </xf>
    <xf numFmtId="165" fontId="54" fillId="3" borderId="0" xfId="0" quotePrefix="1" applyNumberFormat="1" applyFont="1" applyFill="1" applyAlignment="1">
      <alignment horizontal="center"/>
    </xf>
    <xf numFmtId="165" fontId="54" fillId="3" borderId="6" xfId="0" quotePrefix="1" applyNumberFormat="1" applyFont="1" applyFill="1" applyBorder="1" applyAlignment="1">
      <alignment horizontal="center"/>
    </xf>
    <xf numFmtId="0" fontId="54" fillId="3" borderId="0" xfId="0" applyFont="1" applyFill="1" applyAlignment="1">
      <alignment horizontal="center"/>
    </xf>
    <xf numFmtId="0" fontId="54" fillId="3" borderId="5" xfId="0" applyFont="1" applyFill="1" applyBorder="1" applyAlignment="1">
      <alignment horizontal="center"/>
    </xf>
    <xf numFmtId="0" fontId="54" fillId="3" borderId="6" xfId="0" applyFont="1" applyFill="1" applyBorder="1" applyAlignment="1">
      <alignment horizontal="center"/>
    </xf>
    <xf numFmtId="165" fontId="13" fillId="3" borderId="5" xfId="0" applyNumberFormat="1" applyFont="1" applyFill="1" applyBorder="1" applyAlignment="1">
      <alignment horizontal="center"/>
    </xf>
    <xf numFmtId="165" fontId="13" fillId="3" borderId="6" xfId="0" applyNumberFormat="1" applyFont="1" applyFill="1" applyBorder="1" applyAlignment="1">
      <alignment horizontal="center"/>
    </xf>
    <xf numFmtId="171" fontId="1" fillId="3" borderId="5" xfId="0" applyNumberFormat="1" applyFont="1" applyFill="1" applyBorder="1" applyAlignment="1">
      <alignment horizontal="center"/>
    </xf>
    <xf numFmtId="171" fontId="1" fillId="3" borderId="0" xfId="0" applyNumberFormat="1" applyFont="1" applyFill="1" applyAlignment="1">
      <alignment horizontal="center"/>
    </xf>
    <xf numFmtId="171" fontId="1" fillId="3" borderId="6" xfId="0" applyNumberFormat="1" applyFont="1" applyFill="1" applyBorder="1" applyAlignment="1">
      <alignment horizontal="center"/>
    </xf>
    <xf numFmtId="0" fontId="6" fillId="3" borderId="6" xfId="0" applyFont="1" applyFill="1" applyBorder="1" applyAlignment="1">
      <alignment horizontal="center" vertical="center"/>
    </xf>
    <xf numFmtId="165" fontId="12" fillId="3" borderId="0" xfId="0" applyNumberFormat="1" applyFont="1" applyFill="1" applyAlignment="1">
      <alignment vertical="center"/>
    </xf>
    <xf numFmtId="165" fontId="12" fillId="3" borderId="6" xfId="0" applyNumberFormat="1" applyFont="1" applyFill="1" applyBorder="1" applyAlignment="1">
      <alignment horizontal="left" vertical="center"/>
    </xf>
    <xf numFmtId="165" fontId="12" fillId="3" borderId="6" xfId="0" applyNumberFormat="1" applyFont="1" applyFill="1" applyBorder="1" applyAlignment="1">
      <alignment horizontal="left" vertical="center" wrapText="1"/>
    </xf>
    <xf numFmtId="165" fontId="1" fillId="3" borderId="7" xfId="0" quotePrefix="1" applyNumberFormat="1" applyFont="1" applyFill="1" applyBorder="1" applyAlignment="1">
      <alignment horizontal="center"/>
    </xf>
    <xf numFmtId="165" fontId="1" fillId="3" borderId="3" xfId="0" quotePrefix="1" applyNumberFormat="1" applyFont="1" applyFill="1" applyBorder="1" applyAlignment="1">
      <alignment horizontal="center"/>
    </xf>
    <xf numFmtId="165" fontId="1" fillId="3" borderId="2" xfId="0" quotePrefix="1" applyNumberFormat="1" applyFont="1" applyFill="1" applyBorder="1" applyAlignment="1">
      <alignment horizontal="center"/>
    </xf>
    <xf numFmtId="171" fontId="1" fillId="3" borderId="7" xfId="0" applyNumberFormat="1" applyFont="1" applyFill="1" applyBorder="1" applyAlignment="1">
      <alignment horizontal="center"/>
    </xf>
    <xf numFmtId="171" fontId="1" fillId="3" borderId="3" xfId="0" applyNumberFormat="1" applyFont="1" applyFill="1" applyBorder="1" applyAlignment="1">
      <alignment horizontal="center"/>
    </xf>
    <xf numFmtId="171" fontId="1" fillId="3" borderId="2" xfId="0" applyNumberFormat="1" applyFont="1" applyFill="1" applyBorder="1" applyAlignment="1">
      <alignment horizontal="center"/>
    </xf>
    <xf numFmtId="0" fontId="1" fillId="3" borderId="7" xfId="0" applyFont="1" applyFill="1" applyBorder="1" applyAlignment="1">
      <alignment horizontal="center"/>
    </xf>
    <xf numFmtId="0" fontId="1" fillId="3" borderId="3" xfId="0" applyFont="1" applyFill="1" applyBorder="1" applyAlignment="1">
      <alignment horizontal="center"/>
    </xf>
    <xf numFmtId="0" fontId="6" fillId="3" borderId="2" xfId="0" applyFont="1" applyFill="1" applyBorder="1" applyAlignment="1">
      <alignment horizontal="center" vertical="center"/>
    </xf>
    <xf numFmtId="0" fontId="1" fillId="3" borderId="7" xfId="0" applyFont="1" applyFill="1" applyBorder="1"/>
    <xf numFmtId="165" fontId="12" fillId="3" borderId="2" xfId="0" applyNumberFormat="1" applyFont="1" applyFill="1" applyBorder="1" applyAlignment="1">
      <alignment horizontal="left" vertical="center"/>
    </xf>
    <xf numFmtId="0" fontId="1" fillId="3" borderId="21" xfId="0" quotePrefix="1" applyFont="1" applyFill="1" applyBorder="1"/>
    <xf numFmtId="171" fontId="1" fillId="3" borderId="0" xfId="0" applyNumberFormat="1" applyFont="1" applyFill="1"/>
    <xf numFmtId="171" fontId="46" fillId="5" borderId="0" xfId="0" applyNumberFormat="1" applyFont="1" applyFill="1" applyAlignment="1">
      <alignment vertical="center"/>
    </xf>
    <xf numFmtId="3" fontId="1" fillId="7" borderId="1" xfId="0" applyNumberFormat="1" applyFont="1" applyFill="1" applyBorder="1" applyAlignment="1" applyProtection="1">
      <alignment vertical="center"/>
      <protection locked="0"/>
    </xf>
    <xf numFmtId="170" fontId="1" fillId="7" borderId="1" xfId="0" applyNumberFormat="1" applyFont="1" applyFill="1" applyBorder="1" applyAlignment="1" applyProtection="1">
      <alignment vertical="center"/>
      <protection locked="0"/>
    </xf>
    <xf numFmtId="0" fontId="12" fillId="14" borderId="0" xfId="0" applyFont="1" applyFill="1"/>
    <xf numFmtId="0" fontId="12" fillId="9" borderId="0" xfId="0" applyFont="1" applyFill="1"/>
    <xf numFmtId="0" fontId="12" fillId="15" borderId="0" xfId="0" applyFont="1" applyFill="1"/>
    <xf numFmtId="0" fontId="31" fillId="3" borderId="0" xfId="0" applyFont="1" applyFill="1" applyAlignment="1">
      <alignment vertical="center" wrapText="1"/>
    </xf>
    <xf numFmtId="170" fontId="12" fillId="14" borderId="1" xfId="0" applyNumberFormat="1" applyFont="1" applyFill="1" applyBorder="1"/>
    <xf numFmtId="0" fontId="12" fillId="10" borderId="1" xfId="0" applyFont="1" applyFill="1" applyBorder="1"/>
    <xf numFmtId="11" fontId="12" fillId="10" borderId="1" xfId="0" applyNumberFormat="1" applyFont="1" applyFill="1" applyBorder="1"/>
    <xf numFmtId="1" fontId="12" fillId="8" borderId="1" xfId="0" applyNumberFormat="1" applyFont="1" applyFill="1" applyBorder="1" applyAlignment="1">
      <alignment vertical="center"/>
    </xf>
    <xf numFmtId="11" fontId="12" fillId="8" borderId="1" xfId="0" applyNumberFormat="1" applyFont="1" applyFill="1" applyBorder="1" applyAlignment="1">
      <alignment vertical="center"/>
    </xf>
    <xf numFmtId="3" fontId="12" fillId="10" borderId="1" xfId="0" applyNumberFormat="1" applyFont="1" applyFill="1" applyBorder="1"/>
    <xf numFmtId="0" fontId="12" fillId="10" borderId="0" xfId="0" applyFont="1" applyFill="1"/>
    <xf numFmtId="0" fontId="67" fillId="3" borderId="0" xfId="0" quotePrefix="1" applyFont="1" applyFill="1" applyAlignment="1">
      <alignment horizontal="left" vertical="top" wrapText="1"/>
    </xf>
    <xf numFmtId="0" fontId="4" fillId="3" borderId="0" xfId="0" applyFont="1" applyFill="1" applyAlignment="1">
      <alignment horizontal="left" wrapText="1"/>
    </xf>
    <xf numFmtId="2" fontId="12" fillId="8" borderId="1" xfId="0" applyNumberFormat="1" applyFont="1" applyFill="1" applyBorder="1"/>
    <xf numFmtId="2" fontId="12" fillId="8" borderId="0" xfId="0" applyNumberFormat="1" applyFont="1" applyFill="1"/>
    <xf numFmtId="3" fontId="1" fillId="3" borderId="0" xfId="0" quotePrefix="1" applyNumberFormat="1" applyFont="1" applyFill="1" applyAlignment="1">
      <alignment horizontal="right" vertical="center"/>
    </xf>
    <xf numFmtId="0" fontId="69" fillId="3" borderId="0" xfId="0" applyFont="1" applyFill="1" applyAlignment="1">
      <alignment horizontal="right" vertical="top"/>
    </xf>
    <xf numFmtId="0" fontId="52" fillId="3" borderId="0" xfId="0" applyFont="1" applyFill="1" applyAlignment="1">
      <alignment horizontal="left"/>
    </xf>
    <xf numFmtId="171" fontId="1" fillId="7" borderId="1" xfId="0" applyNumberFormat="1" applyFont="1" applyFill="1" applyBorder="1" applyAlignment="1" applyProtection="1">
      <alignment vertical="center"/>
      <protection locked="0"/>
    </xf>
    <xf numFmtId="3" fontId="1" fillId="0" borderId="0" xfId="0" applyNumberFormat="1" applyFont="1" applyAlignment="1">
      <alignment vertical="center"/>
    </xf>
    <xf numFmtId="174" fontId="1" fillId="3" borderId="0" xfId="0" quotePrefix="1" applyNumberFormat="1" applyFont="1" applyFill="1" applyAlignment="1">
      <alignment horizontal="right" vertical="center"/>
    </xf>
    <xf numFmtId="0" fontId="12" fillId="8" borderId="1" xfId="0" applyFont="1" applyFill="1" applyBorder="1"/>
    <xf numFmtId="0" fontId="28" fillId="5" borderId="0" xfId="0" applyFont="1" applyFill="1" applyAlignment="1">
      <alignment horizontal="left" vertical="top"/>
    </xf>
    <xf numFmtId="0" fontId="30" fillId="5" borderId="0" xfId="7" applyFont="1" applyFill="1" applyBorder="1" applyAlignment="1" applyProtection="1">
      <alignment horizontal="left" vertical="top"/>
    </xf>
    <xf numFmtId="0" fontId="28" fillId="3" borderId="0" xfId="0" applyFont="1" applyFill="1" applyAlignment="1">
      <alignment horizontal="left" vertical="top"/>
    </xf>
    <xf numFmtId="0" fontId="30" fillId="3" borderId="0" xfId="7" applyFont="1" applyFill="1" applyBorder="1" applyAlignment="1" applyProtection="1">
      <alignment horizontal="left" vertical="top"/>
    </xf>
    <xf numFmtId="0" fontId="43" fillId="3" borderId="0" xfId="7" applyFont="1" applyFill="1" applyBorder="1" applyAlignment="1" applyProtection="1">
      <alignment horizontal="left" vertical="top"/>
    </xf>
    <xf numFmtId="0" fontId="44" fillId="3" borderId="0" xfId="7" applyFont="1" applyFill="1" applyBorder="1" applyAlignment="1" applyProtection="1">
      <alignment horizontal="left" vertical="top"/>
    </xf>
    <xf numFmtId="0" fontId="31" fillId="3" borderId="0" xfId="0" applyFont="1" applyFill="1" applyAlignment="1">
      <alignment horizontal="left" vertical="top"/>
    </xf>
    <xf numFmtId="0" fontId="32" fillId="3" borderId="0" xfId="7" applyFont="1" applyFill="1" applyBorder="1" applyAlignment="1" applyProtection="1">
      <alignment horizontal="left" vertical="top"/>
    </xf>
    <xf numFmtId="0" fontId="31" fillId="5" borderId="0" xfId="0" applyFont="1" applyFill="1" applyAlignment="1">
      <alignment horizontal="left" vertical="top"/>
    </xf>
    <xf numFmtId="0" fontId="33" fillId="3" borderId="0" xfId="0" applyFont="1" applyFill="1" applyAlignment="1">
      <alignment horizontal="left" vertical="top"/>
    </xf>
    <xf numFmtId="0" fontId="45" fillId="3" borderId="0" xfId="7" applyFont="1" applyFill="1" applyBorder="1" applyAlignment="1" applyProtection="1">
      <alignment horizontal="left" vertical="top"/>
    </xf>
    <xf numFmtId="0" fontId="34" fillId="3" borderId="0" xfId="7" applyFont="1" applyFill="1" applyBorder="1" applyAlignment="1" applyProtection="1">
      <alignment horizontal="left" vertical="top"/>
    </xf>
    <xf numFmtId="0" fontId="33" fillId="5" borderId="0" xfId="0" applyFont="1" applyFill="1" applyAlignment="1">
      <alignment horizontal="left" vertical="top"/>
    </xf>
    <xf numFmtId="0" fontId="32" fillId="2" borderId="11" xfId="7" applyFont="1" applyFill="1" applyBorder="1" applyAlignment="1" applyProtection="1">
      <alignment horizontal="left" vertical="top"/>
    </xf>
    <xf numFmtId="0" fontId="36" fillId="3" borderId="0" xfId="0" applyFont="1" applyFill="1" applyAlignment="1">
      <alignment horizontal="left" vertical="top"/>
    </xf>
    <xf numFmtId="0" fontId="36" fillId="3" borderId="0" xfId="0" applyFont="1" applyFill="1" applyAlignment="1">
      <alignment horizontal="left" vertical="top" wrapText="1"/>
    </xf>
    <xf numFmtId="0" fontId="41" fillId="3" borderId="0" xfId="6" applyFont="1" applyFill="1" applyAlignment="1" applyProtection="1">
      <alignment horizontal="left" vertical="top"/>
    </xf>
    <xf numFmtId="0" fontId="36" fillId="5" borderId="0" xfId="0" applyFont="1" applyFill="1" applyAlignment="1">
      <alignment horizontal="left" vertical="top"/>
    </xf>
    <xf numFmtId="0" fontId="35" fillId="3" borderId="0" xfId="0" applyFont="1" applyFill="1" applyAlignment="1">
      <alignment horizontal="left" vertical="top"/>
    </xf>
    <xf numFmtId="0" fontId="39" fillId="3" borderId="0" xfId="6" applyFont="1" applyFill="1" applyAlignment="1" applyProtection="1">
      <alignment horizontal="left" vertical="top" wrapText="1"/>
    </xf>
    <xf numFmtId="0" fontId="35" fillId="5" borderId="0" xfId="0" applyFont="1" applyFill="1" applyAlignment="1">
      <alignment horizontal="left" vertical="top"/>
    </xf>
    <xf numFmtId="0" fontId="38" fillId="5" borderId="0" xfId="0" applyFont="1" applyFill="1" applyAlignment="1">
      <alignment horizontal="left" vertical="top"/>
    </xf>
    <xf numFmtId="0" fontId="31" fillId="3" borderId="0" xfId="0" applyFont="1" applyFill="1" applyAlignment="1">
      <alignment horizontal="left" vertical="top" wrapText="1"/>
    </xf>
    <xf numFmtId="0" fontId="36" fillId="3" borderId="0" xfId="0" applyFont="1" applyFill="1" applyAlignment="1">
      <alignment vertical="top" wrapText="1"/>
    </xf>
    <xf numFmtId="0" fontId="39" fillId="3" borderId="0" xfId="6" applyFont="1" applyFill="1" applyAlignment="1" applyProtection="1">
      <alignment horizontal="left" vertical="top"/>
    </xf>
    <xf numFmtId="0" fontId="25" fillId="3" borderId="0" xfId="6" applyFill="1" applyAlignment="1" applyProtection="1">
      <alignment horizontal="left" vertical="top" wrapText="1"/>
    </xf>
    <xf numFmtId="0" fontId="36" fillId="5" borderId="0" xfId="0" applyFont="1" applyFill="1" applyAlignment="1">
      <alignment horizontal="left" vertical="top" wrapText="1"/>
    </xf>
    <xf numFmtId="0" fontId="40" fillId="3" borderId="0" xfId="6" applyFont="1" applyFill="1" applyAlignment="1" applyProtection="1">
      <alignment horizontal="left" vertical="top"/>
    </xf>
    <xf numFmtId="0" fontId="37" fillId="3" borderId="0" xfId="6" applyFont="1" applyFill="1" applyAlignment="1" applyProtection="1">
      <alignment vertical="top"/>
    </xf>
    <xf numFmtId="0" fontId="12" fillId="5" borderId="0" xfId="0" applyFont="1" applyFill="1" applyAlignment="1">
      <alignment horizontal="left" vertical="top"/>
    </xf>
    <xf numFmtId="0" fontId="39" fillId="3" borderId="0" xfId="6" applyFont="1" applyFill="1" applyAlignment="1" applyProtection="1">
      <alignment vertical="top"/>
    </xf>
    <xf numFmtId="0" fontId="36" fillId="3" borderId="0" xfId="0" applyFont="1" applyFill="1" applyAlignment="1">
      <alignment wrapText="1"/>
    </xf>
    <xf numFmtId="0" fontId="25" fillId="3" borderId="0" xfId="6" applyFill="1" applyAlignment="1" applyProtection="1">
      <alignment horizontal="left" vertical="top"/>
    </xf>
    <xf numFmtId="0" fontId="4" fillId="5" borderId="0" xfId="0" applyFont="1" applyFill="1" applyAlignment="1">
      <alignment horizontal="left" vertical="top"/>
    </xf>
    <xf numFmtId="0" fontId="42" fillId="5" borderId="0" xfId="0" applyFont="1" applyFill="1" applyAlignment="1">
      <alignment horizontal="left" vertical="top"/>
    </xf>
    <xf numFmtId="0" fontId="1" fillId="3" borderId="6" xfId="0" applyFont="1" applyFill="1" applyBorder="1" applyAlignment="1">
      <alignment wrapText="1"/>
    </xf>
    <xf numFmtId="170" fontId="12" fillId="2" borderId="1" xfId="0" applyNumberFormat="1" applyFont="1" applyFill="1" applyBorder="1"/>
    <xf numFmtId="1" fontId="12" fillId="2" borderId="1" xfId="0" applyNumberFormat="1" applyFont="1" applyFill="1" applyBorder="1"/>
    <xf numFmtId="0" fontId="71" fillId="3" borderId="0" xfId="0" applyFont="1" applyFill="1"/>
    <xf numFmtId="0" fontId="70" fillId="3" borderId="0" xfId="0" applyFont="1" applyFill="1"/>
    <xf numFmtId="0" fontId="4" fillId="2" borderId="0" xfId="0" applyFont="1" applyFill="1" applyAlignment="1">
      <alignment horizontal="center" vertical="center"/>
    </xf>
    <xf numFmtId="3" fontId="1" fillId="2" borderId="0" xfId="0" applyNumberFormat="1" applyFont="1" applyFill="1"/>
    <xf numFmtId="0" fontId="1" fillId="3" borderId="3" xfId="0" applyFont="1" applyFill="1" applyBorder="1" applyAlignment="1">
      <alignment wrapText="1"/>
    </xf>
    <xf numFmtId="0" fontId="4" fillId="2" borderId="3" xfId="0" applyFont="1" applyFill="1" applyBorder="1" applyAlignment="1">
      <alignment horizontal="right" vertical="center" wrapText="1"/>
    </xf>
    <xf numFmtId="0" fontId="4" fillId="2" borderId="3" xfId="0" applyFont="1" applyFill="1" applyBorder="1" applyAlignment="1">
      <alignment vertical="center" wrapText="1"/>
    </xf>
    <xf numFmtId="0" fontId="4" fillId="3" borderId="3" xfId="0" applyFont="1" applyFill="1" applyBorder="1" applyAlignment="1">
      <alignment horizontal="center" vertical="center" wrapText="1"/>
    </xf>
    <xf numFmtId="0" fontId="1" fillId="6" borderId="0" xfId="0" applyFont="1" applyFill="1" applyAlignment="1">
      <alignment wrapText="1"/>
    </xf>
    <xf numFmtId="0" fontId="4" fillId="3" borderId="3"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3" borderId="0" xfId="0" applyFont="1" applyFill="1" applyAlignment="1">
      <alignment horizontal="center" vertical="center" wrapText="1"/>
    </xf>
    <xf numFmtId="0" fontId="4" fillId="2" borderId="0" xfId="0" applyFont="1" applyFill="1"/>
    <xf numFmtId="3" fontId="4" fillId="2" borderId="0" xfId="0" applyNumberFormat="1" applyFont="1" applyFill="1" applyAlignment="1">
      <alignment vertical="center"/>
    </xf>
    <xf numFmtId="0" fontId="4" fillId="2" borderId="0" xfId="0" applyFont="1" applyFill="1" applyAlignment="1">
      <alignment vertical="center"/>
    </xf>
    <xf numFmtId="169" fontId="1" fillId="3" borderId="0" xfId="0" applyNumberFormat="1" applyFont="1" applyFill="1" applyAlignment="1">
      <alignment vertical="center" textRotation="90"/>
    </xf>
    <xf numFmtId="0" fontId="77" fillId="3" borderId="0" xfId="0" applyFont="1" applyFill="1" applyAlignment="1">
      <alignment wrapText="1"/>
    </xf>
    <xf numFmtId="0" fontId="4" fillId="2" borderId="8" xfId="0" applyFont="1" applyFill="1" applyBorder="1"/>
    <xf numFmtId="0" fontId="1" fillId="2" borderId="8" xfId="0" applyFont="1" applyFill="1" applyBorder="1"/>
    <xf numFmtId="168" fontId="4" fillId="2" borderId="8" xfId="0" applyNumberFormat="1" applyFont="1" applyFill="1" applyBorder="1"/>
    <xf numFmtId="166" fontId="1" fillId="3" borderId="0" xfId="0" applyNumberFormat="1" applyFont="1" applyFill="1"/>
    <xf numFmtId="0" fontId="1" fillId="2" borderId="9" xfId="0" applyFont="1" applyFill="1" applyBorder="1"/>
    <xf numFmtId="167" fontId="4" fillId="2" borderId="9" xfId="0" applyNumberFormat="1" applyFont="1" applyFill="1" applyBorder="1"/>
    <xf numFmtId="0" fontId="4" fillId="2" borderId="9" xfId="0" applyFont="1" applyFill="1" applyBorder="1"/>
    <xf numFmtId="166" fontId="1" fillId="6" borderId="0" xfId="0" applyNumberFormat="1" applyFont="1" applyFill="1"/>
    <xf numFmtId="0" fontId="4" fillId="2" borderId="0" xfId="0" applyFont="1" applyFill="1" applyAlignment="1">
      <alignment wrapText="1"/>
    </xf>
    <xf numFmtId="166" fontId="1" fillId="2" borderId="0" xfId="4" applyNumberFormat="1" applyFont="1" applyFill="1" applyAlignment="1" applyProtection="1">
      <alignment vertical="center"/>
    </xf>
    <xf numFmtId="0" fontId="1" fillId="2" borderId="0" xfId="0" applyFont="1" applyFill="1" applyAlignment="1">
      <alignment vertical="center" wrapText="1"/>
    </xf>
    <xf numFmtId="166" fontId="1" fillId="7" borderId="1" xfId="0" applyNumberFormat="1" applyFont="1" applyFill="1" applyBorder="1" applyAlignment="1" applyProtection="1">
      <alignment vertical="center"/>
      <protection locked="0"/>
    </xf>
    <xf numFmtId="0" fontId="1" fillId="16" borderId="1" xfId="0" applyFont="1" applyFill="1" applyBorder="1" applyAlignment="1" applyProtection="1">
      <alignment vertical="center"/>
      <protection locked="0"/>
    </xf>
    <xf numFmtId="3" fontId="1" fillId="2" borderId="0" xfId="0" applyNumberFormat="1" applyFont="1" applyFill="1" applyAlignment="1">
      <alignment vertical="center"/>
    </xf>
    <xf numFmtId="0" fontId="1" fillId="2" borderId="0" xfId="0" applyFont="1" applyFill="1" applyAlignment="1">
      <alignment vertical="center"/>
    </xf>
    <xf numFmtId="9" fontId="1" fillId="2" borderId="0" xfId="4" quotePrefix="1" applyFont="1" applyFill="1" applyAlignment="1" applyProtection="1">
      <alignment horizontal="right" vertical="center"/>
    </xf>
    <xf numFmtId="166" fontId="4" fillId="2" borderId="0" xfId="4" applyNumberFormat="1" applyFont="1" applyFill="1" applyAlignment="1" applyProtection="1">
      <alignment vertical="center"/>
    </xf>
    <xf numFmtId="3" fontId="23" fillId="3" borderId="0" xfId="0" applyNumberFormat="1" applyFont="1" applyFill="1" applyAlignment="1">
      <alignment vertical="center"/>
    </xf>
    <xf numFmtId="0" fontId="23" fillId="3" borderId="0" xfId="0" applyFont="1" applyFill="1" applyAlignment="1">
      <alignment vertical="center"/>
    </xf>
    <xf numFmtId="3" fontId="4" fillId="3" borderId="0" xfId="0" applyNumberFormat="1" applyFont="1" applyFill="1" applyAlignment="1">
      <alignment vertical="center"/>
    </xf>
    <xf numFmtId="168" fontId="4" fillId="2" borderId="0" xfId="0" applyNumberFormat="1" applyFont="1" applyFill="1" applyAlignment="1">
      <alignment vertical="center"/>
    </xf>
    <xf numFmtId="168" fontId="4" fillId="3" borderId="0" xfId="0" applyNumberFormat="1" applyFont="1" applyFill="1" applyAlignment="1">
      <alignment vertical="center"/>
    </xf>
    <xf numFmtId="4" fontId="4" fillId="2" borderId="0" xfId="0" applyNumberFormat="1" applyFont="1" applyFill="1" applyAlignment="1">
      <alignment vertical="center"/>
    </xf>
    <xf numFmtId="0" fontId="4" fillId="3" borderId="4" xfId="0" applyFont="1" applyFill="1" applyBorder="1" applyAlignment="1">
      <alignment vertical="center"/>
    </xf>
    <xf numFmtId="4" fontId="4" fillId="3" borderId="4" xfId="0" applyNumberFormat="1" applyFont="1" applyFill="1" applyBorder="1" applyAlignment="1">
      <alignment vertical="center"/>
    </xf>
    <xf numFmtId="0" fontId="1" fillId="6" borderId="0" xfId="0" applyFont="1" applyFill="1" applyAlignment="1">
      <alignment vertical="center"/>
    </xf>
    <xf numFmtId="166" fontId="1" fillId="3" borderId="0" xfId="4" applyNumberFormat="1" applyFont="1" applyFill="1" applyAlignment="1" applyProtection="1">
      <alignment vertical="center"/>
    </xf>
    <xf numFmtId="0" fontId="1" fillId="3" borderId="0" xfId="0" applyFont="1" applyFill="1" applyProtection="1">
      <protection locked="0"/>
    </xf>
    <xf numFmtId="0" fontId="4" fillId="2" borderId="0" xfId="0" applyFont="1" applyFill="1" applyAlignment="1">
      <alignment horizontal="left" wrapText="1"/>
    </xf>
    <xf numFmtId="168" fontId="23" fillId="3" borderId="0" xfId="0" applyNumberFormat="1" applyFont="1" applyFill="1" applyAlignment="1">
      <alignment vertical="center"/>
    </xf>
    <xf numFmtId="0" fontId="1" fillId="3" borderId="0" xfId="0" applyFont="1" applyFill="1" applyAlignment="1">
      <alignment horizontal="left" wrapText="1"/>
    </xf>
    <xf numFmtId="0" fontId="68" fillId="3" borderId="0" xfId="0" applyFont="1" applyFill="1" applyAlignment="1">
      <alignment horizontal="left" vertical="top" wrapText="1"/>
    </xf>
    <xf numFmtId="0" fontId="1" fillId="3" borderId="0" xfId="0" applyFont="1" applyFill="1" applyAlignment="1">
      <alignment horizontal="left" vertical="center" wrapText="1"/>
    </xf>
    <xf numFmtId="0" fontId="4" fillId="4" borderId="0" xfId="0" applyFont="1" applyFill="1" applyAlignment="1">
      <alignment horizontal="center" wrapText="1"/>
    </xf>
    <xf numFmtId="0" fontId="4" fillId="4" borderId="3" xfId="0" applyFont="1" applyFill="1" applyBorder="1" applyAlignment="1">
      <alignment horizontal="center"/>
    </xf>
    <xf numFmtId="0" fontId="4" fillId="4" borderId="3" xfId="0" applyFont="1" applyFill="1" applyBorder="1" applyAlignment="1">
      <alignment horizontal="center" vertical="center" wrapText="1"/>
    </xf>
    <xf numFmtId="0" fontId="1" fillId="3" borderId="0" xfId="0" applyFont="1" applyFill="1" applyAlignment="1">
      <alignment horizontal="left" vertical="top" wrapText="1"/>
    </xf>
    <xf numFmtId="0" fontId="17" fillId="3" borderId="1" xfId="0" applyFont="1" applyFill="1" applyBorder="1" applyAlignment="1">
      <alignment horizontal="center" vertical="center"/>
    </xf>
    <xf numFmtId="165" fontId="17" fillId="3" borderId="1" xfId="0" applyNumberFormat="1" applyFont="1" applyFill="1" applyBorder="1" applyAlignment="1">
      <alignment horizontal="center" vertical="center"/>
    </xf>
    <xf numFmtId="0" fontId="4" fillId="3" borderId="16" xfId="0" applyFont="1" applyFill="1" applyBorder="1" applyAlignment="1">
      <alignment horizontal="center"/>
    </xf>
    <xf numFmtId="0" fontId="4" fillId="3" borderId="12" xfId="0" applyFont="1" applyFill="1" applyBorder="1" applyAlignment="1">
      <alignment horizontal="center"/>
    </xf>
    <xf numFmtId="0" fontId="4" fillId="3" borderId="17" xfId="0" applyFont="1" applyFill="1" applyBorder="1" applyAlignment="1">
      <alignment horizontal="center"/>
    </xf>
    <xf numFmtId="0" fontId="72" fillId="3" borderId="0" xfId="0" applyFont="1" applyFill="1" applyAlignment="1">
      <alignment horizontal="left" vertical="center" wrapText="1"/>
    </xf>
    <xf numFmtId="0" fontId="1" fillId="3" borderId="0" xfId="0" applyFont="1" applyFill="1" applyAlignment="1">
      <alignment horizontal="center" wrapText="1"/>
    </xf>
    <xf numFmtId="0" fontId="4" fillId="2" borderId="0" xfId="0" applyFont="1" applyFill="1" applyAlignment="1">
      <alignment horizontal="center"/>
    </xf>
    <xf numFmtId="0" fontId="67" fillId="3" borderId="0" xfId="0" quotePrefix="1" applyFont="1" applyFill="1" applyAlignment="1">
      <alignment horizontal="left" vertical="top" wrapText="1"/>
    </xf>
    <xf numFmtId="0" fontId="52" fillId="0" borderId="0" xfId="0" applyFont="1" applyAlignment="1">
      <alignment horizontal="left"/>
    </xf>
    <xf numFmtId="0" fontId="52" fillId="3" borderId="0" xfId="0" applyFont="1" applyFill="1" applyAlignment="1">
      <alignment horizontal="left" vertical="top" wrapText="1"/>
    </xf>
    <xf numFmtId="0" fontId="52" fillId="3" borderId="0" xfId="0" applyFont="1" applyFill="1" applyAlignment="1">
      <alignment horizontal="left"/>
    </xf>
  </cellXfs>
  <cellStyles count="8">
    <cellStyle name="Hyperlink 3" xfId="2" xr:uid="{FE43FF12-309F-466A-8B9F-99FCC9F1A3D3}"/>
    <cellStyle name="Komma" xfId="3" builtinId="3"/>
    <cellStyle name="Link" xfId="6" builtinId="8"/>
    <cellStyle name="Prozent" xfId="4" builtinId="5"/>
    <cellStyle name="Standard" xfId="0" builtinId="0"/>
    <cellStyle name="Standard 3" xfId="5" xr:uid="{56347E7B-D837-4409-A3F4-6159F0A359B8}"/>
    <cellStyle name="Standard 9" xfId="1" xr:uid="{05F2A7A9-12E8-4B72-B552-3E61B166FDA8}"/>
    <cellStyle name="Überschrift 1 2" xfId="7" xr:uid="{28F6B9AA-AAEE-4A71-859D-B02611E693F0}"/>
  </cellStyles>
  <dxfs count="1">
    <dxf>
      <fill>
        <patternFill>
          <bgColor theme="0" tint="-4.9989318521683403E-2"/>
        </patternFill>
      </fill>
    </dxf>
  </dxfs>
  <tableStyles count="0" defaultTableStyle="TableStyleMedium2" defaultPivotStyle="PivotStyleMedium9"/>
  <colors>
    <mruColors>
      <color rgb="FF00549F"/>
      <color rgb="FFF3F3F3"/>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Härtekammern'!$D$111</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7E-47C3-BE4D-B66F732DA7DE}"/>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7E-47C3-BE4D-B66F732DA7DE}"/>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7E-47C3-BE4D-B66F732DA7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Härtekammern'!$E$111:$G$111</c:f>
              <c:numCache>
                <c:formatCode>#,##0.0</c:formatCode>
                <c:ptCount val="3"/>
                <c:pt idx="0">
                  <c:v>43.0426</c:v>
                </c:pt>
                <c:pt idx="1">
                  <c:v>32.712375999999999</c:v>
                </c:pt>
                <c:pt idx="2">
                  <c:v>32.712375999999999</c:v>
                </c:pt>
              </c:numCache>
            </c:numRef>
          </c:val>
          <c:extLst>
            <c:ext xmlns:c16="http://schemas.microsoft.com/office/drawing/2014/chart" uri="{C3380CC4-5D6E-409C-BE32-E72D297353CC}">
              <c16:uniqueId val="{00000000-2E13-42F9-A740-CF133AF8B4C2}"/>
            </c:ext>
          </c:extLst>
        </c:ser>
        <c:ser>
          <c:idx val="1"/>
          <c:order val="1"/>
          <c:tx>
            <c:strRef>
              <c:f>'M1 Härtekammern'!$D$112</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7E-47C3-BE4D-B66F732DA7DE}"/>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7E-47C3-BE4D-B66F732DA7DE}"/>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7E-47C3-BE4D-B66F732DA7D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Härtekammern'!$E$112:$G$112</c:f>
              <c:numCache>
                <c:formatCode>#,##0.0</c:formatCode>
                <c:ptCount val="3"/>
                <c:pt idx="0">
                  <c:v>16.005600000000001</c:v>
                </c:pt>
                <c:pt idx="1">
                  <c:v>14.084928</c:v>
                </c:pt>
                <c:pt idx="2">
                  <c:v>14.084928</c:v>
                </c:pt>
              </c:numCache>
            </c:numRef>
          </c:val>
          <c:extLst>
            <c:ext xmlns:c16="http://schemas.microsoft.com/office/drawing/2014/chart" uri="{C3380CC4-5D6E-409C-BE32-E72D297353CC}">
              <c16:uniqueId val="{00000001-2E13-42F9-A740-CF133AF8B4C2}"/>
            </c:ext>
          </c:extLst>
        </c:ser>
        <c:ser>
          <c:idx val="2"/>
          <c:order val="2"/>
          <c:tx>
            <c:strRef>
              <c:f>'M1 Härtekammern'!$D$113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Härtekammern'!$E$113:$G$113</c:f>
              <c:numCache>
                <c:formatCode>#,##0.0</c:formatCode>
                <c:ptCount val="3"/>
                <c:pt idx="0">
                  <c:v>171.9</c:v>
                </c:pt>
                <c:pt idx="1">
                  <c:v>121.145673676052</c:v>
                </c:pt>
                <c:pt idx="2">
                  <c:v>59.705978200727237</c:v>
                </c:pt>
              </c:numCache>
            </c:numRef>
          </c:val>
          <c:extLst>
            <c:ext xmlns:c16="http://schemas.microsoft.com/office/drawing/2014/chart" uri="{C3380CC4-5D6E-409C-BE32-E72D297353CC}">
              <c16:uniqueId val="{00000002-2E13-42F9-A740-CF133AF8B4C2}"/>
            </c:ext>
          </c:extLst>
        </c:ser>
        <c:ser>
          <c:idx val="3"/>
          <c:order val="3"/>
          <c:tx>
            <c:strRef>
              <c:f>'M1 Härtekammern'!$D$117</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Härtekammern'!$E$117:$G$117</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3-2E13-42F9-A740-CF133AF8B4C2}"/>
            </c:ext>
          </c:extLst>
        </c:ser>
        <c:ser>
          <c:idx val="4"/>
          <c:order val="4"/>
          <c:tx>
            <c:strRef>
              <c:f>'M1 Härtekammern'!$D$114</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Härtekammern'!$E$114:$G$114</c:f>
              <c:numCache>
                <c:formatCode>#,##0.0</c:formatCode>
                <c:ptCount val="3"/>
                <c:pt idx="0">
                  <c:v>#N/A</c:v>
                </c:pt>
                <c:pt idx="1">
                  <c:v>#N/A</c:v>
                </c:pt>
                <c:pt idx="2">
                  <c:v>#N/A</c:v>
                </c:pt>
              </c:numCache>
            </c:numRef>
          </c:val>
          <c:extLst>
            <c:ext xmlns:c16="http://schemas.microsoft.com/office/drawing/2014/chart" uri="{C3380CC4-5D6E-409C-BE32-E72D297353CC}">
              <c16:uniqueId val="{00000000-147E-47C3-BE4D-B66F732DA7DE}"/>
            </c:ext>
          </c:extLst>
        </c:ser>
        <c:ser>
          <c:idx val="5"/>
          <c:order val="5"/>
          <c:tx>
            <c:strRef>
              <c:f>'M1 Härtekammern'!$D$115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Härtekammern'!$E$115:$G$115</c:f>
              <c:numCache>
                <c:formatCode>#,##0.0</c:formatCode>
                <c:ptCount val="3"/>
                <c:pt idx="0">
                  <c:v>#N/A</c:v>
                </c:pt>
                <c:pt idx="1">
                  <c:v>#N/A</c:v>
                </c:pt>
                <c:pt idx="2">
                  <c:v>#N/A</c:v>
                </c:pt>
              </c:numCache>
            </c:numRef>
          </c:val>
          <c:extLst>
            <c:ext xmlns:c16="http://schemas.microsoft.com/office/drawing/2014/chart" uri="{C3380CC4-5D6E-409C-BE32-E72D297353CC}">
              <c16:uniqueId val="{00000001-147E-47C3-BE4D-B66F732DA7DE}"/>
            </c:ext>
          </c:extLst>
        </c:ser>
        <c:ser>
          <c:idx val="6"/>
          <c:order val="6"/>
          <c:tx>
            <c:strRef>
              <c:f>'M1 Härtekammern'!$D$116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Härtekammern'!$E$116:$G$116</c:f>
              <c:numCache>
                <c:formatCode>#,##0.0</c:formatCode>
                <c:ptCount val="3"/>
                <c:pt idx="0">
                  <c:v>#N/A</c:v>
                </c:pt>
                <c:pt idx="1">
                  <c:v>#N/A</c:v>
                </c:pt>
                <c:pt idx="2">
                  <c:v>#N/A</c:v>
                </c:pt>
              </c:numCache>
            </c:numRef>
          </c:val>
          <c:extLst>
            <c:ext xmlns:c16="http://schemas.microsoft.com/office/drawing/2014/chart" uri="{C3380CC4-5D6E-409C-BE32-E72D297353CC}">
              <c16:uniqueId val="{00000002-147E-47C3-BE4D-B66F732DA7DE}"/>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'M1 Härtekammern'!$L$74</c:f>
              <c:strCache>
                <c:ptCount val="1"/>
                <c:pt idx="0">
                  <c:v>Scope 3</c:v>
                </c:pt>
              </c:strCache>
            </c:strRef>
          </c:tx>
          <c:spPr>
            <a:solidFill>
              <a:schemeClr val="accent3"/>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Härtekammern'!$M$74:$O$74</c:f>
              <c:numCache>
                <c:formatCode>#,##0</c:formatCode>
                <c:ptCount val="3"/>
                <c:pt idx="0">
                  <c:v>5831.5296228095176</c:v>
                </c:pt>
                <c:pt idx="1">
                  <c:v>5822.0361108081024</c:v>
                </c:pt>
                <c:pt idx="2">
                  <c:v>5813.029244455699</c:v>
                </c:pt>
              </c:numCache>
            </c:numRef>
          </c:val>
          <c:extLst>
            <c:ext xmlns:c16="http://schemas.microsoft.com/office/drawing/2014/chart" uri="{C3380CC4-5D6E-409C-BE32-E72D297353CC}">
              <c16:uniqueId val="{00000002-6811-4A4A-82EF-539925019CF2}"/>
            </c:ext>
          </c:extLst>
        </c:ser>
        <c:ser>
          <c:idx val="1"/>
          <c:order val="1"/>
          <c:tx>
            <c:strRef>
              <c:f>'M1 Härtekammern'!$L$73</c:f>
              <c:strCache>
                <c:ptCount val="1"/>
                <c:pt idx="0">
                  <c:v>Scope 2</c:v>
                </c:pt>
              </c:strCache>
            </c:strRef>
          </c:tx>
          <c:spPr>
            <a:solidFill>
              <a:schemeClr val="accent2"/>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Härtekammern'!$M$73:$O$73</c:f>
              <c:numCache>
                <c:formatCode>#,##0</c:formatCode>
                <c:ptCount val="3"/>
                <c:pt idx="0">
                  <c:v>171.9</c:v>
                </c:pt>
                <c:pt idx="1">
                  <c:v>121.145673676052</c:v>
                </c:pt>
                <c:pt idx="2">
                  <c:v>59.705978200727237</c:v>
                </c:pt>
              </c:numCache>
            </c:numRef>
          </c:val>
          <c:extLst>
            <c:ext xmlns:c16="http://schemas.microsoft.com/office/drawing/2014/chart" uri="{C3380CC4-5D6E-409C-BE32-E72D297353CC}">
              <c16:uniqueId val="{00000001-6811-4A4A-82EF-539925019CF2}"/>
            </c:ext>
          </c:extLst>
        </c:ser>
        <c:ser>
          <c:idx val="0"/>
          <c:order val="2"/>
          <c:tx>
            <c:strRef>
              <c:f>'M1 Härtekammern'!$L$72</c:f>
              <c:strCache>
                <c:ptCount val="1"/>
                <c:pt idx="0">
                  <c:v>Scope 1 </c:v>
                </c:pt>
              </c:strCache>
            </c:strRef>
          </c:tx>
          <c:spPr>
            <a:solidFill>
              <a:schemeClr val="accent1"/>
            </a:solidFill>
            <a:ln>
              <a:noFill/>
            </a:ln>
            <a:effectLst/>
          </c:spPr>
          <c:invertIfNegative val="0"/>
          <c:cat>
            <c:multiLvlStrRef>
              <c:f>'M1 Härtekammern'!$M$70:$O$71</c:f>
              <c:multiLvlStrCache>
                <c:ptCount val="3"/>
                <c:lvl>
                  <c:pt idx="0">
                    <c:v>Referenz</c:v>
                  </c:pt>
                </c:lvl>
                <c:lvl>
                  <c:pt idx="0">
                    <c:v>2020</c:v>
                  </c:pt>
                  <c:pt idx="1">
                    <c:v>2025</c:v>
                  </c:pt>
                  <c:pt idx="2">
                    <c:v>2030</c:v>
                  </c:pt>
                </c:lvl>
              </c:multiLvlStrCache>
            </c:multiLvlStrRef>
          </c:cat>
          <c:val>
            <c:numRef>
              <c:f>'M1 Härtekammern'!$M$72:$O$72</c:f>
              <c:numCache>
                <c:formatCode>#,##0</c:formatCode>
                <c:ptCount val="3"/>
                <c:pt idx="0">
                  <c:v>94.932355060000006</c:v>
                </c:pt>
                <c:pt idx="1">
                  <c:v>82.681459059999995</c:v>
                </c:pt>
                <c:pt idx="2">
                  <c:v>82.681459059999995</c:v>
                </c:pt>
              </c:numCache>
            </c:numRef>
          </c:val>
          <c:extLst>
            <c:ext xmlns:c16="http://schemas.microsoft.com/office/drawing/2014/chart" uri="{C3380CC4-5D6E-409C-BE32-E72D297353CC}">
              <c16:uniqueId val="{00000000-6811-4A4A-82EF-539925019CF2}"/>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'M1 Härtekammern'!$T$111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Härtekammern'!$U$111:$W$111</c:f>
              <c:numCache>
                <c:formatCode>#,##0\ "€"</c:formatCode>
                <c:ptCount val="3"/>
                <c:pt idx="0">
                  <c:v>109669</c:v>
                </c:pt>
                <c:pt idx="1">
                  <c:v>103575.4</c:v>
                </c:pt>
                <c:pt idx="2">
                  <c:v>103575.4</c:v>
                </c:pt>
              </c:numCache>
            </c:numRef>
          </c:val>
          <c:extLst>
            <c:ext xmlns:c16="http://schemas.microsoft.com/office/drawing/2014/chart" uri="{C3380CC4-5D6E-409C-BE32-E72D297353CC}">
              <c16:uniqueId val="{00000003-EB77-44D2-B179-659B6B61E0D5}"/>
            </c:ext>
          </c:extLst>
        </c:ser>
        <c:ser>
          <c:idx val="1"/>
          <c:order val="1"/>
          <c:tx>
            <c:strRef>
              <c:f>'M1 Härtekammern'!$T$119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77-44D2-B179-659B6B61E0D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Härtekammern'!$U$119:$W$119</c:f>
              <c:numCache>
                <c:formatCode>#,##0\ "€"</c:formatCode>
                <c:ptCount val="3"/>
                <c:pt idx="0">
                  <c:v>0</c:v>
                </c:pt>
                <c:pt idx="1">
                  <c:v>72000</c:v>
                </c:pt>
                <c:pt idx="2">
                  <c:v>72000</c:v>
                </c:pt>
              </c:numCache>
            </c:numRef>
          </c:val>
          <c:extLst>
            <c:ext xmlns:c16="http://schemas.microsoft.com/office/drawing/2014/chart" uri="{C3380CC4-5D6E-409C-BE32-E72D297353CC}">
              <c16:uniqueId val="{00000007-EB77-44D2-B179-659B6B61E0D5}"/>
            </c:ext>
          </c:extLst>
        </c:ser>
        <c:ser>
          <c:idx val="2"/>
          <c:order val="2"/>
          <c:tx>
            <c:strRef>
              <c:f>'M1 Härtekammern'!$T$120</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Härtekammern'!$U$120:$W$120</c:f>
              <c:numCache>
                <c:formatCode>#,##0\ "€"</c:formatCode>
                <c:ptCount val="3"/>
                <c:pt idx="0">
                  <c:v>#N/A</c:v>
                </c:pt>
                <c:pt idx="1">
                  <c:v>#N/A</c:v>
                </c:pt>
                <c:pt idx="2">
                  <c:v>#N/A</c:v>
                </c:pt>
              </c:numCache>
            </c:numRef>
          </c:val>
          <c:extLst>
            <c:ext xmlns:c16="http://schemas.microsoft.com/office/drawing/2014/chart" uri="{C3380CC4-5D6E-409C-BE32-E72D297353CC}">
              <c16:uniqueId val="{00000008-EB77-44D2-B179-659B6B61E0D5}"/>
            </c:ext>
          </c:extLst>
        </c:ser>
        <c:ser>
          <c:idx val="3"/>
          <c:order val="3"/>
          <c:tx>
            <c:strRef>
              <c:f>'M1 Härtekammern'!$T$121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Härtekammern'!$E$70:$G$71</c:f>
              <c:multiLvlStrCache>
                <c:ptCount val="3"/>
                <c:lvl>
                  <c:pt idx="0">
                    <c:v>Referenz</c:v>
                  </c:pt>
                </c:lvl>
                <c:lvl>
                  <c:pt idx="0">
                    <c:v>2020</c:v>
                  </c:pt>
                  <c:pt idx="1">
                    <c:v>2025</c:v>
                  </c:pt>
                  <c:pt idx="2">
                    <c:v>2030</c:v>
                  </c:pt>
                </c:lvl>
              </c:multiLvlStrCache>
            </c:multiLvlStrRef>
          </c:cat>
          <c:val>
            <c:numRef>
              <c:f>'M1 Härtekammern'!$U$121:$W$121</c:f>
              <c:numCache>
                <c:formatCode>#,##0\ "€"</c:formatCode>
                <c:ptCount val="3"/>
                <c:pt idx="0">
                  <c:v>#N/A</c:v>
                </c:pt>
                <c:pt idx="1">
                  <c:v>#N/A</c:v>
                </c:pt>
                <c:pt idx="2">
                  <c:v>#N/A</c:v>
                </c:pt>
              </c:numCache>
            </c:numRef>
          </c:val>
          <c:extLst>
            <c:ext xmlns:c16="http://schemas.microsoft.com/office/drawing/2014/chart" uri="{C3380CC4-5D6E-409C-BE32-E72D297353CC}">
              <c16:uniqueId val="{00000009-EB77-44D2-B179-659B6B61E0D5}"/>
            </c:ext>
          </c:extLst>
        </c:ser>
        <c:ser>
          <c:idx val="4"/>
          <c:order val="4"/>
          <c:tx>
            <c:strRef>
              <c:f>'M1 Härtekammern'!$T$122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'M1 Härtekammern'!$U$122:$W$122</c:f>
              <c:numCache>
                <c:formatCode>#,##0\ "€"</c:formatCode>
                <c:ptCount val="3"/>
                <c:pt idx="0">
                  <c:v>152459.04944673795</c:v>
                </c:pt>
                <c:pt idx="1">
                  <c:v>271163.84595948696</c:v>
                </c:pt>
                <c:pt idx="2">
                  <c:v>476433.33453731408</c:v>
                </c:pt>
              </c:numCache>
            </c:numRef>
          </c:val>
          <c:extLst>
            <c:ext xmlns:c16="http://schemas.microsoft.com/office/drawing/2014/chart" uri="{C3380CC4-5D6E-409C-BE32-E72D297353CC}">
              <c16:uniqueId val="{0000000D-EB77-44D2-B179-659B6B61E0D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'M1 Härtekammern'!$L$111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D5-4BD2-B2D8-1FA68F324ABB}"/>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D5-4BD2-B2D8-1FA68F324ABB}"/>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Härtekammern'!$M$111:$O$111</c:f>
              <c:numCache>
                <c:formatCode>#,##0</c:formatCode>
                <c:ptCount val="3"/>
                <c:pt idx="0">
                  <c:v>41.281733459999998</c:v>
                </c:pt>
                <c:pt idx="1">
                  <c:v>31.788221458583543</c:v>
                </c:pt>
                <c:pt idx="2">
                  <c:v>22.781355106179909</c:v>
                </c:pt>
              </c:numCache>
            </c:numRef>
          </c:val>
          <c:extLst>
            <c:ext xmlns:c16="http://schemas.microsoft.com/office/drawing/2014/chart" uri="{C3380CC4-5D6E-409C-BE32-E72D297353CC}">
              <c16:uniqueId val="{00000003-E2D5-4BD2-B2D8-1FA68F324ABB}"/>
            </c:ext>
          </c:extLst>
        </c:ser>
        <c:ser>
          <c:idx val="1"/>
          <c:order val="1"/>
          <c:tx>
            <c:strRef>
              <c:f>'M1 Härtekammern'!$L$112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D5-4BD2-B2D8-1FA68F324ABB}"/>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D5-4BD2-B2D8-1FA68F324ABB}"/>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Härtekammern'!$M$112:$O$112</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E2D5-4BD2-B2D8-1FA68F324ABB}"/>
            </c:ext>
          </c:extLst>
        </c:ser>
        <c:ser>
          <c:idx val="2"/>
          <c:order val="2"/>
          <c:tx>
            <c:strRef>
              <c:f>'M1 Härtekammern'!$L$113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Härtekammern'!$M$113:$O$113</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E2D5-4BD2-B2D8-1FA68F324ABB}"/>
            </c:ext>
          </c:extLst>
        </c:ser>
        <c:ser>
          <c:idx val="3"/>
          <c:order val="3"/>
          <c:tx>
            <c:strRef>
              <c:f>'M1 Härtekammern'!$L$114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D5-4BD2-B2D8-1FA68F324ABB}"/>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D5-4BD2-B2D8-1FA68F324ABB}"/>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Härtekammern'!$M$114:$O$114</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9-E2D5-4BD2-B2D8-1FA68F324ABB}"/>
            </c:ext>
          </c:extLst>
        </c:ser>
        <c:ser>
          <c:idx val="4"/>
          <c:order val="4"/>
          <c:tx>
            <c:strRef>
              <c:f>'M1 Härtekammern'!$L$115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Härtekammern'!$M$115:$O$115</c:f>
              <c:numCache>
                <c:formatCode>#,##0</c:formatCode>
                <c:ptCount val="3"/>
                <c:pt idx="0">
                  <c:v>208</c:v>
                </c:pt>
                <c:pt idx="1">
                  <c:v>208</c:v>
                </c:pt>
                <c:pt idx="2">
                  <c:v>208</c:v>
                </c:pt>
              </c:numCache>
            </c:numRef>
          </c:val>
          <c:extLst>
            <c:ext xmlns:c16="http://schemas.microsoft.com/office/drawing/2014/chart" uri="{C3380CC4-5D6E-409C-BE32-E72D297353CC}">
              <c16:uniqueId val="{0000000A-E2D5-4BD2-B2D8-1FA68F324ABB}"/>
            </c:ext>
          </c:extLst>
        </c:ser>
        <c:ser>
          <c:idx val="5"/>
          <c:order val="5"/>
          <c:tx>
            <c:strRef>
              <c:f>'M1 Härtekammern'!$L$116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Härtekammern'!$M$116:$O$116</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B-E2D5-4BD2-B2D8-1FA68F324ABB}"/>
            </c:ext>
          </c:extLst>
        </c:ser>
        <c:ser>
          <c:idx val="6"/>
          <c:order val="6"/>
          <c:tx>
            <c:strRef>
              <c:f>'M1 Härtekammern'!$L$117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2D5-4BD2-B2D8-1FA68F324ABB}"/>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D5-4BD2-B2D8-1FA68F324ABB}"/>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Härtekammern'!$M$117:$O$117</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0C-E2D5-4BD2-B2D8-1FA68F324ABB}"/>
            </c:ext>
          </c:extLst>
        </c:ser>
        <c:ser>
          <c:idx val="7"/>
          <c:order val="7"/>
          <c:tx>
            <c:strRef>
              <c:f>'M1 Härtekammern'!$L$118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Härtekammern'!$M$118:$O$118</c:f>
              <c:numCache>
                <c:formatCode>#,##0</c:formatCode>
                <c:ptCount val="3"/>
                <c:pt idx="0">
                  <c:v>#N/A</c:v>
                </c:pt>
                <c:pt idx="1">
                  <c:v>#N/A</c:v>
                </c:pt>
                <c:pt idx="2">
                  <c:v>#N/A</c:v>
                </c:pt>
              </c:numCache>
            </c:numRef>
          </c:val>
          <c:extLst>
            <c:ext xmlns:c16="http://schemas.microsoft.com/office/drawing/2014/chart" uri="{C3380CC4-5D6E-409C-BE32-E72D297353CC}">
              <c16:uniqueId val="{0000000D-E2D5-4BD2-B2D8-1FA68F324ABB}"/>
            </c:ext>
          </c:extLst>
        </c:ser>
        <c:ser>
          <c:idx val="8"/>
          <c:order val="8"/>
          <c:tx>
            <c:strRef>
              <c:f>'M1 Härtekammern'!$L$119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Härtekammern'!$M$119:$O$119</c:f>
              <c:numCache>
                <c:formatCode>#,##0</c:formatCode>
                <c:ptCount val="3"/>
                <c:pt idx="0">
                  <c:v>#N/A</c:v>
                </c:pt>
                <c:pt idx="1">
                  <c:v>#N/A</c:v>
                </c:pt>
                <c:pt idx="2">
                  <c:v>#N/A</c:v>
                </c:pt>
              </c:numCache>
            </c:numRef>
          </c:val>
          <c:extLst>
            <c:ext xmlns:c16="http://schemas.microsoft.com/office/drawing/2014/chart" uri="{C3380CC4-5D6E-409C-BE32-E72D297353CC}">
              <c16:uniqueId val="{0000000E-E2D5-4BD2-B2D8-1FA68F324ABB}"/>
            </c:ext>
          </c:extLst>
        </c:ser>
        <c:ser>
          <c:idx val="9"/>
          <c:order val="9"/>
          <c:tx>
            <c:strRef>
              <c:f>'M1 Härtekammern'!$L$120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Härtekammern'!$M$120:$O$120</c:f>
              <c:numCache>
                <c:formatCode>#,##0</c:formatCode>
                <c:ptCount val="3"/>
                <c:pt idx="0">
                  <c:v>#N/A</c:v>
                </c:pt>
                <c:pt idx="1">
                  <c:v>#N/A</c:v>
                </c:pt>
                <c:pt idx="2">
                  <c:v>#N/A</c:v>
                </c:pt>
              </c:numCache>
            </c:numRef>
          </c:val>
          <c:extLst>
            <c:ext xmlns:c16="http://schemas.microsoft.com/office/drawing/2014/chart" uri="{C3380CC4-5D6E-409C-BE32-E72D297353CC}">
              <c16:uniqueId val="{0000000F-E2D5-4BD2-B2D8-1FA68F324ABB}"/>
            </c:ext>
          </c:extLst>
        </c:ser>
        <c:ser>
          <c:idx val="10"/>
          <c:order val="10"/>
          <c:tx>
            <c:strRef>
              <c:f>'M1 Härtekammern'!$L$121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2D5-4BD2-B2D8-1FA68F324ABB}"/>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2D5-4BD2-B2D8-1FA68F324ABB}"/>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2D5-4BD2-B2D8-1FA68F324AB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'M1 Härtekammern'!$M$79:$O$80</c:f>
              <c:multiLvlStrCache>
                <c:ptCount val="3"/>
                <c:lvl>
                  <c:pt idx="0">
                    <c:v>Referenz</c:v>
                  </c:pt>
                </c:lvl>
                <c:lvl>
                  <c:pt idx="0">
                    <c:v>2020</c:v>
                  </c:pt>
                  <c:pt idx="1">
                    <c:v>2025</c:v>
                  </c:pt>
                  <c:pt idx="2">
                    <c:v>2030</c:v>
                  </c:pt>
                </c:lvl>
              </c:multiLvlStrCache>
            </c:multiLvlStrRef>
          </c:cat>
          <c:val>
            <c:numRef>
              <c:f>'M1 Härtekammern'!$M$121:$O$121</c:f>
              <c:numCache>
                <c:formatCode>#,##0</c:formatCode>
                <c:ptCount val="3"/>
                <c:pt idx="0">
                  <c:v>64.48</c:v>
                </c:pt>
                <c:pt idx="1">
                  <c:v>64.48</c:v>
                </c:pt>
                <c:pt idx="2">
                  <c:v>64.48</c:v>
                </c:pt>
              </c:numCache>
            </c:numRef>
          </c:val>
          <c:extLst>
            <c:ext xmlns:c16="http://schemas.microsoft.com/office/drawing/2014/chart" uri="{C3380CC4-5D6E-409C-BE32-E72D297353CC}">
              <c16:uniqueId val="{00000010-E2D5-4BD2-B2D8-1FA68F324AB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Fuhrpark'!$D$120</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FB-41FF-B247-5DD286BDEB03}"/>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FB-41FF-B247-5DD286BDEB03}"/>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FB-41FF-B247-5DD286BDEB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Fuhrpark'!$E$120:$G$120</c:f>
              <c:numCache>
                <c:formatCode>#,##0.0</c:formatCode>
                <c:ptCount val="3"/>
                <c:pt idx="0">
                  <c:v>43.0426</c:v>
                </c:pt>
                <c:pt idx="1">
                  <c:v>43.0426</c:v>
                </c:pt>
                <c:pt idx="2">
                  <c:v>43.0426</c:v>
                </c:pt>
              </c:numCache>
            </c:numRef>
          </c:val>
          <c:extLst>
            <c:ext xmlns:c16="http://schemas.microsoft.com/office/drawing/2014/chart" uri="{C3380CC4-5D6E-409C-BE32-E72D297353CC}">
              <c16:uniqueId val="{00000003-8FFB-41FF-B247-5DD286BDEB03}"/>
            </c:ext>
          </c:extLst>
        </c:ser>
        <c:ser>
          <c:idx val="1"/>
          <c:order val="1"/>
          <c:tx>
            <c:strRef>
              <c:f>'M2 Fuhrpark'!$D$121</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FB-41FF-B247-5DD286BDEB03}"/>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FB-41FF-B247-5DD286BDEB03}"/>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FB-41FF-B247-5DD286BDEB0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Fuhrpark'!$E$121:$G$121</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8FFB-41FF-B247-5DD286BDEB03}"/>
            </c:ext>
          </c:extLst>
        </c:ser>
        <c:ser>
          <c:idx val="2"/>
          <c:order val="2"/>
          <c:tx>
            <c:strRef>
              <c:f>'M2 Fuhrpark'!$D$122</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Fuhrpark'!$E$122:$G$122</c:f>
              <c:numCache>
                <c:formatCode>#,##0.0</c:formatCode>
                <c:ptCount val="3"/>
                <c:pt idx="0">
                  <c:v>171.9</c:v>
                </c:pt>
                <c:pt idx="1">
                  <c:v>136.39371159230473</c:v>
                </c:pt>
                <c:pt idx="2">
                  <c:v>72.889224607318326</c:v>
                </c:pt>
              </c:numCache>
            </c:numRef>
          </c:val>
          <c:extLst>
            <c:ext xmlns:c16="http://schemas.microsoft.com/office/drawing/2014/chart" uri="{C3380CC4-5D6E-409C-BE32-E72D297353CC}">
              <c16:uniqueId val="{00000008-8FFB-41FF-B247-5DD286BDEB03}"/>
            </c:ext>
          </c:extLst>
        </c:ser>
        <c:ser>
          <c:idx val="3"/>
          <c:order val="3"/>
          <c:tx>
            <c:strRef>
              <c:f>'M2 Fuhrpark'!$D$126</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Fuhrpark'!$E$126:$G$126</c:f>
              <c:numCache>
                <c:formatCode>#,##0.0</c:formatCode>
                <c:ptCount val="3"/>
                <c:pt idx="0">
                  <c:v>35.884155059999998</c:v>
                </c:pt>
                <c:pt idx="1">
                  <c:v>21.264684479999996</c:v>
                </c:pt>
                <c:pt idx="2">
                  <c:v>6.645213899999999</c:v>
                </c:pt>
              </c:numCache>
            </c:numRef>
          </c:val>
          <c:extLst>
            <c:ext xmlns:c16="http://schemas.microsoft.com/office/drawing/2014/chart" uri="{C3380CC4-5D6E-409C-BE32-E72D297353CC}">
              <c16:uniqueId val="{00000009-8FFB-41FF-B247-5DD286BDEB03}"/>
            </c:ext>
          </c:extLst>
        </c:ser>
        <c:ser>
          <c:idx val="4"/>
          <c:order val="4"/>
          <c:tx>
            <c:strRef>
              <c:f>'M2 Fuhrpark'!$D$123</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Fuhrpark'!$E$123:$G$123</c:f>
              <c:numCache>
                <c:formatCode>#,##0.0</c:formatCode>
                <c:ptCount val="3"/>
                <c:pt idx="0">
                  <c:v>#N/A</c:v>
                </c:pt>
                <c:pt idx="1">
                  <c:v>#N/A</c:v>
                </c:pt>
                <c:pt idx="2">
                  <c:v>#N/A</c:v>
                </c:pt>
              </c:numCache>
            </c:numRef>
          </c:val>
          <c:extLst>
            <c:ext xmlns:c16="http://schemas.microsoft.com/office/drawing/2014/chart" uri="{C3380CC4-5D6E-409C-BE32-E72D297353CC}">
              <c16:uniqueId val="{0000000A-8FFB-41FF-B247-5DD286BDEB03}"/>
            </c:ext>
          </c:extLst>
        </c:ser>
        <c:ser>
          <c:idx val="5"/>
          <c:order val="5"/>
          <c:tx>
            <c:strRef>
              <c:f>'M2 Fuhrpark'!$D$124</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Fuhrpark'!$E$124:$G$124</c:f>
              <c:numCache>
                <c:formatCode>#,##0.0</c:formatCode>
                <c:ptCount val="3"/>
                <c:pt idx="0">
                  <c:v>#N/A</c:v>
                </c:pt>
                <c:pt idx="1">
                  <c:v>#N/A</c:v>
                </c:pt>
                <c:pt idx="2">
                  <c:v>#N/A</c:v>
                </c:pt>
              </c:numCache>
            </c:numRef>
          </c:val>
          <c:extLst>
            <c:ext xmlns:c16="http://schemas.microsoft.com/office/drawing/2014/chart" uri="{C3380CC4-5D6E-409C-BE32-E72D297353CC}">
              <c16:uniqueId val="{0000000B-8FFB-41FF-B247-5DD286BDEB03}"/>
            </c:ext>
          </c:extLst>
        </c:ser>
        <c:ser>
          <c:idx val="6"/>
          <c:order val="6"/>
          <c:tx>
            <c:strRef>
              <c:f>'M2 Fuhrpark'!$D$125</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Fuhrpark'!$E$125:$G$125</c:f>
              <c:numCache>
                <c:formatCode>#,##0.0</c:formatCode>
                <c:ptCount val="3"/>
                <c:pt idx="0">
                  <c:v>#N/A</c:v>
                </c:pt>
                <c:pt idx="1">
                  <c:v>#N/A</c:v>
                </c:pt>
                <c:pt idx="2">
                  <c:v>#N/A</c:v>
                </c:pt>
              </c:numCache>
            </c:numRef>
          </c:val>
          <c:extLst>
            <c:ext xmlns:c16="http://schemas.microsoft.com/office/drawing/2014/chart" uri="{C3380CC4-5D6E-409C-BE32-E72D297353CC}">
              <c16:uniqueId val="{0000000C-8FFB-41FF-B247-5DD286BDEB03}"/>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'M2 Fuhrpark'!$L$83</c:f>
              <c:strCache>
                <c:ptCount val="1"/>
                <c:pt idx="0">
                  <c:v>Scope 3</c:v>
                </c:pt>
              </c:strCache>
            </c:strRef>
          </c:tx>
          <c:spPr>
            <a:solidFill>
              <a:schemeClr val="accent3"/>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Fuhrpark'!$M$83:$O$83</c:f>
              <c:numCache>
                <c:formatCode>#,##0</c:formatCode>
                <c:ptCount val="3"/>
                <c:pt idx="0">
                  <c:v>5831.5296228095176</c:v>
                </c:pt>
                <c:pt idx="1">
                  <c:v>5823.7415806870313</c:v>
                </c:pt>
                <c:pt idx="2">
                  <c:v>5811.8490906055658</c:v>
                </c:pt>
              </c:numCache>
            </c:numRef>
          </c:val>
          <c:extLst>
            <c:ext xmlns:c16="http://schemas.microsoft.com/office/drawing/2014/chart" uri="{C3380CC4-5D6E-409C-BE32-E72D297353CC}">
              <c16:uniqueId val="{00000000-A839-453C-ABDF-F87D7503101F}"/>
            </c:ext>
          </c:extLst>
        </c:ser>
        <c:ser>
          <c:idx val="1"/>
          <c:order val="1"/>
          <c:tx>
            <c:strRef>
              <c:f>'M2 Fuhrpark'!$L$82</c:f>
              <c:strCache>
                <c:ptCount val="1"/>
                <c:pt idx="0">
                  <c:v>Scope 2</c:v>
                </c:pt>
              </c:strCache>
            </c:strRef>
          </c:tx>
          <c:spPr>
            <a:solidFill>
              <a:schemeClr val="accent2"/>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Fuhrpark'!$M$82:$O$82</c:f>
              <c:numCache>
                <c:formatCode>#,##0</c:formatCode>
                <c:ptCount val="3"/>
                <c:pt idx="0">
                  <c:v>171.9</c:v>
                </c:pt>
                <c:pt idx="1">
                  <c:v>136.39371159230473</c:v>
                </c:pt>
                <c:pt idx="2">
                  <c:v>72.889224607318326</c:v>
                </c:pt>
              </c:numCache>
            </c:numRef>
          </c:val>
          <c:extLst>
            <c:ext xmlns:c16="http://schemas.microsoft.com/office/drawing/2014/chart" uri="{C3380CC4-5D6E-409C-BE32-E72D297353CC}">
              <c16:uniqueId val="{00000001-A839-453C-ABDF-F87D7503101F}"/>
            </c:ext>
          </c:extLst>
        </c:ser>
        <c:ser>
          <c:idx val="0"/>
          <c:order val="2"/>
          <c:tx>
            <c:strRef>
              <c:f>'M2 Fuhrpark'!$L$81</c:f>
              <c:strCache>
                <c:ptCount val="1"/>
                <c:pt idx="0">
                  <c:v>Scope 1 </c:v>
                </c:pt>
              </c:strCache>
            </c:strRef>
          </c:tx>
          <c:spPr>
            <a:solidFill>
              <a:schemeClr val="accent1"/>
            </a:solidFill>
            <a:ln>
              <a:noFill/>
            </a:ln>
            <a:effectLst/>
          </c:spPr>
          <c:invertIfNegative val="0"/>
          <c:cat>
            <c:multiLvlStrRef>
              <c:f>'M2 Fuhrpark'!$M$79:$O$80</c:f>
              <c:multiLvlStrCache>
                <c:ptCount val="3"/>
                <c:lvl>
                  <c:pt idx="0">
                    <c:v>Referenz</c:v>
                  </c:pt>
                </c:lvl>
                <c:lvl>
                  <c:pt idx="0">
                    <c:v>2020</c:v>
                  </c:pt>
                  <c:pt idx="1">
                    <c:v>2025</c:v>
                  </c:pt>
                  <c:pt idx="2">
                    <c:v>2030</c:v>
                  </c:pt>
                </c:lvl>
              </c:multiLvlStrCache>
            </c:multiLvlStrRef>
          </c:cat>
          <c:val>
            <c:numRef>
              <c:f>'M2 Fuhrpark'!$M$81:$O$81</c:f>
              <c:numCache>
                <c:formatCode>#,##0</c:formatCode>
                <c:ptCount val="3"/>
                <c:pt idx="0">
                  <c:v>94.932355060000006</c:v>
                </c:pt>
                <c:pt idx="1">
                  <c:v>80.312884479999994</c:v>
                </c:pt>
                <c:pt idx="2">
                  <c:v>65.693413899999996</c:v>
                </c:pt>
              </c:numCache>
            </c:numRef>
          </c:val>
          <c:extLst>
            <c:ext xmlns:c16="http://schemas.microsoft.com/office/drawing/2014/chart" uri="{C3380CC4-5D6E-409C-BE32-E72D297353CC}">
              <c16:uniqueId val="{00000002-A839-453C-ABDF-F87D7503101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'M2 Fuhrpark'!$T$120</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Fuhrpark'!$U$120:$W$120</c:f>
              <c:numCache>
                <c:formatCode>#,##0\ "€"</c:formatCode>
                <c:ptCount val="3"/>
                <c:pt idx="0">
                  <c:v>109669</c:v>
                </c:pt>
                <c:pt idx="1">
                  <c:v>110614.71583333334</c:v>
                </c:pt>
                <c:pt idx="2">
                  <c:v>111560.43166666666</c:v>
                </c:pt>
              </c:numCache>
            </c:numRef>
          </c:val>
          <c:extLst>
            <c:ext xmlns:c16="http://schemas.microsoft.com/office/drawing/2014/chart" uri="{C3380CC4-5D6E-409C-BE32-E72D297353CC}">
              <c16:uniqueId val="{00000000-0B75-4B9F-8149-D2BC682C5C48}"/>
            </c:ext>
          </c:extLst>
        </c:ser>
        <c:ser>
          <c:idx val="1"/>
          <c:order val="1"/>
          <c:tx>
            <c:strRef>
              <c:f>'M2 Fuhrpark'!$T$128</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75-4B9F-8149-D2BC682C5C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Fuhrpark'!$U$128:$W$128</c:f>
              <c:numCache>
                <c:formatCode>#,##0\ "€"</c:formatCode>
                <c:ptCount val="3"/>
                <c:pt idx="0">
                  <c:v>0</c:v>
                </c:pt>
                <c:pt idx="1">
                  <c:v>54000</c:v>
                </c:pt>
                <c:pt idx="2">
                  <c:v>108000</c:v>
                </c:pt>
              </c:numCache>
            </c:numRef>
          </c:val>
          <c:extLst>
            <c:ext xmlns:c16="http://schemas.microsoft.com/office/drawing/2014/chart" uri="{C3380CC4-5D6E-409C-BE32-E72D297353CC}">
              <c16:uniqueId val="{00000002-0B75-4B9F-8149-D2BC682C5C48}"/>
            </c:ext>
          </c:extLst>
        </c:ser>
        <c:ser>
          <c:idx val="2"/>
          <c:order val="2"/>
          <c:tx>
            <c:strRef>
              <c:f>'M2 Fuhrpark'!$T$129</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Fuhrpark'!$U$129:$W$129</c:f>
              <c:numCache>
                <c:formatCode>#,##0\ "€"</c:formatCode>
                <c:ptCount val="3"/>
                <c:pt idx="0">
                  <c:v>#N/A</c:v>
                </c:pt>
                <c:pt idx="1">
                  <c:v>#N/A</c:v>
                </c:pt>
                <c:pt idx="2">
                  <c:v>#N/A</c:v>
                </c:pt>
              </c:numCache>
            </c:numRef>
          </c:val>
          <c:extLst>
            <c:ext xmlns:c16="http://schemas.microsoft.com/office/drawing/2014/chart" uri="{C3380CC4-5D6E-409C-BE32-E72D297353CC}">
              <c16:uniqueId val="{00000003-0B75-4B9F-8149-D2BC682C5C48}"/>
            </c:ext>
          </c:extLst>
        </c:ser>
        <c:ser>
          <c:idx val="3"/>
          <c:order val="3"/>
          <c:tx>
            <c:strRef>
              <c:f>'M2 Fuhrpark'!$T$130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Fuhrpark'!$E$79:$G$80</c:f>
              <c:multiLvlStrCache>
                <c:ptCount val="3"/>
                <c:lvl>
                  <c:pt idx="0">
                    <c:v>Referenz</c:v>
                  </c:pt>
                </c:lvl>
                <c:lvl>
                  <c:pt idx="0">
                    <c:v>2020</c:v>
                  </c:pt>
                  <c:pt idx="1">
                    <c:v>2025</c:v>
                  </c:pt>
                  <c:pt idx="2">
                    <c:v>2030</c:v>
                  </c:pt>
                </c:lvl>
              </c:multiLvlStrCache>
            </c:multiLvlStrRef>
          </c:cat>
          <c:val>
            <c:numRef>
              <c:f>'M2 Fuhrpark'!$U$130:$W$130</c:f>
              <c:numCache>
                <c:formatCode>#,##0\ "€"</c:formatCode>
                <c:ptCount val="3"/>
                <c:pt idx="0">
                  <c:v>#N/A</c:v>
                </c:pt>
                <c:pt idx="1">
                  <c:v>#N/A</c:v>
                </c:pt>
                <c:pt idx="2">
                  <c:v>#N/A</c:v>
                </c:pt>
              </c:numCache>
            </c:numRef>
          </c:val>
          <c:extLst>
            <c:ext xmlns:c16="http://schemas.microsoft.com/office/drawing/2014/chart" uri="{C3380CC4-5D6E-409C-BE32-E72D297353CC}">
              <c16:uniqueId val="{00000004-0B75-4B9F-8149-D2BC682C5C48}"/>
            </c:ext>
          </c:extLst>
        </c:ser>
        <c:ser>
          <c:idx val="4"/>
          <c:order val="4"/>
          <c:tx>
            <c:strRef>
              <c:f>'M2 Fuhrpark'!$T$131</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'M2 Fuhrpark'!$U$131:$W$131</c:f>
              <c:numCache>
                <c:formatCode>#,##0\ "€"</c:formatCode>
                <c:ptCount val="3"/>
                <c:pt idx="0">
                  <c:v>152459.04944673795</c:v>
                </c:pt>
                <c:pt idx="1">
                  <c:v>271820.16795417015</c:v>
                </c:pt>
                <c:pt idx="2">
                  <c:v>476034.53832903074</c:v>
                </c:pt>
              </c:numCache>
            </c:numRef>
          </c:val>
          <c:extLst>
            <c:ext xmlns:c16="http://schemas.microsoft.com/office/drawing/2014/chart" uri="{C3380CC4-5D6E-409C-BE32-E72D297353CC}">
              <c16:uniqueId val="{00000005-0B75-4B9F-8149-D2BC682C5C4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'M2 Fuhrpark'!$L$120</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B-4BA9-8EBB-AC0721113F7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BA9-8EBB-AC0721113F7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Fuhrpark'!$M$120:$O$120</c:f>
              <c:numCache>
                <c:formatCode>#,##0</c:formatCode>
                <c:ptCount val="3"/>
                <c:pt idx="0">
                  <c:v>41.281733459999998</c:v>
                </c:pt>
                <c:pt idx="1">
                  <c:v>33.493691337510647</c:v>
                </c:pt>
                <c:pt idx="2">
                  <c:v>21.601201256046664</c:v>
                </c:pt>
              </c:numCache>
            </c:numRef>
          </c:val>
          <c:extLst>
            <c:ext xmlns:c16="http://schemas.microsoft.com/office/drawing/2014/chart" uri="{C3380CC4-5D6E-409C-BE32-E72D297353CC}">
              <c16:uniqueId val="{00000003-3B1B-4BA9-8EBB-AC0721113F78}"/>
            </c:ext>
          </c:extLst>
        </c:ser>
        <c:ser>
          <c:idx val="1"/>
          <c:order val="1"/>
          <c:tx>
            <c:strRef>
              <c:f>'M2 Fuhrpark'!$L$121</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B-4BA9-8EBB-AC0721113F7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1B-4BA9-8EBB-AC0721113F7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Fuhrpark'!$M$121:$O$121</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3B1B-4BA9-8EBB-AC0721113F78}"/>
            </c:ext>
          </c:extLst>
        </c:ser>
        <c:ser>
          <c:idx val="2"/>
          <c:order val="2"/>
          <c:tx>
            <c:strRef>
              <c:f>'M2 Fuhrpark'!$L$122</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Fuhrpark'!$M$122:$O$122</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3B1B-4BA9-8EBB-AC0721113F78}"/>
            </c:ext>
          </c:extLst>
        </c:ser>
        <c:ser>
          <c:idx val="3"/>
          <c:order val="3"/>
          <c:tx>
            <c:strRef>
              <c:f>'M2 Fuhrpark'!$L$123</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1B-4BA9-8EBB-AC0721113F7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1B-4BA9-8EBB-AC0721113F7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Fuhrpark'!$M$123:$O$123</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3B1B-4BA9-8EBB-AC0721113F78}"/>
            </c:ext>
          </c:extLst>
        </c:ser>
        <c:ser>
          <c:idx val="4"/>
          <c:order val="4"/>
          <c:tx>
            <c:strRef>
              <c:f>'M2 Fuhrpark'!$L$124</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Fuhrpark'!$M$124:$O$124</c:f>
              <c:numCache>
                <c:formatCode>#,##0</c:formatCode>
                <c:ptCount val="3"/>
                <c:pt idx="0">
                  <c:v>208</c:v>
                </c:pt>
                <c:pt idx="1">
                  <c:v>208</c:v>
                </c:pt>
                <c:pt idx="2">
                  <c:v>208</c:v>
                </c:pt>
              </c:numCache>
            </c:numRef>
          </c:val>
          <c:extLst>
            <c:ext xmlns:c16="http://schemas.microsoft.com/office/drawing/2014/chart" uri="{C3380CC4-5D6E-409C-BE32-E72D297353CC}">
              <c16:uniqueId val="{0000000D-3B1B-4BA9-8EBB-AC0721113F78}"/>
            </c:ext>
          </c:extLst>
        </c:ser>
        <c:ser>
          <c:idx val="5"/>
          <c:order val="5"/>
          <c:tx>
            <c:strRef>
              <c:f>'M2 Fuhrpark'!$L$125</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Fuhrpark'!$M$125:$O$125</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3B1B-4BA9-8EBB-AC0721113F78}"/>
            </c:ext>
          </c:extLst>
        </c:ser>
        <c:ser>
          <c:idx val="6"/>
          <c:order val="6"/>
          <c:tx>
            <c:strRef>
              <c:f>'M2 Fuhrpark'!$L$126</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1B-4BA9-8EBB-AC0721113F7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1B-4BA9-8EBB-AC0721113F7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Fuhrpark'!$M$126:$O$126</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3B1B-4BA9-8EBB-AC0721113F78}"/>
            </c:ext>
          </c:extLst>
        </c:ser>
        <c:ser>
          <c:idx val="7"/>
          <c:order val="7"/>
          <c:tx>
            <c:strRef>
              <c:f>'M2 Fuhrpark'!$L$127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Fuhrpark'!$M$127:$O$127</c:f>
              <c:numCache>
                <c:formatCode>#,##0</c:formatCode>
                <c:ptCount val="3"/>
                <c:pt idx="0">
                  <c:v>#N/A</c:v>
                </c:pt>
                <c:pt idx="1">
                  <c:v>#N/A</c:v>
                </c:pt>
                <c:pt idx="2">
                  <c:v>#N/A</c:v>
                </c:pt>
              </c:numCache>
            </c:numRef>
          </c:val>
          <c:extLst>
            <c:ext xmlns:c16="http://schemas.microsoft.com/office/drawing/2014/chart" uri="{C3380CC4-5D6E-409C-BE32-E72D297353CC}">
              <c16:uniqueId val="{00000013-3B1B-4BA9-8EBB-AC0721113F78}"/>
            </c:ext>
          </c:extLst>
        </c:ser>
        <c:ser>
          <c:idx val="8"/>
          <c:order val="8"/>
          <c:tx>
            <c:strRef>
              <c:f>'M2 Fuhrpark'!$L$128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Fuhrpark'!$M$128:$O$128</c:f>
              <c:numCache>
                <c:formatCode>#,##0</c:formatCode>
                <c:ptCount val="3"/>
                <c:pt idx="0">
                  <c:v>#N/A</c:v>
                </c:pt>
                <c:pt idx="1">
                  <c:v>#N/A</c:v>
                </c:pt>
                <c:pt idx="2">
                  <c:v>#N/A</c:v>
                </c:pt>
              </c:numCache>
            </c:numRef>
          </c:val>
          <c:extLst>
            <c:ext xmlns:c16="http://schemas.microsoft.com/office/drawing/2014/chart" uri="{C3380CC4-5D6E-409C-BE32-E72D297353CC}">
              <c16:uniqueId val="{00000014-3B1B-4BA9-8EBB-AC0721113F78}"/>
            </c:ext>
          </c:extLst>
        </c:ser>
        <c:ser>
          <c:idx val="9"/>
          <c:order val="9"/>
          <c:tx>
            <c:strRef>
              <c:f>'M2 Fuhrpark'!$L$129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Fuhrpark'!$M$129:$O$129</c:f>
              <c:numCache>
                <c:formatCode>#,##0</c:formatCode>
                <c:ptCount val="3"/>
                <c:pt idx="0">
                  <c:v>#N/A</c:v>
                </c:pt>
                <c:pt idx="1">
                  <c:v>#N/A</c:v>
                </c:pt>
                <c:pt idx="2">
                  <c:v>#N/A</c:v>
                </c:pt>
              </c:numCache>
            </c:numRef>
          </c:val>
          <c:extLst>
            <c:ext xmlns:c16="http://schemas.microsoft.com/office/drawing/2014/chart" uri="{C3380CC4-5D6E-409C-BE32-E72D297353CC}">
              <c16:uniqueId val="{00000015-3B1B-4BA9-8EBB-AC0721113F78}"/>
            </c:ext>
          </c:extLst>
        </c:ser>
        <c:ser>
          <c:idx val="10"/>
          <c:order val="10"/>
          <c:tx>
            <c:strRef>
              <c:f>'M2 Fuhrpark'!$L$130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1B-4BA9-8EBB-AC0721113F7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B1B-4BA9-8EBB-AC0721113F7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B1B-4BA9-8EBB-AC0721113F7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'M2 Fuhrpark'!$M$88:$O$89</c:f>
              <c:multiLvlStrCache>
                <c:ptCount val="3"/>
                <c:lvl>
                  <c:pt idx="0">
                    <c:v>Referenz</c:v>
                  </c:pt>
                </c:lvl>
                <c:lvl>
                  <c:pt idx="0">
                    <c:v>2020</c:v>
                  </c:pt>
                  <c:pt idx="1">
                    <c:v>2025</c:v>
                  </c:pt>
                  <c:pt idx="2">
                    <c:v>2030</c:v>
                  </c:pt>
                </c:lvl>
              </c:multiLvlStrCache>
            </c:multiLvlStrRef>
          </c:cat>
          <c:val>
            <c:numRef>
              <c:f>'M2 Fuhrpark'!$M$130:$O$130</c:f>
              <c:numCache>
                <c:formatCode>#,##0</c:formatCode>
                <c:ptCount val="3"/>
                <c:pt idx="0">
                  <c:v>64.48</c:v>
                </c:pt>
                <c:pt idx="1">
                  <c:v>64.48</c:v>
                </c:pt>
                <c:pt idx="2">
                  <c:v>64.48</c:v>
                </c:pt>
              </c:numCache>
            </c:numRef>
          </c:val>
          <c:extLst>
            <c:ext xmlns:c16="http://schemas.microsoft.com/office/drawing/2014/chart" uri="{C3380CC4-5D6E-409C-BE32-E72D297353CC}">
              <c16:uniqueId val="{00000019-3B1B-4BA9-8EBB-AC0721113F7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Stapler'!$D$120</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35-48C3-89BC-E7E8B8DCF005}"/>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35-48C3-89BC-E7E8B8DCF005}"/>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35-48C3-89BC-E7E8B8DCF00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Stapler'!$E$120:$G$120</c:f>
              <c:numCache>
                <c:formatCode>#,##0.0</c:formatCode>
                <c:ptCount val="3"/>
                <c:pt idx="0">
                  <c:v>43.0426</c:v>
                </c:pt>
                <c:pt idx="1">
                  <c:v>43.0426</c:v>
                </c:pt>
                <c:pt idx="2">
                  <c:v>43.0426</c:v>
                </c:pt>
              </c:numCache>
            </c:numRef>
          </c:val>
          <c:extLst>
            <c:ext xmlns:c16="http://schemas.microsoft.com/office/drawing/2014/chart" uri="{C3380CC4-5D6E-409C-BE32-E72D297353CC}">
              <c16:uniqueId val="{00000003-AE35-48C3-89BC-E7E8B8DCF005}"/>
            </c:ext>
          </c:extLst>
        </c:ser>
        <c:ser>
          <c:idx val="1"/>
          <c:order val="1"/>
          <c:tx>
            <c:strRef>
              <c:f>'M3 Effizienz Stapler'!$D$121</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35-48C3-89BC-E7E8B8DCF005}"/>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35-48C3-89BC-E7E8B8DCF005}"/>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35-48C3-89BC-E7E8B8DCF00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Stapler'!$E$121:$G$121</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AE35-48C3-89BC-E7E8B8DCF005}"/>
            </c:ext>
          </c:extLst>
        </c:ser>
        <c:ser>
          <c:idx val="2"/>
          <c:order val="2"/>
          <c:tx>
            <c:strRef>
              <c:f>'M3 Effizienz Stapler'!$D$122</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Stapler'!$E$122:$G$122</c:f>
              <c:numCache>
                <c:formatCode>#,##0.0</c:formatCode>
                <c:ptCount val="3"/>
                <c:pt idx="0">
                  <c:v>171.9</c:v>
                </c:pt>
                <c:pt idx="1">
                  <c:v>124.8924470887134</c:v>
                </c:pt>
                <c:pt idx="2">
                  <c:v>61.552554846110553</c:v>
                </c:pt>
              </c:numCache>
            </c:numRef>
          </c:val>
          <c:extLst>
            <c:ext xmlns:c16="http://schemas.microsoft.com/office/drawing/2014/chart" uri="{C3380CC4-5D6E-409C-BE32-E72D297353CC}">
              <c16:uniqueId val="{00000008-AE35-48C3-89BC-E7E8B8DCF005}"/>
            </c:ext>
          </c:extLst>
        </c:ser>
        <c:ser>
          <c:idx val="3"/>
          <c:order val="3"/>
          <c:tx>
            <c:strRef>
              <c:f>'M3 Effizienz Stapler'!$D$126</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Stapler'!$E$126:$G$126</c:f>
              <c:numCache>
                <c:formatCode>#,##0.0</c:formatCode>
                <c:ptCount val="3"/>
                <c:pt idx="0">
                  <c:v>35.884155059999998</c:v>
                </c:pt>
                <c:pt idx="1">
                  <c:v>34.422208001999998</c:v>
                </c:pt>
                <c:pt idx="2">
                  <c:v>32.960260943999998</c:v>
                </c:pt>
              </c:numCache>
            </c:numRef>
          </c:val>
          <c:extLst>
            <c:ext xmlns:c16="http://schemas.microsoft.com/office/drawing/2014/chart" uri="{C3380CC4-5D6E-409C-BE32-E72D297353CC}">
              <c16:uniqueId val="{00000009-AE35-48C3-89BC-E7E8B8DCF005}"/>
            </c:ext>
          </c:extLst>
        </c:ser>
        <c:ser>
          <c:idx val="4"/>
          <c:order val="4"/>
          <c:tx>
            <c:strRef>
              <c:f>'M3 Effizienz Stapler'!$D$123</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Stapler'!$E$123:$G$123</c:f>
              <c:numCache>
                <c:formatCode>#,##0.0</c:formatCode>
                <c:ptCount val="3"/>
                <c:pt idx="0">
                  <c:v>#N/A</c:v>
                </c:pt>
                <c:pt idx="1">
                  <c:v>#N/A</c:v>
                </c:pt>
                <c:pt idx="2">
                  <c:v>#N/A</c:v>
                </c:pt>
              </c:numCache>
            </c:numRef>
          </c:val>
          <c:extLst>
            <c:ext xmlns:c16="http://schemas.microsoft.com/office/drawing/2014/chart" uri="{C3380CC4-5D6E-409C-BE32-E72D297353CC}">
              <c16:uniqueId val="{0000000A-AE35-48C3-89BC-E7E8B8DCF005}"/>
            </c:ext>
          </c:extLst>
        </c:ser>
        <c:ser>
          <c:idx val="5"/>
          <c:order val="5"/>
          <c:tx>
            <c:strRef>
              <c:f>'M3 Effizienz Stapler'!$D$124</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Stapler'!$E$124:$G$124</c:f>
              <c:numCache>
                <c:formatCode>#,##0.0</c:formatCode>
                <c:ptCount val="3"/>
                <c:pt idx="0">
                  <c:v>#N/A</c:v>
                </c:pt>
                <c:pt idx="1">
                  <c:v>#N/A</c:v>
                </c:pt>
                <c:pt idx="2">
                  <c:v>#N/A</c:v>
                </c:pt>
              </c:numCache>
            </c:numRef>
          </c:val>
          <c:extLst>
            <c:ext xmlns:c16="http://schemas.microsoft.com/office/drawing/2014/chart" uri="{C3380CC4-5D6E-409C-BE32-E72D297353CC}">
              <c16:uniqueId val="{0000000B-AE35-48C3-89BC-E7E8B8DCF005}"/>
            </c:ext>
          </c:extLst>
        </c:ser>
        <c:ser>
          <c:idx val="6"/>
          <c:order val="6"/>
          <c:tx>
            <c:strRef>
              <c:f>'M3 Effizienz Stapler'!$D$125</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Stapler'!$E$125:$G$125</c:f>
              <c:numCache>
                <c:formatCode>#,##0.0</c:formatCode>
                <c:ptCount val="3"/>
                <c:pt idx="0">
                  <c:v>#N/A</c:v>
                </c:pt>
                <c:pt idx="1">
                  <c:v>#N/A</c:v>
                </c:pt>
                <c:pt idx="2">
                  <c:v>#N/A</c:v>
                </c:pt>
              </c:numCache>
            </c:numRef>
          </c:val>
          <c:extLst>
            <c:ext xmlns:c16="http://schemas.microsoft.com/office/drawing/2014/chart" uri="{C3380CC4-5D6E-409C-BE32-E72D297353CC}">
              <c16:uniqueId val="{0000000C-AE35-48C3-89BC-E7E8B8DCF00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'M3 Effizienz Stapler'!$L$83</c:f>
              <c:strCache>
                <c:ptCount val="1"/>
                <c:pt idx="0">
                  <c:v>Scope 3</c:v>
                </c:pt>
              </c:strCache>
            </c:strRef>
          </c:tx>
          <c:spPr>
            <a:solidFill>
              <a:schemeClr val="accent3"/>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Stapler'!$M$83:$O$83</c:f>
              <c:numCache>
                <c:formatCode>#,##0</c:formatCode>
                <c:ptCount val="3"/>
                <c:pt idx="0">
                  <c:v>5831.5296228095176</c:v>
                </c:pt>
                <c:pt idx="1">
                  <c:v>5824.380170042431</c:v>
                </c:pt>
                <c:pt idx="2">
                  <c:v>5814.836447635148</c:v>
                </c:pt>
              </c:numCache>
            </c:numRef>
          </c:val>
          <c:extLst>
            <c:ext xmlns:c16="http://schemas.microsoft.com/office/drawing/2014/chart" uri="{C3380CC4-5D6E-409C-BE32-E72D297353CC}">
              <c16:uniqueId val="{00000000-2561-4F41-B9A4-FCDBB95AC61F}"/>
            </c:ext>
          </c:extLst>
        </c:ser>
        <c:ser>
          <c:idx val="1"/>
          <c:order val="1"/>
          <c:tx>
            <c:strRef>
              <c:f>'M3 Effizienz Stapler'!$L$82</c:f>
              <c:strCache>
                <c:ptCount val="1"/>
                <c:pt idx="0">
                  <c:v>Scope 2</c:v>
                </c:pt>
              </c:strCache>
            </c:strRef>
          </c:tx>
          <c:spPr>
            <a:solidFill>
              <a:schemeClr val="accent2"/>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Stapler'!$M$82:$O$82</c:f>
              <c:numCache>
                <c:formatCode>#,##0</c:formatCode>
                <c:ptCount val="3"/>
                <c:pt idx="0">
                  <c:v>171.9</c:v>
                </c:pt>
                <c:pt idx="1">
                  <c:v>124.8924470887134</c:v>
                </c:pt>
                <c:pt idx="2">
                  <c:v>61.552554846110553</c:v>
                </c:pt>
              </c:numCache>
            </c:numRef>
          </c:val>
          <c:extLst>
            <c:ext xmlns:c16="http://schemas.microsoft.com/office/drawing/2014/chart" uri="{C3380CC4-5D6E-409C-BE32-E72D297353CC}">
              <c16:uniqueId val="{00000001-2561-4F41-B9A4-FCDBB95AC61F}"/>
            </c:ext>
          </c:extLst>
        </c:ser>
        <c:ser>
          <c:idx val="0"/>
          <c:order val="2"/>
          <c:tx>
            <c:strRef>
              <c:f>'M3 Effizienz Stapler'!$L$81</c:f>
              <c:strCache>
                <c:ptCount val="1"/>
                <c:pt idx="0">
                  <c:v>Scope 1 </c:v>
                </c:pt>
              </c:strCache>
            </c:strRef>
          </c:tx>
          <c:spPr>
            <a:solidFill>
              <a:schemeClr val="accent1"/>
            </a:solidFill>
            <a:ln>
              <a:noFill/>
            </a:ln>
            <a:effectLst/>
          </c:spPr>
          <c:invertIfNegative val="0"/>
          <c:cat>
            <c:multiLvlStrRef>
              <c:f>'M3 Effizienz Stapler'!$M$79:$O$80</c:f>
              <c:multiLvlStrCache>
                <c:ptCount val="3"/>
                <c:lvl>
                  <c:pt idx="0">
                    <c:v>Referenz</c:v>
                  </c:pt>
                </c:lvl>
                <c:lvl>
                  <c:pt idx="0">
                    <c:v>2020</c:v>
                  </c:pt>
                  <c:pt idx="1">
                    <c:v>2025</c:v>
                  </c:pt>
                  <c:pt idx="2">
                    <c:v>2030</c:v>
                  </c:pt>
                </c:lvl>
              </c:multiLvlStrCache>
            </c:multiLvlStrRef>
          </c:cat>
          <c:val>
            <c:numRef>
              <c:f>'M3 Effizienz Stapler'!$M$81:$O$81</c:f>
              <c:numCache>
                <c:formatCode>#,##0</c:formatCode>
                <c:ptCount val="3"/>
                <c:pt idx="0">
                  <c:v>94.932355060000006</c:v>
                </c:pt>
                <c:pt idx="1">
                  <c:v>93.470408001999999</c:v>
                </c:pt>
                <c:pt idx="2">
                  <c:v>92.008460943999992</c:v>
                </c:pt>
              </c:numCache>
            </c:numRef>
          </c:val>
          <c:extLst>
            <c:ext xmlns:c16="http://schemas.microsoft.com/office/drawing/2014/chart" uri="{C3380CC4-5D6E-409C-BE32-E72D297353CC}">
              <c16:uniqueId val="{00000002-2561-4F41-B9A4-FCDBB95AC61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'M3 Effizienz Stapler'!$T$120</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Stapler'!$U$120:$W$120</c:f>
              <c:numCache>
                <c:formatCode>#,##0\ "€"</c:formatCode>
                <c:ptCount val="3"/>
                <c:pt idx="0">
                  <c:v>109669</c:v>
                </c:pt>
                <c:pt idx="1">
                  <c:v>109050.8</c:v>
                </c:pt>
                <c:pt idx="2">
                  <c:v>108432.6</c:v>
                </c:pt>
              </c:numCache>
            </c:numRef>
          </c:val>
          <c:extLst>
            <c:ext xmlns:c16="http://schemas.microsoft.com/office/drawing/2014/chart" uri="{C3380CC4-5D6E-409C-BE32-E72D297353CC}">
              <c16:uniqueId val="{00000000-DD4B-4DA8-9531-4164F66C3B6B}"/>
            </c:ext>
          </c:extLst>
        </c:ser>
        <c:ser>
          <c:idx val="1"/>
          <c:order val="1"/>
          <c:tx>
            <c:strRef>
              <c:f>'M3 Effizienz Stapler'!$T$128</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4B-4DA8-9531-4164F66C3B6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Stapler'!$U$128:$W$128</c:f>
              <c:numCache>
                <c:formatCode>#,##0\ "€"</c:formatCode>
                <c:ptCount val="3"/>
                <c:pt idx="0">
                  <c:v>0</c:v>
                </c:pt>
                <c:pt idx="1">
                  <c:v>28800</c:v>
                </c:pt>
                <c:pt idx="2">
                  <c:v>57600</c:v>
                </c:pt>
              </c:numCache>
            </c:numRef>
          </c:val>
          <c:extLst>
            <c:ext xmlns:c16="http://schemas.microsoft.com/office/drawing/2014/chart" uri="{C3380CC4-5D6E-409C-BE32-E72D297353CC}">
              <c16:uniqueId val="{00000002-DD4B-4DA8-9531-4164F66C3B6B}"/>
            </c:ext>
          </c:extLst>
        </c:ser>
        <c:ser>
          <c:idx val="2"/>
          <c:order val="2"/>
          <c:tx>
            <c:strRef>
              <c:f>'M3 Effizienz Stapler'!$T$129</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Stapler'!$U$129:$W$129</c:f>
              <c:numCache>
                <c:formatCode>#,##0\ "€"</c:formatCode>
                <c:ptCount val="3"/>
                <c:pt idx="0">
                  <c:v>#N/A</c:v>
                </c:pt>
                <c:pt idx="1">
                  <c:v>#N/A</c:v>
                </c:pt>
                <c:pt idx="2">
                  <c:v>#N/A</c:v>
                </c:pt>
              </c:numCache>
            </c:numRef>
          </c:val>
          <c:extLst>
            <c:ext xmlns:c16="http://schemas.microsoft.com/office/drawing/2014/chart" uri="{C3380CC4-5D6E-409C-BE32-E72D297353CC}">
              <c16:uniqueId val="{00000003-DD4B-4DA8-9531-4164F66C3B6B}"/>
            </c:ext>
          </c:extLst>
        </c:ser>
        <c:ser>
          <c:idx val="3"/>
          <c:order val="3"/>
          <c:tx>
            <c:strRef>
              <c:f>'M3 Effizienz Stapler'!$T$130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Stapler'!$E$79:$G$80</c:f>
              <c:multiLvlStrCache>
                <c:ptCount val="3"/>
                <c:lvl>
                  <c:pt idx="0">
                    <c:v>Referenz</c:v>
                  </c:pt>
                </c:lvl>
                <c:lvl>
                  <c:pt idx="0">
                    <c:v>2020</c:v>
                  </c:pt>
                  <c:pt idx="1">
                    <c:v>2025</c:v>
                  </c:pt>
                  <c:pt idx="2">
                    <c:v>2030</c:v>
                  </c:pt>
                </c:lvl>
              </c:multiLvlStrCache>
            </c:multiLvlStrRef>
          </c:cat>
          <c:val>
            <c:numRef>
              <c:f>'M3 Effizienz Stapler'!$U$130:$W$130</c:f>
              <c:numCache>
                <c:formatCode>#,##0\ "€"</c:formatCode>
                <c:ptCount val="3"/>
                <c:pt idx="0">
                  <c:v>#N/A</c:v>
                </c:pt>
                <c:pt idx="1">
                  <c:v>#N/A</c:v>
                </c:pt>
                <c:pt idx="2">
                  <c:v>#N/A</c:v>
                </c:pt>
              </c:numCache>
            </c:numRef>
          </c:val>
          <c:extLst>
            <c:ext xmlns:c16="http://schemas.microsoft.com/office/drawing/2014/chart" uri="{C3380CC4-5D6E-409C-BE32-E72D297353CC}">
              <c16:uniqueId val="{00000004-DD4B-4DA8-9531-4164F66C3B6B}"/>
            </c:ext>
          </c:extLst>
        </c:ser>
        <c:ser>
          <c:idx val="4"/>
          <c:order val="4"/>
          <c:tx>
            <c:strRef>
              <c:f>'M3 Effizienz Stapler'!$T$131</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'M3 Effizienz Stapler'!$U$131:$W$131</c:f>
              <c:numCache>
                <c:formatCode>#,##0\ "€"</c:formatCode>
                <c:ptCount val="3"/>
                <c:pt idx="0">
                  <c:v>152459.04944673795</c:v>
                </c:pt>
                <c:pt idx="1">
                  <c:v>271923.4361309915</c:v>
                </c:pt>
                <c:pt idx="2">
                  <c:v>477471.79707402072</c:v>
                </c:pt>
              </c:numCache>
            </c:numRef>
          </c:val>
          <c:extLst>
            <c:ext xmlns:c16="http://schemas.microsoft.com/office/drawing/2014/chart" uri="{C3380CC4-5D6E-409C-BE32-E72D297353CC}">
              <c16:uniqueId val="{00000005-DD4B-4DA8-9531-4164F66C3B6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'M3 Effizienz Stapler'!$L$120</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A-4A8F-884D-9A5D8ECF9416}"/>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6A-4A8F-884D-9A5D8ECF9416}"/>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Stapler'!$M$120:$O$120</c:f>
              <c:numCache>
                <c:formatCode>#,##0</c:formatCode>
                <c:ptCount val="3"/>
                <c:pt idx="0">
                  <c:v>41.281733459999998</c:v>
                </c:pt>
                <c:pt idx="1">
                  <c:v>34.132280692910868</c:v>
                </c:pt>
                <c:pt idx="2">
                  <c:v>24.588558285628775</c:v>
                </c:pt>
              </c:numCache>
            </c:numRef>
          </c:val>
          <c:extLst>
            <c:ext xmlns:c16="http://schemas.microsoft.com/office/drawing/2014/chart" uri="{C3380CC4-5D6E-409C-BE32-E72D297353CC}">
              <c16:uniqueId val="{00000003-7F6A-4A8F-884D-9A5D8ECF9416}"/>
            </c:ext>
          </c:extLst>
        </c:ser>
        <c:ser>
          <c:idx val="1"/>
          <c:order val="1"/>
          <c:tx>
            <c:strRef>
              <c:f>'M3 Effizienz Stapler'!$L$121</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6A-4A8F-884D-9A5D8ECF9416}"/>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6A-4A8F-884D-9A5D8ECF9416}"/>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Stapler'!$M$121:$O$121</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7F6A-4A8F-884D-9A5D8ECF9416}"/>
            </c:ext>
          </c:extLst>
        </c:ser>
        <c:ser>
          <c:idx val="2"/>
          <c:order val="2"/>
          <c:tx>
            <c:strRef>
              <c:f>'M3 Effizienz Stapler'!$L$122</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Stapler'!$M$122:$O$122</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7F6A-4A8F-884D-9A5D8ECF9416}"/>
            </c:ext>
          </c:extLst>
        </c:ser>
        <c:ser>
          <c:idx val="3"/>
          <c:order val="3"/>
          <c:tx>
            <c:strRef>
              <c:f>'M3 Effizienz Stapler'!$L$123</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6A-4A8F-884D-9A5D8ECF9416}"/>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6A-4A8F-884D-9A5D8ECF9416}"/>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Stapler'!$M$123:$O$123</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7F6A-4A8F-884D-9A5D8ECF9416}"/>
            </c:ext>
          </c:extLst>
        </c:ser>
        <c:ser>
          <c:idx val="4"/>
          <c:order val="4"/>
          <c:tx>
            <c:strRef>
              <c:f>'M3 Effizienz Stapler'!$L$124</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Stapler'!$M$124:$O$124</c:f>
              <c:numCache>
                <c:formatCode>#,##0</c:formatCode>
                <c:ptCount val="3"/>
                <c:pt idx="0">
                  <c:v>208</c:v>
                </c:pt>
                <c:pt idx="1">
                  <c:v>208</c:v>
                </c:pt>
                <c:pt idx="2">
                  <c:v>208</c:v>
                </c:pt>
              </c:numCache>
            </c:numRef>
          </c:val>
          <c:extLst>
            <c:ext xmlns:c16="http://schemas.microsoft.com/office/drawing/2014/chart" uri="{C3380CC4-5D6E-409C-BE32-E72D297353CC}">
              <c16:uniqueId val="{0000000D-7F6A-4A8F-884D-9A5D8ECF9416}"/>
            </c:ext>
          </c:extLst>
        </c:ser>
        <c:ser>
          <c:idx val="5"/>
          <c:order val="5"/>
          <c:tx>
            <c:strRef>
              <c:f>'M3 Effizienz Stapler'!$L$125</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Stapler'!$M$125:$O$125</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7F6A-4A8F-884D-9A5D8ECF9416}"/>
            </c:ext>
          </c:extLst>
        </c:ser>
        <c:ser>
          <c:idx val="6"/>
          <c:order val="6"/>
          <c:tx>
            <c:strRef>
              <c:f>'M3 Effizienz Stapler'!$L$126</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6A-4A8F-884D-9A5D8ECF9416}"/>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6A-4A8F-884D-9A5D8ECF9416}"/>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Stapler'!$M$126:$O$126</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7F6A-4A8F-884D-9A5D8ECF9416}"/>
            </c:ext>
          </c:extLst>
        </c:ser>
        <c:ser>
          <c:idx val="7"/>
          <c:order val="7"/>
          <c:tx>
            <c:strRef>
              <c:f>'M3 Effizienz Stapler'!$L$127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Stapler'!$M$127:$O$127</c:f>
              <c:numCache>
                <c:formatCode>#,##0</c:formatCode>
                <c:ptCount val="3"/>
                <c:pt idx="0">
                  <c:v>#N/A</c:v>
                </c:pt>
                <c:pt idx="1">
                  <c:v>#N/A</c:v>
                </c:pt>
                <c:pt idx="2">
                  <c:v>#N/A</c:v>
                </c:pt>
              </c:numCache>
            </c:numRef>
          </c:val>
          <c:extLst>
            <c:ext xmlns:c16="http://schemas.microsoft.com/office/drawing/2014/chart" uri="{C3380CC4-5D6E-409C-BE32-E72D297353CC}">
              <c16:uniqueId val="{00000013-7F6A-4A8F-884D-9A5D8ECF9416}"/>
            </c:ext>
          </c:extLst>
        </c:ser>
        <c:ser>
          <c:idx val="8"/>
          <c:order val="8"/>
          <c:tx>
            <c:strRef>
              <c:f>'M3 Effizienz Stapler'!$L$128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Stapler'!$M$128:$O$128</c:f>
              <c:numCache>
                <c:formatCode>#,##0</c:formatCode>
                <c:ptCount val="3"/>
                <c:pt idx="0">
                  <c:v>#N/A</c:v>
                </c:pt>
                <c:pt idx="1">
                  <c:v>#N/A</c:v>
                </c:pt>
                <c:pt idx="2">
                  <c:v>#N/A</c:v>
                </c:pt>
              </c:numCache>
            </c:numRef>
          </c:val>
          <c:extLst>
            <c:ext xmlns:c16="http://schemas.microsoft.com/office/drawing/2014/chart" uri="{C3380CC4-5D6E-409C-BE32-E72D297353CC}">
              <c16:uniqueId val="{00000014-7F6A-4A8F-884D-9A5D8ECF9416}"/>
            </c:ext>
          </c:extLst>
        </c:ser>
        <c:ser>
          <c:idx val="9"/>
          <c:order val="9"/>
          <c:tx>
            <c:strRef>
              <c:f>'M3 Effizienz Stapler'!$L$129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Stapler'!$M$129:$O$129</c:f>
              <c:numCache>
                <c:formatCode>#,##0</c:formatCode>
                <c:ptCount val="3"/>
                <c:pt idx="0">
                  <c:v>#N/A</c:v>
                </c:pt>
                <c:pt idx="1">
                  <c:v>#N/A</c:v>
                </c:pt>
                <c:pt idx="2">
                  <c:v>#N/A</c:v>
                </c:pt>
              </c:numCache>
            </c:numRef>
          </c:val>
          <c:extLst>
            <c:ext xmlns:c16="http://schemas.microsoft.com/office/drawing/2014/chart" uri="{C3380CC4-5D6E-409C-BE32-E72D297353CC}">
              <c16:uniqueId val="{00000015-7F6A-4A8F-884D-9A5D8ECF9416}"/>
            </c:ext>
          </c:extLst>
        </c:ser>
        <c:ser>
          <c:idx val="10"/>
          <c:order val="10"/>
          <c:tx>
            <c:strRef>
              <c:f>'M3 Effizienz Stapler'!$L$130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6A-4A8F-884D-9A5D8ECF9416}"/>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F6A-4A8F-884D-9A5D8ECF9416}"/>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F6A-4A8F-884D-9A5D8ECF941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'M3 Effizienz Stapler'!$M$88:$O$89</c:f>
              <c:multiLvlStrCache>
                <c:ptCount val="3"/>
                <c:lvl>
                  <c:pt idx="0">
                    <c:v>Referenz</c:v>
                  </c:pt>
                </c:lvl>
                <c:lvl>
                  <c:pt idx="0">
                    <c:v>2020</c:v>
                  </c:pt>
                  <c:pt idx="1">
                    <c:v>2025</c:v>
                  </c:pt>
                  <c:pt idx="2">
                    <c:v>2030</c:v>
                  </c:pt>
                </c:lvl>
              </c:multiLvlStrCache>
            </c:multiLvlStrRef>
          </c:cat>
          <c:val>
            <c:numRef>
              <c:f>'M3 Effizienz Stapler'!$M$130:$O$130</c:f>
              <c:numCache>
                <c:formatCode>#,##0</c:formatCode>
                <c:ptCount val="3"/>
                <c:pt idx="0">
                  <c:v>64.48</c:v>
                </c:pt>
                <c:pt idx="1">
                  <c:v>64.48</c:v>
                </c:pt>
                <c:pt idx="2">
                  <c:v>64.48</c:v>
                </c:pt>
              </c:numCache>
            </c:numRef>
          </c:val>
          <c:extLst>
            <c:ext xmlns:c16="http://schemas.microsoft.com/office/drawing/2014/chart" uri="{C3380CC4-5D6E-409C-BE32-E72D297353CC}">
              <c16:uniqueId val="{00000019-7F6A-4A8F-884D-9A5D8ECF9416}"/>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Grünstrom'!$D$105</c:f>
              <c:strCache>
                <c:ptCount val="1"/>
                <c:pt idx="0">
                  <c:v>Erdgas</c:v>
                </c:pt>
              </c:strCache>
            </c:strRef>
          </c:tx>
          <c:spPr>
            <a:solidFill>
              <a:schemeClr val="accent1"/>
            </a:solidFill>
            <a:ln>
              <a:noFill/>
            </a:ln>
            <a:effectLst/>
          </c:spPr>
          <c:invertIfNegative val="0"/>
          <c:dLbls>
            <c:dLbl>
              <c:idx val="0"/>
              <c:layout>
                <c:manualLayout>
                  <c:x val="0.10998151069172327"/>
                  <c:y val="-1.448483597348943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2C-4AB4-92B2-9A78D0DB9732}"/>
                </c:ext>
              </c:extLst>
            </c:dLbl>
            <c:dLbl>
              <c:idx val="1"/>
              <c:layout>
                <c:manualLayout>
                  <c:x val="0.10976730470956175"/>
                  <c:y val="-5.87962826860467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2C-4AB4-92B2-9A78D0DB9732}"/>
                </c:ext>
              </c:extLst>
            </c:dLbl>
            <c:dLbl>
              <c:idx val="2"/>
              <c:layout>
                <c:manualLayout>
                  <c:x val="0.1133867122645153"/>
                  <c:y val="-1.768147738854690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Grünstrom'!$E$105:$G$105</c:f>
              <c:numCache>
                <c:formatCode>#,##0.0</c:formatCode>
                <c:ptCount val="3"/>
                <c:pt idx="0">
                  <c:v>43.0426</c:v>
                </c:pt>
                <c:pt idx="1">
                  <c:v>43.0426</c:v>
                </c:pt>
                <c:pt idx="2">
                  <c:v>43.0426</c:v>
                </c:pt>
              </c:numCache>
            </c:numRef>
          </c:val>
          <c:extLst>
            <c:ext xmlns:c16="http://schemas.microsoft.com/office/drawing/2014/chart" uri="{C3380CC4-5D6E-409C-BE32-E72D297353CC}">
              <c16:uniqueId val="{00000003-E42C-4AB4-92B2-9A78D0DB9732}"/>
            </c:ext>
          </c:extLst>
        </c:ser>
        <c:ser>
          <c:idx val="1"/>
          <c:order val="1"/>
          <c:tx>
            <c:strRef>
              <c:f>'M4 Grünstrom'!$D$106</c:f>
              <c:strCache>
                <c:ptCount val="1"/>
                <c:pt idx="0">
                  <c:v>Heizöl</c:v>
                </c:pt>
              </c:strCache>
            </c:strRef>
          </c:tx>
          <c:spPr>
            <a:solidFill>
              <a:schemeClr val="accent2"/>
            </a:solidFill>
            <a:ln>
              <a:noFill/>
            </a:ln>
            <a:effectLst/>
          </c:spPr>
          <c:invertIfNegative val="0"/>
          <c:dLbls>
            <c:dLbl>
              <c:idx val="0"/>
              <c:layout>
                <c:manualLayout>
                  <c:x val="0.10987155839399175"/>
                  <c:y val="-5.04453231658148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2C-4AB4-92B2-9A78D0DB9732}"/>
                </c:ext>
              </c:extLst>
            </c:dLbl>
            <c:dLbl>
              <c:idx val="1"/>
              <c:layout>
                <c:manualLayout>
                  <c:x val="0.10965672679383666"/>
                  <c:y val="-4.763401675138512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2C-4AB4-92B2-9A78D0DB9732}"/>
                </c:ext>
              </c:extLst>
            </c:dLbl>
            <c:dLbl>
              <c:idx val="2"/>
              <c:layout>
                <c:manualLayout>
                  <c:x val="0.11349602065165454"/>
                  <c:y val="-5.364133949376079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Grünstrom'!$E$106:$G$106</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E42C-4AB4-92B2-9A78D0DB9732}"/>
            </c:ext>
          </c:extLst>
        </c:ser>
        <c:ser>
          <c:idx val="2"/>
          <c:order val="2"/>
          <c:tx>
            <c:strRef>
              <c:f>'M4 Grünstrom'!$D$107</c:f>
              <c:strCache>
                <c:ptCount val="1"/>
                <c:pt idx="0">
                  <c:v>Strom</c:v>
                </c:pt>
              </c:strCache>
            </c:strRef>
          </c:tx>
          <c:spPr>
            <a:solidFill>
              <a:schemeClr val="accent3"/>
            </a:solidFill>
            <a:ln>
              <a:noFill/>
            </a:ln>
            <a:effectLst/>
          </c:spPr>
          <c:invertIfNegative val="0"/>
          <c:dLbls>
            <c:dLbl>
              <c:idx val="1"/>
              <c:layout>
                <c:manualLayout>
                  <c:x val="0.11003457138501997"/>
                  <c:y val="-9.4074052297673086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2C-4AB4-92B2-9A78D0DB9732}"/>
                </c:ext>
              </c:extLst>
            </c:dLbl>
            <c:dLbl>
              <c:idx val="2"/>
              <c:layout>
                <c:manualLayout>
                  <c:x val="0.11376451564838445"/>
                  <c:y val="-9.9953580092588895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2C-4AB4-92B2-9A78D0DB973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Grünstrom'!$E$107:$G$107</c:f>
              <c:numCache>
                <c:formatCode>#,##0.0</c:formatCode>
                <c:ptCount val="3"/>
                <c:pt idx="0">
                  <c:v>171.9</c:v>
                </c:pt>
                <c:pt idx="1">
                  <c:v>0</c:v>
                </c:pt>
                <c:pt idx="2">
                  <c:v>0</c:v>
                </c:pt>
              </c:numCache>
            </c:numRef>
          </c:val>
          <c:extLst>
            <c:ext xmlns:c16="http://schemas.microsoft.com/office/drawing/2014/chart" uri="{C3380CC4-5D6E-409C-BE32-E72D297353CC}">
              <c16:uniqueId val="{00000008-E42C-4AB4-92B2-9A78D0DB9732}"/>
            </c:ext>
          </c:extLst>
        </c:ser>
        <c:ser>
          <c:idx val="3"/>
          <c:order val="3"/>
          <c:tx>
            <c:strRef>
              <c:f>'M4 Grünstrom'!$D$111</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Grünstrom'!$E$111:$G$111</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E42C-4AB4-92B2-9A78D0DB9732}"/>
            </c:ext>
          </c:extLst>
        </c:ser>
        <c:ser>
          <c:idx val="4"/>
          <c:order val="4"/>
          <c:tx>
            <c:strRef>
              <c:f>'M4 Grünstrom'!$D$108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Grünstrom'!$E$108:$G$108</c:f>
              <c:numCache>
                <c:formatCode>#,##0.0</c:formatCode>
                <c:ptCount val="3"/>
                <c:pt idx="0">
                  <c:v>#N/A</c:v>
                </c:pt>
                <c:pt idx="1">
                  <c:v>#N/A</c:v>
                </c:pt>
                <c:pt idx="2">
                  <c:v>#N/A</c:v>
                </c:pt>
              </c:numCache>
            </c:numRef>
          </c:val>
          <c:extLst>
            <c:ext xmlns:c16="http://schemas.microsoft.com/office/drawing/2014/chart" uri="{C3380CC4-5D6E-409C-BE32-E72D297353CC}">
              <c16:uniqueId val="{0000000A-E42C-4AB4-92B2-9A78D0DB9732}"/>
            </c:ext>
          </c:extLst>
        </c:ser>
        <c:ser>
          <c:idx val="5"/>
          <c:order val="5"/>
          <c:tx>
            <c:strRef>
              <c:f>'M4 Grünstrom'!$D$109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Grünstrom'!$E$109:$G$109</c:f>
              <c:numCache>
                <c:formatCode>#,##0.0</c:formatCode>
                <c:ptCount val="3"/>
                <c:pt idx="0">
                  <c:v>#N/A</c:v>
                </c:pt>
                <c:pt idx="1">
                  <c:v>#N/A</c:v>
                </c:pt>
                <c:pt idx="2">
                  <c:v>#N/A</c:v>
                </c:pt>
              </c:numCache>
            </c:numRef>
          </c:val>
          <c:extLst>
            <c:ext xmlns:c16="http://schemas.microsoft.com/office/drawing/2014/chart" uri="{C3380CC4-5D6E-409C-BE32-E72D297353CC}">
              <c16:uniqueId val="{0000000B-E42C-4AB4-92B2-9A78D0DB9732}"/>
            </c:ext>
          </c:extLst>
        </c:ser>
        <c:ser>
          <c:idx val="6"/>
          <c:order val="6"/>
          <c:tx>
            <c:strRef>
              <c:f>'M4 Grünstrom'!$D$110</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Grünstrom'!$E$110:$G$110</c:f>
              <c:numCache>
                <c:formatCode>#,##0.0</c:formatCode>
                <c:ptCount val="3"/>
                <c:pt idx="0">
                  <c:v>#N/A</c:v>
                </c:pt>
                <c:pt idx="1">
                  <c:v>#N/A</c:v>
                </c:pt>
                <c:pt idx="2">
                  <c:v>#N/A</c:v>
                </c:pt>
              </c:numCache>
            </c:numRef>
          </c:val>
          <c:extLst>
            <c:ext xmlns:c16="http://schemas.microsoft.com/office/drawing/2014/chart" uri="{C3380CC4-5D6E-409C-BE32-E72D297353CC}">
              <c16:uniqueId val="{0000000C-E42C-4AB4-92B2-9A78D0DB9732}"/>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'M4 Grünstrom'!$L$68</c:f>
              <c:strCache>
                <c:ptCount val="1"/>
                <c:pt idx="0">
                  <c:v>Scope 3</c:v>
                </c:pt>
              </c:strCache>
            </c:strRef>
          </c:tx>
          <c:spPr>
            <a:solidFill>
              <a:schemeClr val="accent3"/>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Grünstrom'!$M$68:$O$68</c:f>
              <c:numCache>
                <c:formatCode>#,##0</c:formatCode>
                <c:ptCount val="3"/>
                <c:pt idx="0">
                  <c:v>5831.5296228095176</c:v>
                </c:pt>
                <c:pt idx="1">
                  <c:v>5824.6851228095193</c:v>
                </c:pt>
                <c:pt idx="2">
                  <c:v>5824.6851228095193</c:v>
                </c:pt>
              </c:numCache>
            </c:numRef>
          </c:val>
          <c:extLst>
            <c:ext xmlns:c16="http://schemas.microsoft.com/office/drawing/2014/chart" uri="{C3380CC4-5D6E-409C-BE32-E72D297353CC}">
              <c16:uniqueId val="{00000000-D707-407D-A3A1-758814DC6D7F}"/>
            </c:ext>
          </c:extLst>
        </c:ser>
        <c:ser>
          <c:idx val="1"/>
          <c:order val="1"/>
          <c:tx>
            <c:strRef>
              <c:f>'M4 Grünstrom'!$L$67</c:f>
              <c:strCache>
                <c:ptCount val="1"/>
                <c:pt idx="0">
                  <c:v>Scope 2</c:v>
                </c:pt>
              </c:strCache>
            </c:strRef>
          </c:tx>
          <c:spPr>
            <a:solidFill>
              <a:schemeClr val="accent2"/>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Grünstrom'!$M$67:$O$67</c:f>
              <c:numCache>
                <c:formatCode>#,##0</c:formatCode>
                <c:ptCount val="3"/>
                <c:pt idx="0">
                  <c:v>171.9</c:v>
                </c:pt>
                <c:pt idx="1">
                  <c:v>0</c:v>
                </c:pt>
                <c:pt idx="2">
                  <c:v>0</c:v>
                </c:pt>
              </c:numCache>
            </c:numRef>
          </c:val>
          <c:extLst>
            <c:ext xmlns:c16="http://schemas.microsoft.com/office/drawing/2014/chart" uri="{C3380CC4-5D6E-409C-BE32-E72D297353CC}">
              <c16:uniqueId val="{00000001-D707-407D-A3A1-758814DC6D7F}"/>
            </c:ext>
          </c:extLst>
        </c:ser>
        <c:ser>
          <c:idx val="0"/>
          <c:order val="2"/>
          <c:tx>
            <c:strRef>
              <c:f>'M4 Grünstrom'!$L$66</c:f>
              <c:strCache>
                <c:ptCount val="1"/>
                <c:pt idx="0">
                  <c:v>Scope 1 </c:v>
                </c:pt>
              </c:strCache>
            </c:strRef>
          </c:tx>
          <c:spPr>
            <a:solidFill>
              <a:schemeClr val="accent1"/>
            </a:solidFill>
            <a:ln>
              <a:noFill/>
            </a:ln>
            <a:effectLst/>
          </c:spPr>
          <c:invertIfNegative val="0"/>
          <c:cat>
            <c:multiLvlStrRef>
              <c:f>'M4 Grünstrom'!$M$64:$O$65</c:f>
              <c:multiLvlStrCache>
                <c:ptCount val="3"/>
                <c:lvl>
                  <c:pt idx="0">
                    <c:v>Referenz</c:v>
                  </c:pt>
                </c:lvl>
                <c:lvl>
                  <c:pt idx="0">
                    <c:v>2020</c:v>
                  </c:pt>
                  <c:pt idx="1">
                    <c:v>2025</c:v>
                  </c:pt>
                  <c:pt idx="2">
                    <c:v>2030</c:v>
                  </c:pt>
                </c:lvl>
              </c:multiLvlStrCache>
            </c:multiLvlStrRef>
          </c:cat>
          <c:val>
            <c:numRef>
              <c:f>'M4 Grünstrom'!$M$66:$O$66</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D707-407D-A3A1-758814DC6D7F}"/>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'M4 Grünstrom'!$T$105</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Grünstrom'!$U$105:$W$105</c:f>
              <c:numCache>
                <c:formatCode>#,##0\ "€"</c:formatCode>
                <c:ptCount val="3"/>
                <c:pt idx="0">
                  <c:v>109669</c:v>
                </c:pt>
                <c:pt idx="1">
                  <c:v>110794</c:v>
                </c:pt>
                <c:pt idx="2">
                  <c:v>110794</c:v>
                </c:pt>
              </c:numCache>
            </c:numRef>
          </c:val>
          <c:extLst>
            <c:ext xmlns:c16="http://schemas.microsoft.com/office/drawing/2014/chart" uri="{C3380CC4-5D6E-409C-BE32-E72D297353CC}">
              <c16:uniqueId val="{00000000-FC80-41B5-B83F-3F458907E1FC}"/>
            </c:ext>
          </c:extLst>
        </c:ser>
        <c:ser>
          <c:idx val="1"/>
          <c:order val="1"/>
          <c:tx>
            <c:strRef>
              <c:f>'M4 Grünstrom'!$T$113</c:f>
              <c:strCache>
                <c:ptCount val="1"/>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80-41B5-B83F-3F458907E1FC}"/>
                </c:ext>
              </c:extLst>
            </c:dLbl>
            <c:dLbl>
              <c:idx val="1"/>
              <c:layout>
                <c:manualLayout>
                  <c:x val="8.1715825846082682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80-41B5-B83F-3F458907E1FC}"/>
                </c:ext>
              </c:extLst>
            </c:dLbl>
            <c:dLbl>
              <c:idx val="2"/>
              <c:layout>
                <c:manualLayout>
                  <c:x val="8.361619388901477E-2"/>
                  <c:y val="-3.062375033396767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80-41B5-B83F-3F458907E1F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Grünstrom'!$U$113:$W$113</c:f>
              <c:numCache>
                <c:formatCode>#,##0\ "€"</c:formatCode>
                <c:ptCount val="3"/>
                <c:pt idx="0">
                  <c:v>#N/A</c:v>
                </c:pt>
                <c:pt idx="1">
                  <c:v>#N/A</c:v>
                </c:pt>
                <c:pt idx="2">
                  <c:v>#N/A</c:v>
                </c:pt>
              </c:numCache>
            </c:numRef>
          </c:val>
          <c:extLst>
            <c:ext xmlns:c16="http://schemas.microsoft.com/office/drawing/2014/chart" uri="{C3380CC4-5D6E-409C-BE32-E72D297353CC}">
              <c16:uniqueId val="{00000002-FC80-41B5-B83F-3F458907E1FC}"/>
            </c:ext>
          </c:extLst>
        </c:ser>
        <c:ser>
          <c:idx val="2"/>
          <c:order val="2"/>
          <c:tx>
            <c:strRef>
              <c:f>'M4 Grünstrom'!$T$114</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Grünstrom'!$U$114:$W$114</c:f>
              <c:numCache>
                <c:formatCode>#,##0\ "€"</c:formatCode>
                <c:ptCount val="3"/>
                <c:pt idx="0">
                  <c:v>#N/A</c:v>
                </c:pt>
                <c:pt idx="1">
                  <c:v>#N/A</c:v>
                </c:pt>
                <c:pt idx="2">
                  <c:v>#N/A</c:v>
                </c:pt>
              </c:numCache>
            </c:numRef>
          </c:val>
          <c:extLst>
            <c:ext xmlns:c16="http://schemas.microsoft.com/office/drawing/2014/chart" uri="{C3380CC4-5D6E-409C-BE32-E72D297353CC}">
              <c16:uniqueId val="{00000003-FC80-41B5-B83F-3F458907E1FC}"/>
            </c:ext>
          </c:extLst>
        </c:ser>
        <c:ser>
          <c:idx val="3"/>
          <c:order val="3"/>
          <c:tx>
            <c:strRef>
              <c:f>'M4 Grünstrom'!$T$115</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Grünstrom'!$E$64:$G$65</c:f>
              <c:multiLvlStrCache>
                <c:ptCount val="3"/>
                <c:lvl>
                  <c:pt idx="0">
                    <c:v>Referenz</c:v>
                  </c:pt>
                </c:lvl>
                <c:lvl>
                  <c:pt idx="0">
                    <c:v>2020</c:v>
                  </c:pt>
                  <c:pt idx="1">
                    <c:v>2025</c:v>
                  </c:pt>
                  <c:pt idx="2">
                    <c:v>2030</c:v>
                  </c:pt>
                </c:lvl>
              </c:multiLvlStrCache>
            </c:multiLvlStrRef>
          </c:cat>
          <c:val>
            <c:numRef>
              <c:f>'M4 Grünstrom'!$U$115:$W$115</c:f>
              <c:numCache>
                <c:formatCode>#,##0\ "€"</c:formatCode>
                <c:ptCount val="3"/>
                <c:pt idx="0">
                  <c:v>#N/A</c:v>
                </c:pt>
                <c:pt idx="1">
                  <c:v>#N/A</c:v>
                </c:pt>
                <c:pt idx="2">
                  <c:v>#N/A</c:v>
                </c:pt>
              </c:numCache>
            </c:numRef>
          </c:val>
          <c:extLst>
            <c:ext xmlns:c16="http://schemas.microsoft.com/office/drawing/2014/chart" uri="{C3380CC4-5D6E-409C-BE32-E72D297353CC}">
              <c16:uniqueId val="{00000004-FC80-41B5-B83F-3F458907E1FC}"/>
            </c:ext>
          </c:extLst>
        </c:ser>
        <c:ser>
          <c:idx val="4"/>
          <c:order val="4"/>
          <c:tx>
            <c:strRef>
              <c:f>'M4 Grünstrom'!$T$116</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'M4 Grünstrom'!$U$116:$W$116</c:f>
              <c:numCache>
                <c:formatCode>#,##0\ "€"</c:formatCode>
                <c:ptCount val="3"/>
                <c:pt idx="0">
                  <c:v>152459.04944673795</c:v>
                </c:pt>
                <c:pt idx="1">
                  <c:v>266382.78650412837</c:v>
                </c:pt>
                <c:pt idx="2">
                  <c:v>473569.39822956151</c:v>
                </c:pt>
              </c:numCache>
            </c:numRef>
          </c:val>
          <c:extLst>
            <c:ext xmlns:c16="http://schemas.microsoft.com/office/drawing/2014/chart" uri="{C3380CC4-5D6E-409C-BE32-E72D297353CC}">
              <c16:uniqueId val="{00000005-FC80-41B5-B83F-3F458907E1F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'M4 Grünstrom'!$L$105</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41-400C-ACAB-4000313AD974}"/>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41-400C-ACAB-4000313AD974}"/>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Grünstrom'!$M$105:$O$105</c:f>
              <c:numCache>
                <c:formatCode>#,##0</c:formatCode>
                <c:ptCount val="3"/>
                <c:pt idx="0">
                  <c:v>41.281733459999998</c:v>
                </c:pt>
                <c:pt idx="1">
                  <c:v>34.437233460000002</c:v>
                </c:pt>
                <c:pt idx="2">
                  <c:v>34.437233460000002</c:v>
                </c:pt>
              </c:numCache>
            </c:numRef>
          </c:val>
          <c:extLst>
            <c:ext xmlns:c16="http://schemas.microsoft.com/office/drawing/2014/chart" uri="{C3380CC4-5D6E-409C-BE32-E72D297353CC}">
              <c16:uniqueId val="{00000003-6C41-400C-ACAB-4000313AD974}"/>
            </c:ext>
          </c:extLst>
        </c:ser>
        <c:ser>
          <c:idx val="1"/>
          <c:order val="1"/>
          <c:tx>
            <c:strRef>
              <c:f>'M4 Grünstrom'!$L$106</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1-400C-ACAB-4000313AD974}"/>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1-400C-ACAB-4000313AD974}"/>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Grünstrom'!$M$106:$O$106</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6C41-400C-ACAB-4000313AD974}"/>
            </c:ext>
          </c:extLst>
        </c:ser>
        <c:ser>
          <c:idx val="2"/>
          <c:order val="2"/>
          <c:tx>
            <c:strRef>
              <c:f>'M4 Grünstrom'!$L$107</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Grünstrom'!$M$107:$O$107</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6C41-400C-ACAB-4000313AD974}"/>
            </c:ext>
          </c:extLst>
        </c:ser>
        <c:ser>
          <c:idx val="3"/>
          <c:order val="3"/>
          <c:tx>
            <c:strRef>
              <c:f>'M4 Grünstrom'!$L$108</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1-400C-ACAB-4000313AD974}"/>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1-400C-ACAB-4000313AD974}"/>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Grünstrom'!$M$108:$O$108</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6C41-400C-ACAB-4000313AD974}"/>
            </c:ext>
          </c:extLst>
        </c:ser>
        <c:ser>
          <c:idx val="4"/>
          <c:order val="4"/>
          <c:tx>
            <c:strRef>
              <c:f>'M4 Grünstrom'!$L$109</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Grünstrom'!$M$109:$O$109</c:f>
              <c:numCache>
                <c:formatCode>#,##0</c:formatCode>
                <c:ptCount val="3"/>
                <c:pt idx="0">
                  <c:v>208</c:v>
                </c:pt>
                <c:pt idx="1">
                  <c:v>208</c:v>
                </c:pt>
                <c:pt idx="2">
                  <c:v>208</c:v>
                </c:pt>
              </c:numCache>
            </c:numRef>
          </c:val>
          <c:extLst>
            <c:ext xmlns:c16="http://schemas.microsoft.com/office/drawing/2014/chart" uri="{C3380CC4-5D6E-409C-BE32-E72D297353CC}">
              <c16:uniqueId val="{0000000D-6C41-400C-ACAB-4000313AD974}"/>
            </c:ext>
          </c:extLst>
        </c:ser>
        <c:ser>
          <c:idx val="5"/>
          <c:order val="5"/>
          <c:tx>
            <c:strRef>
              <c:f>'M4 Grünstrom'!$L$110</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Grünstrom'!$M$110:$O$110</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6C41-400C-ACAB-4000313AD974}"/>
            </c:ext>
          </c:extLst>
        </c:ser>
        <c:ser>
          <c:idx val="6"/>
          <c:order val="6"/>
          <c:tx>
            <c:strRef>
              <c:f>'M4 Grünstrom'!$L$111</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41-400C-ACAB-4000313AD974}"/>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41-400C-ACAB-4000313AD974}"/>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Grünstrom'!$M$111:$O$111</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6C41-400C-ACAB-4000313AD974}"/>
            </c:ext>
          </c:extLst>
        </c:ser>
        <c:ser>
          <c:idx val="7"/>
          <c:order val="7"/>
          <c:tx>
            <c:strRef>
              <c:f>'M4 Grünstrom'!$L$112</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Grünstrom'!$M$112:$O$112</c:f>
              <c:numCache>
                <c:formatCode>#,##0</c:formatCode>
                <c:ptCount val="3"/>
                <c:pt idx="0">
                  <c:v>#N/A</c:v>
                </c:pt>
                <c:pt idx="1">
                  <c:v>#N/A</c:v>
                </c:pt>
                <c:pt idx="2">
                  <c:v>#N/A</c:v>
                </c:pt>
              </c:numCache>
            </c:numRef>
          </c:val>
          <c:extLst>
            <c:ext xmlns:c16="http://schemas.microsoft.com/office/drawing/2014/chart" uri="{C3380CC4-5D6E-409C-BE32-E72D297353CC}">
              <c16:uniqueId val="{00000013-6C41-400C-ACAB-4000313AD974}"/>
            </c:ext>
          </c:extLst>
        </c:ser>
        <c:ser>
          <c:idx val="8"/>
          <c:order val="8"/>
          <c:tx>
            <c:strRef>
              <c:f>'M4 Grünstrom'!$L$113</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Grünstrom'!$M$113:$O$113</c:f>
              <c:numCache>
                <c:formatCode>#,##0</c:formatCode>
                <c:ptCount val="3"/>
                <c:pt idx="0">
                  <c:v>#N/A</c:v>
                </c:pt>
                <c:pt idx="1">
                  <c:v>#N/A</c:v>
                </c:pt>
                <c:pt idx="2">
                  <c:v>#N/A</c:v>
                </c:pt>
              </c:numCache>
            </c:numRef>
          </c:val>
          <c:extLst>
            <c:ext xmlns:c16="http://schemas.microsoft.com/office/drawing/2014/chart" uri="{C3380CC4-5D6E-409C-BE32-E72D297353CC}">
              <c16:uniqueId val="{00000014-6C41-400C-ACAB-4000313AD974}"/>
            </c:ext>
          </c:extLst>
        </c:ser>
        <c:ser>
          <c:idx val="9"/>
          <c:order val="9"/>
          <c:tx>
            <c:strRef>
              <c:f>'M4 Grünstrom'!$L$114</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Grünstrom'!$M$114:$O$114</c:f>
              <c:numCache>
                <c:formatCode>#,##0</c:formatCode>
                <c:ptCount val="3"/>
                <c:pt idx="0">
                  <c:v>#N/A</c:v>
                </c:pt>
                <c:pt idx="1">
                  <c:v>#N/A</c:v>
                </c:pt>
                <c:pt idx="2">
                  <c:v>#N/A</c:v>
                </c:pt>
              </c:numCache>
            </c:numRef>
          </c:val>
          <c:extLst>
            <c:ext xmlns:c16="http://schemas.microsoft.com/office/drawing/2014/chart" uri="{C3380CC4-5D6E-409C-BE32-E72D297353CC}">
              <c16:uniqueId val="{00000015-6C41-400C-ACAB-4000313AD974}"/>
            </c:ext>
          </c:extLst>
        </c:ser>
        <c:ser>
          <c:idx val="10"/>
          <c:order val="10"/>
          <c:tx>
            <c:strRef>
              <c:f>'M4 Grünstrom'!$L$115</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C41-400C-ACAB-4000313AD974}"/>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C41-400C-ACAB-4000313AD974}"/>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C41-400C-ACAB-4000313AD97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'M4 Grünstrom'!$M$73:$O$74</c:f>
              <c:multiLvlStrCache>
                <c:ptCount val="3"/>
                <c:lvl>
                  <c:pt idx="0">
                    <c:v>Referenz</c:v>
                  </c:pt>
                </c:lvl>
                <c:lvl>
                  <c:pt idx="0">
                    <c:v>2020</c:v>
                  </c:pt>
                  <c:pt idx="1">
                    <c:v>2025</c:v>
                  </c:pt>
                  <c:pt idx="2">
                    <c:v>2030</c:v>
                  </c:pt>
                </c:lvl>
              </c:multiLvlStrCache>
            </c:multiLvlStrRef>
          </c:cat>
          <c:val>
            <c:numRef>
              <c:f>'M4 Grünstrom'!$M$115:$O$115</c:f>
              <c:numCache>
                <c:formatCode>#,##0</c:formatCode>
                <c:ptCount val="3"/>
                <c:pt idx="0">
                  <c:v>64.48</c:v>
                </c:pt>
                <c:pt idx="1">
                  <c:v>64.48</c:v>
                </c:pt>
                <c:pt idx="2">
                  <c:v>64.48</c:v>
                </c:pt>
              </c:numCache>
            </c:numRef>
          </c:val>
          <c:extLst>
            <c:ext xmlns:c16="http://schemas.microsoft.com/office/drawing/2014/chart" uri="{C3380CC4-5D6E-409C-BE32-E72D297353CC}">
              <c16:uniqueId val="{00000019-6C41-400C-ACAB-4000313AD974}"/>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PV-Anlage'!$D$111</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5-4F41-B394-D659CC8D3DFA}"/>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A5-4F41-B394-D659CC8D3DFA}"/>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A5-4F41-B394-D659CC8D3D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PV-Anlage'!$E$111:$G$111</c:f>
              <c:numCache>
                <c:formatCode>#,##0.0</c:formatCode>
                <c:ptCount val="3"/>
                <c:pt idx="0">
                  <c:v>43.0426</c:v>
                </c:pt>
                <c:pt idx="1">
                  <c:v>43.0426</c:v>
                </c:pt>
                <c:pt idx="2">
                  <c:v>43.0426</c:v>
                </c:pt>
              </c:numCache>
            </c:numRef>
          </c:val>
          <c:extLst>
            <c:ext xmlns:c16="http://schemas.microsoft.com/office/drawing/2014/chart" uri="{C3380CC4-5D6E-409C-BE32-E72D297353CC}">
              <c16:uniqueId val="{00000003-7AA5-4F41-B394-D659CC8D3DFA}"/>
            </c:ext>
          </c:extLst>
        </c:ser>
        <c:ser>
          <c:idx val="1"/>
          <c:order val="1"/>
          <c:tx>
            <c:strRef>
              <c:f>'M5 PV-Anlage'!$D$112</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A5-4F41-B394-D659CC8D3DFA}"/>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A5-4F41-B394-D659CC8D3DFA}"/>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A5-4F41-B394-D659CC8D3D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PV-Anlage'!$E$112:$G$112</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7AA5-4F41-B394-D659CC8D3DFA}"/>
            </c:ext>
          </c:extLst>
        </c:ser>
        <c:ser>
          <c:idx val="2"/>
          <c:order val="2"/>
          <c:tx>
            <c:strRef>
              <c:f>'M5 PV-Anlage'!$D$113</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PV-Anlage'!$E$113:$G$113</c:f>
              <c:numCache>
                <c:formatCode>#,##0.0</c:formatCode>
                <c:ptCount val="3"/>
                <c:pt idx="0">
                  <c:v>171.9</c:v>
                </c:pt>
                <c:pt idx="1">
                  <c:v>97.138569957888194</c:v>
                </c:pt>
                <c:pt idx="2">
                  <c:v>47.874209324752655</c:v>
                </c:pt>
              </c:numCache>
            </c:numRef>
          </c:val>
          <c:extLst>
            <c:ext xmlns:c16="http://schemas.microsoft.com/office/drawing/2014/chart" uri="{C3380CC4-5D6E-409C-BE32-E72D297353CC}">
              <c16:uniqueId val="{00000008-7AA5-4F41-B394-D659CC8D3DFA}"/>
            </c:ext>
          </c:extLst>
        </c:ser>
        <c:ser>
          <c:idx val="3"/>
          <c:order val="3"/>
          <c:tx>
            <c:strRef>
              <c:f>'M5 PV-Anlage'!$D$117</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PV-Anlage'!$E$117:$G$117</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7AA5-4F41-B394-D659CC8D3DFA}"/>
            </c:ext>
          </c:extLst>
        </c:ser>
        <c:ser>
          <c:idx val="4"/>
          <c:order val="4"/>
          <c:tx>
            <c:strRef>
              <c:f>'M5 PV-Anlage'!$D$114</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PV-Anlage'!$E$114:$G$114</c:f>
              <c:numCache>
                <c:formatCode>#,##0.0</c:formatCode>
                <c:ptCount val="3"/>
                <c:pt idx="0">
                  <c:v>#N/A</c:v>
                </c:pt>
                <c:pt idx="1">
                  <c:v>#N/A</c:v>
                </c:pt>
                <c:pt idx="2">
                  <c:v>#N/A</c:v>
                </c:pt>
              </c:numCache>
            </c:numRef>
          </c:val>
          <c:extLst>
            <c:ext xmlns:c16="http://schemas.microsoft.com/office/drawing/2014/chart" uri="{C3380CC4-5D6E-409C-BE32-E72D297353CC}">
              <c16:uniqueId val="{0000000A-7AA5-4F41-B394-D659CC8D3DFA}"/>
            </c:ext>
          </c:extLst>
        </c:ser>
        <c:ser>
          <c:idx val="5"/>
          <c:order val="5"/>
          <c:tx>
            <c:strRef>
              <c:f>'M5 PV-Anlage'!$D$115</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PV-Anlage'!$E$115:$G$115</c:f>
              <c:numCache>
                <c:formatCode>#,##0.0</c:formatCode>
                <c:ptCount val="3"/>
                <c:pt idx="0">
                  <c:v>#N/A</c:v>
                </c:pt>
                <c:pt idx="1">
                  <c:v>#N/A</c:v>
                </c:pt>
                <c:pt idx="2">
                  <c:v>#N/A</c:v>
                </c:pt>
              </c:numCache>
            </c:numRef>
          </c:val>
          <c:extLst>
            <c:ext xmlns:c16="http://schemas.microsoft.com/office/drawing/2014/chart" uri="{C3380CC4-5D6E-409C-BE32-E72D297353CC}">
              <c16:uniqueId val="{0000000B-7AA5-4F41-B394-D659CC8D3DFA}"/>
            </c:ext>
          </c:extLst>
        </c:ser>
        <c:ser>
          <c:idx val="6"/>
          <c:order val="6"/>
          <c:tx>
            <c:strRef>
              <c:f>'M5 PV-Anlage'!$D$116</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PV-Anlage'!$E$116:$G$116</c:f>
              <c:numCache>
                <c:formatCode>#,##0.0</c:formatCode>
                <c:ptCount val="3"/>
                <c:pt idx="0">
                  <c:v>#N/A</c:v>
                </c:pt>
                <c:pt idx="1">
                  <c:v>#N/A</c:v>
                </c:pt>
                <c:pt idx="2">
                  <c:v>#N/A</c:v>
                </c:pt>
              </c:numCache>
            </c:numRef>
          </c:val>
          <c:extLst>
            <c:ext xmlns:c16="http://schemas.microsoft.com/office/drawing/2014/chart" uri="{C3380CC4-5D6E-409C-BE32-E72D297353CC}">
              <c16:uniqueId val="{0000000C-7AA5-4F41-B394-D659CC8D3DF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'M5 PV-Anlage'!$L$74</c:f>
              <c:strCache>
                <c:ptCount val="1"/>
                <c:pt idx="0">
                  <c:v>Scope 3</c:v>
                </c:pt>
              </c:strCache>
            </c:strRef>
          </c:tx>
          <c:spPr>
            <a:solidFill>
              <a:schemeClr val="accent3"/>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PV-Anlage'!$M$74:$O$74</c:f>
              <c:numCache>
                <c:formatCode>#,##0</c:formatCode>
                <c:ptCount val="3"/>
                <c:pt idx="0">
                  <c:v>5831.5296228095176</c:v>
                </c:pt>
                <c:pt idx="1">
                  <c:v>5826.1412320180052</c:v>
                </c:pt>
                <c:pt idx="2">
                  <c:v>5818.9192315063419</c:v>
                </c:pt>
              </c:numCache>
            </c:numRef>
          </c:val>
          <c:extLst>
            <c:ext xmlns:c16="http://schemas.microsoft.com/office/drawing/2014/chart" uri="{C3380CC4-5D6E-409C-BE32-E72D297353CC}">
              <c16:uniqueId val="{00000000-548B-4200-9B01-F6EFF212EE23}"/>
            </c:ext>
          </c:extLst>
        </c:ser>
        <c:ser>
          <c:idx val="1"/>
          <c:order val="1"/>
          <c:tx>
            <c:strRef>
              <c:f>'M5 PV-Anlage'!$L$73</c:f>
              <c:strCache>
                <c:ptCount val="1"/>
                <c:pt idx="0">
                  <c:v>Scope 2</c:v>
                </c:pt>
              </c:strCache>
            </c:strRef>
          </c:tx>
          <c:spPr>
            <a:solidFill>
              <a:schemeClr val="accent2"/>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PV-Anlage'!$M$73:$O$73</c:f>
              <c:numCache>
                <c:formatCode>#,##0</c:formatCode>
                <c:ptCount val="3"/>
                <c:pt idx="0">
                  <c:v>171.9</c:v>
                </c:pt>
                <c:pt idx="1">
                  <c:v>97.138569957888194</c:v>
                </c:pt>
                <c:pt idx="2">
                  <c:v>47.874209324752655</c:v>
                </c:pt>
              </c:numCache>
            </c:numRef>
          </c:val>
          <c:extLst>
            <c:ext xmlns:c16="http://schemas.microsoft.com/office/drawing/2014/chart" uri="{C3380CC4-5D6E-409C-BE32-E72D297353CC}">
              <c16:uniqueId val="{00000001-548B-4200-9B01-F6EFF212EE23}"/>
            </c:ext>
          </c:extLst>
        </c:ser>
        <c:ser>
          <c:idx val="0"/>
          <c:order val="2"/>
          <c:tx>
            <c:strRef>
              <c:f>'M5 PV-Anlage'!$L$72</c:f>
              <c:strCache>
                <c:ptCount val="1"/>
                <c:pt idx="0">
                  <c:v>Scope 1 </c:v>
                </c:pt>
              </c:strCache>
            </c:strRef>
          </c:tx>
          <c:spPr>
            <a:solidFill>
              <a:schemeClr val="accent1"/>
            </a:solidFill>
            <a:ln>
              <a:noFill/>
            </a:ln>
            <a:effectLst/>
          </c:spPr>
          <c:invertIfNegative val="0"/>
          <c:cat>
            <c:multiLvlStrRef>
              <c:f>'M5 PV-Anlage'!$M$70:$O$71</c:f>
              <c:multiLvlStrCache>
                <c:ptCount val="3"/>
                <c:lvl>
                  <c:pt idx="0">
                    <c:v>Referenz</c:v>
                  </c:pt>
                </c:lvl>
                <c:lvl>
                  <c:pt idx="0">
                    <c:v>2020</c:v>
                  </c:pt>
                  <c:pt idx="1">
                    <c:v>2025</c:v>
                  </c:pt>
                  <c:pt idx="2">
                    <c:v>2030</c:v>
                  </c:pt>
                </c:lvl>
              </c:multiLvlStrCache>
            </c:multiLvlStrRef>
          </c:cat>
          <c:val>
            <c:numRef>
              <c:f>'M5 PV-Anlage'!$M$72:$O$72</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548B-4200-9B01-F6EFF212EE23}"/>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'M5 PV-Anlage'!$T$111</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PV-Anlage'!$U$111:$W$111</c:f>
              <c:numCache>
                <c:formatCode>#,##0\ "€"</c:formatCode>
                <c:ptCount val="3"/>
                <c:pt idx="0">
                  <c:v>109669</c:v>
                </c:pt>
                <c:pt idx="1">
                  <c:v>92469</c:v>
                </c:pt>
                <c:pt idx="2">
                  <c:v>92469</c:v>
                </c:pt>
              </c:numCache>
            </c:numRef>
          </c:val>
          <c:extLst>
            <c:ext xmlns:c16="http://schemas.microsoft.com/office/drawing/2014/chart" uri="{C3380CC4-5D6E-409C-BE32-E72D297353CC}">
              <c16:uniqueId val="{00000000-F627-48B0-B730-B83018ED7868}"/>
            </c:ext>
          </c:extLst>
        </c:ser>
        <c:ser>
          <c:idx val="1"/>
          <c:order val="1"/>
          <c:tx>
            <c:strRef>
              <c:f>'M5 PV-Anlage'!$T$119</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27-48B0-B730-B83018ED7868}"/>
                </c:ext>
              </c:extLst>
            </c:dLbl>
            <c:dLbl>
              <c:idx val="1"/>
              <c:layout>
                <c:manualLayout>
                  <c:x val="0.10261987431833655"/>
                  <c:y val="-4.287324012944921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27-48B0-B730-B83018ED7868}"/>
                </c:ext>
              </c:extLst>
            </c:dLbl>
            <c:dLbl>
              <c:idx val="2"/>
              <c:layout>
                <c:manualLayout>
                  <c:x val="9.8819138232472167E-2"/>
                  <c:y val="-3.981086583448855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27-48B0-B730-B83018ED78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PV-Anlage'!$U$119:$W$119</c:f>
              <c:numCache>
                <c:formatCode>#,##0\ "€"</c:formatCode>
                <c:ptCount val="3"/>
                <c:pt idx="0">
                  <c:v>0</c:v>
                </c:pt>
                <c:pt idx="1">
                  <c:v>36000</c:v>
                </c:pt>
                <c:pt idx="2">
                  <c:v>36000</c:v>
                </c:pt>
              </c:numCache>
            </c:numRef>
          </c:val>
          <c:extLst>
            <c:ext xmlns:c16="http://schemas.microsoft.com/office/drawing/2014/chart" uri="{C3380CC4-5D6E-409C-BE32-E72D297353CC}">
              <c16:uniqueId val="{00000002-F627-48B0-B730-B83018ED7868}"/>
            </c:ext>
          </c:extLst>
        </c:ser>
        <c:ser>
          <c:idx val="2"/>
          <c:order val="2"/>
          <c:tx>
            <c:strRef>
              <c:f>'M5 PV-Anlage'!$T$120</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PV-Anlage'!$U$120:$W$120</c:f>
              <c:numCache>
                <c:formatCode>#,##0\ "€"</c:formatCode>
                <c:ptCount val="3"/>
                <c:pt idx="0">
                  <c:v>#N/A</c:v>
                </c:pt>
                <c:pt idx="1">
                  <c:v>#N/A</c:v>
                </c:pt>
                <c:pt idx="2">
                  <c:v>#N/A</c:v>
                </c:pt>
              </c:numCache>
            </c:numRef>
          </c:val>
          <c:extLst>
            <c:ext xmlns:c16="http://schemas.microsoft.com/office/drawing/2014/chart" uri="{C3380CC4-5D6E-409C-BE32-E72D297353CC}">
              <c16:uniqueId val="{00000003-F627-48B0-B730-B83018ED7868}"/>
            </c:ext>
          </c:extLst>
        </c:ser>
        <c:ser>
          <c:idx val="3"/>
          <c:order val="3"/>
          <c:tx>
            <c:strRef>
              <c:f>'M5 PV-Anlage'!$T$121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PV-Anlage'!$E$70:$G$71</c:f>
              <c:multiLvlStrCache>
                <c:ptCount val="3"/>
                <c:lvl>
                  <c:pt idx="0">
                    <c:v>Referenz</c:v>
                  </c:pt>
                </c:lvl>
                <c:lvl>
                  <c:pt idx="0">
                    <c:v>2020</c:v>
                  </c:pt>
                  <c:pt idx="1">
                    <c:v>2025</c:v>
                  </c:pt>
                  <c:pt idx="2">
                    <c:v>2030</c:v>
                  </c:pt>
                </c:lvl>
              </c:multiLvlStrCache>
            </c:multiLvlStrRef>
          </c:cat>
          <c:val>
            <c:numRef>
              <c:f>'M5 PV-Anlage'!$U$121:$W$121</c:f>
              <c:numCache>
                <c:formatCode>#,##0\ "€"</c:formatCode>
                <c:ptCount val="3"/>
                <c:pt idx="0">
                  <c:v>#N/A</c:v>
                </c:pt>
                <c:pt idx="1">
                  <c:v>#N/A</c:v>
                </c:pt>
                <c:pt idx="2">
                  <c:v>#N/A</c:v>
                </c:pt>
              </c:numCache>
            </c:numRef>
          </c:val>
          <c:extLst>
            <c:ext xmlns:c16="http://schemas.microsoft.com/office/drawing/2014/chart" uri="{C3380CC4-5D6E-409C-BE32-E72D297353CC}">
              <c16:uniqueId val="{00000004-F627-48B0-B730-B83018ED7868}"/>
            </c:ext>
          </c:extLst>
        </c:ser>
        <c:ser>
          <c:idx val="4"/>
          <c:order val="4"/>
          <c:tx>
            <c:strRef>
              <c:f>'M5 PV-Anlage'!$T$122</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'M5 PV-Anlage'!$U$122:$W$122</c:f>
              <c:numCache>
                <c:formatCode>#,##0\ "€"</c:formatCode>
                <c:ptCount val="3"/>
                <c:pt idx="0">
                  <c:v>152459.04944673795</c:v>
                </c:pt>
                <c:pt idx="1">
                  <c:v>270819.5470666152</c:v>
                </c:pt>
                <c:pt idx="2">
                  <c:v>476938.06367128756</c:v>
                </c:pt>
              </c:numCache>
            </c:numRef>
          </c:val>
          <c:extLst>
            <c:ext xmlns:c16="http://schemas.microsoft.com/office/drawing/2014/chart" uri="{C3380CC4-5D6E-409C-BE32-E72D297353CC}">
              <c16:uniqueId val="{00000005-F627-48B0-B730-B83018ED786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'M5 PV-Anlage'!$L$111</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A4-42D8-B6C8-FACB110E5AAB}"/>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A4-42D8-B6C8-FACB110E5AAB}"/>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PV-Anlage'!$M$111:$O$111</c:f>
              <c:numCache>
                <c:formatCode>#,##0</c:formatCode>
                <c:ptCount val="3"/>
                <c:pt idx="0">
                  <c:v>41.281733459999998</c:v>
                </c:pt>
                <c:pt idx="1">
                  <c:v>35.893342668486227</c:v>
                </c:pt>
                <c:pt idx="2">
                  <c:v>28.671342156822377</c:v>
                </c:pt>
              </c:numCache>
            </c:numRef>
          </c:val>
          <c:extLst>
            <c:ext xmlns:c16="http://schemas.microsoft.com/office/drawing/2014/chart" uri="{C3380CC4-5D6E-409C-BE32-E72D297353CC}">
              <c16:uniqueId val="{00000003-24A4-42D8-B6C8-FACB110E5AAB}"/>
            </c:ext>
          </c:extLst>
        </c:ser>
        <c:ser>
          <c:idx val="1"/>
          <c:order val="1"/>
          <c:tx>
            <c:strRef>
              <c:f>'M5 PV-Anlage'!$L$112</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A4-42D8-B6C8-FACB110E5AAB}"/>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A4-42D8-B6C8-FACB110E5AAB}"/>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PV-Anlage'!$M$112:$O$112</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24A4-42D8-B6C8-FACB110E5AAB}"/>
            </c:ext>
          </c:extLst>
        </c:ser>
        <c:ser>
          <c:idx val="2"/>
          <c:order val="2"/>
          <c:tx>
            <c:strRef>
              <c:f>'M5 PV-Anlage'!$L$113</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PV-Anlage'!$M$113:$O$113</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24A4-42D8-B6C8-FACB110E5AAB}"/>
            </c:ext>
          </c:extLst>
        </c:ser>
        <c:ser>
          <c:idx val="3"/>
          <c:order val="3"/>
          <c:tx>
            <c:strRef>
              <c:f>'M5 PV-Anlage'!$L$114</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A4-42D8-B6C8-FACB110E5AAB}"/>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A4-42D8-B6C8-FACB110E5AAB}"/>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PV-Anlage'!$M$114:$O$114</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24A4-42D8-B6C8-FACB110E5AAB}"/>
            </c:ext>
          </c:extLst>
        </c:ser>
        <c:ser>
          <c:idx val="4"/>
          <c:order val="4"/>
          <c:tx>
            <c:strRef>
              <c:f>'M5 PV-Anlage'!$L$115</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PV-Anlage'!$M$115:$O$115</c:f>
              <c:numCache>
                <c:formatCode>#,##0</c:formatCode>
                <c:ptCount val="3"/>
                <c:pt idx="0">
                  <c:v>208</c:v>
                </c:pt>
                <c:pt idx="1">
                  <c:v>208</c:v>
                </c:pt>
                <c:pt idx="2">
                  <c:v>208</c:v>
                </c:pt>
              </c:numCache>
            </c:numRef>
          </c:val>
          <c:extLst>
            <c:ext xmlns:c16="http://schemas.microsoft.com/office/drawing/2014/chart" uri="{C3380CC4-5D6E-409C-BE32-E72D297353CC}">
              <c16:uniqueId val="{0000000D-24A4-42D8-B6C8-FACB110E5AAB}"/>
            </c:ext>
          </c:extLst>
        </c:ser>
        <c:ser>
          <c:idx val="5"/>
          <c:order val="5"/>
          <c:tx>
            <c:strRef>
              <c:f>'M5 PV-Anlage'!$L$116</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PV-Anlage'!$M$116:$O$116</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24A4-42D8-B6C8-FACB110E5AAB}"/>
            </c:ext>
          </c:extLst>
        </c:ser>
        <c:ser>
          <c:idx val="6"/>
          <c:order val="6"/>
          <c:tx>
            <c:strRef>
              <c:f>'M5 PV-Anlage'!$L$117</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A4-42D8-B6C8-FACB110E5AAB}"/>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A4-42D8-B6C8-FACB110E5AAB}"/>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PV-Anlage'!$M$117:$O$117</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24A4-42D8-B6C8-FACB110E5AAB}"/>
            </c:ext>
          </c:extLst>
        </c:ser>
        <c:ser>
          <c:idx val="7"/>
          <c:order val="7"/>
          <c:tx>
            <c:strRef>
              <c:f>'M5 PV-Anlage'!$L$118</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PV-Anlage'!$M$118:$O$118</c:f>
              <c:numCache>
                <c:formatCode>#,##0</c:formatCode>
                <c:ptCount val="3"/>
                <c:pt idx="0">
                  <c:v>#N/A</c:v>
                </c:pt>
                <c:pt idx="1">
                  <c:v>#N/A</c:v>
                </c:pt>
                <c:pt idx="2">
                  <c:v>#N/A</c:v>
                </c:pt>
              </c:numCache>
            </c:numRef>
          </c:val>
          <c:extLst>
            <c:ext xmlns:c16="http://schemas.microsoft.com/office/drawing/2014/chart" uri="{C3380CC4-5D6E-409C-BE32-E72D297353CC}">
              <c16:uniqueId val="{00000013-24A4-42D8-B6C8-FACB110E5AAB}"/>
            </c:ext>
          </c:extLst>
        </c:ser>
        <c:ser>
          <c:idx val="8"/>
          <c:order val="8"/>
          <c:tx>
            <c:strRef>
              <c:f>'M5 PV-Anlage'!$L$119</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PV-Anlage'!$M$119:$O$119</c:f>
              <c:numCache>
                <c:formatCode>#,##0</c:formatCode>
                <c:ptCount val="3"/>
                <c:pt idx="0">
                  <c:v>#N/A</c:v>
                </c:pt>
                <c:pt idx="1">
                  <c:v>#N/A</c:v>
                </c:pt>
                <c:pt idx="2">
                  <c:v>#N/A</c:v>
                </c:pt>
              </c:numCache>
            </c:numRef>
          </c:val>
          <c:extLst>
            <c:ext xmlns:c16="http://schemas.microsoft.com/office/drawing/2014/chart" uri="{C3380CC4-5D6E-409C-BE32-E72D297353CC}">
              <c16:uniqueId val="{00000014-24A4-42D8-B6C8-FACB110E5AAB}"/>
            </c:ext>
          </c:extLst>
        </c:ser>
        <c:ser>
          <c:idx val="9"/>
          <c:order val="9"/>
          <c:tx>
            <c:strRef>
              <c:f>'M5 PV-Anlage'!$L$120</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PV-Anlage'!$M$120:$O$120</c:f>
              <c:numCache>
                <c:formatCode>#,##0</c:formatCode>
                <c:ptCount val="3"/>
                <c:pt idx="0">
                  <c:v>#N/A</c:v>
                </c:pt>
                <c:pt idx="1">
                  <c:v>#N/A</c:v>
                </c:pt>
                <c:pt idx="2">
                  <c:v>#N/A</c:v>
                </c:pt>
              </c:numCache>
            </c:numRef>
          </c:val>
          <c:extLst>
            <c:ext xmlns:c16="http://schemas.microsoft.com/office/drawing/2014/chart" uri="{C3380CC4-5D6E-409C-BE32-E72D297353CC}">
              <c16:uniqueId val="{00000015-24A4-42D8-B6C8-FACB110E5AAB}"/>
            </c:ext>
          </c:extLst>
        </c:ser>
        <c:ser>
          <c:idx val="10"/>
          <c:order val="10"/>
          <c:tx>
            <c:strRef>
              <c:f>'M5 PV-Anlage'!$L$121</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4A4-42D8-B6C8-FACB110E5AAB}"/>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4A4-42D8-B6C8-FACB110E5AAB}"/>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4A4-42D8-B6C8-FACB110E5AA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'M5 PV-Anlage'!$M$79:$O$80</c:f>
              <c:multiLvlStrCache>
                <c:ptCount val="3"/>
                <c:lvl>
                  <c:pt idx="0">
                    <c:v>Referenz</c:v>
                  </c:pt>
                </c:lvl>
                <c:lvl>
                  <c:pt idx="0">
                    <c:v>2020</c:v>
                  </c:pt>
                  <c:pt idx="1">
                    <c:v>2025</c:v>
                  </c:pt>
                  <c:pt idx="2">
                    <c:v>2030</c:v>
                  </c:pt>
                </c:lvl>
              </c:multiLvlStrCache>
            </c:multiLvlStrRef>
          </c:cat>
          <c:val>
            <c:numRef>
              <c:f>'M5 PV-Anlage'!$M$121:$O$121</c:f>
              <c:numCache>
                <c:formatCode>#,##0</c:formatCode>
                <c:ptCount val="3"/>
                <c:pt idx="0">
                  <c:v>64.48</c:v>
                </c:pt>
                <c:pt idx="1">
                  <c:v>64.48</c:v>
                </c:pt>
                <c:pt idx="2">
                  <c:v>64.48</c:v>
                </c:pt>
              </c:numCache>
            </c:numRef>
          </c:val>
          <c:extLst>
            <c:ext xmlns:c16="http://schemas.microsoft.com/office/drawing/2014/chart" uri="{C3380CC4-5D6E-409C-BE32-E72D297353CC}">
              <c16:uniqueId val="{00000019-24A4-42D8-B6C8-FACB110E5AAB}"/>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Effizienz'!$D$117</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1A-4FF7-B38E-083E4CEAAE39}"/>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1A-4FF7-B38E-083E4CEAAE39}"/>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1A-4FF7-B38E-083E4CEAAE3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Effizienz'!$E$117:$G$117</c:f>
              <c:numCache>
                <c:formatCode>#,##0.0</c:formatCode>
                <c:ptCount val="3"/>
                <c:pt idx="0">
                  <c:v>43.0426</c:v>
                </c:pt>
                <c:pt idx="1">
                  <c:v>43.0426</c:v>
                </c:pt>
                <c:pt idx="2">
                  <c:v>43.0426</c:v>
                </c:pt>
              </c:numCache>
            </c:numRef>
          </c:val>
          <c:extLst>
            <c:ext xmlns:c16="http://schemas.microsoft.com/office/drawing/2014/chart" uri="{C3380CC4-5D6E-409C-BE32-E72D297353CC}">
              <c16:uniqueId val="{00000003-A31A-4FF7-B38E-083E4CEAAE39}"/>
            </c:ext>
          </c:extLst>
        </c:ser>
        <c:ser>
          <c:idx val="1"/>
          <c:order val="1"/>
          <c:tx>
            <c:strRef>
              <c:f>'M6 allgemeine Effizienz'!$D$118</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1A-4FF7-B38E-083E4CEAAE39}"/>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1A-4FF7-B38E-083E4CEAAE39}"/>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1A-4FF7-B38E-083E4CEAAE3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Effizienz'!$E$118:$G$118</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A31A-4FF7-B38E-083E4CEAAE39}"/>
            </c:ext>
          </c:extLst>
        </c:ser>
        <c:ser>
          <c:idx val="2"/>
          <c:order val="2"/>
          <c:tx>
            <c:strRef>
              <c:f>'M6 allgemeine Effizienz'!$D$119</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Effizienz'!$E$119:$G$119</c:f>
              <c:numCache>
                <c:formatCode>#,##0.0</c:formatCode>
                <c:ptCount val="3"/>
                <c:pt idx="0">
                  <c:v>171.9</c:v>
                </c:pt>
                <c:pt idx="1">
                  <c:v>119.27228696972129</c:v>
                </c:pt>
                <c:pt idx="2">
                  <c:v>58.782689878035576</c:v>
                </c:pt>
              </c:numCache>
            </c:numRef>
          </c:val>
          <c:extLst>
            <c:ext xmlns:c16="http://schemas.microsoft.com/office/drawing/2014/chart" uri="{C3380CC4-5D6E-409C-BE32-E72D297353CC}">
              <c16:uniqueId val="{00000008-A31A-4FF7-B38E-083E4CEAAE39}"/>
            </c:ext>
          </c:extLst>
        </c:ser>
        <c:ser>
          <c:idx val="3"/>
          <c:order val="3"/>
          <c:tx>
            <c:strRef>
              <c:f>'M6 allgemeine Effizienz'!$D$123</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Effizienz'!$E$123:$G$123</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A31A-4FF7-B38E-083E4CEAAE39}"/>
            </c:ext>
          </c:extLst>
        </c:ser>
        <c:ser>
          <c:idx val="4"/>
          <c:order val="4"/>
          <c:tx>
            <c:strRef>
              <c:f>'M6 allgemeine Effizienz'!$D$120</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Effizienz'!$E$120:$G$120</c:f>
              <c:numCache>
                <c:formatCode>#,##0.0</c:formatCode>
                <c:ptCount val="3"/>
                <c:pt idx="0">
                  <c:v>#N/A</c:v>
                </c:pt>
                <c:pt idx="1">
                  <c:v>#N/A</c:v>
                </c:pt>
                <c:pt idx="2">
                  <c:v>#N/A</c:v>
                </c:pt>
              </c:numCache>
            </c:numRef>
          </c:val>
          <c:extLst>
            <c:ext xmlns:c16="http://schemas.microsoft.com/office/drawing/2014/chart" uri="{C3380CC4-5D6E-409C-BE32-E72D297353CC}">
              <c16:uniqueId val="{0000000A-A31A-4FF7-B38E-083E4CEAAE39}"/>
            </c:ext>
          </c:extLst>
        </c:ser>
        <c:ser>
          <c:idx val="5"/>
          <c:order val="5"/>
          <c:tx>
            <c:strRef>
              <c:f>'M6 allgemeine Effizienz'!$D$121</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Effizienz'!$E$121:$G$121</c:f>
              <c:numCache>
                <c:formatCode>#,##0.0</c:formatCode>
                <c:ptCount val="3"/>
                <c:pt idx="0">
                  <c:v>#N/A</c:v>
                </c:pt>
                <c:pt idx="1">
                  <c:v>#N/A</c:v>
                </c:pt>
                <c:pt idx="2">
                  <c:v>#N/A</c:v>
                </c:pt>
              </c:numCache>
            </c:numRef>
          </c:val>
          <c:extLst>
            <c:ext xmlns:c16="http://schemas.microsoft.com/office/drawing/2014/chart" uri="{C3380CC4-5D6E-409C-BE32-E72D297353CC}">
              <c16:uniqueId val="{0000000B-A31A-4FF7-B38E-083E4CEAAE39}"/>
            </c:ext>
          </c:extLst>
        </c:ser>
        <c:ser>
          <c:idx val="6"/>
          <c:order val="6"/>
          <c:tx>
            <c:strRef>
              <c:f>'M6 allgemeine Effizienz'!$D$122</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Effizienz'!$E$122:$G$122</c:f>
              <c:numCache>
                <c:formatCode>#,##0.0</c:formatCode>
                <c:ptCount val="3"/>
                <c:pt idx="0">
                  <c:v>#N/A</c:v>
                </c:pt>
                <c:pt idx="1">
                  <c:v>#N/A</c:v>
                </c:pt>
                <c:pt idx="2">
                  <c:v>#N/A</c:v>
                </c:pt>
              </c:numCache>
            </c:numRef>
          </c:val>
          <c:extLst>
            <c:ext xmlns:c16="http://schemas.microsoft.com/office/drawing/2014/chart" uri="{C3380CC4-5D6E-409C-BE32-E72D297353CC}">
              <c16:uniqueId val="{0000000C-A31A-4FF7-B38E-083E4CEAAE39}"/>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'M6 allgemeine Effizienz'!$L$80</c:f>
              <c:strCache>
                <c:ptCount val="1"/>
                <c:pt idx="0">
                  <c:v>Scope 3</c:v>
                </c:pt>
              </c:strCache>
            </c:strRef>
          </c:tx>
          <c:spPr>
            <a:solidFill>
              <a:schemeClr val="accent3"/>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Effizienz'!$M$80:$O$80</c:f>
              <c:numCache>
                <c:formatCode>#,##0</c:formatCode>
                <c:ptCount val="3"/>
                <c:pt idx="0">
                  <c:v>5831.5296228095176</c:v>
                </c:pt>
                <c:pt idx="1">
                  <c:v>5823.8145654019399</c:v>
                </c:pt>
                <c:pt idx="2">
                  <c:v>5814.9469804879745</c:v>
                </c:pt>
              </c:numCache>
            </c:numRef>
          </c:val>
          <c:extLst>
            <c:ext xmlns:c16="http://schemas.microsoft.com/office/drawing/2014/chart" uri="{C3380CC4-5D6E-409C-BE32-E72D297353CC}">
              <c16:uniqueId val="{00000000-8B9F-4115-B070-EF1D8C65EB79}"/>
            </c:ext>
          </c:extLst>
        </c:ser>
        <c:ser>
          <c:idx val="1"/>
          <c:order val="1"/>
          <c:tx>
            <c:strRef>
              <c:f>'M6 allgemeine Effizienz'!$L$79</c:f>
              <c:strCache>
                <c:ptCount val="1"/>
                <c:pt idx="0">
                  <c:v>Scope 2</c:v>
                </c:pt>
              </c:strCache>
            </c:strRef>
          </c:tx>
          <c:spPr>
            <a:solidFill>
              <a:schemeClr val="accent2"/>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Effizienz'!$M$79:$O$79</c:f>
              <c:numCache>
                <c:formatCode>#,##0</c:formatCode>
                <c:ptCount val="3"/>
                <c:pt idx="0">
                  <c:v>171.9</c:v>
                </c:pt>
                <c:pt idx="1">
                  <c:v>119.27228696972129</c:v>
                </c:pt>
                <c:pt idx="2">
                  <c:v>58.782689878035576</c:v>
                </c:pt>
              </c:numCache>
            </c:numRef>
          </c:val>
          <c:extLst>
            <c:ext xmlns:c16="http://schemas.microsoft.com/office/drawing/2014/chart" uri="{C3380CC4-5D6E-409C-BE32-E72D297353CC}">
              <c16:uniqueId val="{00000001-8B9F-4115-B070-EF1D8C65EB79}"/>
            </c:ext>
          </c:extLst>
        </c:ser>
        <c:ser>
          <c:idx val="0"/>
          <c:order val="2"/>
          <c:tx>
            <c:strRef>
              <c:f>'M6 allgemeine Effizienz'!$L$78</c:f>
              <c:strCache>
                <c:ptCount val="1"/>
                <c:pt idx="0">
                  <c:v>Scope 1 </c:v>
                </c:pt>
              </c:strCache>
            </c:strRef>
          </c:tx>
          <c:spPr>
            <a:solidFill>
              <a:schemeClr val="accent1"/>
            </a:solidFill>
            <a:ln>
              <a:noFill/>
            </a:ln>
            <a:effectLst/>
          </c:spPr>
          <c:invertIfNegative val="0"/>
          <c:cat>
            <c:multiLvlStrRef>
              <c:f>'M6 allgemeine Effizienz'!$M$76:$O$77</c:f>
              <c:multiLvlStrCache>
                <c:ptCount val="3"/>
                <c:lvl>
                  <c:pt idx="0">
                    <c:v>Referenz</c:v>
                  </c:pt>
                </c:lvl>
                <c:lvl>
                  <c:pt idx="0">
                    <c:v>2020</c:v>
                  </c:pt>
                  <c:pt idx="1">
                    <c:v>2025</c:v>
                  </c:pt>
                  <c:pt idx="2">
                    <c:v>2030</c:v>
                  </c:pt>
                </c:lvl>
              </c:multiLvlStrCache>
            </c:multiLvlStrRef>
          </c:cat>
          <c:val>
            <c:numRef>
              <c:f>'M6 allgemeine Effizienz'!$M$78:$O$78</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8B9F-4115-B070-EF1D8C65EB79}"/>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'M6 allgemeine Effizienz'!$T$117</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Effizienz'!$U$117:$W$117</c:f>
              <c:numCache>
                <c:formatCode>#,##0\ "€"</c:formatCode>
                <c:ptCount val="3"/>
                <c:pt idx="0">
                  <c:v>109669</c:v>
                </c:pt>
                <c:pt idx="1">
                  <c:v>106186</c:v>
                </c:pt>
                <c:pt idx="2">
                  <c:v>106186</c:v>
                </c:pt>
              </c:numCache>
            </c:numRef>
          </c:val>
          <c:extLst>
            <c:ext xmlns:c16="http://schemas.microsoft.com/office/drawing/2014/chart" uri="{C3380CC4-5D6E-409C-BE32-E72D297353CC}">
              <c16:uniqueId val="{00000000-F718-43BE-80FC-B51D4DFB0D98}"/>
            </c:ext>
          </c:extLst>
        </c:ser>
        <c:ser>
          <c:idx val="1"/>
          <c:order val="1"/>
          <c:tx>
            <c:strRef>
              <c:f>'M6 allgemeine Effizienz'!$T$125</c:f>
              <c:strCache>
                <c:ptCount val="1"/>
                <c:pt idx="0">
                  <c:v>CAPEX</c:v>
                </c:pt>
              </c:strCache>
            </c:strRef>
          </c:tx>
          <c:spPr>
            <a:solidFill>
              <a:schemeClr val="accent1"/>
            </a:solidFill>
            <a:ln>
              <a:noFill/>
            </a:ln>
            <a:effectLst/>
          </c:spPr>
          <c:invertIfNegative val="0"/>
          <c:dLbls>
            <c:dLbl>
              <c:idx val="0"/>
              <c:layout>
                <c:manualLayout>
                  <c:x val="0.10279554613584842"/>
                  <c:y val="-2.7401504855914048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8-43BE-80FC-B51D4DFB0D98}"/>
                </c:ext>
              </c:extLst>
            </c:dLbl>
            <c:dLbl>
              <c:idx val="1"/>
              <c:layout>
                <c:manualLayout>
                  <c:x val="0.10071950627540426"/>
                  <c:y val="-3.9810875434157969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18-43BE-80FC-B51D4DFB0D98}"/>
                </c:ext>
              </c:extLst>
            </c:dLbl>
            <c:dLbl>
              <c:idx val="2"/>
              <c:layout>
                <c:manualLayout>
                  <c:x val="9.6918770189539871E-2"/>
                  <c:y val="-3.6748500400761205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18-43BE-80FC-B51D4DFB0D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Effizienz'!$U$125:$W$125</c:f>
              <c:numCache>
                <c:formatCode>#,##0\ "€"</c:formatCode>
                <c:ptCount val="3"/>
                <c:pt idx="0">
                  <c:v>0</c:v>
                </c:pt>
                <c:pt idx="1">
                  <c:v>1800</c:v>
                </c:pt>
                <c:pt idx="2">
                  <c:v>1800</c:v>
                </c:pt>
              </c:numCache>
            </c:numRef>
          </c:val>
          <c:extLst>
            <c:ext xmlns:c16="http://schemas.microsoft.com/office/drawing/2014/chart" uri="{C3380CC4-5D6E-409C-BE32-E72D297353CC}">
              <c16:uniqueId val="{00000002-F718-43BE-80FC-B51D4DFB0D98}"/>
            </c:ext>
          </c:extLst>
        </c:ser>
        <c:ser>
          <c:idx val="2"/>
          <c:order val="2"/>
          <c:tx>
            <c:strRef>
              <c:f>'M6 allgemeine Effizienz'!$T$126</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Effizienz'!$U$126:$W$126</c:f>
              <c:numCache>
                <c:formatCode>#,##0\ "€"</c:formatCode>
                <c:ptCount val="3"/>
                <c:pt idx="0">
                  <c:v>#N/A</c:v>
                </c:pt>
                <c:pt idx="1">
                  <c:v>#N/A</c:v>
                </c:pt>
                <c:pt idx="2">
                  <c:v>#N/A</c:v>
                </c:pt>
              </c:numCache>
            </c:numRef>
          </c:val>
          <c:extLst>
            <c:ext xmlns:c16="http://schemas.microsoft.com/office/drawing/2014/chart" uri="{C3380CC4-5D6E-409C-BE32-E72D297353CC}">
              <c16:uniqueId val="{00000003-F718-43BE-80FC-B51D4DFB0D98}"/>
            </c:ext>
          </c:extLst>
        </c:ser>
        <c:ser>
          <c:idx val="3"/>
          <c:order val="3"/>
          <c:tx>
            <c:strRef>
              <c:f>'M6 allgemeine Effizienz'!$T$127</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Effizienz'!$E$76:$G$77</c:f>
              <c:multiLvlStrCache>
                <c:ptCount val="3"/>
                <c:lvl>
                  <c:pt idx="0">
                    <c:v>Referenz</c:v>
                  </c:pt>
                </c:lvl>
                <c:lvl>
                  <c:pt idx="0">
                    <c:v>2020</c:v>
                  </c:pt>
                  <c:pt idx="1">
                    <c:v>2025</c:v>
                  </c:pt>
                  <c:pt idx="2">
                    <c:v>2030</c:v>
                  </c:pt>
                </c:lvl>
              </c:multiLvlStrCache>
            </c:multiLvlStrRef>
          </c:cat>
          <c:val>
            <c:numRef>
              <c:f>'M6 allgemeine Effizienz'!$U$127:$W$127</c:f>
              <c:numCache>
                <c:formatCode>#,##0\ "€"</c:formatCode>
                <c:ptCount val="3"/>
                <c:pt idx="0">
                  <c:v>#N/A</c:v>
                </c:pt>
                <c:pt idx="1">
                  <c:v>#N/A</c:v>
                </c:pt>
                <c:pt idx="2">
                  <c:v>#N/A</c:v>
                </c:pt>
              </c:numCache>
            </c:numRef>
          </c:val>
          <c:extLst>
            <c:ext xmlns:c16="http://schemas.microsoft.com/office/drawing/2014/chart" uri="{C3380CC4-5D6E-409C-BE32-E72D297353CC}">
              <c16:uniqueId val="{00000004-F718-43BE-80FC-B51D4DFB0D98}"/>
            </c:ext>
          </c:extLst>
        </c:ser>
        <c:ser>
          <c:idx val="4"/>
          <c:order val="4"/>
          <c:tx>
            <c:strRef>
              <c:f>'M6 allgemeine Effizienz'!$T$128</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'M6 allgemeine Effizienz'!$U$128:$W$128</c:f>
              <c:numCache>
                <c:formatCode>#,##0\ "€"</c:formatCode>
                <c:ptCount val="3"/>
                <c:pt idx="0">
                  <c:v>152459.04944673795</c:v>
                </c:pt>
                <c:pt idx="1">
                  <c:v>271710.86433442478</c:v>
                </c:pt>
                <c:pt idx="2">
                  <c:v>477492.96203408082</c:v>
                </c:pt>
              </c:numCache>
            </c:numRef>
          </c:val>
          <c:extLst>
            <c:ext xmlns:c16="http://schemas.microsoft.com/office/drawing/2014/chart" uri="{C3380CC4-5D6E-409C-BE32-E72D297353CC}">
              <c16:uniqueId val="{00000005-F718-43BE-80FC-B51D4DFB0D9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'M6 allgemeine Effizienz'!$L$117</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0-4E89-B66D-27FB7CDF9A48}"/>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10-4E89-B66D-27FB7CDF9A48}"/>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Effizienz'!$M$117:$O$117</c:f>
              <c:numCache>
                <c:formatCode>#,##0</c:formatCode>
                <c:ptCount val="3"/>
                <c:pt idx="0">
                  <c:v>41.281733459999998</c:v>
                </c:pt>
                <c:pt idx="1">
                  <c:v>33.566676052419879</c:v>
                </c:pt>
                <c:pt idx="2">
                  <c:v>24.699091138455479</c:v>
                </c:pt>
              </c:numCache>
            </c:numRef>
          </c:val>
          <c:extLst>
            <c:ext xmlns:c16="http://schemas.microsoft.com/office/drawing/2014/chart" uri="{C3380CC4-5D6E-409C-BE32-E72D297353CC}">
              <c16:uniqueId val="{00000003-6110-4E89-B66D-27FB7CDF9A48}"/>
            </c:ext>
          </c:extLst>
        </c:ser>
        <c:ser>
          <c:idx val="1"/>
          <c:order val="1"/>
          <c:tx>
            <c:strRef>
              <c:f>'M6 allgemeine Effizienz'!$L$118</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10-4E89-B66D-27FB7CDF9A48}"/>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10-4E89-B66D-27FB7CDF9A48}"/>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Effizienz'!$M$118:$O$118</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6110-4E89-B66D-27FB7CDF9A48}"/>
            </c:ext>
          </c:extLst>
        </c:ser>
        <c:ser>
          <c:idx val="2"/>
          <c:order val="2"/>
          <c:tx>
            <c:strRef>
              <c:f>'M6 allgemeine Effizienz'!$L$119</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Effizienz'!$M$119:$O$119</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6110-4E89-B66D-27FB7CDF9A48}"/>
            </c:ext>
          </c:extLst>
        </c:ser>
        <c:ser>
          <c:idx val="3"/>
          <c:order val="3"/>
          <c:tx>
            <c:strRef>
              <c:f>'M6 allgemeine Effizienz'!$L$120</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10-4E89-B66D-27FB7CDF9A48}"/>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10-4E89-B66D-27FB7CDF9A48}"/>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Effizienz'!$M$120:$O$120</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6110-4E89-B66D-27FB7CDF9A48}"/>
            </c:ext>
          </c:extLst>
        </c:ser>
        <c:ser>
          <c:idx val="4"/>
          <c:order val="4"/>
          <c:tx>
            <c:strRef>
              <c:f>'M6 allgemeine Effizienz'!$L$121</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Effizienz'!$M$121:$O$121</c:f>
              <c:numCache>
                <c:formatCode>#,##0</c:formatCode>
                <c:ptCount val="3"/>
                <c:pt idx="0">
                  <c:v>208</c:v>
                </c:pt>
                <c:pt idx="1">
                  <c:v>208</c:v>
                </c:pt>
                <c:pt idx="2">
                  <c:v>208</c:v>
                </c:pt>
              </c:numCache>
            </c:numRef>
          </c:val>
          <c:extLst>
            <c:ext xmlns:c16="http://schemas.microsoft.com/office/drawing/2014/chart" uri="{C3380CC4-5D6E-409C-BE32-E72D297353CC}">
              <c16:uniqueId val="{0000000D-6110-4E89-B66D-27FB7CDF9A48}"/>
            </c:ext>
          </c:extLst>
        </c:ser>
        <c:ser>
          <c:idx val="5"/>
          <c:order val="5"/>
          <c:tx>
            <c:strRef>
              <c:f>'M6 allgemeine Effizienz'!$L$122</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Effizienz'!$M$122:$O$122</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6110-4E89-B66D-27FB7CDF9A48}"/>
            </c:ext>
          </c:extLst>
        </c:ser>
        <c:ser>
          <c:idx val="6"/>
          <c:order val="6"/>
          <c:tx>
            <c:strRef>
              <c:f>'M6 allgemeine Effizienz'!$L$123</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10-4E89-B66D-27FB7CDF9A48}"/>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10-4E89-B66D-27FB7CDF9A48}"/>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Effizienz'!$M$123:$O$123</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6110-4E89-B66D-27FB7CDF9A48}"/>
            </c:ext>
          </c:extLst>
        </c:ser>
        <c:ser>
          <c:idx val="7"/>
          <c:order val="7"/>
          <c:tx>
            <c:strRef>
              <c:f>'M6 allgemeine Effizienz'!$L$124</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Effizienz'!$M$124:$O$124</c:f>
              <c:numCache>
                <c:formatCode>#,##0</c:formatCode>
                <c:ptCount val="3"/>
                <c:pt idx="0">
                  <c:v>#N/A</c:v>
                </c:pt>
                <c:pt idx="1">
                  <c:v>#N/A</c:v>
                </c:pt>
                <c:pt idx="2">
                  <c:v>#N/A</c:v>
                </c:pt>
              </c:numCache>
            </c:numRef>
          </c:val>
          <c:extLst>
            <c:ext xmlns:c16="http://schemas.microsoft.com/office/drawing/2014/chart" uri="{C3380CC4-5D6E-409C-BE32-E72D297353CC}">
              <c16:uniqueId val="{00000013-6110-4E89-B66D-27FB7CDF9A48}"/>
            </c:ext>
          </c:extLst>
        </c:ser>
        <c:ser>
          <c:idx val="8"/>
          <c:order val="8"/>
          <c:tx>
            <c:strRef>
              <c:f>'M6 allgemeine Effizienz'!$L$125</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Effizienz'!$M$125:$O$125</c:f>
              <c:numCache>
                <c:formatCode>#,##0</c:formatCode>
                <c:ptCount val="3"/>
                <c:pt idx="0">
                  <c:v>#N/A</c:v>
                </c:pt>
                <c:pt idx="1">
                  <c:v>#N/A</c:v>
                </c:pt>
                <c:pt idx="2">
                  <c:v>#N/A</c:v>
                </c:pt>
              </c:numCache>
            </c:numRef>
          </c:val>
          <c:extLst>
            <c:ext xmlns:c16="http://schemas.microsoft.com/office/drawing/2014/chart" uri="{C3380CC4-5D6E-409C-BE32-E72D297353CC}">
              <c16:uniqueId val="{00000014-6110-4E89-B66D-27FB7CDF9A48}"/>
            </c:ext>
          </c:extLst>
        </c:ser>
        <c:ser>
          <c:idx val="9"/>
          <c:order val="9"/>
          <c:tx>
            <c:strRef>
              <c:f>'M6 allgemeine Effizienz'!$L$126</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Effizienz'!$M$126:$O$126</c:f>
              <c:numCache>
                <c:formatCode>#,##0</c:formatCode>
                <c:ptCount val="3"/>
                <c:pt idx="0">
                  <c:v>#N/A</c:v>
                </c:pt>
                <c:pt idx="1">
                  <c:v>#N/A</c:v>
                </c:pt>
                <c:pt idx="2">
                  <c:v>#N/A</c:v>
                </c:pt>
              </c:numCache>
            </c:numRef>
          </c:val>
          <c:extLst>
            <c:ext xmlns:c16="http://schemas.microsoft.com/office/drawing/2014/chart" uri="{C3380CC4-5D6E-409C-BE32-E72D297353CC}">
              <c16:uniqueId val="{00000015-6110-4E89-B66D-27FB7CDF9A48}"/>
            </c:ext>
          </c:extLst>
        </c:ser>
        <c:ser>
          <c:idx val="10"/>
          <c:order val="10"/>
          <c:tx>
            <c:strRef>
              <c:f>'M6 allgemeine Effizienz'!$L$127</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10-4E89-B66D-27FB7CDF9A48}"/>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10-4E89-B66D-27FB7CDF9A48}"/>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10-4E89-B66D-27FB7CDF9A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'M6 allgemeine Effizienz'!$M$85:$O$86</c:f>
              <c:multiLvlStrCache>
                <c:ptCount val="3"/>
                <c:lvl>
                  <c:pt idx="0">
                    <c:v>Referenz</c:v>
                  </c:pt>
                </c:lvl>
                <c:lvl>
                  <c:pt idx="0">
                    <c:v>2020</c:v>
                  </c:pt>
                  <c:pt idx="1">
                    <c:v>2025</c:v>
                  </c:pt>
                  <c:pt idx="2">
                    <c:v>2030</c:v>
                  </c:pt>
                </c:lvl>
              </c:multiLvlStrCache>
            </c:multiLvlStrRef>
          </c:cat>
          <c:val>
            <c:numRef>
              <c:f>'M6 allgemeine Effizienz'!$M$127:$O$127</c:f>
              <c:numCache>
                <c:formatCode>#,##0</c:formatCode>
                <c:ptCount val="3"/>
                <c:pt idx="0">
                  <c:v>64.48</c:v>
                </c:pt>
                <c:pt idx="1">
                  <c:v>64.48</c:v>
                </c:pt>
                <c:pt idx="2">
                  <c:v>64.48</c:v>
                </c:pt>
              </c:numCache>
            </c:numRef>
          </c:val>
          <c:extLst>
            <c:ext xmlns:c16="http://schemas.microsoft.com/office/drawing/2014/chart" uri="{C3380CC4-5D6E-409C-BE32-E72D297353CC}">
              <c16:uniqueId val="{00000019-6110-4E89-B66D-27FB7CDF9A48}"/>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'M7 Rezeptur, Einsatzmenge'!$L$92</c:f>
              <c:strCache>
                <c:ptCount val="1"/>
                <c:pt idx="0">
                  <c:v>Scope 3</c:v>
                </c:pt>
              </c:strCache>
            </c:strRef>
          </c:tx>
          <c:spPr>
            <a:solidFill>
              <a:schemeClr val="accent3"/>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Einsatzmenge'!$M$92:$O$92</c:f>
              <c:numCache>
                <c:formatCode>#,##0</c:formatCode>
                <c:ptCount val="3"/>
                <c:pt idx="0">
                  <c:v>5831.5296228095176</c:v>
                </c:pt>
                <c:pt idx="1">
                  <c:v>5735.2876632204307</c:v>
                </c:pt>
                <c:pt idx="2">
                  <c:v>5591.9760339911491</c:v>
                </c:pt>
              </c:numCache>
            </c:numRef>
          </c:val>
          <c:extLst>
            <c:ext xmlns:c16="http://schemas.microsoft.com/office/drawing/2014/chart" uri="{C3380CC4-5D6E-409C-BE32-E72D297353CC}">
              <c16:uniqueId val="{00000000-3CB5-4A58-AE0E-B95BB114F55B}"/>
            </c:ext>
          </c:extLst>
        </c:ser>
        <c:ser>
          <c:idx val="1"/>
          <c:order val="1"/>
          <c:tx>
            <c:strRef>
              <c:f>'M7 Rezeptur, Einsatzmenge'!$L$91</c:f>
              <c:strCache>
                <c:ptCount val="1"/>
                <c:pt idx="0">
                  <c:v>Scope 2</c:v>
                </c:pt>
              </c:strCache>
            </c:strRef>
          </c:tx>
          <c:spPr>
            <a:solidFill>
              <a:schemeClr val="accent2"/>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Einsatzmenge'!$M$91:$O$91</c:f>
              <c:numCache>
                <c:formatCode>#,##0</c:formatCode>
                <c:ptCount val="3"/>
                <c:pt idx="0">
                  <c:v>171.9</c:v>
                </c:pt>
                <c:pt idx="1">
                  <c:v>124.8924470887134</c:v>
                </c:pt>
                <c:pt idx="2">
                  <c:v>61.552554846110553</c:v>
                </c:pt>
              </c:numCache>
            </c:numRef>
          </c:val>
          <c:extLst>
            <c:ext xmlns:c16="http://schemas.microsoft.com/office/drawing/2014/chart" uri="{C3380CC4-5D6E-409C-BE32-E72D297353CC}">
              <c16:uniqueId val="{00000001-3CB5-4A58-AE0E-B95BB114F55B}"/>
            </c:ext>
          </c:extLst>
        </c:ser>
        <c:ser>
          <c:idx val="0"/>
          <c:order val="2"/>
          <c:tx>
            <c:strRef>
              <c:f>'M7 Rezeptur, Einsatzmenge'!$L$90</c:f>
              <c:strCache>
                <c:ptCount val="1"/>
                <c:pt idx="0">
                  <c:v>Scope 1 </c:v>
                </c:pt>
              </c:strCache>
            </c:strRef>
          </c:tx>
          <c:spPr>
            <a:solidFill>
              <a:schemeClr val="accent1"/>
            </a:solidFill>
            <a:ln>
              <a:noFill/>
            </a:ln>
            <a:effectLst/>
          </c:spPr>
          <c:invertIfNegative val="0"/>
          <c:cat>
            <c:multiLvlStrRef>
              <c:f>'M7 Rezeptur, Einsatzmenge'!$M$88:$O$89</c:f>
              <c:multiLvlStrCache>
                <c:ptCount val="3"/>
                <c:lvl>
                  <c:pt idx="0">
                    <c:v>Referenz</c:v>
                  </c:pt>
                </c:lvl>
                <c:lvl>
                  <c:pt idx="0">
                    <c:v>2020</c:v>
                  </c:pt>
                  <c:pt idx="1">
                    <c:v>2025</c:v>
                  </c:pt>
                  <c:pt idx="2">
                    <c:v>2030</c:v>
                  </c:pt>
                </c:lvl>
              </c:multiLvlStrCache>
            </c:multiLvlStrRef>
          </c:cat>
          <c:val>
            <c:numRef>
              <c:f>'M7 Rezeptur, Einsatzmenge'!$M$90:$O$90</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3CB5-4A58-AE0E-B95BB114F55B}"/>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Einsatzmenge'!$T$129</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Einsatzmenge'!$U$129:$W$129</c:f>
              <c:numCache>
                <c:formatCode>#,##0\ "€"</c:formatCode>
                <c:ptCount val="3"/>
                <c:pt idx="0">
                  <c:v>109669</c:v>
                </c:pt>
                <c:pt idx="1">
                  <c:v>109669</c:v>
                </c:pt>
                <c:pt idx="2">
                  <c:v>109669</c:v>
                </c:pt>
              </c:numCache>
            </c:numRef>
          </c:val>
          <c:extLst>
            <c:ext xmlns:c16="http://schemas.microsoft.com/office/drawing/2014/chart" uri="{C3380CC4-5D6E-409C-BE32-E72D297353CC}">
              <c16:uniqueId val="{00000000-B9C3-48F2-A2C3-75F54B13134A}"/>
            </c:ext>
          </c:extLst>
        </c:ser>
        <c:ser>
          <c:idx val="1"/>
          <c:order val="1"/>
          <c:tx>
            <c:strRef>
              <c:f>'M7 Rezeptur, Einsatzmenge'!$T$137</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C3-48F2-A2C3-75F54B13134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Einsatzmenge'!$U$137:$W$137</c:f>
              <c:numCache>
                <c:formatCode>#,##0\ "€"</c:formatCode>
                <c:ptCount val="3"/>
                <c:pt idx="0">
                  <c:v>0</c:v>
                </c:pt>
                <c:pt idx="1">
                  <c:v>0</c:v>
                </c:pt>
                <c:pt idx="2">
                  <c:v>0</c:v>
                </c:pt>
              </c:numCache>
            </c:numRef>
          </c:val>
          <c:extLst>
            <c:ext xmlns:c16="http://schemas.microsoft.com/office/drawing/2014/chart" uri="{C3380CC4-5D6E-409C-BE32-E72D297353CC}">
              <c16:uniqueId val="{00000002-B9C3-48F2-A2C3-75F54B13134A}"/>
            </c:ext>
          </c:extLst>
        </c:ser>
        <c:ser>
          <c:idx val="2"/>
          <c:order val="2"/>
          <c:tx>
            <c:strRef>
              <c:f>'M7 Rezeptur, Einsatzmenge'!$T$138</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Einsatzmenge'!$U$138:$W$138</c:f>
              <c:numCache>
                <c:formatCode>#,##0\ "€"</c:formatCode>
                <c:ptCount val="3"/>
                <c:pt idx="0">
                  <c:v>#N/A</c:v>
                </c:pt>
                <c:pt idx="1">
                  <c:v>#N/A</c:v>
                </c:pt>
                <c:pt idx="2">
                  <c:v>#N/A</c:v>
                </c:pt>
              </c:numCache>
            </c:numRef>
          </c:val>
          <c:extLst>
            <c:ext xmlns:c16="http://schemas.microsoft.com/office/drawing/2014/chart" uri="{C3380CC4-5D6E-409C-BE32-E72D297353CC}">
              <c16:uniqueId val="{00000003-B9C3-48F2-A2C3-75F54B13134A}"/>
            </c:ext>
          </c:extLst>
        </c:ser>
        <c:ser>
          <c:idx val="3"/>
          <c:order val="3"/>
          <c:tx>
            <c:strRef>
              <c:f>'M7 Rezeptur, Einsatzmenge'!$T$139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Einsatzmenge'!$U$139:$W$139</c:f>
              <c:numCache>
                <c:formatCode>#,##0\ "€"</c:formatCode>
                <c:ptCount val="3"/>
                <c:pt idx="0">
                  <c:v>#N/A</c:v>
                </c:pt>
                <c:pt idx="1">
                  <c:v>#N/A</c:v>
                </c:pt>
                <c:pt idx="2">
                  <c:v>#N/A</c:v>
                </c:pt>
              </c:numCache>
            </c:numRef>
          </c:val>
          <c:extLst>
            <c:ext xmlns:c16="http://schemas.microsoft.com/office/drawing/2014/chart" uri="{C3380CC4-5D6E-409C-BE32-E72D297353CC}">
              <c16:uniqueId val="{00000004-B9C3-48F2-A2C3-75F54B13134A}"/>
            </c:ext>
          </c:extLst>
        </c:ser>
        <c:ser>
          <c:idx val="4"/>
          <c:order val="4"/>
          <c:tx>
            <c:strRef>
              <c:f>'M7 Rezeptur, Einsatzmenge'!$T$140</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Einsatzmenge'!$U$140:$W$140</c:f>
              <c:numCache>
                <c:formatCode>#,##0\ "€"</c:formatCode>
                <c:ptCount val="3"/>
                <c:pt idx="0">
                  <c:v>152459.04944673795</c:v>
                </c:pt>
                <c:pt idx="1">
                  <c:v>267980.06094161147</c:v>
                </c:pt>
                <c:pt idx="2">
                  <c:v>459876.87551178073</c:v>
                </c:pt>
              </c:numCache>
            </c:numRef>
          </c:val>
          <c:extLst>
            <c:ext xmlns:c16="http://schemas.microsoft.com/office/drawing/2014/chart" uri="{C3380CC4-5D6E-409C-BE32-E72D297353CC}">
              <c16:uniqueId val="{00000005-B9C3-48F2-A2C3-75F54B13134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'M7 Rezeptur, Einsatzmenge'!$D$129</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70-4070-87DC-671F9198825A}"/>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70-4070-87DC-671F9198825A}"/>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70-4070-87DC-671F919882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Einsatzmenge'!$E$129:$G$129</c:f>
              <c:numCache>
                <c:formatCode>#,##0.0</c:formatCode>
                <c:ptCount val="3"/>
                <c:pt idx="0">
                  <c:v>43.0426</c:v>
                </c:pt>
                <c:pt idx="1">
                  <c:v>43.0426</c:v>
                </c:pt>
                <c:pt idx="2">
                  <c:v>43.0426</c:v>
                </c:pt>
              </c:numCache>
            </c:numRef>
          </c:val>
          <c:extLst>
            <c:ext xmlns:c16="http://schemas.microsoft.com/office/drawing/2014/chart" uri="{C3380CC4-5D6E-409C-BE32-E72D297353CC}">
              <c16:uniqueId val="{00000003-DA70-4070-87DC-671F9198825A}"/>
            </c:ext>
          </c:extLst>
        </c:ser>
        <c:ser>
          <c:idx val="1"/>
          <c:order val="1"/>
          <c:tx>
            <c:strRef>
              <c:f>'M7 Rezeptur, Einsatzmenge'!$D$130</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70-4070-87DC-671F9198825A}"/>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70-4070-87DC-671F9198825A}"/>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70-4070-87DC-671F9198825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Einsatzmenge'!$E$130:$G$130</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DA70-4070-87DC-671F9198825A}"/>
            </c:ext>
          </c:extLst>
        </c:ser>
        <c:ser>
          <c:idx val="2"/>
          <c:order val="2"/>
          <c:tx>
            <c:strRef>
              <c:f>'M7 Rezeptur, Einsatzmenge'!$D$131</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Einsatzmenge'!$E$131:$G$131</c:f>
              <c:numCache>
                <c:formatCode>#,##0.0</c:formatCode>
                <c:ptCount val="3"/>
                <c:pt idx="0">
                  <c:v>171.9</c:v>
                </c:pt>
                <c:pt idx="1">
                  <c:v>124.8924470887134</c:v>
                </c:pt>
                <c:pt idx="2">
                  <c:v>61.552554846110553</c:v>
                </c:pt>
              </c:numCache>
            </c:numRef>
          </c:val>
          <c:extLst>
            <c:ext xmlns:c16="http://schemas.microsoft.com/office/drawing/2014/chart" uri="{C3380CC4-5D6E-409C-BE32-E72D297353CC}">
              <c16:uniqueId val="{00000008-DA70-4070-87DC-671F9198825A}"/>
            </c:ext>
          </c:extLst>
        </c:ser>
        <c:ser>
          <c:idx val="3"/>
          <c:order val="3"/>
          <c:tx>
            <c:strRef>
              <c:f>'M7 Rezeptur, Einsatzmenge'!$D$135</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Einsatzmenge'!$M$97:$O$98</c:f>
              <c:multiLvlStrCache>
                <c:ptCount val="3"/>
                <c:lvl>
                  <c:pt idx="0">
                    <c:v>Referenz</c:v>
                  </c:pt>
                </c:lvl>
                <c:lvl>
                  <c:pt idx="0">
                    <c:v>2020</c:v>
                  </c:pt>
                  <c:pt idx="1">
                    <c:v>2025</c:v>
                  </c:pt>
                  <c:pt idx="2">
                    <c:v>2030</c:v>
                  </c:pt>
                </c:lvl>
              </c:multiLvlStrCache>
            </c:multiLvlStrRef>
          </c:cat>
          <c:val>
            <c:numRef>
              <c:f>'M7 Rezeptur, Einsatzmenge'!$E$135:$G$135</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DA70-4070-87DC-671F9198825A}"/>
            </c:ext>
          </c:extLst>
        </c:ser>
        <c:ser>
          <c:idx val="4"/>
          <c:order val="4"/>
          <c:tx>
            <c:strRef>
              <c:f>'M7 Rezeptur, Einsatzmenge'!$D$132</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Einsatzmenge'!$E$132:$G$132</c:f>
              <c:numCache>
                <c:formatCode>#,##0.0</c:formatCode>
                <c:ptCount val="3"/>
                <c:pt idx="0">
                  <c:v>#N/A</c:v>
                </c:pt>
                <c:pt idx="1">
                  <c:v>#N/A</c:v>
                </c:pt>
                <c:pt idx="2">
                  <c:v>#N/A</c:v>
                </c:pt>
              </c:numCache>
            </c:numRef>
          </c:val>
          <c:extLst>
            <c:ext xmlns:c16="http://schemas.microsoft.com/office/drawing/2014/chart" uri="{C3380CC4-5D6E-409C-BE32-E72D297353CC}">
              <c16:uniqueId val="{0000000A-DA70-4070-87DC-671F9198825A}"/>
            </c:ext>
          </c:extLst>
        </c:ser>
        <c:ser>
          <c:idx val="5"/>
          <c:order val="5"/>
          <c:tx>
            <c:strRef>
              <c:f>'M7 Rezeptur, Einsatzmenge'!$D$133</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Einsatzmenge'!$E$133:$G$133</c:f>
              <c:numCache>
                <c:formatCode>#,##0.0</c:formatCode>
                <c:ptCount val="3"/>
                <c:pt idx="0">
                  <c:v>#N/A</c:v>
                </c:pt>
                <c:pt idx="1">
                  <c:v>#N/A</c:v>
                </c:pt>
                <c:pt idx="2">
                  <c:v>#N/A</c:v>
                </c:pt>
              </c:numCache>
            </c:numRef>
          </c:val>
          <c:extLst>
            <c:ext xmlns:c16="http://schemas.microsoft.com/office/drawing/2014/chart" uri="{C3380CC4-5D6E-409C-BE32-E72D297353CC}">
              <c16:uniqueId val="{0000000B-DA70-4070-87DC-671F9198825A}"/>
            </c:ext>
          </c:extLst>
        </c:ser>
        <c:ser>
          <c:idx val="6"/>
          <c:order val="6"/>
          <c:tx>
            <c:strRef>
              <c:f>'M7 Rezeptur, Einsatzmenge'!$D$134</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Einsatzmenge'!$E$134:$G$134</c:f>
              <c:numCache>
                <c:formatCode>#,##0.0</c:formatCode>
                <c:ptCount val="3"/>
                <c:pt idx="0">
                  <c:v>#N/A</c:v>
                </c:pt>
                <c:pt idx="1">
                  <c:v>#N/A</c:v>
                </c:pt>
                <c:pt idx="2">
                  <c:v>#N/A</c:v>
                </c:pt>
              </c:numCache>
            </c:numRef>
          </c:val>
          <c:extLst>
            <c:ext xmlns:c16="http://schemas.microsoft.com/office/drawing/2014/chart" uri="{C3380CC4-5D6E-409C-BE32-E72D297353CC}">
              <c16:uniqueId val="{0000000C-DA70-4070-87DC-671F9198825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'M7 Rezeptur, Einsatzmenge'!$L$129</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06-4DD3-A0AF-CB9B6E46A9CF}"/>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06-4DD3-A0AF-CB9B6E46A9CF}"/>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Einsatzmenge'!$M$129:$O$129</c:f>
              <c:numCache>
                <c:formatCode>#,##0</c:formatCode>
                <c:ptCount val="3"/>
                <c:pt idx="0">
                  <c:v>41.281733459999998</c:v>
                </c:pt>
                <c:pt idx="1">
                  <c:v>34.39057387091087</c:v>
                </c:pt>
                <c:pt idx="2">
                  <c:v>25.105144641628776</c:v>
                </c:pt>
              </c:numCache>
            </c:numRef>
          </c:val>
          <c:extLst>
            <c:ext xmlns:c16="http://schemas.microsoft.com/office/drawing/2014/chart" uri="{C3380CC4-5D6E-409C-BE32-E72D297353CC}">
              <c16:uniqueId val="{00000003-0D06-4DD3-A0AF-CB9B6E46A9CF}"/>
            </c:ext>
          </c:extLst>
        </c:ser>
        <c:ser>
          <c:idx val="1"/>
          <c:order val="1"/>
          <c:tx>
            <c:strRef>
              <c:f>'M7 Rezeptur, Einsatzmenge'!$L$130</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06-4DD3-A0AF-CB9B6E46A9CF}"/>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06-4DD3-A0AF-CB9B6E46A9CF}"/>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Einsatzmenge'!$M$130:$O$130</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0D06-4DD3-A0AF-CB9B6E46A9CF}"/>
            </c:ext>
          </c:extLst>
        </c:ser>
        <c:ser>
          <c:idx val="2"/>
          <c:order val="2"/>
          <c:tx>
            <c:strRef>
              <c:f>'M7 Rezeptur, Einsatzmenge'!$L$131</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Einsatzmenge'!$M$131:$O$131</c:f>
              <c:numCache>
                <c:formatCode>#,##0</c:formatCode>
                <c:ptCount val="3"/>
                <c:pt idx="0">
                  <c:v>4548.5439999999999</c:v>
                </c:pt>
                <c:pt idx="1">
                  <c:v>4457.57312</c:v>
                </c:pt>
                <c:pt idx="2">
                  <c:v>4321.1167999999998</c:v>
                </c:pt>
              </c:numCache>
            </c:numRef>
          </c:val>
          <c:extLst>
            <c:ext xmlns:c16="http://schemas.microsoft.com/office/drawing/2014/chart" uri="{C3380CC4-5D6E-409C-BE32-E72D297353CC}">
              <c16:uniqueId val="{00000008-0D06-4DD3-A0AF-CB9B6E46A9CF}"/>
            </c:ext>
          </c:extLst>
        </c:ser>
        <c:ser>
          <c:idx val="3"/>
          <c:order val="3"/>
          <c:tx>
            <c:strRef>
              <c:f>'M7 Rezeptur, Einsatzmenge'!$L$132</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06-4DD3-A0AF-CB9B6E46A9CF}"/>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06-4DD3-A0AF-CB9B6E46A9CF}"/>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Einsatzmenge'!$M$132:$O$132</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0D06-4DD3-A0AF-CB9B6E46A9CF}"/>
            </c:ext>
          </c:extLst>
        </c:ser>
        <c:ser>
          <c:idx val="4"/>
          <c:order val="4"/>
          <c:tx>
            <c:strRef>
              <c:f>'M7 Rezeptur, Einsatzmenge'!$L$133</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Einsatzmenge'!$M$133:$O$133</c:f>
              <c:numCache>
                <c:formatCode>#,##0</c:formatCode>
                <c:ptCount val="3"/>
                <c:pt idx="0">
                  <c:v>208</c:v>
                </c:pt>
                <c:pt idx="1">
                  <c:v>208</c:v>
                </c:pt>
                <c:pt idx="2">
                  <c:v>208</c:v>
                </c:pt>
              </c:numCache>
            </c:numRef>
          </c:val>
          <c:extLst>
            <c:ext xmlns:c16="http://schemas.microsoft.com/office/drawing/2014/chart" uri="{C3380CC4-5D6E-409C-BE32-E72D297353CC}">
              <c16:uniqueId val="{0000000D-0D06-4DD3-A0AF-CB9B6E46A9CF}"/>
            </c:ext>
          </c:extLst>
        </c:ser>
        <c:ser>
          <c:idx val="5"/>
          <c:order val="5"/>
          <c:tx>
            <c:strRef>
              <c:f>'M7 Rezeptur, Einsatzmenge'!$L$134</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Einsatzmenge'!$M$134:$O$134</c:f>
              <c:numCache>
                <c:formatCode>#,##0</c:formatCode>
                <c:ptCount val="3"/>
                <c:pt idx="0">
                  <c:v>81.003999999999991</c:v>
                </c:pt>
                <c:pt idx="1">
                  <c:v>82.624080000000006</c:v>
                </c:pt>
                <c:pt idx="2">
                  <c:v>85.054199999999994</c:v>
                </c:pt>
              </c:numCache>
            </c:numRef>
          </c:val>
          <c:extLst>
            <c:ext xmlns:c16="http://schemas.microsoft.com/office/drawing/2014/chart" uri="{C3380CC4-5D6E-409C-BE32-E72D297353CC}">
              <c16:uniqueId val="{0000000E-0D06-4DD3-A0AF-CB9B6E46A9CF}"/>
            </c:ext>
          </c:extLst>
        </c:ser>
        <c:ser>
          <c:idx val="6"/>
          <c:order val="6"/>
          <c:tx>
            <c:strRef>
              <c:f>'M7 Rezeptur, Einsatzmenge'!$L$135</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06-4DD3-A0AF-CB9B6E46A9CF}"/>
                </c:ext>
              </c:extLst>
            </c:dLbl>
            <c:dLbl>
              <c:idx val="1"/>
              <c:layout>
                <c:manualLayout>
                  <c:x val="8.784098856655749E-2"/>
                  <c:y val="1.899470814281681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06-4DD3-A0AF-CB9B6E46A9CF}"/>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Einsatzmenge'!$M$135:$O$135</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0D06-4DD3-A0AF-CB9B6E46A9CF}"/>
            </c:ext>
          </c:extLst>
        </c:ser>
        <c:ser>
          <c:idx val="11"/>
          <c:order val="7"/>
          <c:tx>
            <c:strRef>
              <c:f>'M7 Rezeptur, Einsatzmenge'!$L$136</c:f>
              <c:strCache>
                <c:ptCount val="1"/>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'M7 Rezeptur, Einsatzmenge'!$M$136:$O$136</c:f>
              <c:numCache>
                <c:formatCode>#,##0</c:formatCode>
                <c:ptCount val="3"/>
                <c:pt idx="0">
                  <c:v>#N/A</c:v>
                </c:pt>
                <c:pt idx="1">
                  <c:v>#N/A</c:v>
                </c:pt>
                <c:pt idx="2">
                  <c:v>#N/A</c:v>
                </c:pt>
              </c:numCache>
            </c:numRef>
          </c:val>
          <c:extLst>
            <c:ext xmlns:c16="http://schemas.microsoft.com/office/drawing/2014/chart" uri="{C3380CC4-5D6E-409C-BE32-E72D297353CC}">
              <c16:uniqueId val="{0000001A-0D06-4DD3-A0AF-CB9B6E46A9CF}"/>
            </c:ext>
          </c:extLst>
        </c:ser>
        <c:ser>
          <c:idx val="7"/>
          <c:order val="8"/>
          <c:tx>
            <c:strRef>
              <c:f>'M7 Rezeptur, Einsatzmenge'!$L$137</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Einsatzmenge'!$M$137:$O$137</c:f>
              <c:numCache>
                <c:formatCode>#,##0</c:formatCode>
                <c:ptCount val="3"/>
                <c:pt idx="0">
                  <c:v>#N/A</c:v>
                </c:pt>
                <c:pt idx="1">
                  <c:v>#N/A</c:v>
                </c:pt>
                <c:pt idx="2">
                  <c:v>#N/A</c:v>
                </c:pt>
              </c:numCache>
            </c:numRef>
          </c:val>
          <c:extLst>
            <c:ext xmlns:c16="http://schemas.microsoft.com/office/drawing/2014/chart" uri="{C3380CC4-5D6E-409C-BE32-E72D297353CC}">
              <c16:uniqueId val="{00000013-0D06-4DD3-A0AF-CB9B6E46A9CF}"/>
            </c:ext>
          </c:extLst>
        </c:ser>
        <c:ser>
          <c:idx val="8"/>
          <c:order val="9"/>
          <c:tx>
            <c:strRef>
              <c:f>'M7 Rezeptur, Einsatzmenge'!$L$138</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Einsatzmenge'!$M$138:$O$138</c:f>
              <c:numCache>
                <c:formatCode>#,##0</c:formatCode>
                <c:ptCount val="3"/>
                <c:pt idx="0">
                  <c:v>#N/A</c:v>
                </c:pt>
                <c:pt idx="1">
                  <c:v>#N/A</c:v>
                </c:pt>
                <c:pt idx="2">
                  <c:v>#N/A</c:v>
                </c:pt>
              </c:numCache>
            </c:numRef>
          </c:val>
          <c:extLst>
            <c:ext xmlns:c16="http://schemas.microsoft.com/office/drawing/2014/chart" uri="{C3380CC4-5D6E-409C-BE32-E72D297353CC}">
              <c16:uniqueId val="{00000014-0D06-4DD3-A0AF-CB9B6E46A9CF}"/>
            </c:ext>
          </c:extLst>
        </c:ser>
        <c:ser>
          <c:idx val="9"/>
          <c:order val="10"/>
          <c:tx>
            <c:strRef>
              <c:f>'M7 Rezeptur, Einsatzmenge'!$L$139</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Einsatzmenge'!$M$139:$O$139</c:f>
              <c:numCache>
                <c:formatCode>#,##0</c:formatCode>
                <c:ptCount val="3"/>
                <c:pt idx="0">
                  <c:v>#N/A</c:v>
                </c:pt>
                <c:pt idx="1">
                  <c:v>#N/A</c:v>
                </c:pt>
                <c:pt idx="2">
                  <c:v>#N/A</c:v>
                </c:pt>
              </c:numCache>
            </c:numRef>
          </c:val>
          <c:extLst>
            <c:ext xmlns:c16="http://schemas.microsoft.com/office/drawing/2014/chart" uri="{C3380CC4-5D6E-409C-BE32-E72D297353CC}">
              <c16:uniqueId val="{00000015-0D06-4DD3-A0AF-CB9B6E46A9CF}"/>
            </c:ext>
          </c:extLst>
        </c:ser>
        <c:ser>
          <c:idx val="10"/>
          <c:order val="11"/>
          <c:tx>
            <c:strRef>
              <c:f>'M7 Rezeptur, Einsatzmenge'!$L$140</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D06-4DD3-A0AF-CB9B6E46A9CF}"/>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D06-4DD3-A0AF-CB9B6E46A9CF}"/>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D06-4DD3-A0AF-CB9B6E46A9C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'M7 Rezeptur, Einsatzmenge'!$E$88:$G$89</c:f>
              <c:multiLvlStrCache>
                <c:ptCount val="3"/>
                <c:lvl>
                  <c:pt idx="0">
                    <c:v>Referenz</c:v>
                  </c:pt>
                </c:lvl>
                <c:lvl>
                  <c:pt idx="0">
                    <c:v>2020</c:v>
                  </c:pt>
                  <c:pt idx="1">
                    <c:v>2025</c:v>
                  </c:pt>
                  <c:pt idx="2">
                    <c:v>2030</c:v>
                  </c:pt>
                </c:lvl>
              </c:multiLvlStrCache>
            </c:multiLvlStrRef>
          </c:cat>
          <c:val>
            <c:numRef>
              <c:f>'M7 Rezeptur, Einsatzmenge'!$M$140:$O$140</c:f>
              <c:numCache>
                <c:formatCode>#,##0</c:formatCode>
                <c:ptCount val="3"/>
                <c:pt idx="0">
                  <c:v>64.48</c:v>
                </c:pt>
                <c:pt idx="1">
                  <c:v>64.48</c:v>
                </c:pt>
                <c:pt idx="2">
                  <c:v>64.48</c:v>
                </c:pt>
              </c:numCache>
            </c:numRef>
          </c:val>
          <c:extLst>
            <c:ext xmlns:c16="http://schemas.microsoft.com/office/drawing/2014/chart" uri="{C3380CC4-5D6E-409C-BE32-E72D297353CC}">
              <c16:uniqueId val="{00000019-0D06-4DD3-A0AF-CB9B6E46A9CF}"/>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'M8 Rezeptur, geringerer EF'!$L$89</c:f>
              <c:strCache>
                <c:ptCount val="1"/>
                <c:pt idx="0">
                  <c:v>Scope 3</c:v>
                </c:pt>
              </c:strCache>
            </c:strRef>
          </c:tx>
          <c:spPr>
            <a:solidFill>
              <a:schemeClr val="accent3"/>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EF'!$M$89:$O$89</c:f>
              <c:numCache>
                <c:formatCode>#,##0</c:formatCode>
                <c:ptCount val="3"/>
                <c:pt idx="0">
                  <c:v>5831.5296228095176</c:v>
                </c:pt>
                <c:pt idx="1">
                  <c:v>5597.2112632204289</c:v>
                </c:pt>
                <c:pt idx="2">
                  <c:v>5360.4986339911493</c:v>
                </c:pt>
              </c:numCache>
            </c:numRef>
          </c:val>
          <c:extLst>
            <c:ext xmlns:c16="http://schemas.microsoft.com/office/drawing/2014/chart" uri="{C3380CC4-5D6E-409C-BE32-E72D297353CC}">
              <c16:uniqueId val="{00000000-E69C-4E7E-A434-83EFA64973A0}"/>
            </c:ext>
          </c:extLst>
        </c:ser>
        <c:ser>
          <c:idx val="1"/>
          <c:order val="1"/>
          <c:tx>
            <c:strRef>
              <c:f>'M8 Rezeptur, geringerer EF'!$L$88</c:f>
              <c:strCache>
                <c:ptCount val="1"/>
                <c:pt idx="0">
                  <c:v>Scope 2</c:v>
                </c:pt>
              </c:strCache>
            </c:strRef>
          </c:tx>
          <c:spPr>
            <a:solidFill>
              <a:schemeClr val="accent2"/>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EF'!$M$88:$O$88</c:f>
              <c:numCache>
                <c:formatCode>#,##0</c:formatCode>
                <c:ptCount val="3"/>
                <c:pt idx="0">
                  <c:v>171.9</c:v>
                </c:pt>
                <c:pt idx="1">
                  <c:v>124.8924470887134</c:v>
                </c:pt>
                <c:pt idx="2">
                  <c:v>61.552554846110553</c:v>
                </c:pt>
              </c:numCache>
            </c:numRef>
          </c:val>
          <c:extLst>
            <c:ext xmlns:c16="http://schemas.microsoft.com/office/drawing/2014/chart" uri="{C3380CC4-5D6E-409C-BE32-E72D297353CC}">
              <c16:uniqueId val="{00000001-E69C-4E7E-A434-83EFA64973A0}"/>
            </c:ext>
          </c:extLst>
        </c:ser>
        <c:ser>
          <c:idx val="0"/>
          <c:order val="2"/>
          <c:tx>
            <c:strRef>
              <c:f>'M8 Rezeptur, geringerer EF'!$L$87</c:f>
              <c:strCache>
                <c:ptCount val="1"/>
                <c:pt idx="0">
                  <c:v>Scope 1 </c:v>
                </c:pt>
              </c:strCache>
            </c:strRef>
          </c:tx>
          <c:spPr>
            <a:solidFill>
              <a:schemeClr val="accent1"/>
            </a:solidFill>
            <a:ln>
              <a:noFill/>
            </a:ln>
            <a:effectLst/>
          </c:spPr>
          <c:invertIfNegative val="0"/>
          <c:cat>
            <c:multiLvlStrRef>
              <c:f>'M8 Rezeptur, geringerer EF'!$M$85:$O$86</c:f>
              <c:multiLvlStrCache>
                <c:ptCount val="3"/>
                <c:lvl>
                  <c:pt idx="0">
                    <c:v>Referenz</c:v>
                  </c:pt>
                </c:lvl>
                <c:lvl>
                  <c:pt idx="0">
                    <c:v>2020</c:v>
                  </c:pt>
                  <c:pt idx="1">
                    <c:v>2025</c:v>
                  </c:pt>
                  <c:pt idx="2">
                    <c:v>2030</c:v>
                  </c:pt>
                </c:lvl>
              </c:multiLvlStrCache>
            </c:multiLvlStrRef>
          </c:cat>
          <c:val>
            <c:numRef>
              <c:f>'M8 Rezeptur, geringerer EF'!$M$87:$O$87</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E69C-4E7E-A434-83EFA64973A0}"/>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EF'!$T$126</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EF'!$U$126:$W$126</c:f>
              <c:numCache>
                <c:formatCode>#,##0\ "€"</c:formatCode>
                <c:ptCount val="3"/>
                <c:pt idx="0">
                  <c:v>109669</c:v>
                </c:pt>
                <c:pt idx="1">
                  <c:v>109669</c:v>
                </c:pt>
                <c:pt idx="2">
                  <c:v>109669</c:v>
                </c:pt>
              </c:numCache>
            </c:numRef>
          </c:val>
          <c:extLst>
            <c:ext xmlns:c16="http://schemas.microsoft.com/office/drawing/2014/chart" uri="{C3380CC4-5D6E-409C-BE32-E72D297353CC}">
              <c16:uniqueId val="{00000000-DF4C-4559-95C4-CB77BD8B0B2A}"/>
            </c:ext>
          </c:extLst>
        </c:ser>
        <c:ser>
          <c:idx val="1"/>
          <c:order val="1"/>
          <c:tx>
            <c:strRef>
              <c:f>'M8 Rezeptur, geringerer EF'!$T$134</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C-4559-95C4-CB77BD8B0B2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EF'!$U$134:$W$134</c:f>
              <c:numCache>
                <c:formatCode>#,##0\ "€"</c:formatCode>
                <c:ptCount val="3"/>
                <c:pt idx="0">
                  <c:v>0</c:v>
                </c:pt>
                <c:pt idx="1">
                  <c:v>0</c:v>
                </c:pt>
                <c:pt idx="2">
                  <c:v>0</c:v>
                </c:pt>
              </c:numCache>
            </c:numRef>
          </c:val>
          <c:extLst>
            <c:ext xmlns:c16="http://schemas.microsoft.com/office/drawing/2014/chart" uri="{C3380CC4-5D6E-409C-BE32-E72D297353CC}">
              <c16:uniqueId val="{00000002-DF4C-4559-95C4-CB77BD8B0B2A}"/>
            </c:ext>
          </c:extLst>
        </c:ser>
        <c:ser>
          <c:idx val="2"/>
          <c:order val="2"/>
          <c:tx>
            <c:strRef>
              <c:f>'M8 Rezeptur, geringerer EF'!$T$135</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EF'!$U$135:$W$135</c:f>
              <c:numCache>
                <c:formatCode>#,##0\ "€"</c:formatCode>
                <c:ptCount val="3"/>
                <c:pt idx="0">
                  <c:v>#N/A</c:v>
                </c:pt>
                <c:pt idx="1">
                  <c:v>#N/A</c:v>
                </c:pt>
                <c:pt idx="2">
                  <c:v>#N/A</c:v>
                </c:pt>
              </c:numCache>
            </c:numRef>
          </c:val>
          <c:extLst>
            <c:ext xmlns:c16="http://schemas.microsoft.com/office/drawing/2014/chart" uri="{C3380CC4-5D6E-409C-BE32-E72D297353CC}">
              <c16:uniqueId val="{00000003-DF4C-4559-95C4-CB77BD8B0B2A}"/>
            </c:ext>
          </c:extLst>
        </c:ser>
        <c:ser>
          <c:idx val="3"/>
          <c:order val="3"/>
          <c:tx>
            <c:strRef>
              <c:f>'M8 Rezeptur, geringerer EF'!$T$136</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EF'!$U$136:$W$136</c:f>
              <c:numCache>
                <c:formatCode>#,##0\ "€"</c:formatCode>
                <c:ptCount val="3"/>
                <c:pt idx="0">
                  <c:v>#N/A</c:v>
                </c:pt>
                <c:pt idx="1">
                  <c:v>#N/A</c:v>
                </c:pt>
                <c:pt idx="2">
                  <c:v>#N/A</c:v>
                </c:pt>
              </c:numCache>
            </c:numRef>
          </c:val>
          <c:extLst>
            <c:ext xmlns:c16="http://schemas.microsoft.com/office/drawing/2014/chart" uri="{C3380CC4-5D6E-409C-BE32-E72D297353CC}">
              <c16:uniqueId val="{00000004-DF4C-4559-95C4-CB77BD8B0B2A}"/>
            </c:ext>
          </c:extLst>
        </c:ser>
        <c:ser>
          <c:idx val="4"/>
          <c:order val="4"/>
          <c:tx>
            <c:strRef>
              <c:f>'M8 Rezeptur, geringerer EF'!$T$137</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EF'!$U$137:$W$137</c:f>
              <c:numCache>
                <c:formatCode>#,##0\ "€"</c:formatCode>
                <c:ptCount val="3"/>
                <c:pt idx="0">
                  <c:v>152459.04944673795</c:v>
                </c:pt>
                <c:pt idx="1">
                  <c:v>261766.62294161139</c:v>
                </c:pt>
                <c:pt idx="2">
                  <c:v>441358.68351178075</c:v>
                </c:pt>
              </c:numCache>
            </c:numRef>
          </c:val>
          <c:extLst>
            <c:ext xmlns:c16="http://schemas.microsoft.com/office/drawing/2014/chart" uri="{C3380CC4-5D6E-409C-BE32-E72D297353CC}">
              <c16:uniqueId val="{00000005-DF4C-4559-95C4-CB77BD8B0B2A}"/>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'M8 Rezeptur, geringerer EF'!$D$126</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E4-4ACC-B4E9-C5B7FB852713}"/>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E4-4ACC-B4E9-C5B7FB852713}"/>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E4-4ACC-B4E9-C5B7FB8527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EF'!$E$126:$G$126</c:f>
              <c:numCache>
                <c:formatCode>#,##0.0</c:formatCode>
                <c:ptCount val="3"/>
                <c:pt idx="0">
                  <c:v>43.0426</c:v>
                </c:pt>
                <c:pt idx="1">
                  <c:v>43.0426</c:v>
                </c:pt>
                <c:pt idx="2">
                  <c:v>43.0426</c:v>
                </c:pt>
              </c:numCache>
            </c:numRef>
          </c:val>
          <c:extLst>
            <c:ext xmlns:c16="http://schemas.microsoft.com/office/drawing/2014/chart" uri="{C3380CC4-5D6E-409C-BE32-E72D297353CC}">
              <c16:uniqueId val="{00000003-93E4-4ACC-B4E9-C5B7FB852713}"/>
            </c:ext>
          </c:extLst>
        </c:ser>
        <c:ser>
          <c:idx val="1"/>
          <c:order val="1"/>
          <c:tx>
            <c:strRef>
              <c:f>'M8 Rezeptur, geringerer EF'!$D$127</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E4-4ACC-B4E9-C5B7FB852713}"/>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E4-4ACC-B4E9-C5B7FB852713}"/>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E4-4ACC-B4E9-C5B7FB85271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EF'!$E$127:$G$127</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93E4-4ACC-B4E9-C5B7FB852713}"/>
            </c:ext>
          </c:extLst>
        </c:ser>
        <c:ser>
          <c:idx val="2"/>
          <c:order val="2"/>
          <c:tx>
            <c:strRef>
              <c:f>'M8 Rezeptur, geringerer EF'!$D$128</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EF'!$E$128:$G$128</c:f>
              <c:numCache>
                <c:formatCode>#,##0.0</c:formatCode>
                <c:ptCount val="3"/>
                <c:pt idx="0">
                  <c:v>171.9</c:v>
                </c:pt>
                <c:pt idx="1">
                  <c:v>124.8924470887134</c:v>
                </c:pt>
                <c:pt idx="2">
                  <c:v>61.552554846110553</c:v>
                </c:pt>
              </c:numCache>
            </c:numRef>
          </c:val>
          <c:extLst>
            <c:ext xmlns:c16="http://schemas.microsoft.com/office/drawing/2014/chart" uri="{C3380CC4-5D6E-409C-BE32-E72D297353CC}">
              <c16:uniqueId val="{00000008-93E4-4ACC-B4E9-C5B7FB852713}"/>
            </c:ext>
          </c:extLst>
        </c:ser>
        <c:ser>
          <c:idx val="3"/>
          <c:order val="3"/>
          <c:tx>
            <c:strRef>
              <c:f>'M8 Rezeptur, geringerer EF'!$D$132</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EF'!$M$94:$O$95</c:f>
              <c:multiLvlStrCache>
                <c:ptCount val="3"/>
                <c:lvl>
                  <c:pt idx="0">
                    <c:v>Referenz</c:v>
                  </c:pt>
                </c:lvl>
                <c:lvl>
                  <c:pt idx="0">
                    <c:v>2020</c:v>
                  </c:pt>
                  <c:pt idx="1">
                    <c:v>2025</c:v>
                  </c:pt>
                  <c:pt idx="2">
                    <c:v>2030</c:v>
                  </c:pt>
                </c:lvl>
              </c:multiLvlStrCache>
            </c:multiLvlStrRef>
          </c:cat>
          <c:val>
            <c:numRef>
              <c:f>'M8 Rezeptur, geringerer EF'!$E$132:$G$132</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93E4-4ACC-B4E9-C5B7FB852713}"/>
            </c:ext>
          </c:extLst>
        </c:ser>
        <c:ser>
          <c:idx val="4"/>
          <c:order val="4"/>
          <c:tx>
            <c:strRef>
              <c:f>'M8 Rezeptur, geringerer EF'!$D$129</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EF'!$E$129:$G$129</c:f>
              <c:numCache>
                <c:formatCode>#,##0.0</c:formatCode>
                <c:ptCount val="3"/>
                <c:pt idx="0">
                  <c:v>#N/A</c:v>
                </c:pt>
                <c:pt idx="1">
                  <c:v>#N/A</c:v>
                </c:pt>
                <c:pt idx="2">
                  <c:v>#N/A</c:v>
                </c:pt>
              </c:numCache>
            </c:numRef>
          </c:val>
          <c:extLst>
            <c:ext xmlns:c16="http://schemas.microsoft.com/office/drawing/2014/chart" uri="{C3380CC4-5D6E-409C-BE32-E72D297353CC}">
              <c16:uniqueId val="{0000000A-93E4-4ACC-B4E9-C5B7FB852713}"/>
            </c:ext>
          </c:extLst>
        </c:ser>
        <c:ser>
          <c:idx val="5"/>
          <c:order val="5"/>
          <c:tx>
            <c:strRef>
              <c:f>'M8 Rezeptur, geringerer EF'!$D$130</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EF'!$E$130:$G$130</c:f>
              <c:numCache>
                <c:formatCode>#,##0.0</c:formatCode>
                <c:ptCount val="3"/>
                <c:pt idx="0">
                  <c:v>#N/A</c:v>
                </c:pt>
                <c:pt idx="1">
                  <c:v>#N/A</c:v>
                </c:pt>
                <c:pt idx="2">
                  <c:v>#N/A</c:v>
                </c:pt>
              </c:numCache>
            </c:numRef>
          </c:val>
          <c:extLst>
            <c:ext xmlns:c16="http://schemas.microsoft.com/office/drawing/2014/chart" uri="{C3380CC4-5D6E-409C-BE32-E72D297353CC}">
              <c16:uniqueId val="{0000000B-93E4-4ACC-B4E9-C5B7FB852713}"/>
            </c:ext>
          </c:extLst>
        </c:ser>
        <c:ser>
          <c:idx val="6"/>
          <c:order val="6"/>
          <c:tx>
            <c:strRef>
              <c:f>'M8 Rezeptur, geringerer EF'!$D$131</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EF'!$E$131:$G$131</c:f>
              <c:numCache>
                <c:formatCode>#,##0.0</c:formatCode>
                <c:ptCount val="3"/>
                <c:pt idx="0">
                  <c:v>#N/A</c:v>
                </c:pt>
                <c:pt idx="1">
                  <c:v>#N/A</c:v>
                </c:pt>
                <c:pt idx="2">
                  <c:v>#N/A</c:v>
                </c:pt>
              </c:numCache>
            </c:numRef>
          </c:val>
          <c:extLst>
            <c:ext xmlns:c16="http://schemas.microsoft.com/office/drawing/2014/chart" uri="{C3380CC4-5D6E-409C-BE32-E72D297353CC}">
              <c16:uniqueId val="{0000000C-93E4-4ACC-B4E9-C5B7FB852713}"/>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'M8 Rezeptur, geringerer EF'!$L$126</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1E-433F-A58E-154BA272C91C}"/>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1E-433F-A58E-154BA272C91C}"/>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EF'!$M$126:$O$126</c:f>
              <c:numCache>
                <c:formatCode>#,##0</c:formatCode>
                <c:ptCount val="3"/>
                <c:pt idx="0">
                  <c:v>41.281733459999998</c:v>
                </c:pt>
                <c:pt idx="1">
                  <c:v>34.39057387091087</c:v>
                </c:pt>
                <c:pt idx="2">
                  <c:v>25.105144641628776</c:v>
                </c:pt>
              </c:numCache>
            </c:numRef>
          </c:val>
          <c:extLst>
            <c:ext xmlns:c16="http://schemas.microsoft.com/office/drawing/2014/chart" uri="{C3380CC4-5D6E-409C-BE32-E72D297353CC}">
              <c16:uniqueId val="{00000003-5B1E-433F-A58E-154BA272C91C}"/>
            </c:ext>
          </c:extLst>
        </c:ser>
        <c:ser>
          <c:idx val="1"/>
          <c:order val="1"/>
          <c:tx>
            <c:strRef>
              <c:f>'M8 Rezeptur, geringerer EF'!$L$127</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1E-433F-A58E-154BA272C91C}"/>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1E-433F-A58E-154BA272C91C}"/>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EF'!$M$127:$O$127</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5B1E-433F-A58E-154BA272C91C}"/>
            </c:ext>
          </c:extLst>
        </c:ser>
        <c:ser>
          <c:idx val="2"/>
          <c:order val="2"/>
          <c:tx>
            <c:strRef>
              <c:f>'M8 Rezeptur, geringerer EF'!$L$128</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EF'!$M$128:$O$128</c:f>
              <c:numCache>
                <c:formatCode>#,##0</c:formatCode>
                <c:ptCount val="3"/>
                <c:pt idx="0">
                  <c:v>4548.5439999999999</c:v>
                </c:pt>
                <c:pt idx="1">
                  <c:v>4321.1167999999998</c:v>
                </c:pt>
                <c:pt idx="2">
                  <c:v>4093.6896000000002</c:v>
                </c:pt>
              </c:numCache>
            </c:numRef>
          </c:val>
          <c:extLst>
            <c:ext xmlns:c16="http://schemas.microsoft.com/office/drawing/2014/chart" uri="{C3380CC4-5D6E-409C-BE32-E72D297353CC}">
              <c16:uniqueId val="{00000008-5B1E-433F-A58E-154BA272C91C}"/>
            </c:ext>
          </c:extLst>
        </c:ser>
        <c:ser>
          <c:idx val="3"/>
          <c:order val="3"/>
          <c:tx>
            <c:strRef>
              <c:f>'M8 Rezeptur, geringerer EF'!$L$129</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1E-433F-A58E-154BA272C91C}"/>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1E-433F-A58E-154BA272C91C}"/>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EF'!$M$129:$O$129</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5B1E-433F-A58E-154BA272C91C}"/>
            </c:ext>
          </c:extLst>
        </c:ser>
        <c:ser>
          <c:idx val="4"/>
          <c:order val="4"/>
          <c:tx>
            <c:strRef>
              <c:f>'M8 Rezeptur, geringerer EF'!$L$130</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EF'!$M$130:$O$130</c:f>
              <c:numCache>
                <c:formatCode>#,##0</c:formatCode>
                <c:ptCount val="3"/>
                <c:pt idx="0">
                  <c:v>208</c:v>
                </c:pt>
                <c:pt idx="1">
                  <c:v>208</c:v>
                </c:pt>
                <c:pt idx="2">
                  <c:v>208</c:v>
                </c:pt>
              </c:numCache>
            </c:numRef>
          </c:val>
          <c:extLst>
            <c:ext xmlns:c16="http://schemas.microsoft.com/office/drawing/2014/chart" uri="{C3380CC4-5D6E-409C-BE32-E72D297353CC}">
              <c16:uniqueId val="{0000000D-5B1E-433F-A58E-154BA272C91C}"/>
            </c:ext>
          </c:extLst>
        </c:ser>
        <c:ser>
          <c:idx val="5"/>
          <c:order val="5"/>
          <c:tx>
            <c:strRef>
              <c:f>'M8 Rezeptur, geringerer EF'!$L$131</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EF'!$M$131:$O$131</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5B1E-433F-A58E-154BA272C91C}"/>
            </c:ext>
          </c:extLst>
        </c:ser>
        <c:ser>
          <c:idx val="6"/>
          <c:order val="6"/>
          <c:tx>
            <c:strRef>
              <c:f>'M8 Rezeptur, geringerer EF'!$L$132</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1E-433F-A58E-154BA272C91C}"/>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1E-433F-A58E-154BA272C91C}"/>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EF'!$M$132:$O$132</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5B1E-433F-A58E-154BA272C91C}"/>
            </c:ext>
          </c:extLst>
        </c:ser>
        <c:ser>
          <c:idx val="11"/>
          <c:order val="7"/>
          <c:tx>
            <c:strRef>
              <c:f>'M8 Rezeptur, geringerer EF'!$L$133</c:f>
              <c:strCache>
                <c:ptCount val="1"/>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'M8 Rezeptur, geringerer EF'!$M$133:$O$133</c:f>
              <c:numCache>
                <c:formatCode>#,##0</c:formatCode>
                <c:ptCount val="3"/>
                <c:pt idx="0">
                  <c:v>#N/A</c:v>
                </c:pt>
                <c:pt idx="1">
                  <c:v>#N/A</c:v>
                </c:pt>
                <c:pt idx="2">
                  <c:v>#N/A</c:v>
                </c:pt>
              </c:numCache>
            </c:numRef>
          </c:val>
          <c:extLst>
            <c:ext xmlns:c16="http://schemas.microsoft.com/office/drawing/2014/chart" uri="{C3380CC4-5D6E-409C-BE32-E72D297353CC}">
              <c16:uniqueId val="{00000013-5B1E-433F-A58E-154BA272C91C}"/>
            </c:ext>
          </c:extLst>
        </c:ser>
        <c:ser>
          <c:idx val="7"/>
          <c:order val="8"/>
          <c:tx>
            <c:strRef>
              <c:f>'M8 Rezeptur, geringerer EF'!$L$134</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EF'!$M$134:$O$134</c:f>
              <c:numCache>
                <c:formatCode>#,##0</c:formatCode>
                <c:ptCount val="3"/>
                <c:pt idx="0">
                  <c:v>#N/A</c:v>
                </c:pt>
                <c:pt idx="1">
                  <c:v>#N/A</c:v>
                </c:pt>
                <c:pt idx="2">
                  <c:v>#N/A</c:v>
                </c:pt>
              </c:numCache>
            </c:numRef>
          </c:val>
          <c:extLst>
            <c:ext xmlns:c16="http://schemas.microsoft.com/office/drawing/2014/chart" uri="{C3380CC4-5D6E-409C-BE32-E72D297353CC}">
              <c16:uniqueId val="{00000014-5B1E-433F-A58E-154BA272C91C}"/>
            </c:ext>
          </c:extLst>
        </c:ser>
        <c:ser>
          <c:idx val="8"/>
          <c:order val="9"/>
          <c:tx>
            <c:strRef>
              <c:f>'M8 Rezeptur, geringerer EF'!$L$135</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EF'!$M$135:$O$135</c:f>
              <c:numCache>
                <c:formatCode>#,##0</c:formatCode>
                <c:ptCount val="3"/>
                <c:pt idx="0">
                  <c:v>#N/A</c:v>
                </c:pt>
                <c:pt idx="1">
                  <c:v>#N/A</c:v>
                </c:pt>
                <c:pt idx="2">
                  <c:v>#N/A</c:v>
                </c:pt>
              </c:numCache>
            </c:numRef>
          </c:val>
          <c:extLst>
            <c:ext xmlns:c16="http://schemas.microsoft.com/office/drawing/2014/chart" uri="{C3380CC4-5D6E-409C-BE32-E72D297353CC}">
              <c16:uniqueId val="{00000015-5B1E-433F-A58E-154BA272C91C}"/>
            </c:ext>
          </c:extLst>
        </c:ser>
        <c:ser>
          <c:idx val="9"/>
          <c:order val="10"/>
          <c:tx>
            <c:strRef>
              <c:f>'M8 Rezeptur, geringerer EF'!$L$136</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EF'!$M$136:$O$136</c:f>
              <c:numCache>
                <c:formatCode>#,##0</c:formatCode>
                <c:ptCount val="3"/>
                <c:pt idx="0">
                  <c:v>#N/A</c:v>
                </c:pt>
                <c:pt idx="1">
                  <c:v>#N/A</c:v>
                </c:pt>
                <c:pt idx="2">
                  <c:v>#N/A</c:v>
                </c:pt>
              </c:numCache>
            </c:numRef>
          </c:val>
          <c:extLst>
            <c:ext xmlns:c16="http://schemas.microsoft.com/office/drawing/2014/chart" uri="{C3380CC4-5D6E-409C-BE32-E72D297353CC}">
              <c16:uniqueId val="{00000016-5B1E-433F-A58E-154BA272C91C}"/>
            </c:ext>
          </c:extLst>
        </c:ser>
        <c:ser>
          <c:idx val="10"/>
          <c:order val="11"/>
          <c:tx>
            <c:strRef>
              <c:f>'M8 Rezeptur, geringerer EF'!$L$137</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1E-433F-A58E-154BA272C91C}"/>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1E-433F-A58E-154BA272C91C}"/>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B1E-433F-A58E-154BA272C9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'M8 Rezeptur, geringerer EF'!$E$85:$G$86</c:f>
              <c:multiLvlStrCache>
                <c:ptCount val="3"/>
                <c:lvl>
                  <c:pt idx="0">
                    <c:v>Referenz</c:v>
                  </c:pt>
                </c:lvl>
                <c:lvl>
                  <c:pt idx="0">
                    <c:v>2020</c:v>
                  </c:pt>
                  <c:pt idx="1">
                    <c:v>2025</c:v>
                  </c:pt>
                  <c:pt idx="2">
                    <c:v>2030</c:v>
                  </c:pt>
                </c:lvl>
              </c:multiLvlStrCache>
            </c:multiLvlStrRef>
          </c:cat>
          <c:val>
            <c:numRef>
              <c:f>'M8 Rezeptur, geringerer EF'!$M$137:$O$137</c:f>
              <c:numCache>
                <c:formatCode>#,##0</c:formatCode>
                <c:ptCount val="3"/>
                <c:pt idx="0">
                  <c:v>64.48</c:v>
                </c:pt>
                <c:pt idx="1">
                  <c:v>64.48</c:v>
                </c:pt>
                <c:pt idx="2">
                  <c:v>64.48</c:v>
                </c:pt>
              </c:numCache>
            </c:numRef>
          </c:val>
          <c:extLst>
            <c:ext xmlns:c16="http://schemas.microsoft.com/office/drawing/2014/chart" uri="{C3380CC4-5D6E-409C-BE32-E72D297353CC}">
              <c16:uniqueId val="{0000001A-5B1E-433F-A58E-154BA272C91C}"/>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'M9 Rezeptur, Recycling'!$L$91</c:f>
              <c:strCache>
                <c:ptCount val="1"/>
                <c:pt idx="0">
                  <c:v>Scope 3</c:v>
                </c:pt>
              </c:strCache>
            </c:strRef>
          </c:tx>
          <c:spPr>
            <a:solidFill>
              <a:schemeClr val="accent3"/>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Recycling'!$M$91:$O$91</c:f>
              <c:numCache>
                <c:formatCode>#,##0</c:formatCode>
                <c:ptCount val="3"/>
                <c:pt idx="0">
                  <c:v>5831.5296228095176</c:v>
                </c:pt>
                <c:pt idx="1">
                  <c:v>5824.638463220429</c:v>
                </c:pt>
                <c:pt idx="2">
                  <c:v>5815.3530339911495</c:v>
                </c:pt>
              </c:numCache>
            </c:numRef>
          </c:val>
          <c:extLst>
            <c:ext xmlns:c16="http://schemas.microsoft.com/office/drawing/2014/chart" uri="{C3380CC4-5D6E-409C-BE32-E72D297353CC}">
              <c16:uniqueId val="{00000000-4559-40B6-9328-07D6BB82BD09}"/>
            </c:ext>
          </c:extLst>
        </c:ser>
        <c:ser>
          <c:idx val="1"/>
          <c:order val="1"/>
          <c:tx>
            <c:strRef>
              <c:f>'M9 Rezeptur, Recycling'!$L$90</c:f>
              <c:strCache>
                <c:ptCount val="1"/>
                <c:pt idx="0">
                  <c:v>Scope 2</c:v>
                </c:pt>
              </c:strCache>
            </c:strRef>
          </c:tx>
          <c:spPr>
            <a:solidFill>
              <a:schemeClr val="accent2"/>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Recycling'!$M$90:$O$90</c:f>
              <c:numCache>
                <c:formatCode>#,##0</c:formatCode>
                <c:ptCount val="3"/>
                <c:pt idx="0">
                  <c:v>171.9</c:v>
                </c:pt>
                <c:pt idx="1">
                  <c:v>124.8924470887134</c:v>
                </c:pt>
                <c:pt idx="2">
                  <c:v>61.552554846110553</c:v>
                </c:pt>
              </c:numCache>
            </c:numRef>
          </c:val>
          <c:extLst>
            <c:ext xmlns:c16="http://schemas.microsoft.com/office/drawing/2014/chart" uri="{C3380CC4-5D6E-409C-BE32-E72D297353CC}">
              <c16:uniqueId val="{00000001-4559-40B6-9328-07D6BB82BD09}"/>
            </c:ext>
          </c:extLst>
        </c:ser>
        <c:ser>
          <c:idx val="0"/>
          <c:order val="2"/>
          <c:tx>
            <c:strRef>
              <c:f>'M9 Rezeptur, Recycling'!$L$89</c:f>
              <c:strCache>
                <c:ptCount val="1"/>
                <c:pt idx="0">
                  <c:v>Scope 1 </c:v>
                </c:pt>
              </c:strCache>
            </c:strRef>
          </c:tx>
          <c:spPr>
            <a:solidFill>
              <a:schemeClr val="accent1"/>
            </a:solidFill>
            <a:ln>
              <a:noFill/>
            </a:ln>
            <a:effectLst/>
          </c:spPr>
          <c:invertIfNegative val="0"/>
          <c:cat>
            <c:multiLvlStrRef>
              <c:f>'M9 Rezeptur, Recycling'!$M$87:$O$88</c:f>
              <c:multiLvlStrCache>
                <c:ptCount val="3"/>
                <c:lvl>
                  <c:pt idx="0">
                    <c:v>Referenz</c:v>
                  </c:pt>
                </c:lvl>
                <c:lvl>
                  <c:pt idx="0">
                    <c:v>2020</c:v>
                  </c:pt>
                  <c:pt idx="1">
                    <c:v>2025</c:v>
                  </c:pt>
                  <c:pt idx="2">
                    <c:v>2030</c:v>
                  </c:pt>
                </c:lvl>
              </c:multiLvlStrCache>
            </c:multiLvlStrRef>
          </c:cat>
          <c:val>
            <c:numRef>
              <c:f>'M9 Rezeptur, Recycling'!$M$89:$O$89</c:f>
              <c:numCache>
                <c:formatCode>#,##0</c:formatCode>
                <c:ptCount val="3"/>
                <c:pt idx="0">
                  <c:v>94.932355060000006</c:v>
                </c:pt>
                <c:pt idx="1">
                  <c:v>94.932355060000006</c:v>
                </c:pt>
                <c:pt idx="2">
                  <c:v>94.932355060000006</c:v>
                </c:pt>
              </c:numCache>
            </c:numRef>
          </c:val>
          <c:extLst>
            <c:ext xmlns:c16="http://schemas.microsoft.com/office/drawing/2014/chart" uri="{C3380CC4-5D6E-409C-BE32-E72D297353CC}">
              <c16:uniqueId val="{00000002-4559-40B6-9328-07D6BB82BD09}"/>
            </c:ext>
          </c:extLst>
        </c:ser>
        <c:dLbls>
          <c:showLegendKey val="0"/>
          <c:showVal val="0"/>
          <c:showCatName val="0"/>
          <c:showSerName val="0"/>
          <c:showPercent val="0"/>
          <c:showBubbleSize val="0"/>
        </c:dLbls>
        <c:gapWidth val="150"/>
        <c:overlap val="100"/>
        <c:axId val="879647648"/>
        <c:axId val="879648304"/>
      </c:barChart>
      <c:catAx>
        <c:axId val="879647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79648304"/>
        <c:crosses val="autoZero"/>
        <c:auto val="1"/>
        <c:lblAlgn val="ctr"/>
        <c:lblOffset val="100"/>
        <c:noMultiLvlLbl val="0"/>
      </c:catAx>
      <c:valAx>
        <c:axId val="879648304"/>
        <c:scaling>
          <c:orientation val="minMax"/>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GB"/>
                  <a:t>Emissionen [tCO</a:t>
                </a:r>
                <a:r>
                  <a:rPr lang="en-GB" baseline="-25000"/>
                  <a:t>2</a:t>
                </a:r>
                <a:r>
                  <a:rPr lang="en-GB"/>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79647648"/>
        <c:crosses val="autoZero"/>
        <c:crossBetween val="between"/>
      </c:valAx>
      <c:dTable>
        <c:showHorzBorder val="1"/>
        <c:showVertBorder val="1"/>
        <c:showOutline val="1"/>
        <c:showKeys val="1"/>
        <c:spPr>
          <a:noFill/>
          <a:ln w="9525" cap="flat" cmpd="sng" algn="ctr">
            <a:solidFill>
              <a:schemeClr val="dk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dk1">
                    <a:lumMod val="65000"/>
                    <a:lumOff val="35000"/>
                  </a:schemeClr>
                </a:solidFill>
                <a:latin typeface="+mn-lt"/>
                <a:ea typeface="+mn-ea"/>
                <a:cs typeface="+mn-cs"/>
              </a:defRPr>
            </a:pPr>
            <a:endParaRPr lang="de-DE"/>
          </a:p>
        </c:txPr>
      </c:dTable>
      <c:spPr>
        <a:pattFill prst="ltDnDiag">
          <a:fgClr>
            <a:schemeClr val="dk1">
              <a:lumMod val="15000"/>
              <a:lumOff val="85000"/>
            </a:schemeClr>
          </a:fgClr>
          <a:bgClr>
            <a:schemeClr val="lt1"/>
          </a:bgClr>
        </a:patt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1000"/>
      </a:pPr>
      <a:endParaRPr lang="de-DE"/>
    </a:p>
  </c:txPr>
  <c:printSettings>
    <c:headerFooter/>
    <c:pageMargins b="0.78740157499999996" l="0.7" r="0.7" t="0.78740157499999996"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Recycling'!$T$128</c:f>
              <c:strCache>
                <c:ptCount val="1"/>
                <c:pt idx="0">
                  <c:v>Energieträger intern</c:v>
                </c:pt>
              </c:strCache>
            </c:strRef>
          </c:tx>
          <c:spPr>
            <a:solidFill>
              <a:srgbClr val="0054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Recycling'!$U$128:$W$128</c:f>
              <c:numCache>
                <c:formatCode>#,##0\ "€"</c:formatCode>
                <c:ptCount val="3"/>
                <c:pt idx="0">
                  <c:v>109669</c:v>
                </c:pt>
                <c:pt idx="1">
                  <c:v>109669</c:v>
                </c:pt>
                <c:pt idx="2">
                  <c:v>109669</c:v>
                </c:pt>
              </c:numCache>
            </c:numRef>
          </c:val>
          <c:extLst>
            <c:ext xmlns:c16="http://schemas.microsoft.com/office/drawing/2014/chart" uri="{C3380CC4-5D6E-409C-BE32-E72D297353CC}">
              <c16:uniqueId val="{00000000-1333-4C8D-AA6C-5BE06EA53311}"/>
            </c:ext>
          </c:extLst>
        </c:ser>
        <c:ser>
          <c:idx val="1"/>
          <c:order val="1"/>
          <c:tx>
            <c:strRef>
              <c:f>'M9 Rezeptur, Recycling'!$T$136</c:f>
              <c:strCache>
                <c:ptCount val="1"/>
                <c:pt idx="0">
                  <c:v>CAPEX</c:v>
                </c:pt>
              </c:strCache>
            </c:strRef>
          </c:tx>
          <c:spPr>
            <a:solidFill>
              <a:schemeClr val="accent1"/>
            </a:solidFill>
            <a:ln>
              <a:noFill/>
            </a:ln>
            <a:effectLst/>
          </c:spPr>
          <c:invertIfNegative val="0"/>
          <c:dLbls>
            <c:dLbl>
              <c:idx val="0"/>
              <c:layout>
                <c:manualLayout>
                  <c:x val="7.6190441909062503E-2"/>
                  <c:y val="-5.96491129190585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3-4C8D-AA6C-5BE06EA5331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Recycling'!$U$136:$W$136</c:f>
              <c:numCache>
                <c:formatCode>#,##0\ "€"</c:formatCode>
                <c:ptCount val="3"/>
                <c:pt idx="0">
                  <c:v>0</c:v>
                </c:pt>
                <c:pt idx="1">
                  <c:v>0</c:v>
                </c:pt>
                <c:pt idx="2">
                  <c:v>0</c:v>
                </c:pt>
              </c:numCache>
            </c:numRef>
          </c:val>
          <c:extLst>
            <c:ext xmlns:c16="http://schemas.microsoft.com/office/drawing/2014/chart" uri="{C3380CC4-5D6E-409C-BE32-E72D297353CC}">
              <c16:uniqueId val="{00000002-1333-4C8D-AA6C-5BE06EA53311}"/>
            </c:ext>
          </c:extLst>
        </c:ser>
        <c:ser>
          <c:idx val="2"/>
          <c:order val="2"/>
          <c:tx>
            <c:strRef>
              <c:f>'M9 Rezeptur, Recycling'!$T$137</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Recycling'!$U$137:$W$137</c:f>
              <c:numCache>
                <c:formatCode>#,##0\ "€"</c:formatCode>
                <c:ptCount val="3"/>
                <c:pt idx="0">
                  <c:v>#N/A</c:v>
                </c:pt>
                <c:pt idx="1">
                  <c:v>#N/A</c:v>
                </c:pt>
                <c:pt idx="2">
                  <c:v>#N/A</c:v>
                </c:pt>
              </c:numCache>
            </c:numRef>
          </c:val>
          <c:extLst>
            <c:ext xmlns:c16="http://schemas.microsoft.com/office/drawing/2014/chart" uri="{C3380CC4-5D6E-409C-BE32-E72D297353CC}">
              <c16:uniqueId val="{00000003-1333-4C8D-AA6C-5BE06EA53311}"/>
            </c:ext>
          </c:extLst>
        </c:ser>
        <c:ser>
          <c:idx val="3"/>
          <c:order val="3"/>
          <c:tx>
            <c:strRef>
              <c:f>'M9 Rezeptur, Recycling'!$T$138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Recycling'!$U$138:$W$138</c:f>
              <c:numCache>
                <c:formatCode>#,##0\ "€"</c:formatCode>
                <c:ptCount val="3"/>
                <c:pt idx="0">
                  <c:v>#N/A</c:v>
                </c:pt>
                <c:pt idx="1">
                  <c:v>#N/A</c:v>
                </c:pt>
                <c:pt idx="2">
                  <c:v>#N/A</c:v>
                </c:pt>
              </c:numCache>
            </c:numRef>
          </c:val>
          <c:extLst>
            <c:ext xmlns:c16="http://schemas.microsoft.com/office/drawing/2014/chart" uri="{C3380CC4-5D6E-409C-BE32-E72D297353CC}">
              <c16:uniqueId val="{00000004-1333-4C8D-AA6C-5BE06EA53311}"/>
            </c:ext>
          </c:extLst>
        </c:ser>
        <c:ser>
          <c:idx val="4"/>
          <c:order val="4"/>
          <c:tx>
            <c:strRef>
              <c:f>'M9 Rezeptur, Recycling'!$T$139</c:f>
              <c:strCache>
                <c:ptCount val="1"/>
                <c:pt idx="0">
                  <c:v>CO2-Kosten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Recycling'!$U$139:$W$139</c:f>
              <c:numCache>
                <c:formatCode>#,##0\ "€"</c:formatCode>
                <c:ptCount val="3"/>
                <c:pt idx="0">
                  <c:v>152459.04944673795</c:v>
                </c:pt>
                <c:pt idx="1">
                  <c:v>272000.84694161144</c:v>
                </c:pt>
                <c:pt idx="2">
                  <c:v>477747.03551178076</c:v>
                </c:pt>
              </c:numCache>
            </c:numRef>
          </c:val>
          <c:extLst>
            <c:ext xmlns:c16="http://schemas.microsoft.com/office/drawing/2014/chart" uri="{C3380CC4-5D6E-409C-BE32-E72D297353CC}">
              <c16:uniqueId val="{00000005-1333-4C8D-AA6C-5BE06EA53311}"/>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Jährliche</a:t>
                </a:r>
                <a:r>
                  <a:rPr lang="en-US" sz="1000" baseline="0"/>
                  <a:t> Kosten [€/a]</a:t>
                </a:r>
                <a:endParaRPr lang="en-US" sz="1000"/>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quot;€&quot;"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'M9 Rezeptur, Recycling'!$D$128</c:f>
              <c:strCache>
                <c:ptCount val="1"/>
                <c:pt idx="0">
                  <c:v>Erdgas</c:v>
                </c:pt>
              </c:strCache>
            </c:strRef>
          </c:tx>
          <c:spPr>
            <a:solidFill>
              <a:schemeClr val="accent1"/>
            </a:solidFill>
            <a:ln>
              <a:noFill/>
            </a:ln>
            <a:effectLst/>
          </c:spPr>
          <c:invertIfNegative val="0"/>
          <c:dLbls>
            <c:dLbl>
              <c:idx val="0"/>
              <c:layout>
                <c:manualLayout>
                  <c:x val="8.947367185057711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AA-41F6-9EF1-8AB56CB21AAD}"/>
                </c:ext>
              </c:extLst>
            </c:dLbl>
            <c:dLbl>
              <c:idx val="1"/>
              <c:layout>
                <c:manualLayout>
                  <c:x val="9.29824432956978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A-41F6-9EF1-8AB56CB21AAD}"/>
                </c:ext>
              </c:extLst>
            </c:dLbl>
            <c:dLbl>
              <c:idx val="2"/>
              <c:layout>
                <c:manualLayout>
                  <c:x val="9.4736829018258181E-2"/>
                  <c:y val="-2.9824556459529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A-41F6-9EF1-8AB56CB21A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Recycling'!$E$128:$G$128</c:f>
              <c:numCache>
                <c:formatCode>#,##0.0</c:formatCode>
                <c:ptCount val="3"/>
                <c:pt idx="0">
                  <c:v>43.0426</c:v>
                </c:pt>
                <c:pt idx="1">
                  <c:v>43.0426</c:v>
                </c:pt>
                <c:pt idx="2">
                  <c:v>43.0426</c:v>
                </c:pt>
              </c:numCache>
            </c:numRef>
          </c:val>
          <c:extLst>
            <c:ext xmlns:c16="http://schemas.microsoft.com/office/drawing/2014/chart" uri="{C3380CC4-5D6E-409C-BE32-E72D297353CC}">
              <c16:uniqueId val="{00000003-08AA-41F6-9EF1-8AB56CB21AAD}"/>
            </c:ext>
          </c:extLst>
        </c:ser>
        <c:ser>
          <c:idx val="1"/>
          <c:order val="1"/>
          <c:tx>
            <c:strRef>
              <c:f>'M9 Rezeptur, Recycling'!$D$129</c:f>
              <c:strCache>
                <c:ptCount val="1"/>
                <c:pt idx="0">
                  <c:v>Heizöl</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AA-41F6-9EF1-8AB56CB21AAD}"/>
                </c:ext>
              </c:extLst>
            </c:dLbl>
            <c:dLbl>
              <c:idx val="1"/>
              <c:layout>
                <c:manualLayout>
                  <c:x val="9.4736829018258181E-2"/>
                  <c:y val="-4.1754379043340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AA-41F6-9EF1-8AB56CB21AAD}"/>
                </c:ext>
              </c:extLst>
            </c:dLbl>
            <c:dLbl>
              <c:idx val="2"/>
              <c:layout>
                <c:manualLayout>
                  <c:x val="9.2982443295697714E-2"/>
                  <c:y val="-5.36842016271527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AA-41F6-9EF1-8AB56CB21AA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Recycling'!$E$129:$G$129</c:f>
              <c:numCache>
                <c:formatCode>#,##0.0</c:formatCode>
                <c:ptCount val="3"/>
                <c:pt idx="0">
                  <c:v>16.005600000000001</c:v>
                </c:pt>
                <c:pt idx="1">
                  <c:v>16.005600000000001</c:v>
                </c:pt>
                <c:pt idx="2">
                  <c:v>16.005600000000001</c:v>
                </c:pt>
              </c:numCache>
            </c:numRef>
          </c:val>
          <c:extLst>
            <c:ext xmlns:c16="http://schemas.microsoft.com/office/drawing/2014/chart" uri="{C3380CC4-5D6E-409C-BE32-E72D297353CC}">
              <c16:uniqueId val="{00000007-08AA-41F6-9EF1-8AB56CB21AAD}"/>
            </c:ext>
          </c:extLst>
        </c:ser>
        <c:ser>
          <c:idx val="2"/>
          <c:order val="2"/>
          <c:tx>
            <c:strRef>
              <c:f>'M9 Rezeptur, Recycling'!$D$130</c:f>
              <c:strCache>
                <c:ptCount val="1"/>
                <c:pt idx="0">
                  <c:v>Strom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Recycling'!$E$130:$G$130</c:f>
              <c:numCache>
                <c:formatCode>#,##0.0</c:formatCode>
                <c:ptCount val="3"/>
                <c:pt idx="0">
                  <c:v>171.9</c:v>
                </c:pt>
                <c:pt idx="1">
                  <c:v>124.8924470887134</c:v>
                </c:pt>
                <c:pt idx="2">
                  <c:v>61.552554846110553</c:v>
                </c:pt>
              </c:numCache>
            </c:numRef>
          </c:val>
          <c:extLst>
            <c:ext xmlns:c16="http://schemas.microsoft.com/office/drawing/2014/chart" uri="{C3380CC4-5D6E-409C-BE32-E72D297353CC}">
              <c16:uniqueId val="{00000008-08AA-41F6-9EF1-8AB56CB21AAD}"/>
            </c:ext>
          </c:extLst>
        </c:ser>
        <c:ser>
          <c:idx val="3"/>
          <c:order val="3"/>
          <c:tx>
            <c:strRef>
              <c:f>'M9 Rezeptur, Recycling'!$D$134</c:f>
              <c:strCache>
                <c:ptCount val="1"/>
                <c:pt idx="0">
                  <c:v>Diesel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Recycling'!$M$96:$O$97</c:f>
              <c:multiLvlStrCache>
                <c:ptCount val="3"/>
                <c:lvl>
                  <c:pt idx="0">
                    <c:v>Referenz</c:v>
                  </c:pt>
                </c:lvl>
                <c:lvl>
                  <c:pt idx="0">
                    <c:v>2020</c:v>
                  </c:pt>
                  <c:pt idx="1">
                    <c:v>2025</c:v>
                  </c:pt>
                  <c:pt idx="2">
                    <c:v>2030</c:v>
                  </c:pt>
                </c:lvl>
              </c:multiLvlStrCache>
            </c:multiLvlStrRef>
          </c:cat>
          <c:val>
            <c:numRef>
              <c:f>'M9 Rezeptur, Recycling'!$E$134:$G$134</c:f>
              <c:numCache>
                <c:formatCode>#,##0.0</c:formatCode>
                <c:ptCount val="3"/>
                <c:pt idx="0">
                  <c:v>35.884155059999998</c:v>
                </c:pt>
                <c:pt idx="1">
                  <c:v>35.884155059999998</c:v>
                </c:pt>
                <c:pt idx="2">
                  <c:v>35.884155059999998</c:v>
                </c:pt>
              </c:numCache>
            </c:numRef>
          </c:val>
          <c:extLst>
            <c:ext xmlns:c16="http://schemas.microsoft.com/office/drawing/2014/chart" uri="{C3380CC4-5D6E-409C-BE32-E72D297353CC}">
              <c16:uniqueId val="{00000009-08AA-41F6-9EF1-8AB56CB21AAD}"/>
            </c:ext>
          </c:extLst>
        </c:ser>
        <c:ser>
          <c:idx val="4"/>
          <c:order val="4"/>
          <c:tx>
            <c:strRef>
              <c:f>'M9 Rezeptur, Recycling'!$D$131</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Recycling'!$E$131:$G$131</c:f>
              <c:numCache>
                <c:formatCode>#,##0.0</c:formatCode>
                <c:ptCount val="3"/>
                <c:pt idx="0">
                  <c:v>#N/A</c:v>
                </c:pt>
                <c:pt idx="1">
                  <c:v>#N/A</c:v>
                </c:pt>
                <c:pt idx="2">
                  <c:v>#N/A</c:v>
                </c:pt>
              </c:numCache>
            </c:numRef>
          </c:val>
          <c:extLst>
            <c:ext xmlns:c16="http://schemas.microsoft.com/office/drawing/2014/chart" uri="{C3380CC4-5D6E-409C-BE32-E72D297353CC}">
              <c16:uniqueId val="{0000000A-08AA-41F6-9EF1-8AB56CB21AAD}"/>
            </c:ext>
          </c:extLst>
        </c:ser>
        <c:ser>
          <c:idx val="5"/>
          <c:order val="5"/>
          <c:tx>
            <c:strRef>
              <c:f>'M9 Rezeptur, Recycling'!$D$132</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Recycling'!$E$132:$G$132</c:f>
              <c:numCache>
                <c:formatCode>#,##0.0</c:formatCode>
                <c:ptCount val="3"/>
                <c:pt idx="0">
                  <c:v>#N/A</c:v>
                </c:pt>
                <c:pt idx="1">
                  <c:v>#N/A</c:v>
                </c:pt>
                <c:pt idx="2">
                  <c:v>#N/A</c:v>
                </c:pt>
              </c:numCache>
            </c:numRef>
          </c:val>
          <c:extLst>
            <c:ext xmlns:c16="http://schemas.microsoft.com/office/drawing/2014/chart" uri="{C3380CC4-5D6E-409C-BE32-E72D297353CC}">
              <c16:uniqueId val="{0000000B-08AA-41F6-9EF1-8AB56CB21AAD}"/>
            </c:ext>
          </c:extLst>
        </c:ser>
        <c:ser>
          <c:idx val="6"/>
          <c:order val="6"/>
          <c:tx>
            <c:strRef>
              <c:f>'M9 Rezeptur, Recycling'!$D$133</c:f>
              <c:strCache>
                <c:ptCount val="1"/>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Recycling'!$E$133:$G$133</c:f>
              <c:numCache>
                <c:formatCode>#,##0.0</c:formatCode>
                <c:ptCount val="3"/>
                <c:pt idx="0">
                  <c:v>#N/A</c:v>
                </c:pt>
                <c:pt idx="1">
                  <c:v>#N/A</c:v>
                </c:pt>
                <c:pt idx="2">
                  <c:v>#N/A</c:v>
                </c:pt>
              </c:numCache>
            </c:numRef>
          </c:val>
          <c:extLst>
            <c:ext xmlns:c16="http://schemas.microsoft.com/office/drawing/2014/chart" uri="{C3380CC4-5D6E-409C-BE32-E72D297353CC}">
              <c16:uniqueId val="{0000000C-08AA-41F6-9EF1-8AB56CB21AAD}"/>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1 und Scope 2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03715958282028"/>
          <c:y val="7.4803681239895559E-2"/>
          <c:w val="0.81498764235020116"/>
          <c:h val="0.51570757323463634"/>
        </c:manualLayout>
      </c:layout>
      <c:barChart>
        <c:barDir val="col"/>
        <c:grouping val="stacked"/>
        <c:varyColors val="0"/>
        <c:ser>
          <c:idx val="0"/>
          <c:order val="0"/>
          <c:tx>
            <c:strRef>
              <c:f>'M9 Rezeptur, Recycling'!$L$128</c:f>
              <c:strCache>
                <c:ptCount val="1"/>
                <c:pt idx="0">
                  <c:v>Energieträger gesamt</c:v>
                </c:pt>
              </c:strCache>
            </c:strRef>
          </c:tx>
          <c:spPr>
            <a:solidFill>
              <a:schemeClr val="accent1"/>
            </a:solidFill>
            <a:ln>
              <a:noFill/>
            </a:ln>
            <a:effectLst/>
          </c:spPr>
          <c:invertIfNegative val="0"/>
          <c:dLbls>
            <c:dLbl>
              <c:idx val="0"/>
              <c:layout>
                <c:manualLayout>
                  <c:x val="8.5665764322114965E-2"/>
                  <c:y val="-8.3676935869205701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74-4045-B23C-A12D2B1F3835}"/>
                </c:ext>
              </c:extLst>
            </c:dLbl>
            <c:dLbl>
              <c:idx val="1"/>
              <c:layout>
                <c:manualLayout>
                  <c:x val="8.5366681853159876E-2"/>
                  <c:y val="-1.11569247825607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4-4045-B23C-A12D2B1F3835}"/>
                </c:ext>
              </c:extLst>
            </c:dLbl>
            <c:dLbl>
              <c:idx val="2"/>
              <c:layout>
                <c:manualLayout>
                  <c:x val="8.1409348553407812E-2"/>
                  <c:y val="-1.135019434572333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Recycling'!$M$128:$O$128</c:f>
              <c:numCache>
                <c:formatCode>#,##0</c:formatCode>
                <c:ptCount val="3"/>
                <c:pt idx="0">
                  <c:v>41.281733459999998</c:v>
                </c:pt>
                <c:pt idx="1">
                  <c:v>34.39057387091087</c:v>
                </c:pt>
                <c:pt idx="2">
                  <c:v>25.105144641628776</c:v>
                </c:pt>
              </c:numCache>
            </c:numRef>
          </c:val>
          <c:extLst>
            <c:ext xmlns:c16="http://schemas.microsoft.com/office/drawing/2014/chart" uri="{C3380CC4-5D6E-409C-BE32-E72D297353CC}">
              <c16:uniqueId val="{00000003-F474-4045-B23C-A12D2B1F3835}"/>
            </c:ext>
          </c:extLst>
        </c:ser>
        <c:ser>
          <c:idx val="1"/>
          <c:order val="1"/>
          <c:tx>
            <c:strRef>
              <c:f>'M9 Rezeptur, Recycling'!$L$129</c:f>
              <c:strCache>
                <c:ptCount val="1"/>
                <c:pt idx="0">
                  <c:v>Transport gesamt</c:v>
                </c:pt>
              </c:strCache>
            </c:strRef>
          </c:tx>
          <c:spPr>
            <a:solidFill>
              <a:schemeClr val="accent2"/>
            </a:solidFill>
            <a:ln>
              <a:noFill/>
            </a:ln>
            <a:effectLst/>
          </c:spPr>
          <c:invertIfNegative val="0"/>
          <c:dLbls>
            <c:dLbl>
              <c:idx val="0"/>
              <c:layout>
                <c:manualLayout>
                  <c:x val="9.1228057573137511E-2"/>
                  <c:y val="-4.175437904334106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74-4045-B23C-A12D2B1F3835}"/>
                </c:ext>
              </c:extLst>
            </c:dLbl>
            <c:dLbl>
              <c:idx val="1"/>
              <c:layout>
                <c:manualLayout>
                  <c:x val="9.0936661828876553E-2"/>
                  <c:y val="-3.8992573617035481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74-4045-B23C-A12D2B1F3835}"/>
                </c:ext>
              </c:extLst>
            </c:dLbl>
            <c:dLbl>
              <c:idx val="2"/>
              <c:layout>
                <c:manualLayout>
                  <c:x val="8.5382123203687321E-2"/>
                  <c:y val="-3.973797918223265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Recycling'!$M$129:$O$129</c:f>
              <c:numCache>
                <c:formatCode>#,##0</c:formatCode>
                <c:ptCount val="3"/>
                <c:pt idx="0">
                  <c:v>469.15642799999995</c:v>
                </c:pt>
                <c:pt idx="1">
                  <c:v>469.15642799999995</c:v>
                </c:pt>
                <c:pt idx="2">
                  <c:v>469.15642799999995</c:v>
                </c:pt>
              </c:numCache>
            </c:numRef>
          </c:val>
          <c:extLst>
            <c:ext xmlns:c16="http://schemas.microsoft.com/office/drawing/2014/chart" uri="{C3380CC4-5D6E-409C-BE32-E72D297353CC}">
              <c16:uniqueId val="{00000007-F474-4045-B23C-A12D2B1F3835}"/>
            </c:ext>
          </c:extLst>
        </c:ser>
        <c:ser>
          <c:idx val="2"/>
          <c:order val="2"/>
          <c:tx>
            <c:strRef>
              <c:f>'M9 Rezeptur, Recycling'!$L$130</c:f>
              <c:strCache>
                <c:ptCount val="1"/>
                <c:pt idx="0">
                  <c:v>Zement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Recycling'!$M$130:$O$130</c:f>
              <c:numCache>
                <c:formatCode>#,##0</c:formatCode>
                <c:ptCount val="3"/>
                <c:pt idx="0">
                  <c:v>4548.5439999999999</c:v>
                </c:pt>
                <c:pt idx="1">
                  <c:v>4548.5439999999999</c:v>
                </c:pt>
                <c:pt idx="2">
                  <c:v>4548.5439999999999</c:v>
                </c:pt>
              </c:numCache>
            </c:numRef>
          </c:val>
          <c:extLst>
            <c:ext xmlns:c16="http://schemas.microsoft.com/office/drawing/2014/chart" uri="{C3380CC4-5D6E-409C-BE32-E72D297353CC}">
              <c16:uniqueId val="{00000008-F474-4045-B23C-A12D2B1F3835}"/>
            </c:ext>
          </c:extLst>
        </c:ser>
        <c:ser>
          <c:idx val="3"/>
          <c:order val="3"/>
          <c:tx>
            <c:strRef>
              <c:f>'M9 Rezeptur, Recycling'!$L$131</c:f>
              <c:strCache>
                <c:ptCount val="1"/>
                <c:pt idx="0">
                  <c:v>Gesteinskörnungen (Zuschlagsstoffe)</c:v>
                </c:pt>
              </c:strCache>
            </c:strRef>
          </c:tx>
          <c:spPr>
            <a:solidFill>
              <a:schemeClr val="accent4"/>
            </a:solidFill>
            <a:ln>
              <a:noFill/>
            </a:ln>
            <a:effectLst/>
          </c:spPr>
          <c:invertIfNegative val="0"/>
          <c:dLbls>
            <c:dLbl>
              <c:idx val="0"/>
              <c:layout>
                <c:manualLayout>
                  <c:x val="8.3885811362765142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74-4045-B23C-A12D2B1F3835}"/>
                </c:ext>
              </c:extLst>
            </c:dLbl>
            <c:dLbl>
              <c:idx val="1"/>
              <c:layout>
                <c:manualLayout>
                  <c:x val="8.3885791626372566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74-4045-B23C-A12D2B1F3835}"/>
                </c:ext>
              </c:extLst>
            </c:dLbl>
            <c:dLbl>
              <c:idx val="2"/>
              <c:layout>
                <c:manualLayout>
                  <c:x val="8.7691129813634749E-2"/>
                  <c:y val="0"/>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Recycling'!$M$131:$O$131</c:f>
              <c:numCache>
                <c:formatCode>#,##0</c:formatCode>
                <c:ptCount val="3"/>
                <c:pt idx="0">
                  <c:v>129.59200000000001</c:v>
                </c:pt>
                <c:pt idx="1">
                  <c:v>129.59200000000001</c:v>
                </c:pt>
                <c:pt idx="2">
                  <c:v>129.59200000000001</c:v>
                </c:pt>
              </c:numCache>
            </c:numRef>
          </c:val>
          <c:extLst>
            <c:ext xmlns:c16="http://schemas.microsoft.com/office/drawing/2014/chart" uri="{C3380CC4-5D6E-409C-BE32-E72D297353CC}">
              <c16:uniqueId val="{0000000C-F474-4045-B23C-A12D2B1F3835}"/>
            </c:ext>
          </c:extLst>
        </c:ser>
        <c:ser>
          <c:idx val="4"/>
          <c:order val="4"/>
          <c:tx>
            <c:strRef>
              <c:f>'M9 Rezeptur, Recycling'!$L$132</c:f>
              <c:strCache>
                <c:ptCount val="1"/>
                <c:pt idx="0">
                  <c:v>Farben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Recycling'!$M$132:$O$132</c:f>
              <c:numCache>
                <c:formatCode>#,##0</c:formatCode>
                <c:ptCount val="3"/>
                <c:pt idx="0">
                  <c:v>208</c:v>
                </c:pt>
                <c:pt idx="1">
                  <c:v>208</c:v>
                </c:pt>
                <c:pt idx="2">
                  <c:v>208</c:v>
                </c:pt>
              </c:numCache>
            </c:numRef>
          </c:val>
          <c:extLst>
            <c:ext xmlns:c16="http://schemas.microsoft.com/office/drawing/2014/chart" uri="{C3380CC4-5D6E-409C-BE32-E72D297353CC}">
              <c16:uniqueId val="{0000000D-F474-4045-B23C-A12D2B1F3835}"/>
            </c:ext>
          </c:extLst>
        </c:ser>
        <c:ser>
          <c:idx val="5"/>
          <c:order val="5"/>
          <c:tx>
            <c:strRef>
              <c:f>'M9 Rezeptur, Recycling'!$L$133</c:f>
              <c:strCache>
                <c:ptCount val="1"/>
                <c:pt idx="0">
                  <c:v>Zusatzstoffe (Füllstoffe)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Recycling'!$M$133:$O$133</c:f>
              <c:numCache>
                <c:formatCode>#,##0</c:formatCode>
                <c:ptCount val="3"/>
                <c:pt idx="0">
                  <c:v>81.003999999999991</c:v>
                </c:pt>
                <c:pt idx="1">
                  <c:v>81.003999999999991</c:v>
                </c:pt>
                <c:pt idx="2">
                  <c:v>81.003999999999991</c:v>
                </c:pt>
              </c:numCache>
            </c:numRef>
          </c:val>
          <c:extLst>
            <c:ext xmlns:c16="http://schemas.microsoft.com/office/drawing/2014/chart" uri="{C3380CC4-5D6E-409C-BE32-E72D297353CC}">
              <c16:uniqueId val="{0000000E-F474-4045-B23C-A12D2B1F3835}"/>
            </c:ext>
          </c:extLst>
        </c:ser>
        <c:ser>
          <c:idx val="6"/>
          <c:order val="6"/>
          <c:tx>
            <c:strRef>
              <c:f>'M9 Rezeptur, Recycling'!$L$134</c:f>
              <c:strCache>
                <c:ptCount val="1"/>
                <c:pt idx="0">
                  <c:v>Zusatzmittel</c:v>
                </c:pt>
              </c:strCache>
            </c:strRef>
          </c:tx>
          <c:spPr>
            <a:solidFill>
              <a:schemeClr val="accent1">
                <a:lumMod val="60000"/>
              </a:schemeClr>
            </a:solidFill>
            <a:ln>
              <a:noFill/>
            </a:ln>
            <a:effectLst/>
          </c:spPr>
          <c:invertIfNegative val="0"/>
          <c:dLbls>
            <c:dLbl>
              <c:idx val="0"/>
              <c:layout>
                <c:manualLayout>
                  <c:x val="8.7855583133769941E-2"/>
                  <c:y val="3.8590441150955362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74-4045-B23C-A12D2B1F3835}"/>
                </c:ext>
              </c:extLst>
            </c:dLbl>
            <c:dLbl>
              <c:idx val="1"/>
              <c:layout>
                <c:manualLayout>
                  <c:x val="8.7841036712916792E-2"/>
                  <c:y val="3.5801209955315196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74-4045-B23C-A12D2B1F3835}"/>
                </c:ext>
              </c:extLst>
            </c:dLbl>
            <c:dLbl>
              <c:idx val="2"/>
              <c:layout>
                <c:manualLayout>
                  <c:x val="9.1650099493019596E-2"/>
                  <c:y val="3.8519722060798213E-2"/>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1"/>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Recycling'!$M$134:$O$134</c:f>
              <c:numCache>
                <c:formatCode>#,##0</c:formatCode>
                <c:ptCount val="3"/>
                <c:pt idx="0">
                  <c:v>148.44746134951595</c:v>
                </c:pt>
                <c:pt idx="1">
                  <c:v>148.44746134951595</c:v>
                </c:pt>
                <c:pt idx="2">
                  <c:v>148.44746134951595</c:v>
                </c:pt>
              </c:numCache>
            </c:numRef>
          </c:val>
          <c:extLst>
            <c:ext xmlns:c16="http://schemas.microsoft.com/office/drawing/2014/chart" uri="{C3380CC4-5D6E-409C-BE32-E72D297353CC}">
              <c16:uniqueId val="{00000012-F474-4045-B23C-A12D2B1F3835}"/>
            </c:ext>
          </c:extLst>
        </c:ser>
        <c:ser>
          <c:idx val="11"/>
          <c:order val="7"/>
          <c:tx>
            <c:strRef>
              <c:f>'M9 Rezeptur, Recycling'!$L$135</c:f>
              <c:strCache>
                <c:ptCount val="1"/>
                <c:pt idx="0">
                  <c:v>Ersatzstoffe &amp; Recyclingmaterial</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'M9 Rezeptur, Recycling'!$M$135:$O$135</c:f>
              <c:numCache>
                <c:formatCode>#,##0</c:formatCode>
                <c:ptCount val="3"/>
                <c:pt idx="0">
                  <c:v>0</c:v>
                </c:pt>
                <c:pt idx="1">
                  <c:v>0</c:v>
                </c:pt>
                <c:pt idx="2">
                  <c:v>0</c:v>
                </c:pt>
              </c:numCache>
            </c:numRef>
          </c:val>
          <c:extLst>
            <c:ext xmlns:c16="http://schemas.microsoft.com/office/drawing/2014/chart" uri="{C3380CC4-5D6E-409C-BE32-E72D297353CC}">
              <c16:uniqueId val="{00000013-F474-4045-B23C-A12D2B1F3835}"/>
            </c:ext>
          </c:extLst>
        </c:ser>
        <c:ser>
          <c:idx val="7"/>
          <c:order val="8"/>
          <c:tx>
            <c:strRef>
              <c:f>'M9 Rezeptur, Recycling'!$L$136</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Recycling'!$M$136:$O$136</c:f>
              <c:numCache>
                <c:formatCode>#,##0</c:formatCode>
                <c:ptCount val="3"/>
                <c:pt idx="0">
                  <c:v>#N/A</c:v>
                </c:pt>
                <c:pt idx="1">
                  <c:v>#N/A</c:v>
                </c:pt>
                <c:pt idx="2">
                  <c:v>#N/A</c:v>
                </c:pt>
              </c:numCache>
            </c:numRef>
          </c:val>
          <c:extLst>
            <c:ext xmlns:c16="http://schemas.microsoft.com/office/drawing/2014/chart" uri="{C3380CC4-5D6E-409C-BE32-E72D297353CC}">
              <c16:uniqueId val="{00000014-F474-4045-B23C-A12D2B1F3835}"/>
            </c:ext>
          </c:extLst>
        </c:ser>
        <c:ser>
          <c:idx val="8"/>
          <c:order val="9"/>
          <c:tx>
            <c:strRef>
              <c:f>'M9 Rezeptur, Recycling'!$L$137</c:f>
              <c:strCache>
                <c:ptCount val="1"/>
              </c:strCache>
            </c:strRef>
          </c:tx>
          <c:spPr>
            <a:solidFill>
              <a:srgbClr val="C198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Recycling'!$M$137:$O$137</c:f>
              <c:numCache>
                <c:formatCode>#,##0</c:formatCode>
                <c:ptCount val="3"/>
                <c:pt idx="0">
                  <c:v>#N/A</c:v>
                </c:pt>
                <c:pt idx="1">
                  <c:v>#N/A</c:v>
                </c:pt>
                <c:pt idx="2">
                  <c:v>#N/A</c:v>
                </c:pt>
              </c:numCache>
            </c:numRef>
          </c:val>
          <c:extLst>
            <c:ext xmlns:c16="http://schemas.microsoft.com/office/drawing/2014/chart" uri="{C3380CC4-5D6E-409C-BE32-E72D297353CC}">
              <c16:uniqueId val="{00000015-F474-4045-B23C-A12D2B1F3835}"/>
            </c:ext>
          </c:extLst>
        </c:ser>
        <c:ser>
          <c:idx val="9"/>
          <c:order val="10"/>
          <c:tx>
            <c:strRef>
              <c:f>'M9 Rezeptur, Recycling'!$L$138</c:f>
              <c:strCache>
                <c:ptCount val="1"/>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Recycling'!$M$138:$O$138</c:f>
              <c:numCache>
                <c:formatCode>#,##0</c:formatCode>
                <c:ptCount val="3"/>
                <c:pt idx="0">
                  <c:v>#N/A</c:v>
                </c:pt>
                <c:pt idx="1">
                  <c:v>#N/A</c:v>
                </c:pt>
                <c:pt idx="2">
                  <c:v>#N/A</c:v>
                </c:pt>
              </c:numCache>
            </c:numRef>
          </c:val>
          <c:extLst>
            <c:ext xmlns:c16="http://schemas.microsoft.com/office/drawing/2014/chart" uri="{C3380CC4-5D6E-409C-BE32-E72D297353CC}">
              <c16:uniqueId val="{00000016-F474-4045-B23C-A12D2B1F3835}"/>
            </c:ext>
          </c:extLst>
        </c:ser>
        <c:ser>
          <c:idx val="10"/>
          <c:order val="11"/>
          <c:tx>
            <c:strRef>
              <c:f>'M9 Rezeptur, Recycling'!$L$139</c:f>
              <c:strCache>
                <c:ptCount val="1"/>
                <c:pt idx="0">
                  <c:v>Verpackungsmaterial</c:v>
                </c:pt>
              </c:strCache>
            </c:strRef>
          </c:tx>
          <c:spPr>
            <a:solidFill>
              <a:schemeClr val="accent5">
                <a:lumMod val="60000"/>
              </a:schemeClr>
            </a:solidFill>
            <a:ln>
              <a:noFill/>
            </a:ln>
            <a:effectLst/>
          </c:spPr>
          <c:invertIfNegative val="0"/>
          <c:dLbls>
            <c:dLbl>
              <c:idx val="0"/>
              <c:layout>
                <c:manualLayout>
                  <c:x val="8.5800938679038027E-2"/>
                  <c:y val="-8.332334041841995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474-4045-B23C-A12D2B1F3835}"/>
                </c:ext>
              </c:extLst>
            </c:dLbl>
            <c:dLbl>
              <c:idx val="1"/>
              <c:layout>
                <c:manualLayout>
                  <c:x val="8.3885759908774449E-2"/>
                  <c:y val="-8.3676935869205823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474-4045-B23C-A12D2B1F3835}"/>
                </c:ext>
              </c:extLst>
            </c:dLbl>
            <c:dLbl>
              <c:idx val="2"/>
              <c:layout>
                <c:manualLayout>
                  <c:x val="8.5797939417006447E-2"/>
                  <c:y val="-8.4381930525741534E-3"/>
                </c:manualLayout>
              </c:layout>
              <c:dLblPos val="ct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474-4045-B23C-A12D2B1F383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90000"/>
                        <a:lumOff val="1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multiLvlStrRef>
              <c:f>'M9 Rezeptur, Recycling'!$E$87:$G$88</c:f>
              <c:multiLvlStrCache>
                <c:ptCount val="3"/>
                <c:lvl>
                  <c:pt idx="0">
                    <c:v>Referenz</c:v>
                  </c:pt>
                </c:lvl>
                <c:lvl>
                  <c:pt idx="0">
                    <c:v>2020</c:v>
                  </c:pt>
                  <c:pt idx="1">
                    <c:v>2025</c:v>
                  </c:pt>
                  <c:pt idx="2">
                    <c:v>2030</c:v>
                  </c:pt>
                </c:lvl>
              </c:multiLvlStrCache>
            </c:multiLvlStrRef>
          </c:cat>
          <c:val>
            <c:numRef>
              <c:f>'M9 Rezeptur, Recycling'!$M$139:$O$139</c:f>
              <c:numCache>
                <c:formatCode>#,##0</c:formatCode>
                <c:ptCount val="3"/>
                <c:pt idx="0">
                  <c:v>64.48</c:v>
                </c:pt>
                <c:pt idx="1">
                  <c:v>64.48</c:v>
                </c:pt>
                <c:pt idx="2">
                  <c:v>64.48</c:v>
                </c:pt>
              </c:numCache>
            </c:numRef>
          </c:val>
          <c:extLst>
            <c:ext xmlns:c16="http://schemas.microsoft.com/office/drawing/2014/chart" uri="{C3380CC4-5D6E-409C-BE32-E72D297353CC}">
              <c16:uniqueId val="{0000001A-F474-4045-B23C-A12D2B1F3835}"/>
            </c:ext>
          </c:extLst>
        </c:ser>
        <c:dLbls>
          <c:dLblPos val="ctr"/>
          <c:showLegendKey val="0"/>
          <c:showVal val="1"/>
          <c:showCatName val="0"/>
          <c:showSerName val="0"/>
          <c:showPercent val="0"/>
          <c:showBubbleSize val="0"/>
        </c:dLbls>
        <c:gapWidth val="150"/>
        <c:overlap val="100"/>
        <c:axId val="801269752"/>
        <c:axId val="801269096"/>
      </c:barChart>
      <c:catAx>
        <c:axId val="8012697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de-DE"/>
          </a:p>
        </c:txPr>
        <c:crossAx val="801269096"/>
        <c:crosses val="autoZero"/>
        <c:auto val="1"/>
        <c:lblAlgn val="ctr"/>
        <c:lblOffset val="100"/>
        <c:noMultiLvlLbl val="0"/>
      </c:catAx>
      <c:valAx>
        <c:axId val="801269096"/>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r>
                  <a:rPr lang="en-US" sz="1000"/>
                  <a:t>Scope 3 Emissionen</a:t>
                </a:r>
              </a:p>
              <a:p>
                <a:pPr>
                  <a:defRPr sz="1000"/>
                </a:pPr>
                <a:r>
                  <a:rPr lang="en-US" sz="1000"/>
                  <a:t>[tCO</a:t>
                </a:r>
                <a:r>
                  <a:rPr lang="en-US" sz="1000" baseline="-25000"/>
                  <a:t>2</a:t>
                </a:r>
                <a:r>
                  <a:rPr lang="en-US" sz="1000"/>
                  <a:t>] </a:t>
                </a:r>
              </a:p>
            </c:rich>
          </c:tx>
          <c:layout>
            <c:manualLayout>
              <c:xMode val="edge"/>
              <c:yMode val="edge"/>
              <c:x val="1.2280700057922356E-2"/>
              <c:y val="0.100087923731798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dk1">
                      <a:lumMod val="65000"/>
                      <a:lumOff val="35000"/>
                    </a:schemeClr>
                  </a:solidFill>
                  <a:latin typeface="+mn-lt"/>
                  <a:ea typeface="+mn-ea"/>
                  <a:cs typeface="+mn-cs"/>
                </a:defRPr>
              </a:pPr>
              <a:endParaRPr lang="de-DE"/>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crossAx val="8012697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8.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9.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0.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trlProps/ctrlProp1.xml><?xml version="1.0" encoding="utf-8"?>
<formControlPr xmlns="http://schemas.microsoft.com/office/spreadsheetml/2009/9/main" objectType="CheckBox" checked="Checked" fmlaLink="$I$112" lockText="1" noThreeD="1"/>
</file>

<file path=xl/ctrlProps/ctrlProp2.xml><?xml version="1.0" encoding="utf-8"?>
<formControlPr xmlns="http://schemas.microsoft.com/office/spreadsheetml/2009/9/main" objectType="CheckBox" checked="Checked" fmlaLink="$I$113" lockText="1" noThreeD="1"/>
</file>

<file path=xl/ctrlProps/ctrlProp3.xml><?xml version="1.0" encoding="utf-8"?>
<formControlPr xmlns="http://schemas.microsoft.com/office/spreadsheetml/2009/9/main" objectType="CheckBox" fmlaLink="$I$114" lockText="1" noThreeD="1"/>
</file>

<file path=xl/ctrlProps/ctrlProp4.xml><?xml version="1.0" encoding="utf-8"?>
<formControlPr xmlns="http://schemas.microsoft.com/office/spreadsheetml/2009/9/main" objectType="CheckBox" fmlaLink="$I$115" lockText="1" noThreeD="1"/>
</file>

<file path=xl/ctrlProps/ctrlProp5.xml><?xml version="1.0" encoding="utf-8"?>
<formControlPr xmlns="http://schemas.microsoft.com/office/spreadsheetml/2009/9/main" objectType="CheckBox" fmlaLink="$I$116" lockText="1" noThreeD="1"/>
</file>

<file path=xl/ctrlProps/ctrlProp6.xml><?xml version="1.0" encoding="utf-8"?>
<formControlPr xmlns="http://schemas.microsoft.com/office/spreadsheetml/2009/9/main" objectType="CheckBox" checked="Checked" fmlaLink="$I$117" lockText="1" noThreeD="1"/>
</file>

<file path=xl/ctrlProps/ctrlProp7.xml><?xml version="1.0" encoding="utf-8"?>
<formControlPr xmlns="http://schemas.microsoft.com/office/spreadsheetml/2009/9/main" objectType="CheckBox" checked="Checked" fmlaLink="$X$122" lockText="1" noThreeD="1"/>
</file>

<file path=xl/ctrlProps/ctrlProp8.xml><?xml version="1.0" encoding="utf-8"?>
<formControlPr xmlns="http://schemas.microsoft.com/office/spreadsheetml/2009/9/main" objectType="CheckBox" checked="Checked" fmlaLink="$X$123" lockText="1" noThreeD="1"/>
</file>

<file path=xl/ctrlProps/ctrlProp9.xml><?xml version="1.0" encoding="utf-8"?>
<formControlPr xmlns="http://schemas.microsoft.com/office/spreadsheetml/2009/9/main" objectType="CheckBox" checked="Checked" fmlaLink="$X$124" lockText="1" noThreeD="1"/>
</file>

<file path=xl/ctrlProps/ctrlProp10.xml><?xml version="1.0" encoding="utf-8"?>
<formControlPr xmlns="http://schemas.microsoft.com/office/spreadsheetml/2009/9/main" objectType="CheckBox" checked="Checked" fmlaLink="$X$125" lockText="1" noThreeD="1"/>
</file>

<file path=xl/ctrlProps/ctrlProp11.xml><?xml version="1.0" encoding="utf-8"?>
<formControlPr xmlns="http://schemas.microsoft.com/office/spreadsheetml/2009/9/main" objectType="CheckBox" fmlaLink="$X$120" lockText="1" noThreeD="1"/>
</file>

<file path=xl/ctrlProps/ctrlProp12.xml><?xml version="1.0" encoding="utf-8"?>
<formControlPr xmlns="http://schemas.microsoft.com/office/spreadsheetml/2009/9/main" objectType="CheckBox" checked="Checked" fmlaLink="$X$119" lockText="1" noThreeD="1"/>
</file>

<file path=xl/ctrlProps/ctrlProp13.xml><?xml version="1.0" encoding="utf-8"?>
<formControlPr xmlns="http://schemas.microsoft.com/office/spreadsheetml/2009/9/main" objectType="CheckBox" fmlaLink="$X$121" lockText="1" noThreeD="1"/>
</file>

<file path=xl/ctrlProps/ctrlProp14.xml><?xml version="1.0" encoding="utf-8"?>
<formControlPr xmlns="http://schemas.microsoft.com/office/spreadsheetml/2009/9/main" objectType="CheckBox" checked="Checked" fmlaLink="$I$111" lockText="1" noThreeD="1"/>
</file>

<file path=xl/ctrlProps/ctrlProp15.xml><?xml version="1.0" encoding="utf-8"?>
<formControlPr xmlns="http://schemas.microsoft.com/office/spreadsheetml/2009/9/main" objectType="CheckBox" checked="Checked" fmlaLink="$Q$111" lockText="1" noThreeD="1"/>
</file>

<file path=xl/ctrlProps/ctrlProp16.xml><?xml version="1.0" encoding="utf-8"?>
<formControlPr xmlns="http://schemas.microsoft.com/office/spreadsheetml/2009/9/main" objectType="CheckBox" checked="Checked" fmlaLink="$Q$112" lockText="1" noThreeD="1"/>
</file>

<file path=xl/ctrlProps/ctrlProp17.xml><?xml version="1.0" encoding="utf-8"?>
<formControlPr xmlns="http://schemas.microsoft.com/office/spreadsheetml/2009/9/main" objectType="CheckBox" checked="Checked" fmlaLink="$Q$113" lockText="1" noThreeD="1"/>
</file>

<file path=xl/ctrlProps/ctrlProp18.xml><?xml version="1.0" encoding="utf-8"?>
<formControlPr xmlns="http://schemas.microsoft.com/office/spreadsheetml/2009/9/main" objectType="CheckBox" checked="Checked" fmlaLink="$Q$114" lockText="1" noThreeD="1"/>
</file>

<file path=xl/ctrlProps/ctrlProp19.xml><?xml version="1.0" encoding="utf-8"?>
<formControlPr xmlns="http://schemas.microsoft.com/office/spreadsheetml/2009/9/main" objectType="CheckBox" checked="Checked" fmlaLink="$Q$115" lockText="1" noThreeD="1"/>
</file>

<file path=xl/ctrlProps/ctrlProp20.xml><?xml version="1.0" encoding="utf-8"?>
<formControlPr xmlns="http://schemas.microsoft.com/office/spreadsheetml/2009/9/main" objectType="CheckBox" checked="Checked" fmlaLink="$Q$116" lockText="1" noThreeD="1"/>
</file>

<file path=xl/ctrlProps/ctrlProp21.xml><?xml version="1.0" encoding="utf-8"?>
<formControlPr xmlns="http://schemas.microsoft.com/office/spreadsheetml/2009/9/main" objectType="CheckBox" checked="Checked" fmlaLink="$Q$117" lockText="1" noThreeD="1"/>
</file>

<file path=xl/ctrlProps/ctrlProp22.xml><?xml version="1.0" encoding="utf-8"?>
<formControlPr xmlns="http://schemas.microsoft.com/office/spreadsheetml/2009/9/main" objectType="CheckBox" fmlaLink="$Q$118" lockText="1" noThreeD="1"/>
</file>

<file path=xl/ctrlProps/ctrlProp23.xml><?xml version="1.0" encoding="utf-8"?>
<formControlPr xmlns="http://schemas.microsoft.com/office/spreadsheetml/2009/9/main" objectType="CheckBox" fmlaLink="$Q$119" lockText="1" noThreeD="1"/>
</file>

<file path=xl/ctrlProps/ctrlProp24.xml><?xml version="1.0" encoding="utf-8"?>
<formControlPr xmlns="http://schemas.microsoft.com/office/spreadsheetml/2009/9/main" objectType="CheckBox" fmlaLink="$Q$120" lockText="1" noThreeD="1"/>
</file>

<file path=xl/ctrlProps/ctrlProp25.xml><?xml version="1.0" encoding="utf-8"?>
<formControlPr xmlns="http://schemas.microsoft.com/office/spreadsheetml/2009/9/main" objectType="CheckBox" checked="Checked" fmlaLink="$Q$121" lockText="1" noThreeD="1"/>
</file>

<file path=xl/ctrlProps/ctrlProp26.xml><?xml version="1.0" encoding="utf-8"?>
<formControlPr xmlns="http://schemas.microsoft.com/office/spreadsheetml/2009/9/main" objectType="CheckBox" checked="Checked" fmlaLink="$I$120" lockText="1" noThreeD="1"/>
</file>

<file path=xl/ctrlProps/ctrlProp27.xml><?xml version="1.0" encoding="utf-8"?>
<formControlPr xmlns="http://schemas.microsoft.com/office/spreadsheetml/2009/9/main" objectType="CheckBox" checked="Checked" fmlaLink="$I$121" lockText="1" noThreeD="1"/>
</file>

<file path=xl/ctrlProps/ctrlProp28.xml><?xml version="1.0" encoding="utf-8"?>
<formControlPr xmlns="http://schemas.microsoft.com/office/spreadsheetml/2009/9/main" objectType="CheckBox" checked="Checked" fmlaLink="$I$122" lockText="1" noThreeD="1"/>
</file>

<file path=xl/ctrlProps/ctrlProp29.xml><?xml version="1.0" encoding="utf-8"?>
<formControlPr xmlns="http://schemas.microsoft.com/office/spreadsheetml/2009/9/main" objectType="CheckBox" fmlaLink="$I$123" lockText="1" noThreeD="1"/>
</file>

<file path=xl/ctrlProps/ctrlProp30.xml><?xml version="1.0" encoding="utf-8"?>
<formControlPr xmlns="http://schemas.microsoft.com/office/spreadsheetml/2009/9/main" objectType="CheckBox" fmlaLink="$I$124" lockText="1" noThreeD="1"/>
</file>

<file path=xl/ctrlProps/ctrlProp31.xml><?xml version="1.0" encoding="utf-8"?>
<formControlPr xmlns="http://schemas.microsoft.com/office/spreadsheetml/2009/9/main" objectType="CheckBox" fmlaLink="$I$125" lockText="1" noThreeD="1"/>
</file>

<file path=xl/ctrlProps/ctrlProp32.xml><?xml version="1.0" encoding="utf-8"?>
<formControlPr xmlns="http://schemas.microsoft.com/office/spreadsheetml/2009/9/main" objectType="CheckBox" checked="Checked" fmlaLink="$I$126" lockText="1" noThreeD="1"/>
</file>

<file path=xl/ctrlProps/ctrlProp33.xml><?xml version="1.0" encoding="utf-8"?>
<formControlPr xmlns="http://schemas.microsoft.com/office/spreadsheetml/2009/9/main" objectType="CheckBox" checked="Checked" fmlaLink="$X$131" lockText="1" noThreeD="1"/>
</file>

<file path=xl/ctrlProps/ctrlProp34.xml><?xml version="1.0" encoding="utf-8"?>
<formControlPr xmlns="http://schemas.microsoft.com/office/spreadsheetml/2009/9/main" objectType="CheckBox" checked="Checked" fmlaLink="$X$132" lockText="1" noThreeD="1"/>
</file>

<file path=xl/ctrlProps/ctrlProp35.xml><?xml version="1.0" encoding="utf-8"?>
<formControlPr xmlns="http://schemas.microsoft.com/office/spreadsheetml/2009/9/main" objectType="CheckBox" checked="Checked" fmlaLink="$X$133" lockText="1" noThreeD="1"/>
</file>

<file path=xl/ctrlProps/ctrlProp36.xml><?xml version="1.0" encoding="utf-8"?>
<formControlPr xmlns="http://schemas.microsoft.com/office/spreadsheetml/2009/9/main" objectType="CheckBox" checked="Checked" fmlaLink="$X$134" lockText="1" noThreeD="1"/>
</file>

<file path=xl/ctrlProps/ctrlProp37.xml><?xml version="1.0" encoding="utf-8"?>
<formControlPr xmlns="http://schemas.microsoft.com/office/spreadsheetml/2009/9/main" objectType="CheckBox" fmlaLink="$X$129" lockText="1" noThreeD="1"/>
</file>

<file path=xl/ctrlProps/ctrlProp38.xml><?xml version="1.0" encoding="utf-8"?>
<formControlPr xmlns="http://schemas.microsoft.com/office/spreadsheetml/2009/9/main" objectType="CheckBox" checked="Checked" fmlaLink="$X$128" lockText="1" noThreeD="1"/>
</file>

<file path=xl/ctrlProps/ctrlProp39.xml><?xml version="1.0" encoding="utf-8"?>
<formControlPr xmlns="http://schemas.microsoft.com/office/spreadsheetml/2009/9/main" objectType="CheckBox" fmlaLink="$X$130" lockText="1" noThreeD="1"/>
</file>

<file path=xl/ctrlProps/ctrlProp40.xml><?xml version="1.0" encoding="utf-8"?>
<formControlPr xmlns="http://schemas.microsoft.com/office/spreadsheetml/2009/9/main" objectType="CheckBox" checked="Checked" fmlaLink="$Q$120" lockText="1" noThreeD="1"/>
</file>

<file path=xl/ctrlProps/ctrlProp41.xml><?xml version="1.0" encoding="utf-8"?>
<formControlPr xmlns="http://schemas.microsoft.com/office/spreadsheetml/2009/9/main" objectType="CheckBox" checked="Checked" fmlaLink="$Q$121" lockText="1" noThreeD="1"/>
</file>

<file path=xl/ctrlProps/ctrlProp42.xml><?xml version="1.0" encoding="utf-8"?>
<formControlPr xmlns="http://schemas.microsoft.com/office/spreadsheetml/2009/9/main" objectType="CheckBox" checked="Checked" fmlaLink="$Q$122" lockText="1" noThreeD="1"/>
</file>

<file path=xl/ctrlProps/ctrlProp43.xml><?xml version="1.0" encoding="utf-8"?>
<formControlPr xmlns="http://schemas.microsoft.com/office/spreadsheetml/2009/9/main" objectType="CheckBox" checked="Checked" fmlaLink="$Q$123" lockText="1" noThreeD="1"/>
</file>

<file path=xl/ctrlProps/ctrlProp44.xml><?xml version="1.0" encoding="utf-8"?>
<formControlPr xmlns="http://schemas.microsoft.com/office/spreadsheetml/2009/9/main" objectType="CheckBox" checked="Checked" fmlaLink="$Q$124" lockText="1" noThreeD="1"/>
</file>

<file path=xl/ctrlProps/ctrlProp45.xml><?xml version="1.0" encoding="utf-8"?>
<formControlPr xmlns="http://schemas.microsoft.com/office/spreadsheetml/2009/9/main" objectType="CheckBox" checked="Checked" fmlaLink="$Q$125" lockText="1" noThreeD="1"/>
</file>

<file path=xl/ctrlProps/ctrlProp46.xml><?xml version="1.0" encoding="utf-8"?>
<formControlPr xmlns="http://schemas.microsoft.com/office/spreadsheetml/2009/9/main" objectType="CheckBox" checked="Checked" fmlaLink="$Q$126" lockText="1" noThreeD="1"/>
</file>

<file path=xl/ctrlProps/ctrlProp47.xml><?xml version="1.0" encoding="utf-8"?>
<formControlPr xmlns="http://schemas.microsoft.com/office/spreadsheetml/2009/9/main" objectType="CheckBox" fmlaLink="$Q$127" lockText="1" noThreeD="1"/>
</file>

<file path=xl/ctrlProps/ctrlProp48.xml><?xml version="1.0" encoding="utf-8"?>
<formControlPr xmlns="http://schemas.microsoft.com/office/spreadsheetml/2009/9/main" objectType="CheckBox" fmlaLink="$Q$128" lockText="1" noThreeD="1"/>
</file>

<file path=xl/ctrlProps/ctrlProp49.xml><?xml version="1.0" encoding="utf-8"?>
<formControlPr xmlns="http://schemas.microsoft.com/office/spreadsheetml/2009/9/main" objectType="CheckBox" fmlaLink="$Q$129" lockText="1" noThreeD="1"/>
</file>

<file path=xl/ctrlProps/ctrlProp50.xml><?xml version="1.0" encoding="utf-8"?>
<formControlPr xmlns="http://schemas.microsoft.com/office/spreadsheetml/2009/9/main" objectType="CheckBox" checked="Checked" fmlaLink="$Q$130" lockText="1" noThreeD="1"/>
</file>

<file path=xl/ctrlProps/ctrlProp51.xml><?xml version="1.0" encoding="utf-8"?>
<formControlPr xmlns="http://schemas.microsoft.com/office/spreadsheetml/2009/9/main" objectType="CheckBox" checked="Checked" fmlaLink="$I$120" lockText="1" noThreeD="1"/>
</file>

<file path=xl/ctrlProps/ctrlProp52.xml><?xml version="1.0" encoding="utf-8"?>
<formControlPr xmlns="http://schemas.microsoft.com/office/spreadsheetml/2009/9/main" objectType="CheckBox" checked="Checked" fmlaLink="$I$121" lockText="1" noThreeD="1"/>
</file>

<file path=xl/ctrlProps/ctrlProp53.xml><?xml version="1.0" encoding="utf-8"?>
<formControlPr xmlns="http://schemas.microsoft.com/office/spreadsheetml/2009/9/main" objectType="CheckBox" checked="Checked" fmlaLink="$I$122" lockText="1" noThreeD="1"/>
</file>

<file path=xl/ctrlProps/ctrlProp54.xml><?xml version="1.0" encoding="utf-8"?>
<formControlPr xmlns="http://schemas.microsoft.com/office/spreadsheetml/2009/9/main" objectType="CheckBox" fmlaLink="$I$123" lockText="1" noThreeD="1"/>
</file>

<file path=xl/ctrlProps/ctrlProp55.xml><?xml version="1.0" encoding="utf-8"?>
<formControlPr xmlns="http://schemas.microsoft.com/office/spreadsheetml/2009/9/main" objectType="CheckBox" fmlaLink="$I$124" lockText="1" noThreeD="1"/>
</file>

<file path=xl/ctrlProps/ctrlProp56.xml><?xml version="1.0" encoding="utf-8"?>
<formControlPr xmlns="http://schemas.microsoft.com/office/spreadsheetml/2009/9/main" objectType="CheckBox" fmlaLink="$I$125" lockText="1" noThreeD="1"/>
</file>

<file path=xl/ctrlProps/ctrlProp57.xml><?xml version="1.0" encoding="utf-8"?>
<formControlPr xmlns="http://schemas.microsoft.com/office/spreadsheetml/2009/9/main" objectType="CheckBox" checked="Checked" fmlaLink="$I$126" lockText="1" noThreeD="1"/>
</file>

<file path=xl/ctrlProps/ctrlProp58.xml><?xml version="1.0" encoding="utf-8"?>
<formControlPr xmlns="http://schemas.microsoft.com/office/spreadsheetml/2009/9/main" objectType="CheckBox" checked="Checked" fmlaLink="$X$131" lockText="1" noThreeD="1"/>
</file>

<file path=xl/ctrlProps/ctrlProp59.xml><?xml version="1.0" encoding="utf-8"?>
<formControlPr xmlns="http://schemas.microsoft.com/office/spreadsheetml/2009/9/main" objectType="CheckBox" checked="Checked" fmlaLink="$X$132" lockText="1" noThreeD="1"/>
</file>

<file path=xl/ctrlProps/ctrlProp60.xml><?xml version="1.0" encoding="utf-8"?>
<formControlPr xmlns="http://schemas.microsoft.com/office/spreadsheetml/2009/9/main" objectType="CheckBox" checked="Checked" fmlaLink="$X$133" lockText="1" noThreeD="1"/>
</file>

<file path=xl/ctrlProps/ctrlProp61.xml><?xml version="1.0" encoding="utf-8"?>
<formControlPr xmlns="http://schemas.microsoft.com/office/spreadsheetml/2009/9/main" objectType="CheckBox" checked="Checked" fmlaLink="$X$134" lockText="1" noThreeD="1"/>
</file>

<file path=xl/ctrlProps/ctrlProp62.xml><?xml version="1.0" encoding="utf-8"?>
<formControlPr xmlns="http://schemas.microsoft.com/office/spreadsheetml/2009/9/main" objectType="CheckBox" fmlaLink="$X$129" lockText="1" noThreeD="1"/>
</file>

<file path=xl/ctrlProps/ctrlProp63.xml><?xml version="1.0" encoding="utf-8"?>
<formControlPr xmlns="http://schemas.microsoft.com/office/spreadsheetml/2009/9/main" objectType="CheckBox" checked="Checked" fmlaLink="$X$128" lockText="1" noThreeD="1"/>
</file>

<file path=xl/ctrlProps/ctrlProp64.xml><?xml version="1.0" encoding="utf-8"?>
<formControlPr xmlns="http://schemas.microsoft.com/office/spreadsheetml/2009/9/main" objectType="CheckBox" fmlaLink="$X$130" lockText="1" noThreeD="1"/>
</file>

<file path=xl/ctrlProps/ctrlProp65.xml><?xml version="1.0" encoding="utf-8"?>
<formControlPr xmlns="http://schemas.microsoft.com/office/spreadsheetml/2009/9/main" objectType="CheckBox" checked="Checked" fmlaLink="$Q$120" lockText="1" noThreeD="1"/>
</file>

<file path=xl/ctrlProps/ctrlProp66.xml><?xml version="1.0" encoding="utf-8"?>
<formControlPr xmlns="http://schemas.microsoft.com/office/spreadsheetml/2009/9/main" objectType="CheckBox" checked="Checked" fmlaLink="$Q$121" lockText="1" noThreeD="1"/>
</file>

<file path=xl/ctrlProps/ctrlProp67.xml><?xml version="1.0" encoding="utf-8"?>
<formControlPr xmlns="http://schemas.microsoft.com/office/spreadsheetml/2009/9/main" objectType="CheckBox" checked="Checked" fmlaLink="$Q$122" lockText="1" noThreeD="1"/>
</file>

<file path=xl/ctrlProps/ctrlProp68.xml><?xml version="1.0" encoding="utf-8"?>
<formControlPr xmlns="http://schemas.microsoft.com/office/spreadsheetml/2009/9/main" objectType="CheckBox" checked="Checked" fmlaLink="$Q$123" lockText="1" noThreeD="1"/>
</file>

<file path=xl/ctrlProps/ctrlProp69.xml><?xml version="1.0" encoding="utf-8"?>
<formControlPr xmlns="http://schemas.microsoft.com/office/spreadsheetml/2009/9/main" objectType="CheckBox" checked="Checked" fmlaLink="$Q$124" lockText="1" noThreeD="1"/>
</file>

<file path=xl/ctrlProps/ctrlProp70.xml><?xml version="1.0" encoding="utf-8"?>
<formControlPr xmlns="http://schemas.microsoft.com/office/spreadsheetml/2009/9/main" objectType="CheckBox" checked="Checked" fmlaLink="$Q$125" lockText="1" noThreeD="1"/>
</file>

<file path=xl/ctrlProps/ctrlProp71.xml><?xml version="1.0" encoding="utf-8"?>
<formControlPr xmlns="http://schemas.microsoft.com/office/spreadsheetml/2009/9/main" objectType="CheckBox" checked="Checked" fmlaLink="$Q$126" lockText="1" noThreeD="1"/>
</file>

<file path=xl/ctrlProps/ctrlProp72.xml><?xml version="1.0" encoding="utf-8"?>
<formControlPr xmlns="http://schemas.microsoft.com/office/spreadsheetml/2009/9/main" objectType="CheckBox" fmlaLink="$Q$127" lockText="1" noThreeD="1"/>
</file>

<file path=xl/ctrlProps/ctrlProp73.xml><?xml version="1.0" encoding="utf-8"?>
<formControlPr xmlns="http://schemas.microsoft.com/office/spreadsheetml/2009/9/main" objectType="CheckBox" fmlaLink="$Q$128" lockText="1" noThreeD="1"/>
</file>

<file path=xl/ctrlProps/ctrlProp74.xml><?xml version="1.0" encoding="utf-8"?>
<formControlPr xmlns="http://schemas.microsoft.com/office/spreadsheetml/2009/9/main" objectType="CheckBox" fmlaLink="$Q$129" lockText="1" noThreeD="1"/>
</file>

<file path=xl/ctrlProps/ctrlProp75.xml><?xml version="1.0" encoding="utf-8"?>
<formControlPr xmlns="http://schemas.microsoft.com/office/spreadsheetml/2009/9/main" objectType="CheckBox" checked="Checked" fmlaLink="$Q$130" lockText="1" noThreeD="1"/>
</file>

<file path=xl/ctrlProps/ctrlProp76.xml><?xml version="1.0" encoding="utf-8"?>
<formControlPr xmlns="http://schemas.microsoft.com/office/spreadsheetml/2009/9/main" objectType="CheckBox" checked="Checked" fmlaLink="$I$105" lockText="1" noThreeD="1"/>
</file>

<file path=xl/ctrlProps/ctrlProp77.xml><?xml version="1.0" encoding="utf-8"?>
<formControlPr xmlns="http://schemas.microsoft.com/office/spreadsheetml/2009/9/main" objectType="CheckBox" checked="Checked" fmlaLink="$I$106" lockText="1" noThreeD="1"/>
</file>

<file path=xl/ctrlProps/ctrlProp78.xml><?xml version="1.0" encoding="utf-8"?>
<formControlPr xmlns="http://schemas.microsoft.com/office/spreadsheetml/2009/9/main" objectType="CheckBox" checked="Checked" fmlaLink="$I$107" lockText="1" noThreeD="1"/>
</file>

<file path=xl/ctrlProps/ctrlProp79.xml><?xml version="1.0" encoding="utf-8"?>
<formControlPr xmlns="http://schemas.microsoft.com/office/spreadsheetml/2009/9/main" objectType="CheckBox" fmlaLink="$I$108" lockText="1" noThreeD="1"/>
</file>

<file path=xl/ctrlProps/ctrlProp80.xml><?xml version="1.0" encoding="utf-8"?>
<formControlPr xmlns="http://schemas.microsoft.com/office/spreadsheetml/2009/9/main" objectType="CheckBox" fmlaLink="$I$109" lockText="1" noThreeD="1"/>
</file>

<file path=xl/ctrlProps/ctrlProp81.xml><?xml version="1.0" encoding="utf-8"?>
<formControlPr xmlns="http://schemas.microsoft.com/office/spreadsheetml/2009/9/main" objectType="CheckBox" fmlaLink="$I$110" lockText="1" noThreeD="1"/>
</file>

<file path=xl/ctrlProps/ctrlProp82.xml><?xml version="1.0" encoding="utf-8"?>
<formControlPr xmlns="http://schemas.microsoft.com/office/spreadsheetml/2009/9/main" objectType="CheckBox" checked="Checked" fmlaLink="$I$111" lockText="1" noThreeD="1"/>
</file>

<file path=xl/ctrlProps/ctrlProp83.xml><?xml version="1.0" encoding="utf-8"?>
<formControlPr xmlns="http://schemas.microsoft.com/office/spreadsheetml/2009/9/main" objectType="CheckBox" checked="Checked" fmlaLink="$X$116" lockText="1" noThreeD="1"/>
</file>

<file path=xl/ctrlProps/ctrlProp84.xml><?xml version="1.0" encoding="utf-8"?>
<formControlPr xmlns="http://schemas.microsoft.com/office/spreadsheetml/2009/9/main" objectType="CheckBox" checked="Checked" fmlaLink="$X$117" lockText="1" noThreeD="1"/>
</file>

<file path=xl/ctrlProps/ctrlProp85.xml><?xml version="1.0" encoding="utf-8"?>
<formControlPr xmlns="http://schemas.microsoft.com/office/spreadsheetml/2009/9/main" objectType="CheckBox" checked="Checked" fmlaLink="$X$118" lockText="1" noThreeD="1"/>
</file>

<file path=xl/ctrlProps/ctrlProp86.xml><?xml version="1.0" encoding="utf-8"?>
<formControlPr xmlns="http://schemas.microsoft.com/office/spreadsheetml/2009/9/main" objectType="CheckBox" checked="Checked" fmlaLink="$X$119" lockText="1" noThreeD="1"/>
</file>

<file path=xl/ctrlProps/ctrlProp87.xml><?xml version="1.0" encoding="utf-8"?>
<formControlPr xmlns="http://schemas.microsoft.com/office/spreadsheetml/2009/9/main" objectType="CheckBox" fmlaLink="$X$114" lockText="1" noThreeD="1"/>
</file>

<file path=xl/ctrlProps/ctrlProp88.xml><?xml version="1.0" encoding="utf-8"?>
<formControlPr xmlns="http://schemas.microsoft.com/office/spreadsheetml/2009/9/main" objectType="CheckBox" fmlaLink="$X$113" lockText="1" noThreeD="1"/>
</file>

<file path=xl/ctrlProps/ctrlProp89.xml><?xml version="1.0" encoding="utf-8"?>
<formControlPr xmlns="http://schemas.microsoft.com/office/spreadsheetml/2009/9/main" objectType="CheckBox" fmlaLink="$X$115" lockText="1" noThreeD="1"/>
</file>

<file path=xl/ctrlProps/ctrlProp90.xml><?xml version="1.0" encoding="utf-8"?>
<formControlPr xmlns="http://schemas.microsoft.com/office/spreadsheetml/2009/9/main" objectType="CheckBox" checked="Checked" fmlaLink="$Q$105" lockText="1" noThreeD="1"/>
</file>

<file path=xl/ctrlProps/ctrlProp91.xml><?xml version="1.0" encoding="utf-8"?>
<formControlPr xmlns="http://schemas.microsoft.com/office/spreadsheetml/2009/9/main" objectType="CheckBox" checked="Checked" fmlaLink="$Q$106" lockText="1" noThreeD="1"/>
</file>

<file path=xl/ctrlProps/ctrlProp92.xml><?xml version="1.0" encoding="utf-8"?>
<formControlPr xmlns="http://schemas.microsoft.com/office/spreadsheetml/2009/9/main" objectType="CheckBox" checked="Checked" fmlaLink="$Q$107" lockText="1" noThreeD="1"/>
</file>

<file path=xl/ctrlProps/ctrlProp93.xml><?xml version="1.0" encoding="utf-8"?>
<formControlPr xmlns="http://schemas.microsoft.com/office/spreadsheetml/2009/9/main" objectType="CheckBox" checked="Checked" fmlaLink="$Q$108" lockText="1" noThreeD="1"/>
</file>

<file path=xl/ctrlProps/ctrlProp94.xml><?xml version="1.0" encoding="utf-8"?>
<formControlPr xmlns="http://schemas.microsoft.com/office/spreadsheetml/2009/9/main" objectType="CheckBox" checked="Checked" fmlaLink="$Q$109" lockText="1" noThreeD="1"/>
</file>

<file path=xl/ctrlProps/ctrlProp95.xml><?xml version="1.0" encoding="utf-8"?>
<formControlPr xmlns="http://schemas.microsoft.com/office/spreadsheetml/2009/9/main" objectType="CheckBox" checked="Checked" fmlaLink="$Q$110" lockText="1" noThreeD="1"/>
</file>

<file path=xl/ctrlProps/ctrlProp96.xml><?xml version="1.0" encoding="utf-8"?>
<formControlPr xmlns="http://schemas.microsoft.com/office/spreadsheetml/2009/9/main" objectType="CheckBox" checked="Checked" fmlaLink="$Q$111" lockText="1" noThreeD="1"/>
</file>

<file path=xl/ctrlProps/ctrlProp97.xml><?xml version="1.0" encoding="utf-8"?>
<formControlPr xmlns="http://schemas.microsoft.com/office/spreadsheetml/2009/9/main" objectType="CheckBox" fmlaLink="$Q$112" lockText="1" noThreeD="1"/>
</file>

<file path=xl/ctrlProps/ctrlProp98.xml><?xml version="1.0" encoding="utf-8"?>
<formControlPr xmlns="http://schemas.microsoft.com/office/spreadsheetml/2009/9/main" objectType="CheckBox" fmlaLink="$Q$113" lockText="1" noThreeD="1"/>
</file>

<file path=xl/ctrlProps/ctrlProp99.xml><?xml version="1.0" encoding="utf-8"?>
<formControlPr xmlns="http://schemas.microsoft.com/office/spreadsheetml/2009/9/main" objectType="CheckBox" fmlaLink="$Q$114" lockText="1" noThreeD="1"/>
</file>

<file path=xl/ctrlProps/ctrlProp100.xml><?xml version="1.0" encoding="utf-8"?>
<formControlPr xmlns="http://schemas.microsoft.com/office/spreadsheetml/2009/9/main" objectType="CheckBox" checked="Checked" fmlaLink="$Q$115" lockText="1" noThreeD="1"/>
</file>

<file path=xl/ctrlProps/ctrlProp101.xml><?xml version="1.0" encoding="utf-8"?>
<formControlPr xmlns="http://schemas.microsoft.com/office/spreadsheetml/2009/9/main" objectType="CheckBox" checked="Checked" fmlaLink="$I$111" lockText="1" noThreeD="1"/>
</file>

<file path=xl/ctrlProps/ctrlProp102.xml><?xml version="1.0" encoding="utf-8"?>
<formControlPr xmlns="http://schemas.microsoft.com/office/spreadsheetml/2009/9/main" objectType="CheckBox" checked="Checked" fmlaLink="$I$112" lockText="1" noThreeD="1"/>
</file>

<file path=xl/ctrlProps/ctrlProp103.xml><?xml version="1.0" encoding="utf-8"?>
<formControlPr xmlns="http://schemas.microsoft.com/office/spreadsheetml/2009/9/main" objectType="CheckBox" checked="Checked" fmlaLink="$I$113" lockText="1" noThreeD="1"/>
</file>

<file path=xl/ctrlProps/ctrlProp104.xml><?xml version="1.0" encoding="utf-8"?>
<formControlPr xmlns="http://schemas.microsoft.com/office/spreadsheetml/2009/9/main" objectType="CheckBox" fmlaLink="$I$114" lockText="1" noThreeD="1"/>
</file>

<file path=xl/ctrlProps/ctrlProp105.xml><?xml version="1.0" encoding="utf-8"?>
<formControlPr xmlns="http://schemas.microsoft.com/office/spreadsheetml/2009/9/main" objectType="CheckBox" fmlaLink="$I$115" lockText="1" noThreeD="1"/>
</file>

<file path=xl/ctrlProps/ctrlProp106.xml><?xml version="1.0" encoding="utf-8"?>
<formControlPr xmlns="http://schemas.microsoft.com/office/spreadsheetml/2009/9/main" objectType="CheckBox" fmlaLink="$I$116" lockText="1" noThreeD="1"/>
</file>

<file path=xl/ctrlProps/ctrlProp107.xml><?xml version="1.0" encoding="utf-8"?>
<formControlPr xmlns="http://schemas.microsoft.com/office/spreadsheetml/2009/9/main" objectType="CheckBox" checked="Checked" fmlaLink="$I$117" lockText="1" noThreeD="1"/>
</file>

<file path=xl/ctrlProps/ctrlProp108.xml><?xml version="1.0" encoding="utf-8"?>
<formControlPr xmlns="http://schemas.microsoft.com/office/spreadsheetml/2009/9/main" objectType="CheckBox" checked="Checked" fmlaLink="$X$122" lockText="1" noThreeD="1"/>
</file>

<file path=xl/ctrlProps/ctrlProp109.xml><?xml version="1.0" encoding="utf-8"?>
<formControlPr xmlns="http://schemas.microsoft.com/office/spreadsheetml/2009/9/main" objectType="CheckBox" checked="Checked" fmlaLink="$X$123" lockText="1" noThreeD="1"/>
</file>

<file path=xl/ctrlProps/ctrlProp110.xml><?xml version="1.0" encoding="utf-8"?>
<formControlPr xmlns="http://schemas.microsoft.com/office/spreadsheetml/2009/9/main" objectType="CheckBox" checked="Checked" fmlaLink="$X$124" lockText="1" noThreeD="1"/>
</file>

<file path=xl/ctrlProps/ctrlProp111.xml><?xml version="1.0" encoding="utf-8"?>
<formControlPr xmlns="http://schemas.microsoft.com/office/spreadsheetml/2009/9/main" objectType="CheckBox" checked="Checked" fmlaLink="$X$125" lockText="1" noThreeD="1"/>
</file>

<file path=xl/ctrlProps/ctrlProp112.xml><?xml version="1.0" encoding="utf-8"?>
<formControlPr xmlns="http://schemas.microsoft.com/office/spreadsheetml/2009/9/main" objectType="CheckBox" fmlaLink="$X$120" lockText="1" noThreeD="1"/>
</file>

<file path=xl/ctrlProps/ctrlProp113.xml><?xml version="1.0" encoding="utf-8"?>
<formControlPr xmlns="http://schemas.microsoft.com/office/spreadsheetml/2009/9/main" objectType="CheckBox" checked="Checked" fmlaLink="$X$119" lockText="1" noThreeD="1"/>
</file>

<file path=xl/ctrlProps/ctrlProp114.xml><?xml version="1.0" encoding="utf-8"?>
<formControlPr xmlns="http://schemas.microsoft.com/office/spreadsheetml/2009/9/main" objectType="CheckBox" fmlaLink="$X$121" lockText="1" noThreeD="1"/>
</file>

<file path=xl/ctrlProps/ctrlProp115.xml><?xml version="1.0" encoding="utf-8"?>
<formControlPr xmlns="http://schemas.microsoft.com/office/spreadsheetml/2009/9/main" objectType="CheckBox" checked="Checked" fmlaLink="$Q$111" lockText="1" noThreeD="1"/>
</file>

<file path=xl/ctrlProps/ctrlProp116.xml><?xml version="1.0" encoding="utf-8"?>
<formControlPr xmlns="http://schemas.microsoft.com/office/spreadsheetml/2009/9/main" objectType="CheckBox" checked="Checked" fmlaLink="$Q$112" lockText="1" noThreeD="1"/>
</file>

<file path=xl/ctrlProps/ctrlProp117.xml><?xml version="1.0" encoding="utf-8"?>
<formControlPr xmlns="http://schemas.microsoft.com/office/spreadsheetml/2009/9/main" objectType="CheckBox" checked="Checked" fmlaLink="$Q$113" lockText="1" noThreeD="1"/>
</file>

<file path=xl/ctrlProps/ctrlProp118.xml><?xml version="1.0" encoding="utf-8"?>
<formControlPr xmlns="http://schemas.microsoft.com/office/spreadsheetml/2009/9/main" objectType="CheckBox" checked="Checked" fmlaLink="$Q$114" lockText="1" noThreeD="1"/>
</file>

<file path=xl/ctrlProps/ctrlProp119.xml><?xml version="1.0" encoding="utf-8"?>
<formControlPr xmlns="http://schemas.microsoft.com/office/spreadsheetml/2009/9/main" objectType="CheckBox" checked="Checked" fmlaLink="$Q$115" lockText="1" noThreeD="1"/>
</file>

<file path=xl/ctrlProps/ctrlProp120.xml><?xml version="1.0" encoding="utf-8"?>
<formControlPr xmlns="http://schemas.microsoft.com/office/spreadsheetml/2009/9/main" objectType="CheckBox" checked="Checked" fmlaLink="$Q$116" lockText="1" noThreeD="1"/>
</file>

<file path=xl/ctrlProps/ctrlProp121.xml><?xml version="1.0" encoding="utf-8"?>
<formControlPr xmlns="http://schemas.microsoft.com/office/spreadsheetml/2009/9/main" objectType="CheckBox" checked="Checked" fmlaLink="$Q$117" lockText="1" noThreeD="1"/>
</file>

<file path=xl/ctrlProps/ctrlProp122.xml><?xml version="1.0" encoding="utf-8"?>
<formControlPr xmlns="http://schemas.microsoft.com/office/spreadsheetml/2009/9/main" objectType="CheckBox" fmlaLink="$Q$118" lockText="1" noThreeD="1"/>
</file>

<file path=xl/ctrlProps/ctrlProp123.xml><?xml version="1.0" encoding="utf-8"?>
<formControlPr xmlns="http://schemas.microsoft.com/office/spreadsheetml/2009/9/main" objectType="CheckBox" fmlaLink="$Q$119" lockText="1" noThreeD="1"/>
</file>

<file path=xl/ctrlProps/ctrlProp124.xml><?xml version="1.0" encoding="utf-8"?>
<formControlPr xmlns="http://schemas.microsoft.com/office/spreadsheetml/2009/9/main" objectType="CheckBox" fmlaLink="$Q$120" lockText="1" noThreeD="1"/>
</file>

<file path=xl/ctrlProps/ctrlProp125.xml><?xml version="1.0" encoding="utf-8"?>
<formControlPr xmlns="http://schemas.microsoft.com/office/spreadsheetml/2009/9/main" objectType="CheckBox" checked="Checked" fmlaLink="$Q$121" lockText="1" noThreeD="1"/>
</file>

<file path=xl/ctrlProps/ctrlProp126.xml><?xml version="1.0" encoding="utf-8"?>
<formControlPr xmlns="http://schemas.microsoft.com/office/spreadsheetml/2009/9/main" objectType="CheckBox" checked="Checked" fmlaLink="$I$117" lockText="1" noThreeD="1"/>
</file>

<file path=xl/ctrlProps/ctrlProp127.xml><?xml version="1.0" encoding="utf-8"?>
<formControlPr xmlns="http://schemas.microsoft.com/office/spreadsheetml/2009/9/main" objectType="CheckBox" checked="Checked" fmlaLink="$I$118" lockText="1" noThreeD="1"/>
</file>

<file path=xl/ctrlProps/ctrlProp128.xml><?xml version="1.0" encoding="utf-8"?>
<formControlPr xmlns="http://schemas.microsoft.com/office/spreadsheetml/2009/9/main" objectType="CheckBox" checked="Checked" fmlaLink="$I$119" lockText="1" noThreeD="1"/>
</file>

<file path=xl/ctrlProps/ctrlProp129.xml><?xml version="1.0" encoding="utf-8"?>
<formControlPr xmlns="http://schemas.microsoft.com/office/spreadsheetml/2009/9/main" objectType="CheckBox" fmlaLink="$I$120" lockText="1" noThreeD="1"/>
</file>

<file path=xl/ctrlProps/ctrlProp130.xml><?xml version="1.0" encoding="utf-8"?>
<formControlPr xmlns="http://schemas.microsoft.com/office/spreadsheetml/2009/9/main" objectType="CheckBox" fmlaLink="$I$121" lockText="1" noThreeD="1"/>
</file>

<file path=xl/ctrlProps/ctrlProp131.xml><?xml version="1.0" encoding="utf-8"?>
<formControlPr xmlns="http://schemas.microsoft.com/office/spreadsheetml/2009/9/main" objectType="CheckBox" fmlaLink="$I$122" lockText="1" noThreeD="1"/>
</file>

<file path=xl/ctrlProps/ctrlProp132.xml><?xml version="1.0" encoding="utf-8"?>
<formControlPr xmlns="http://schemas.microsoft.com/office/spreadsheetml/2009/9/main" objectType="CheckBox" checked="Checked" fmlaLink="$I$123" lockText="1" noThreeD="1"/>
</file>

<file path=xl/ctrlProps/ctrlProp133.xml><?xml version="1.0" encoding="utf-8"?>
<formControlPr xmlns="http://schemas.microsoft.com/office/spreadsheetml/2009/9/main" objectType="CheckBox" checked="Checked" fmlaLink="$X$128" lockText="1" noThreeD="1"/>
</file>

<file path=xl/ctrlProps/ctrlProp134.xml><?xml version="1.0" encoding="utf-8"?>
<formControlPr xmlns="http://schemas.microsoft.com/office/spreadsheetml/2009/9/main" objectType="CheckBox" checked="Checked" fmlaLink="$X$129" lockText="1" noThreeD="1"/>
</file>

<file path=xl/ctrlProps/ctrlProp135.xml><?xml version="1.0" encoding="utf-8"?>
<formControlPr xmlns="http://schemas.microsoft.com/office/spreadsheetml/2009/9/main" objectType="CheckBox" checked="Checked" fmlaLink="$X$130" lockText="1" noThreeD="1"/>
</file>

<file path=xl/ctrlProps/ctrlProp136.xml><?xml version="1.0" encoding="utf-8"?>
<formControlPr xmlns="http://schemas.microsoft.com/office/spreadsheetml/2009/9/main" objectType="CheckBox" checked="Checked" fmlaLink="$X$131" lockText="1" noThreeD="1"/>
</file>

<file path=xl/ctrlProps/ctrlProp137.xml><?xml version="1.0" encoding="utf-8"?>
<formControlPr xmlns="http://schemas.microsoft.com/office/spreadsheetml/2009/9/main" objectType="CheckBox" fmlaLink="$X$126" lockText="1" noThreeD="1"/>
</file>

<file path=xl/ctrlProps/ctrlProp138.xml><?xml version="1.0" encoding="utf-8"?>
<formControlPr xmlns="http://schemas.microsoft.com/office/spreadsheetml/2009/9/main" objectType="CheckBox" checked="Checked" fmlaLink="$X$125" lockText="1" noThreeD="1"/>
</file>

<file path=xl/ctrlProps/ctrlProp139.xml><?xml version="1.0" encoding="utf-8"?>
<formControlPr xmlns="http://schemas.microsoft.com/office/spreadsheetml/2009/9/main" objectType="CheckBox" fmlaLink="$X$127" lockText="1" noThreeD="1"/>
</file>

<file path=xl/ctrlProps/ctrlProp140.xml><?xml version="1.0" encoding="utf-8"?>
<formControlPr xmlns="http://schemas.microsoft.com/office/spreadsheetml/2009/9/main" objectType="CheckBox" checked="Checked" fmlaLink="$Q$117" lockText="1" noThreeD="1"/>
</file>

<file path=xl/ctrlProps/ctrlProp141.xml><?xml version="1.0" encoding="utf-8"?>
<formControlPr xmlns="http://schemas.microsoft.com/office/spreadsheetml/2009/9/main" objectType="CheckBox" checked="Checked" fmlaLink="$Q$118" lockText="1" noThreeD="1"/>
</file>

<file path=xl/ctrlProps/ctrlProp142.xml><?xml version="1.0" encoding="utf-8"?>
<formControlPr xmlns="http://schemas.microsoft.com/office/spreadsheetml/2009/9/main" objectType="CheckBox" checked="Checked" fmlaLink="$Q$119" lockText="1" noThreeD="1"/>
</file>

<file path=xl/ctrlProps/ctrlProp143.xml><?xml version="1.0" encoding="utf-8"?>
<formControlPr xmlns="http://schemas.microsoft.com/office/spreadsheetml/2009/9/main" objectType="CheckBox" checked="Checked" fmlaLink="$Q$120" lockText="1" noThreeD="1"/>
</file>

<file path=xl/ctrlProps/ctrlProp144.xml><?xml version="1.0" encoding="utf-8"?>
<formControlPr xmlns="http://schemas.microsoft.com/office/spreadsheetml/2009/9/main" objectType="CheckBox" checked="Checked" fmlaLink="$Q$121" lockText="1" noThreeD="1"/>
</file>

<file path=xl/ctrlProps/ctrlProp145.xml><?xml version="1.0" encoding="utf-8"?>
<formControlPr xmlns="http://schemas.microsoft.com/office/spreadsheetml/2009/9/main" objectType="CheckBox" checked="Checked" fmlaLink="$Q$122" lockText="1" noThreeD="1"/>
</file>

<file path=xl/ctrlProps/ctrlProp146.xml><?xml version="1.0" encoding="utf-8"?>
<formControlPr xmlns="http://schemas.microsoft.com/office/spreadsheetml/2009/9/main" objectType="CheckBox" checked="Checked" fmlaLink="$Q$123" lockText="1" noThreeD="1"/>
</file>

<file path=xl/ctrlProps/ctrlProp147.xml><?xml version="1.0" encoding="utf-8"?>
<formControlPr xmlns="http://schemas.microsoft.com/office/spreadsheetml/2009/9/main" objectType="CheckBox" fmlaLink="$Q$124" lockText="1" noThreeD="1"/>
</file>

<file path=xl/ctrlProps/ctrlProp148.xml><?xml version="1.0" encoding="utf-8"?>
<formControlPr xmlns="http://schemas.microsoft.com/office/spreadsheetml/2009/9/main" objectType="CheckBox" fmlaLink="$Q$125" lockText="1" noThreeD="1"/>
</file>

<file path=xl/ctrlProps/ctrlProp149.xml><?xml version="1.0" encoding="utf-8"?>
<formControlPr xmlns="http://schemas.microsoft.com/office/spreadsheetml/2009/9/main" objectType="CheckBox" fmlaLink="$Q$126" lockText="1" noThreeD="1"/>
</file>

<file path=xl/ctrlProps/ctrlProp150.xml><?xml version="1.0" encoding="utf-8"?>
<formControlPr xmlns="http://schemas.microsoft.com/office/spreadsheetml/2009/9/main" objectType="CheckBox" checked="Checked" fmlaLink="$Q$127" lockText="1" noThreeD="1"/>
</file>

<file path=xl/ctrlProps/ctrlProp151.xml><?xml version="1.0" encoding="utf-8"?>
<formControlPr xmlns="http://schemas.microsoft.com/office/spreadsheetml/2009/9/main" objectType="CheckBox" checked="Checked" fmlaLink="$I$129" lockText="1" noThreeD="1"/>
</file>

<file path=xl/ctrlProps/ctrlProp152.xml><?xml version="1.0" encoding="utf-8"?>
<formControlPr xmlns="http://schemas.microsoft.com/office/spreadsheetml/2009/9/main" objectType="CheckBox" checked="Checked" fmlaLink="$I$130" lockText="1" noThreeD="1"/>
</file>

<file path=xl/ctrlProps/ctrlProp153.xml><?xml version="1.0" encoding="utf-8"?>
<formControlPr xmlns="http://schemas.microsoft.com/office/spreadsheetml/2009/9/main" objectType="CheckBox" checked="Checked" fmlaLink="$I$131" lockText="1" noThreeD="1"/>
</file>

<file path=xl/ctrlProps/ctrlProp154.xml><?xml version="1.0" encoding="utf-8"?>
<formControlPr xmlns="http://schemas.microsoft.com/office/spreadsheetml/2009/9/main" objectType="CheckBox" fmlaLink="$I$132" lockText="1" noThreeD="1"/>
</file>

<file path=xl/ctrlProps/ctrlProp155.xml><?xml version="1.0" encoding="utf-8"?>
<formControlPr xmlns="http://schemas.microsoft.com/office/spreadsheetml/2009/9/main" objectType="CheckBox" fmlaLink="$I$133" lockText="1" noThreeD="1"/>
</file>

<file path=xl/ctrlProps/ctrlProp156.xml><?xml version="1.0" encoding="utf-8"?>
<formControlPr xmlns="http://schemas.microsoft.com/office/spreadsheetml/2009/9/main" objectType="CheckBox" fmlaLink="$I$134" lockText="1" noThreeD="1"/>
</file>

<file path=xl/ctrlProps/ctrlProp157.xml><?xml version="1.0" encoding="utf-8"?>
<formControlPr xmlns="http://schemas.microsoft.com/office/spreadsheetml/2009/9/main" objectType="CheckBox" checked="Checked" fmlaLink="$I$135" lockText="1" noThreeD="1"/>
</file>

<file path=xl/ctrlProps/ctrlProp158.xml><?xml version="1.0" encoding="utf-8"?>
<formControlPr xmlns="http://schemas.microsoft.com/office/spreadsheetml/2009/9/main" objectType="CheckBox" checked="Checked" fmlaLink="$X$140" lockText="1" noThreeD="1"/>
</file>

<file path=xl/ctrlProps/ctrlProp159.xml><?xml version="1.0" encoding="utf-8"?>
<formControlPr xmlns="http://schemas.microsoft.com/office/spreadsheetml/2009/9/main" objectType="CheckBox" checked="Checked" fmlaLink="$X$141" lockText="1" noThreeD="1"/>
</file>

<file path=xl/ctrlProps/ctrlProp160.xml><?xml version="1.0" encoding="utf-8"?>
<formControlPr xmlns="http://schemas.microsoft.com/office/spreadsheetml/2009/9/main" objectType="CheckBox" checked="Checked" fmlaLink="$X$142" lockText="1" noThreeD="1"/>
</file>

<file path=xl/ctrlProps/ctrlProp161.xml><?xml version="1.0" encoding="utf-8"?>
<formControlPr xmlns="http://schemas.microsoft.com/office/spreadsheetml/2009/9/main" objectType="CheckBox" checked="Checked" fmlaLink="$X$143" lockText="1" noThreeD="1"/>
</file>

<file path=xl/ctrlProps/ctrlProp162.xml><?xml version="1.0" encoding="utf-8"?>
<formControlPr xmlns="http://schemas.microsoft.com/office/spreadsheetml/2009/9/main" objectType="CheckBox" fmlaLink="$X$138" lockText="1" noThreeD="1"/>
</file>

<file path=xl/ctrlProps/ctrlProp163.xml><?xml version="1.0" encoding="utf-8"?>
<formControlPr xmlns="http://schemas.microsoft.com/office/spreadsheetml/2009/9/main" objectType="CheckBox" checked="Checked" fmlaLink="$X$137" lockText="1" noThreeD="1"/>
</file>

<file path=xl/ctrlProps/ctrlProp164.xml><?xml version="1.0" encoding="utf-8"?>
<formControlPr xmlns="http://schemas.microsoft.com/office/spreadsheetml/2009/9/main" objectType="CheckBox" fmlaLink="$X$139" lockText="1" noThreeD="1"/>
</file>

<file path=xl/ctrlProps/ctrlProp165.xml><?xml version="1.0" encoding="utf-8"?>
<formControlPr xmlns="http://schemas.microsoft.com/office/spreadsheetml/2009/9/main" objectType="CheckBox" checked="Checked" fmlaLink="$Q$129" lockText="1" noThreeD="1"/>
</file>

<file path=xl/ctrlProps/ctrlProp166.xml><?xml version="1.0" encoding="utf-8"?>
<formControlPr xmlns="http://schemas.microsoft.com/office/spreadsheetml/2009/9/main" objectType="CheckBox" checked="Checked" fmlaLink="$Q$130" lockText="1" noThreeD="1"/>
</file>

<file path=xl/ctrlProps/ctrlProp167.xml><?xml version="1.0" encoding="utf-8"?>
<formControlPr xmlns="http://schemas.microsoft.com/office/spreadsheetml/2009/9/main" objectType="CheckBox" checked="Checked" fmlaLink="$Q$131" lockText="1" noThreeD="1"/>
</file>

<file path=xl/ctrlProps/ctrlProp168.xml><?xml version="1.0" encoding="utf-8"?>
<formControlPr xmlns="http://schemas.microsoft.com/office/spreadsheetml/2009/9/main" objectType="CheckBox" checked="Checked" fmlaLink="$Q$132" lockText="1" noThreeD="1"/>
</file>

<file path=xl/ctrlProps/ctrlProp169.xml><?xml version="1.0" encoding="utf-8"?>
<formControlPr xmlns="http://schemas.microsoft.com/office/spreadsheetml/2009/9/main" objectType="CheckBox" checked="Checked" fmlaLink="$Q$133" lockText="1" noThreeD="1"/>
</file>

<file path=xl/ctrlProps/ctrlProp170.xml><?xml version="1.0" encoding="utf-8"?>
<formControlPr xmlns="http://schemas.microsoft.com/office/spreadsheetml/2009/9/main" objectType="CheckBox" checked="Checked" fmlaLink="$Q$134" lockText="1" noThreeD="1"/>
</file>

<file path=xl/ctrlProps/ctrlProp171.xml><?xml version="1.0" encoding="utf-8"?>
<formControlPr xmlns="http://schemas.microsoft.com/office/spreadsheetml/2009/9/main" objectType="CheckBox" checked="Checked" fmlaLink="$Q$135" lockText="1" noThreeD="1"/>
</file>

<file path=xl/ctrlProps/ctrlProp172.xml><?xml version="1.0" encoding="utf-8"?>
<formControlPr xmlns="http://schemas.microsoft.com/office/spreadsheetml/2009/9/main" objectType="CheckBox" fmlaLink="$Q$137" lockText="1" noThreeD="1"/>
</file>

<file path=xl/ctrlProps/ctrlProp173.xml><?xml version="1.0" encoding="utf-8"?>
<formControlPr xmlns="http://schemas.microsoft.com/office/spreadsheetml/2009/9/main" objectType="CheckBox" fmlaLink="$Q$138" lockText="1" noThreeD="1"/>
</file>

<file path=xl/ctrlProps/ctrlProp174.xml><?xml version="1.0" encoding="utf-8"?>
<formControlPr xmlns="http://schemas.microsoft.com/office/spreadsheetml/2009/9/main" objectType="CheckBox" fmlaLink="$Q$139" lockText="1" noThreeD="1"/>
</file>

<file path=xl/ctrlProps/ctrlProp175.xml><?xml version="1.0" encoding="utf-8"?>
<formControlPr xmlns="http://schemas.microsoft.com/office/spreadsheetml/2009/9/main" objectType="CheckBox" checked="Checked" fmlaLink="$Q$140" lockText="1" noThreeD="1"/>
</file>

<file path=xl/ctrlProps/ctrlProp176.xml><?xml version="1.0" encoding="utf-8"?>
<formControlPr xmlns="http://schemas.microsoft.com/office/spreadsheetml/2009/9/main" objectType="CheckBox" fmlaLink="$Q$136" lockText="1" noThreeD="1"/>
</file>

<file path=xl/ctrlProps/ctrlProp177.xml><?xml version="1.0" encoding="utf-8"?>
<formControlPr xmlns="http://schemas.microsoft.com/office/spreadsheetml/2009/9/main" objectType="CheckBox" checked="Checked" fmlaLink="$I$126" lockText="1" noThreeD="1"/>
</file>

<file path=xl/ctrlProps/ctrlProp178.xml><?xml version="1.0" encoding="utf-8"?>
<formControlPr xmlns="http://schemas.microsoft.com/office/spreadsheetml/2009/9/main" objectType="CheckBox" checked="Checked" fmlaLink="$I$127" lockText="1" noThreeD="1"/>
</file>

<file path=xl/ctrlProps/ctrlProp179.xml><?xml version="1.0" encoding="utf-8"?>
<formControlPr xmlns="http://schemas.microsoft.com/office/spreadsheetml/2009/9/main" objectType="CheckBox" checked="Checked" fmlaLink="$I$128" lockText="1" noThreeD="1"/>
</file>

<file path=xl/ctrlProps/ctrlProp180.xml><?xml version="1.0" encoding="utf-8"?>
<formControlPr xmlns="http://schemas.microsoft.com/office/spreadsheetml/2009/9/main" objectType="CheckBox" fmlaLink="$I$129" lockText="1" noThreeD="1"/>
</file>

<file path=xl/ctrlProps/ctrlProp181.xml><?xml version="1.0" encoding="utf-8"?>
<formControlPr xmlns="http://schemas.microsoft.com/office/spreadsheetml/2009/9/main" objectType="CheckBox" fmlaLink="$I$130" lockText="1" noThreeD="1"/>
</file>

<file path=xl/ctrlProps/ctrlProp182.xml><?xml version="1.0" encoding="utf-8"?>
<formControlPr xmlns="http://schemas.microsoft.com/office/spreadsheetml/2009/9/main" objectType="CheckBox" fmlaLink="$I$131" lockText="1" noThreeD="1"/>
</file>

<file path=xl/ctrlProps/ctrlProp183.xml><?xml version="1.0" encoding="utf-8"?>
<formControlPr xmlns="http://schemas.microsoft.com/office/spreadsheetml/2009/9/main" objectType="CheckBox" checked="Checked" fmlaLink="$I$132" lockText="1" noThreeD="1"/>
</file>

<file path=xl/ctrlProps/ctrlProp184.xml><?xml version="1.0" encoding="utf-8"?>
<formControlPr xmlns="http://schemas.microsoft.com/office/spreadsheetml/2009/9/main" objectType="CheckBox" checked="Checked" fmlaLink="$X$137" lockText="1" noThreeD="1"/>
</file>

<file path=xl/ctrlProps/ctrlProp185.xml><?xml version="1.0" encoding="utf-8"?>
<formControlPr xmlns="http://schemas.microsoft.com/office/spreadsheetml/2009/9/main" objectType="CheckBox" checked="Checked" fmlaLink="$X$138" lockText="1" noThreeD="1"/>
</file>

<file path=xl/ctrlProps/ctrlProp186.xml><?xml version="1.0" encoding="utf-8"?>
<formControlPr xmlns="http://schemas.microsoft.com/office/spreadsheetml/2009/9/main" objectType="CheckBox" checked="Checked" fmlaLink="$X$139" lockText="1" noThreeD="1"/>
</file>

<file path=xl/ctrlProps/ctrlProp187.xml><?xml version="1.0" encoding="utf-8"?>
<formControlPr xmlns="http://schemas.microsoft.com/office/spreadsheetml/2009/9/main" objectType="CheckBox" checked="Checked" fmlaLink="$X$140" lockText="1" noThreeD="1"/>
</file>

<file path=xl/ctrlProps/ctrlProp188.xml><?xml version="1.0" encoding="utf-8"?>
<formControlPr xmlns="http://schemas.microsoft.com/office/spreadsheetml/2009/9/main" objectType="CheckBox" fmlaLink="$X$135" lockText="1" noThreeD="1"/>
</file>

<file path=xl/ctrlProps/ctrlProp189.xml><?xml version="1.0" encoding="utf-8"?>
<formControlPr xmlns="http://schemas.microsoft.com/office/spreadsheetml/2009/9/main" objectType="CheckBox" checked="Checked" fmlaLink="$X$134" lockText="1" noThreeD="1"/>
</file>

<file path=xl/ctrlProps/ctrlProp190.xml><?xml version="1.0" encoding="utf-8"?>
<formControlPr xmlns="http://schemas.microsoft.com/office/spreadsheetml/2009/9/main" objectType="CheckBox" fmlaLink="$X$136" lockText="1" noThreeD="1"/>
</file>

<file path=xl/ctrlProps/ctrlProp191.xml><?xml version="1.0" encoding="utf-8"?>
<formControlPr xmlns="http://schemas.microsoft.com/office/spreadsheetml/2009/9/main" objectType="CheckBox" checked="Checked" fmlaLink="$Q$126" lockText="1" noThreeD="1"/>
</file>

<file path=xl/ctrlProps/ctrlProp192.xml><?xml version="1.0" encoding="utf-8"?>
<formControlPr xmlns="http://schemas.microsoft.com/office/spreadsheetml/2009/9/main" objectType="CheckBox" checked="Checked" fmlaLink="$Q$127" lockText="1" noThreeD="1"/>
</file>

<file path=xl/ctrlProps/ctrlProp193.xml><?xml version="1.0" encoding="utf-8"?>
<formControlPr xmlns="http://schemas.microsoft.com/office/spreadsheetml/2009/9/main" objectType="CheckBox" checked="Checked" fmlaLink="$Q$128" lockText="1" noThreeD="1"/>
</file>

<file path=xl/ctrlProps/ctrlProp194.xml><?xml version="1.0" encoding="utf-8"?>
<formControlPr xmlns="http://schemas.microsoft.com/office/spreadsheetml/2009/9/main" objectType="CheckBox" checked="Checked" fmlaLink="$Q$129" lockText="1" noThreeD="1"/>
</file>

<file path=xl/ctrlProps/ctrlProp195.xml><?xml version="1.0" encoding="utf-8"?>
<formControlPr xmlns="http://schemas.microsoft.com/office/spreadsheetml/2009/9/main" objectType="CheckBox" checked="Checked" fmlaLink="$Q$130" lockText="1" noThreeD="1"/>
</file>

<file path=xl/ctrlProps/ctrlProp196.xml><?xml version="1.0" encoding="utf-8"?>
<formControlPr xmlns="http://schemas.microsoft.com/office/spreadsheetml/2009/9/main" objectType="CheckBox" checked="Checked" fmlaLink="$Q$131" lockText="1" noThreeD="1"/>
</file>

<file path=xl/ctrlProps/ctrlProp197.xml><?xml version="1.0" encoding="utf-8"?>
<formControlPr xmlns="http://schemas.microsoft.com/office/spreadsheetml/2009/9/main" objectType="CheckBox" checked="Checked" fmlaLink="$Q$132" lockText="1" noThreeD="1"/>
</file>

<file path=xl/ctrlProps/ctrlProp198.xml><?xml version="1.0" encoding="utf-8"?>
<formControlPr xmlns="http://schemas.microsoft.com/office/spreadsheetml/2009/9/main" objectType="CheckBox" fmlaLink="$Q$134" lockText="1" noThreeD="1"/>
</file>

<file path=xl/ctrlProps/ctrlProp199.xml><?xml version="1.0" encoding="utf-8"?>
<formControlPr xmlns="http://schemas.microsoft.com/office/spreadsheetml/2009/9/main" objectType="CheckBox" fmlaLink="$Q$135" lockText="1" noThreeD="1"/>
</file>

<file path=xl/ctrlProps/ctrlProp200.xml><?xml version="1.0" encoding="utf-8"?>
<formControlPr xmlns="http://schemas.microsoft.com/office/spreadsheetml/2009/9/main" objectType="CheckBox" fmlaLink="$Q$136" lockText="1" noThreeD="1"/>
</file>

<file path=xl/ctrlProps/ctrlProp201.xml><?xml version="1.0" encoding="utf-8"?>
<formControlPr xmlns="http://schemas.microsoft.com/office/spreadsheetml/2009/9/main" objectType="CheckBox" checked="Checked" fmlaLink="$Q$137" lockText="1" noThreeD="1"/>
</file>

<file path=xl/ctrlProps/ctrlProp202.xml><?xml version="1.0" encoding="utf-8"?>
<formControlPr xmlns="http://schemas.microsoft.com/office/spreadsheetml/2009/9/main" objectType="CheckBox" fmlaLink="$Q$133" lockText="1" noThreeD="1"/>
</file>

<file path=xl/ctrlProps/ctrlProp203.xml><?xml version="1.0" encoding="utf-8"?>
<formControlPr xmlns="http://schemas.microsoft.com/office/spreadsheetml/2009/9/main" objectType="CheckBox" checked="Checked" fmlaLink="$I$128" lockText="1" noThreeD="1"/>
</file>

<file path=xl/ctrlProps/ctrlProp204.xml><?xml version="1.0" encoding="utf-8"?>
<formControlPr xmlns="http://schemas.microsoft.com/office/spreadsheetml/2009/9/main" objectType="CheckBox" checked="Checked" fmlaLink="$I$129" lockText="1" noThreeD="1"/>
</file>

<file path=xl/ctrlProps/ctrlProp205.xml><?xml version="1.0" encoding="utf-8"?>
<formControlPr xmlns="http://schemas.microsoft.com/office/spreadsheetml/2009/9/main" objectType="CheckBox" checked="Checked" fmlaLink="$I$130" lockText="1" noThreeD="1"/>
</file>

<file path=xl/ctrlProps/ctrlProp206.xml><?xml version="1.0" encoding="utf-8"?>
<formControlPr xmlns="http://schemas.microsoft.com/office/spreadsheetml/2009/9/main" objectType="CheckBox" fmlaLink="$I$131" lockText="1" noThreeD="1"/>
</file>

<file path=xl/ctrlProps/ctrlProp207.xml><?xml version="1.0" encoding="utf-8"?>
<formControlPr xmlns="http://schemas.microsoft.com/office/spreadsheetml/2009/9/main" objectType="CheckBox" fmlaLink="$I$132" lockText="1" noThreeD="1"/>
</file>

<file path=xl/ctrlProps/ctrlProp208.xml><?xml version="1.0" encoding="utf-8"?>
<formControlPr xmlns="http://schemas.microsoft.com/office/spreadsheetml/2009/9/main" objectType="CheckBox" fmlaLink="$I$133" lockText="1" noThreeD="1"/>
</file>

<file path=xl/ctrlProps/ctrlProp209.xml><?xml version="1.0" encoding="utf-8"?>
<formControlPr xmlns="http://schemas.microsoft.com/office/spreadsheetml/2009/9/main" objectType="CheckBox" checked="Checked" fmlaLink="$I$134" lockText="1" noThreeD="1"/>
</file>

<file path=xl/ctrlProps/ctrlProp210.xml><?xml version="1.0" encoding="utf-8"?>
<formControlPr xmlns="http://schemas.microsoft.com/office/spreadsheetml/2009/9/main" objectType="CheckBox" checked="Checked" fmlaLink="$X$139" lockText="1" noThreeD="1"/>
</file>

<file path=xl/ctrlProps/ctrlProp211.xml><?xml version="1.0" encoding="utf-8"?>
<formControlPr xmlns="http://schemas.microsoft.com/office/spreadsheetml/2009/9/main" objectType="CheckBox" checked="Checked" fmlaLink="$X$140" lockText="1" noThreeD="1"/>
</file>

<file path=xl/ctrlProps/ctrlProp212.xml><?xml version="1.0" encoding="utf-8"?>
<formControlPr xmlns="http://schemas.microsoft.com/office/spreadsheetml/2009/9/main" objectType="CheckBox" checked="Checked" fmlaLink="$X$141" lockText="1" noThreeD="1"/>
</file>

<file path=xl/ctrlProps/ctrlProp213.xml><?xml version="1.0" encoding="utf-8"?>
<formControlPr xmlns="http://schemas.microsoft.com/office/spreadsheetml/2009/9/main" objectType="CheckBox" checked="Checked" fmlaLink="$X$142" lockText="1" noThreeD="1"/>
</file>

<file path=xl/ctrlProps/ctrlProp214.xml><?xml version="1.0" encoding="utf-8"?>
<formControlPr xmlns="http://schemas.microsoft.com/office/spreadsheetml/2009/9/main" objectType="CheckBox" fmlaLink="$X$137" lockText="1" noThreeD="1"/>
</file>

<file path=xl/ctrlProps/ctrlProp215.xml><?xml version="1.0" encoding="utf-8"?>
<formControlPr xmlns="http://schemas.microsoft.com/office/spreadsheetml/2009/9/main" objectType="CheckBox" checked="Checked" fmlaLink="$X$136" lockText="1" noThreeD="1"/>
</file>

<file path=xl/ctrlProps/ctrlProp216.xml><?xml version="1.0" encoding="utf-8"?>
<formControlPr xmlns="http://schemas.microsoft.com/office/spreadsheetml/2009/9/main" objectType="CheckBox" fmlaLink="$X$138" lockText="1" noThreeD="1"/>
</file>

<file path=xl/ctrlProps/ctrlProp217.xml><?xml version="1.0" encoding="utf-8"?>
<formControlPr xmlns="http://schemas.microsoft.com/office/spreadsheetml/2009/9/main" objectType="CheckBox" checked="Checked" fmlaLink="$Q$128" lockText="1" noThreeD="1"/>
</file>

<file path=xl/ctrlProps/ctrlProp218.xml><?xml version="1.0" encoding="utf-8"?>
<formControlPr xmlns="http://schemas.microsoft.com/office/spreadsheetml/2009/9/main" objectType="CheckBox" checked="Checked" fmlaLink="$Q$129" lockText="1" noThreeD="1"/>
</file>

<file path=xl/ctrlProps/ctrlProp219.xml><?xml version="1.0" encoding="utf-8"?>
<formControlPr xmlns="http://schemas.microsoft.com/office/spreadsheetml/2009/9/main" objectType="CheckBox" checked="Checked" fmlaLink="$Q$130" lockText="1" noThreeD="1"/>
</file>

<file path=xl/ctrlProps/ctrlProp220.xml><?xml version="1.0" encoding="utf-8"?>
<formControlPr xmlns="http://schemas.microsoft.com/office/spreadsheetml/2009/9/main" objectType="CheckBox" checked="Checked" fmlaLink="$Q$131" lockText="1" noThreeD="1"/>
</file>

<file path=xl/ctrlProps/ctrlProp221.xml><?xml version="1.0" encoding="utf-8"?>
<formControlPr xmlns="http://schemas.microsoft.com/office/spreadsheetml/2009/9/main" objectType="CheckBox" checked="Checked" fmlaLink="$Q$132" lockText="1" noThreeD="1"/>
</file>

<file path=xl/ctrlProps/ctrlProp222.xml><?xml version="1.0" encoding="utf-8"?>
<formControlPr xmlns="http://schemas.microsoft.com/office/spreadsheetml/2009/9/main" objectType="CheckBox" checked="Checked" fmlaLink="$Q$133" lockText="1" noThreeD="1"/>
</file>

<file path=xl/ctrlProps/ctrlProp223.xml><?xml version="1.0" encoding="utf-8"?>
<formControlPr xmlns="http://schemas.microsoft.com/office/spreadsheetml/2009/9/main" objectType="CheckBox" checked="Checked" fmlaLink="$Q$134" lockText="1" noThreeD="1"/>
</file>

<file path=xl/ctrlProps/ctrlProp224.xml><?xml version="1.0" encoding="utf-8"?>
<formControlPr xmlns="http://schemas.microsoft.com/office/spreadsheetml/2009/9/main" objectType="CheckBox" fmlaLink="$Q$136" lockText="1" noThreeD="1"/>
</file>

<file path=xl/ctrlProps/ctrlProp225.xml><?xml version="1.0" encoding="utf-8"?>
<formControlPr xmlns="http://schemas.microsoft.com/office/spreadsheetml/2009/9/main" objectType="CheckBox" fmlaLink="$Q$137" lockText="1" noThreeD="1"/>
</file>

<file path=xl/ctrlProps/ctrlProp226.xml><?xml version="1.0" encoding="utf-8"?>
<formControlPr xmlns="http://schemas.microsoft.com/office/spreadsheetml/2009/9/main" objectType="CheckBox" fmlaLink="$Q$138" lockText="1" noThreeD="1"/>
</file>

<file path=xl/ctrlProps/ctrlProp227.xml><?xml version="1.0" encoding="utf-8"?>
<formControlPr xmlns="http://schemas.microsoft.com/office/spreadsheetml/2009/9/main" objectType="CheckBox" checked="Checked" fmlaLink="$Q$139" lockText="1" noThreeD="1"/>
</file>

<file path=xl/ctrlProps/ctrlProp228.xml><?xml version="1.0" encoding="utf-8"?>
<formControlPr xmlns="http://schemas.microsoft.com/office/spreadsheetml/2009/9/main" objectType="CheckBox" checked="Checked" fmlaLink="$Q$13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1557617</xdr:colOff>
      <xdr:row>4</xdr:row>
      <xdr:rowOff>50805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313765"/>
          <a:ext cx="3115235" cy="364569"/>
        </a:xfrm>
        <a:prstGeom prst="rect">
          <a:avLst/>
        </a:prstGeom>
      </xdr:spPr>
    </xdr:pic>
    <xdr:clientData/>
  </xdr:twoCellAnchor>
  <xdr:twoCellAnchor editAs="oneCell">
    <xdr:from>
      <xdr:col>8</xdr:col>
      <xdr:colOff>1602444</xdr:colOff>
      <xdr:row>3</xdr:row>
      <xdr:rowOff>0</xdr:rowOff>
    </xdr:from>
    <xdr:to>
      <xdr:col>9</xdr:col>
      <xdr:colOff>1206615</xdr:colOff>
      <xdr:row>6</xdr:row>
      <xdr:rowOff>18225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956179" y="470647"/>
          <a:ext cx="2629760" cy="488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1465</xdr:colOff>
      <xdr:row>35</xdr:row>
      <xdr:rowOff>115962</xdr:rowOff>
    </xdr:from>
    <xdr:ext cx="1908000" cy="468000"/>
    <xdr:sp macro="" textlink="$D$81">
      <xdr:nvSpPr>
        <xdr:cNvPr id="2" name="Textfeld 1">
          <a:extLst>
            <a:ext uri="{FF2B5EF4-FFF2-40B4-BE49-F238E27FC236}">
              <a16:creationId xmlns:a16="http://schemas.microsoft.com/office/drawing/2014/main" id="{00000000-0008-0000-0100-000002000000}"/>
            </a:ext>
          </a:extLst>
        </xdr:cNvPr>
        <xdr:cNvSpPr txBox="1"/>
      </xdr:nvSpPr>
      <xdr:spPr>
        <a:xfrm>
          <a:off x="10147661" y="6592962"/>
          <a:ext cx="1908000" cy="468000"/>
        </a:xfrm>
        <a:prstGeom prst="rect">
          <a:avLst/>
        </a:prstGeom>
        <a:noFill/>
      </xdr:spPr>
      <xdr:txBody>
        <a:bodyPr vertOverflow="clip" horzOverflow="clip" wrap="square" lIns="0" tIns="0" rIns="0" bIns="0" rtlCol="0" anchor="t">
          <a:noAutofit/>
        </a:bodyPr>
        <a:lstStyle/>
        <a:p>
          <a:fld id="{A8798845-A2C8-45DD-A818-1D4232B06508}"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9</xdr:col>
      <xdr:colOff>623536</xdr:colOff>
      <xdr:row>19</xdr:row>
      <xdr:rowOff>8287</xdr:rowOff>
    </xdr:from>
    <xdr:ext cx="1980000" cy="1044000"/>
    <xdr:sp macro="" textlink="$D$82">
      <xdr:nvSpPr>
        <xdr:cNvPr id="4" name="Textfeld 3">
          <a:extLst>
            <a:ext uri="{FF2B5EF4-FFF2-40B4-BE49-F238E27FC236}">
              <a16:creationId xmlns:a16="http://schemas.microsoft.com/office/drawing/2014/main" id="{00000000-0008-0000-0100-000004000000}"/>
            </a:ext>
          </a:extLst>
        </xdr:cNvPr>
        <xdr:cNvSpPr txBox="1"/>
      </xdr:nvSpPr>
      <xdr:spPr>
        <a:xfrm>
          <a:off x="10082275" y="3669200"/>
          <a:ext cx="1980000" cy="1044000"/>
        </a:xfrm>
        <a:prstGeom prst="rect">
          <a:avLst/>
        </a:prstGeom>
        <a:noFill/>
      </xdr:spPr>
      <xdr:txBody>
        <a:bodyPr vertOverflow="clip" horzOverflow="clip" wrap="square" rtlCol="0" anchor="t">
          <a:noAutofit/>
        </a:bodyPr>
        <a:lstStyle/>
        <a:p>
          <a:fld id="{1DD90042-5239-425A-AB60-B364E80AEAEE}" type="TxLink">
            <a:rPr lang="en-US" sz="900" b="0" i="0" u="none" strike="noStrike" dirty="0" err="1" smtClean="0">
              <a:solidFill>
                <a:schemeClr val="accent4">
                  <a:lumMod val="90000"/>
                  <a:lumOff val="10000"/>
                </a:schemeClr>
              </a:solidFill>
              <a:latin typeface="Arial"/>
              <a:cs typeface="Arial"/>
            </a:rPr>
            <a:pPr/>
            <a:t> </a:t>
          </a:fld>
          <a:endParaRPr lang="en-GB" sz="1050" dirty="0" err="1">
            <a:solidFill>
              <a:schemeClr val="accent4">
                <a:lumMod val="90000"/>
                <a:lumOff val="10000"/>
              </a:schemeClr>
            </a:solidFill>
          </a:endParaRPr>
        </a:p>
      </xdr:txBody>
    </xdr:sp>
    <xdr:clientData/>
  </xdr:oneCellAnchor>
  <xdr:oneCellAnchor>
    <xdr:from>
      <xdr:col>9</xdr:col>
      <xdr:colOff>623536</xdr:colOff>
      <xdr:row>26</xdr:row>
      <xdr:rowOff>6233</xdr:rowOff>
    </xdr:from>
    <xdr:ext cx="1980000" cy="1044000"/>
    <xdr:sp macro="" textlink="$D$83">
      <xdr:nvSpPr>
        <xdr:cNvPr id="5" name="Textfeld 4">
          <a:extLst>
            <a:ext uri="{FF2B5EF4-FFF2-40B4-BE49-F238E27FC236}">
              <a16:creationId xmlns:a16="http://schemas.microsoft.com/office/drawing/2014/main" id="{00000000-0008-0000-0100-000005000000}"/>
            </a:ext>
          </a:extLst>
        </xdr:cNvPr>
        <xdr:cNvSpPr txBox="1"/>
      </xdr:nvSpPr>
      <xdr:spPr>
        <a:xfrm>
          <a:off x="10082275" y="4992363"/>
          <a:ext cx="1980000" cy="1044000"/>
        </a:xfrm>
        <a:prstGeom prst="rect">
          <a:avLst/>
        </a:prstGeom>
        <a:noFill/>
      </xdr:spPr>
      <xdr:txBody>
        <a:bodyPr vertOverflow="clip" horzOverflow="clip" wrap="square" rtlCol="0" anchor="t">
          <a:noAutofit/>
        </a:bodyPr>
        <a:lstStyle/>
        <a:p>
          <a:fld id="{86600811-369B-4BB8-8C1C-0D290BC6199D}"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39</xdr:row>
      <xdr:rowOff>74534</xdr:rowOff>
    </xdr:from>
    <xdr:ext cx="1908000" cy="468000"/>
    <xdr:sp macro="" textlink="$D$84">
      <xdr:nvSpPr>
        <xdr:cNvPr id="3" name="Textfeld 2">
          <a:extLst>
            <a:ext uri="{FF2B5EF4-FFF2-40B4-BE49-F238E27FC236}">
              <a16:creationId xmlns:a16="http://schemas.microsoft.com/office/drawing/2014/main" id="{00000000-0008-0000-0100-000003000000}"/>
            </a:ext>
          </a:extLst>
        </xdr:cNvPr>
        <xdr:cNvSpPr txBox="1"/>
      </xdr:nvSpPr>
      <xdr:spPr>
        <a:xfrm>
          <a:off x="10147661" y="7346664"/>
          <a:ext cx="1908000" cy="468000"/>
        </a:xfrm>
        <a:prstGeom prst="rect">
          <a:avLst/>
        </a:prstGeom>
        <a:noFill/>
      </xdr:spPr>
      <xdr:txBody>
        <a:bodyPr vertOverflow="clip" horzOverflow="clip" wrap="square" lIns="0" tIns="0" rIns="0" bIns="0" rtlCol="0" anchor="t">
          <a:noAutofit/>
        </a:bodyPr>
        <a:lstStyle/>
        <a:p>
          <a:fld id="{9459B6EA-864B-4F45-9240-0F8608E8ABEA}"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44</xdr:row>
      <xdr:rowOff>49689</xdr:rowOff>
    </xdr:from>
    <xdr:ext cx="1908000" cy="579788"/>
    <xdr:sp macro="" textlink="$D$85">
      <xdr:nvSpPr>
        <xdr:cNvPr id="6" name="Textfeld 5">
          <a:extLst>
            <a:ext uri="{FF2B5EF4-FFF2-40B4-BE49-F238E27FC236}">
              <a16:creationId xmlns:a16="http://schemas.microsoft.com/office/drawing/2014/main" id="{00000000-0008-0000-0100-000006000000}"/>
            </a:ext>
          </a:extLst>
        </xdr:cNvPr>
        <xdr:cNvSpPr txBox="1"/>
      </xdr:nvSpPr>
      <xdr:spPr>
        <a:xfrm>
          <a:off x="10147661" y="8266037"/>
          <a:ext cx="1908000" cy="579788"/>
        </a:xfrm>
        <a:prstGeom prst="rect">
          <a:avLst/>
        </a:prstGeom>
        <a:noFill/>
      </xdr:spPr>
      <xdr:txBody>
        <a:bodyPr vertOverflow="clip" horzOverflow="clip" wrap="square" lIns="0" tIns="0" rIns="0" bIns="0" rtlCol="0" anchor="t">
          <a:noAutofit/>
        </a:bodyPr>
        <a:lstStyle/>
        <a:p>
          <a:fld id="{64E843A4-BC84-42F3-95D2-02E7901A2D26}"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58</xdr:row>
      <xdr:rowOff>185527</xdr:rowOff>
    </xdr:from>
    <xdr:ext cx="1908000" cy="468000"/>
    <xdr:sp macro="" textlink="$D$86">
      <xdr:nvSpPr>
        <xdr:cNvPr id="7" name="Textfeld 6">
          <a:extLst>
            <a:ext uri="{FF2B5EF4-FFF2-40B4-BE49-F238E27FC236}">
              <a16:creationId xmlns:a16="http://schemas.microsoft.com/office/drawing/2014/main" id="{00000000-0008-0000-0100-000007000000}"/>
            </a:ext>
          </a:extLst>
        </xdr:cNvPr>
        <xdr:cNvSpPr txBox="1"/>
      </xdr:nvSpPr>
      <xdr:spPr>
        <a:xfrm>
          <a:off x="10147661" y="11002614"/>
          <a:ext cx="1908000" cy="468000"/>
        </a:xfrm>
        <a:prstGeom prst="rect">
          <a:avLst/>
        </a:prstGeom>
        <a:noFill/>
      </xdr:spPr>
      <xdr:txBody>
        <a:bodyPr vertOverflow="clip" horzOverflow="clip" wrap="square" lIns="0" tIns="0" rIns="0" bIns="0" rtlCol="0" anchor="t">
          <a:noAutofit/>
        </a:bodyPr>
        <a:lstStyle/>
        <a:p>
          <a:fld id="{B0EE5746-465F-43B6-A8E2-C4AB3DBD4143}"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65</xdr:row>
      <xdr:rowOff>48040</xdr:rowOff>
    </xdr:from>
    <xdr:ext cx="1908000" cy="468000"/>
    <xdr:sp macro="" textlink="$D$87">
      <xdr:nvSpPr>
        <xdr:cNvPr id="8" name="Textfeld 7">
          <a:extLst>
            <a:ext uri="{FF2B5EF4-FFF2-40B4-BE49-F238E27FC236}">
              <a16:creationId xmlns:a16="http://schemas.microsoft.com/office/drawing/2014/main" id="{00000000-0008-0000-0100-000008000000}"/>
            </a:ext>
          </a:extLst>
        </xdr:cNvPr>
        <xdr:cNvSpPr txBox="1"/>
      </xdr:nvSpPr>
      <xdr:spPr>
        <a:xfrm>
          <a:off x="10147661" y="12182062"/>
          <a:ext cx="1908000" cy="468000"/>
        </a:xfrm>
        <a:prstGeom prst="rect">
          <a:avLst/>
        </a:prstGeom>
        <a:noFill/>
      </xdr:spPr>
      <xdr:txBody>
        <a:bodyPr vertOverflow="clip" horzOverflow="clip" wrap="square" lIns="0" tIns="0" rIns="0" bIns="0" rtlCol="0" anchor="t">
          <a:noAutofit/>
        </a:bodyPr>
        <a:lstStyle/>
        <a:p>
          <a:fld id="{20340835-117F-4C40-A25F-28A55B99CAFB}"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70</xdr:row>
      <xdr:rowOff>101046</xdr:rowOff>
    </xdr:from>
    <xdr:ext cx="1908000" cy="468000"/>
    <xdr:sp macro="" textlink="$D$88">
      <xdr:nvSpPr>
        <xdr:cNvPr id="9" name="Textfeld 8">
          <a:extLst>
            <a:ext uri="{FF2B5EF4-FFF2-40B4-BE49-F238E27FC236}">
              <a16:creationId xmlns:a16="http://schemas.microsoft.com/office/drawing/2014/main" id="{00000000-0008-0000-0100-000009000000}"/>
            </a:ext>
          </a:extLst>
        </xdr:cNvPr>
        <xdr:cNvSpPr txBox="1"/>
      </xdr:nvSpPr>
      <xdr:spPr>
        <a:xfrm>
          <a:off x="10147661" y="13179285"/>
          <a:ext cx="1908000" cy="468000"/>
        </a:xfrm>
        <a:prstGeom prst="rect">
          <a:avLst/>
        </a:prstGeom>
        <a:noFill/>
      </xdr:spPr>
      <xdr:txBody>
        <a:bodyPr vertOverflow="clip" horzOverflow="clip" wrap="square" lIns="0" tIns="0" rIns="0" bIns="0" rtlCol="0" anchor="t">
          <a:noAutofit/>
        </a:bodyPr>
        <a:lstStyle/>
        <a:p>
          <a:fld id="{26C14205-DB06-418B-B94E-F927D889CE4D}"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oneCellAnchor>
    <xdr:from>
      <xdr:col>10</xdr:col>
      <xdr:colOff>1465</xdr:colOff>
      <xdr:row>73</xdr:row>
      <xdr:rowOff>96081</xdr:rowOff>
    </xdr:from>
    <xdr:ext cx="1908000" cy="468000"/>
    <xdr:sp macro="" textlink="$D$89">
      <xdr:nvSpPr>
        <xdr:cNvPr id="10" name="Textfeld 9">
          <a:extLst>
            <a:ext uri="{FF2B5EF4-FFF2-40B4-BE49-F238E27FC236}">
              <a16:creationId xmlns:a16="http://schemas.microsoft.com/office/drawing/2014/main" id="{00000000-0008-0000-0100-00000A000000}"/>
            </a:ext>
          </a:extLst>
        </xdr:cNvPr>
        <xdr:cNvSpPr txBox="1"/>
      </xdr:nvSpPr>
      <xdr:spPr>
        <a:xfrm>
          <a:off x="10147661" y="13687842"/>
          <a:ext cx="1908000" cy="468000"/>
        </a:xfrm>
        <a:prstGeom prst="rect">
          <a:avLst/>
        </a:prstGeom>
        <a:noFill/>
      </xdr:spPr>
      <xdr:txBody>
        <a:bodyPr vertOverflow="clip" horzOverflow="clip" wrap="square" lIns="0" tIns="0" rIns="0" bIns="0" rtlCol="0" anchor="t">
          <a:noAutofit/>
        </a:bodyPr>
        <a:lstStyle/>
        <a:p>
          <a:fld id="{B60C8604-BF7A-42B7-9B13-1D5DF31A9C6C}" type="TxLink">
            <a:rPr lang="en-US" sz="900" b="0" i="0" u="none" strike="noStrike" dirty="0" err="1" smtClean="0">
              <a:solidFill>
                <a:schemeClr val="accent4">
                  <a:lumMod val="90000"/>
                  <a:lumOff val="10000"/>
                </a:schemeClr>
              </a:solidFill>
              <a:latin typeface="Arial"/>
              <a:cs typeface="Arial"/>
            </a:rPr>
            <a:pPr/>
            <a:t> </a:t>
          </a:fld>
          <a:endParaRPr lang="en-GB" sz="900" dirty="0" err="1">
            <a:solidFill>
              <a:schemeClr val="accent4">
                <a:lumMod val="90000"/>
                <a:lumOff val="10000"/>
              </a:schemeClr>
            </a:solidFill>
          </a:endParaRPr>
        </a:p>
      </xdr:txBody>
    </xdr:sp>
    <xdr:clientData/>
  </xdr:oneCellAnchor>
  <xdr:twoCellAnchor>
    <xdr:from>
      <xdr:col>9</xdr:col>
      <xdr:colOff>1281794</xdr:colOff>
      <xdr:row>57</xdr:row>
      <xdr:rowOff>125188</xdr:rowOff>
    </xdr:from>
    <xdr:to>
      <xdr:col>11</xdr:col>
      <xdr:colOff>149678</xdr:colOff>
      <xdr:row>61</xdr:row>
      <xdr:rowOff>167370</xdr:rowOff>
    </xdr:to>
    <xdr:sp macro="" textlink="$K$83">
      <xdr:nvSpPr>
        <xdr:cNvPr id="11" name="Textfeld 10">
          <a:extLst>
            <a:ext uri="{FF2B5EF4-FFF2-40B4-BE49-F238E27FC236}">
              <a16:creationId xmlns:a16="http://schemas.microsoft.com/office/drawing/2014/main" id="{00000000-0008-0000-0100-00000B000000}"/>
            </a:ext>
          </a:extLst>
        </xdr:cNvPr>
        <xdr:cNvSpPr txBox="1"/>
      </xdr:nvSpPr>
      <xdr:spPr>
        <a:xfrm>
          <a:off x="10725151" y="11187795"/>
          <a:ext cx="1888670" cy="736146"/>
        </a:xfrm>
        <a:prstGeom prst="rect">
          <a:avLst/>
        </a:prstGeom>
        <a:noFill/>
        <a:ln>
          <a:solidFill>
            <a:schemeClr val="bg1"/>
          </a:solidFill>
        </a:ln>
      </xdr:spPr>
      <xdr:txBody>
        <a:bodyPr vertOverflow="clip" horzOverflow="clip" wrap="square" rtlCol="0" anchor="t">
          <a:noAutofit/>
        </a:bodyPr>
        <a:lstStyle/>
        <a:p>
          <a:pPr algn="l"/>
          <a:fld id="{DBD63111-8C1B-4515-B951-2293F8E717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twoCellAnchor>
    <xdr:from>
      <xdr:col>9</xdr:col>
      <xdr:colOff>638175</xdr:colOff>
      <xdr:row>48</xdr:row>
      <xdr:rowOff>26913</xdr:rowOff>
    </xdr:from>
    <xdr:to>
      <xdr:col>10</xdr:col>
      <xdr:colOff>1581150</xdr:colOff>
      <xdr:row>51</xdr:row>
      <xdr:rowOff>9526</xdr:rowOff>
    </xdr:to>
    <xdr:sp macro="" textlink="$K$82">
      <xdr:nvSpPr>
        <xdr:cNvPr id="12" name="Textfeld 11">
          <a:extLst>
            <a:ext uri="{FF2B5EF4-FFF2-40B4-BE49-F238E27FC236}">
              <a16:creationId xmlns:a16="http://schemas.microsoft.com/office/drawing/2014/main" id="{00000000-0008-0000-0100-00000C000000}"/>
            </a:ext>
          </a:extLst>
        </xdr:cNvPr>
        <xdr:cNvSpPr txBox="1"/>
      </xdr:nvSpPr>
      <xdr:spPr>
        <a:xfrm>
          <a:off x="10096500" y="9085188"/>
          <a:ext cx="1628775" cy="582688"/>
        </a:xfrm>
        <a:prstGeom prst="rect">
          <a:avLst/>
        </a:prstGeom>
        <a:noFill/>
        <a:ln>
          <a:solidFill>
            <a:schemeClr val="bg1"/>
          </a:solidFill>
        </a:ln>
      </xdr:spPr>
      <xdr:txBody>
        <a:bodyPr vertOverflow="clip" horzOverflow="clip" wrap="square" rtlCol="0" anchor="t">
          <a:noAutofit/>
        </a:bodyPr>
        <a:lstStyle/>
        <a:p>
          <a:pPr algn="l"/>
          <a:fld id="{286C9B7C-2B0F-4743-A673-23669128C163}" type="TxLink">
            <a:rPr lang="en-US" sz="1000" b="0" i="0" u="none" strike="noStrike" dirty="0" err="1" smtClean="0">
              <a:solidFill>
                <a:srgbClr val="323232"/>
              </a:solidFill>
              <a:latin typeface="Arial"/>
              <a:cs typeface="Arial"/>
            </a:rPr>
            <a:pPr algn="l"/>
            <a:t> </a:t>
          </a:fld>
          <a:endParaRPr lang="de-DE" sz="1100" dirty="0" err="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560292</xdr:colOff>
      <xdr:row>35</xdr:row>
      <xdr:rowOff>117661</xdr:rowOff>
    </xdr:from>
    <xdr:to>
      <xdr:col>8</xdr:col>
      <xdr:colOff>539185</xdr:colOff>
      <xdr:row>62</xdr:row>
      <xdr:rowOff>28948</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39</xdr:row>
      <xdr:rowOff>33094</xdr:rowOff>
    </xdr:from>
    <xdr:to>
      <xdr:col>15</xdr:col>
      <xdr:colOff>778217</xdr:colOff>
      <xdr:row>62</xdr:row>
      <xdr:rowOff>57523</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71</xdr:row>
          <xdr:rowOff>28575</xdr:rowOff>
        </xdr:from>
        <xdr:to>
          <xdr:col>2</xdr:col>
          <xdr:colOff>704850</xdr:colOff>
          <xdr:row>72</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72</xdr:row>
          <xdr:rowOff>28575</xdr:rowOff>
        </xdr:from>
        <xdr:to>
          <xdr:col>2</xdr:col>
          <xdr:colOff>704850</xdr:colOff>
          <xdr:row>72</xdr:row>
          <xdr:rowOff>190500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73</xdr:row>
          <xdr:rowOff>28575</xdr:rowOff>
        </xdr:from>
        <xdr:to>
          <xdr:col>2</xdr:col>
          <xdr:colOff>704850</xdr:colOff>
          <xdr:row>73</xdr:row>
          <xdr:rowOff>180975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6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74</xdr:row>
          <xdr:rowOff>19050</xdr:rowOff>
        </xdr:from>
        <xdr:to>
          <xdr:col>2</xdr:col>
          <xdr:colOff>704850</xdr:colOff>
          <xdr:row>74</xdr:row>
          <xdr:rowOff>190500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6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75</xdr:row>
          <xdr:rowOff>19050</xdr:rowOff>
        </xdr:from>
        <xdr:to>
          <xdr:col>2</xdr:col>
          <xdr:colOff>704850</xdr:colOff>
          <xdr:row>75</xdr:row>
          <xdr:rowOff>180975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6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76</xdr:row>
          <xdr:rowOff>0</xdr:rowOff>
        </xdr:from>
        <xdr:to>
          <xdr:col>2</xdr:col>
          <xdr:colOff>704850</xdr:colOff>
          <xdr:row>76</xdr:row>
          <xdr:rowOff>180975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6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77</xdr:row>
          <xdr:rowOff>9525</xdr:rowOff>
        </xdr:from>
        <xdr:to>
          <xdr:col>2</xdr:col>
          <xdr:colOff>704850</xdr:colOff>
          <xdr:row>77</xdr:row>
          <xdr:rowOff>190500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6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35</xdr:row>
      <xdr:rowOff>117663</xdr:rowOff>
    </xdr:from>
    <xdr:to>
      <xdr:col>25</xdr:col>
      <xdr:colOff>445249</xdr:colOff>
      <xdr:row>62</xdr:row>
      <xdr:rowOff>28948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82</xdr:row>
          <xdr:rowOff>0</xdr:rowOff>
        </xdr:from>
        <xdr:to>
          <xdr:col>18</xdr:col>
          <xdr:colOff>666750</xdr:colOff>
          <xdr:row>82</xdr:row>
          <xdr:rowOff>180975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6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83</xdr:row>
          <xdr:rowOff>19050</xdr:rowOff>
        </xdr:from>
        <xdr:to>
          <xdr:col>19</xdr:col>
          <xdr:colOff>0</xdr:colOff>
          <xdr:row>84</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6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84</xdr:row>
          <xdr:rowOff>19050</xdr:rowOff>
        </xdr:from>
        <xdr:to>
          <xdr:col>19</xdr:col>
          <xdr:colOff>0</xdr:colOff>
          <xdr:row>85</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6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85</xdr:row>
          <xdr:rowOff>9525</xdr:rowOff>
        </xdr:from>
        <xdr:to>
          <xdr:col>19</xdr:col>
          <xdr:colOff>0</xdr:colOff>
          <xdr:row>85</xdr:row>
          <xdr:rowOff>190500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6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80</xdr:row>
          <xdr:rowOff>9525</xdr:rowOff>
        </xdr:from>
        <xdr:to>
          <xdr:col>18</xdr:col>
          <xdr:colOff>666750</xdr:colOff>
          <xdr:row>81</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6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79</xdr:row>
          <xdr:rowOff>0</xdr:rowOff>
        </xdr:from>
        <xdr:to>
          <xdr:col>18</xdr:col>
          <xdr:colOff>666750</xdr:colOff>
          <xdr:row>80</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6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81</xdr:row>
          <xdr:rowOff>9525</xdr:rowOff>
        </xdr:from>
        <xdr:to>
          <xdr:col>18</xdr:col>
          <xdr:colOff>666750</xdr:colOff>
          <xdr:row>82</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6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673432</xdr:colOff>
      <xdr:row>106</xdr:row>
      <xdr:rowOff>90567</xdr:rowOff>
    </xdr:from>
    <xdr:to>
      <xdr:col>16</xdr:col>
      <xdr:colOff>141067</xdr:colOff>
      <xdr:row>130</xdr:row>
      <xdr:rowOff>14600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79</xdr:row>
          <xdr:rowOff>152400</xdr:rowOff>
        </xdr:from>
        <xdr:to>
          <xdr:col>10</xdr:col>
          <xdr:colOff>723900</xdr:colOff>
          <xdr:row>81</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6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171450</xdr:rowOff>
        </xdr:from>
        <xdr:to>
          <xdr:col>10</xdr:col>
          <xdr:colOff>723900</xdr:colOff>
          <xdr:row>81</xdr:row>
          <xdr:rowOff>190500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6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6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180975</xdr:rowOff>
        </xdr:from>
        <xdr:to>
          <xdr:col>10</xdr:col>
          <xdr:colOff>723900</xdr:colOff>
          <xdr:row>84</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6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180975</xdr:rowOff>
        </xdr:from>
        <xdr:to>
          <xdr:col>10</xdr:col>
          <xdr:colOff>723900</xdr:colOff>
          <xdr:row>85</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6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84</xdr:row>
          <xdr:rowOff>180975</xdr:rowOff>
        </xdr:from>
        <xdr:to>
          <xdr:col>10</xdr:col>
          <xdr:colOff>723900</xdr:colOff>
          <xdr:row>86</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6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85</xdr:row>
          <xdr:rowOff>180975</xdr:rowOff>
        </xdr:from>
        <xdr:to>
          <xdr:col>10</xdr:col>
          <xdr:colOff>723900</xdr:colOff>
          <xdr:row>87</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6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190500</xdr:rowOff>
        </xdr:from>
        <xdr:to>
          <xdr:col>10</xdr:col>
          <xdr:colOff>723900</xdr:colOff>
          <xdr:row>87</xdr:row>
          <xdr:rowOff>190500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6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6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171450</xdr:rowOff>
        </xdr:from>
        <xdr:to>
          <xdr:col>10</xdr:col>
          <xdr:colOff>723900</xdr:colOff>
          <xdr:row>89</xdr:row>
          <xdr:rowOff>180975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6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180975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6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77</xdr:row>
      <xdr:rowOff>76042</xdr:rowOff>
    </xdr:from>
    <xdr:to>
      <xdr:col>10</xdr:col>
      <xdr:colOff>762000</xdr:colOff>
      <xdr:row>91</xdr:row>
      <xdr:rowOff>155282</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618924" y="11842218"/>
          <a:ext cx="872458" cy="2891917"/>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29</xdr:row>
      <xdr:rowOff>121226</xdr:rowOff>
    </xdr:from>
    <xdr:to>
      <xdr:col>9</xdr:col>
      <xdr:colOff>523636</xdr:colOff>
      <xdr:row>104</xdr:row>
      <xdr:rowOff>88499</xdr:rowOff>
    </xdr:to>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364681" y="4883726"/>
          <a:ext cx="108000" cy="12852000"/>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29</xdr:row>
      <xdr:rowOff>117762</xdr:rowOff>
    </xdr:from>
    <xdr:to>
      <xdr:col>17</xdr:col>
      <xdr:colOff>295035</xdr:colOff>
      <xdr:row>104</xdr:row>
      <xdr:rowOff>85035</xdr:rowOff>
    </xdr:to>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16483444" y="4880262"/>
          <a:ext cx="108000" cy="12852000"/>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20</xdr:row>
      <xdr:rowOff>142875</xdr:rowOff>
    </xdr:from>
    <xdr:to>
      <xdr:col>11</xdr:col>
      <xdr:colOff>1018200</xdr:colOff>
      <xdr:row>20</xdr:row>
      <xdr:rowOff>142875</xdr:rowOff>
    </xdr:to>
    <xdr:cxnSp macro="">
      <xdr:nvCxnSpPr>
        <xdr:cNvPr id="10" name="Gerader Verbinder 9">
          <a:extLst>
            <a:ext uri="{FF2B5EF4-FFF2-40B4-BE49-F238E27FC236}">
              <a16:creationId xmlns:a16="http://schemas.microsoft.com/office/drawing/2014/main" id="{00000000-0008-0000-0600-00000A000000}"/>
            </a:ext>
          </a:extLst>
        </xdr:cNvPr>
        <xdr:cNvCxnSpPr/>
      </xdr:nvCxnSpPr>
      <xdr:spPr bwMode="auto">
        <a:xfrm>
          <a:off x="1228725" y="3733800"/>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201081</xdr:colOff>
      <xdr:row>12</xdr:row>
      <xdr:rowOff>5</xdr:rowOff>
    </xdr:from>
    <xdr:to>
      <xdr:col>12</xdr:col>
      <xdr:colOff>645584</xdr:colOff>
      <xdr:row>16</xdr:row>
      <xdr:rowOff>113243</xdr:rowOff>
    </xdr:to>
    <xdr:grpSp>
      <xdr:nvGrpSpPr>
        <xdr:cNvPr id="11" name="Gruppieren 10">
          <a:extLst>
            <a:ext uri="{FF2B5EF4-FFF2-40B4-BE49-F238E27FC236}">
              <a16:creationId xmlns:a16="http://schemas.microsoft.com/office/drawing/2014/main" id="{00000000-0008-0000-0600-00000B000000}"/>
            </a:ext>
          </a:extLst>
        </xdr:cNvPr>
        <xdr:cNvGrpSpPr/>
      </xdr:nvGrpSpPr>
      <xdr:grpSpPr>
        <a:xfrm>
          <a:off x="9884831" y="3598338"/>
          <a:ext cx="3725336" cy="938738"/>
          <a:chOff x="9884831" y="3598338"/>
          <a:chExt cx="3725336" cy="938738"/>
        </a:xfrm>
      </xdr:grpSpPr>
      <xdr:sp macro="" textlink="$D$126">
        <xdr:nvSpPr>
          <xdr:cNvPr id="13" name="Textfeld 12">
            <a:extLst>
              <a:ext uri="{FF2B5EF4-FFF2-40B4-BE49-F238E27FC236}">
                <a16:creationId xmlns:a16="http://schemas.microsoft.com/office/drawing/2014/main" id="{00000000-0008-0000-0600-00000D000000}"/>
              </a:ext>
            </a:extLst>
          </xdr:cNvPr>
          <xdr:cNvSpPr txBox="1"/>
        </xdr:nvSpPr>
        <xdr:spPr>
          <a:xfrm>
            <a:off x="9885891" y="3894668"/>
            <a:ext cx="3724276" cy="642408"/>
          </a:xfrm>
          <a:prstGeom prst="rect">
            <a:avLst/>
          </a:prstGeom>
          <a:noFill/>
          <a:ln>
            <a:solidFill>
              <a:schemeClr val="bg1">
                <a:lumMod val="50000"/>
              </a:schemeClr>
            </a:solidFill>
          </a:ln>
        </xdr:spPr>
        <xdr:txBody>
          <a:bodyPr vertOverflow="clip" horzOverflow="clip" wrap="square" rtlCol="0" anchor="t">
            <a:noAutofit/>
          </a:bodyPr>
          <a:lstStyle/>
          <a:p>
            <a:pPr algn="ctr"/>
            <a:fld id="{C2BF7F2C-B3FD-404D-B601-1F9C893DA07A}"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9" name="Rechteck 8">
            <a:extLst>
              <a:ext uri="{FF2B5EF4-FFF2-40B4-BE49-F238E27FC236}">
                <a16:creationId xmlns:a16="http://schemas.microsoft.com/office/drawing/2014/main" id="{00000000-0008-0000-0600-000009000000}"/>
              </a:ext>
            </a:extLst>
          </xdr:cNvPr>
          <xdr:cNvSpPr/>
        </xdr:nvSpPr>
        <xdr:spPr bwMode="auto">
          <a:xfrm>
            <a:off x="9884831" y="3598338"/>
            <a:ext cx="3725336" cy="306911"/>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0.23302</cdr:x>
      <cdr:y>0.03526</cdr:y>
    </cdr:from>
    <cdr:to>
      <cdr:x>0.32481</cdr:x>
      <cdr:y>0.09347</cdr:y>
    </cdr:to>
    <cdr:sp macro="" textlink="'M1 Härtekammern'!$E$11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60849" y="145257"/>
          <a:ext cx="6148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0.09347</cdr:y>
    </cdr:to>
    <cdr:sp macro="" textlink="'M1 Härtekammern'!$F$11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89504" y="145257"/>
          <a:ext cx="6148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203,8</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0.09347</cdr:y>
    </cdr:to>
    <cdr:sp macro="" textlink="'M1 Härtekammern'!$G$11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76696" y="145257"/>
          <a:ext cx="61477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142,4</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5.xml><?xml version="1.0" encoding="utf-8"?>
<c:userShapes xmlns:c="http://schemas.openxmlformats.org/drawingml/2006/chart">
  <cdr:relSizeAnchor xmlns:cdr="http://schemas.openxmlformats.org/drawingml/2006/chartDrawing">
    <cdr:from>
      <cdr:x>0.51422</cdr:x>
      <cdr:y>0.04219</cdr:y>
    </cdr:from>
    <cdr:to>
      <cdr:x>0.63321</cdr:x>
      <cdr:y>0.10863</cdr:y>
    </cdr:to>
    <cdr:sp macro="" textlink="'M1 Härtekammern'!$N$7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52115" y="152276"/>
          <a:ext cx="72939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B7DEFB2-F32C-4B63-9552-1F0A9EA11C3A}" type="TxLink">
            <a:rPr lang="en-US" sz="1000" b="1" i="0" u="none" strike="noStrike" dirty="0" err="1">
              <a:solidFill>
                <a:srgbClr val="323232"/>
              </a:solidFill>
              <a:latin typeface="Arial"/>
              <a:cs typeface="Arial"/>
            </a:rPr>
            <a:pPr/>
            <a:t>6.026</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0.10863</cdr:y>
    </cdr:to>
    <cdr:sp macro="" textlink="'M1 Härtekammern'!$O$7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66770" y="152276"/>
          <a:ext cx="72939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5.955</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1 Härtekammern'!$M$7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2D56D4C-48D1-4FC7-803C-53619635208D}"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6.xml><?xml version="1.0" encoding="utf-8"?>
<c:userShapes xmlns:c="http://schemas.openxmlformats.org/drawingml/2006/chart">
  <cdr:relSizeAnchor xmlns:cdr="http://schemas.openxmlformats.org/drawingml/2006/chartDrawing">
    <cdr:from>
      <cdr:x>0.24983</cdr:x>
      <cdr:y>0.03789</cdr:y>
    </cdr:from>
    <cdr:to>
      <cdr:x>0.38319</cdr:x>
      <cdr:y>0.0961</cdr:y>
    </cdr:to>
    <cdr:sp macro="" textlink="'M1 Härtekammern'!$U$12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80027" y="156092"/>
          <a:ext cx="89680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0.0961</cdr:y>
    </cdr:to>
    <cdr:sp macro="" textlink="'M1 Härtekammern'!$V$12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12777" y="156092"/>
          <a:ext cx="89687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446.739 €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0.0961</cdr:y>
    </cdr:to>
    <cdr:sp macro="" textlink="'M1 Härtekammern'!$W$12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8306" y="156092"/>
          <a:ext cx="896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652.009 €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7.xml><?xml version="1.0" encoding="utf-8"?>
<c:userShapes xmlns:c="http://schemas.openxmlformats.org/drawingml/2006/chart">
  <cdr:relSizeAnchor xmlns:cdr="http://schemas.openxmlformats.org/drawingml/2006/chartDrawing">
    <cdr:from>
      <cdr:x>0.26001</cdr:x>
      <cdr:y>0</cdr:y>
    </cdr:from>
    <cdr:to>
      <cdr:x>0.35189</cdr:x>
      <cdr:y>1</cdr:y>
    </cdr:to>
    <cdr:sp macro="" textlink="'M1 Härtekammern'!$M$12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1 Härtekammern'!$N$12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5.681</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1 Härtekammern'!$O$12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5.672</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560292</xdr:colOff>
      <xdr:row>44</xdr:row>
      <xdr:rowOff>117661</xdr:rowOff>
    </xdr:from>
    <xdr:to>
      <xdr:col>8</xdr:col>
      <xdr:colOff>539185</xdr:colOff>
      <xdr:row>71</xdr:row>
      <xdr:rowOff>28948</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48</xdr:row>
      <xdr:rowOff>33094</xdr:rowOff>
    </xdr:from>
    <xdr:to>
      <xdr:col>15</xdr:col>
      <xdr:colOff>778217</xdr:colOff>
      <xdr:row>71</xdr:row>
      <xdr:rowOff>57523</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80</xdr:row>
          <xdr:rowOff>28575</xdr:rowOff>
        </xdr:from>
        <xdr:to>
          <xdr:col>2</xdr:col>
          <xdr:colOff>704850</xdr:colOff>
          <xdr:row>81</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28575</xdr:rowOff>
        </xdr:from>
        <xdr:to>
          <xdr:col>2</xdr:col>
          <xdr:colOff>704850</xdr:colOff>
          <xdr:row>81</xdr:row>
          <xdr:rowOff>190500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28575</xdr:rowOff>
        </xdr:from>
        <xdr:to>
          <xdr:col>2</xdr:col>
          <xdr:colOff>704850</xdr:colOff>
          <xdr:row>82</xdr:row>
          <xdr:rowOff>180975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19050</xdr:rowOff>
        </xdr:from>
        <xdr:to>
          <xdr:col>2</xdr:col>
          <xdr:colOff>704850</xdr:colOff>
          <xdr:row>83</xdr:row>
          <xdr:rowOff>190500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84</xdr:row>
          <xdr:rowOff>19050</xdr:rowOff>
        </xdr:from>
        <xdr:to>
          <xdr:col>2</xdr:col>
          <xdr:colOff>704850</xdr:colOff>
          <xdr:row>84</xdr:row>
          <xdr:rowOff>180975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7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85</xdr:row>
          <xdr:rowOff>0</xdr:rowOff>
        </xdr:from>
        <xdr:to>
          <xdr:col>2</xdr:col>
          <xdr:colOff>704850</xdr:colOff>
          <xdr:row>85</xdr:row>
          <xdr:rowOff>180975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86</xdr:row>
          <xdr:rowOff>9525</xdr:rowOff>
        </xdr:from>
        <xdr:to>
          <xdr:col>2</xdr:col>
          <xdr:colOff>704850</xdr:colOff>
          <xdr:row>86</xdr:row>
          <xdr:rowOff>190500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7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44</xdr:row>
      <xdr:rowOff>117663</xdr:rowOff>
    </xdr:from>
    <xdr:to>
      <xdr:col>25</xdr:col>
      <xdr:colOff>445249</xdr:colOff>
      <xdr:row>71</xdr:row>
      <xdr:rowOff>28948</xdr:rowOff>
    </xdr:to>
    <xdr:graphicFrame macro="">
      <xdr:nvGraphicFramePr>
        <xdr:cNvPr id="4" name="Diagramm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91</xdr:row>
          <xdr:rowOff>0</xdr:rowOff>
        </xdr:from>
        <xdr:to>
          <xdr:col>18</xdr:col>
          <xdr:colOff>666750</xdr:colOff>
          <xdr:row>91</xdr:row>
          <xdr:rowOff>180975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92</xdr:row>
          <xdr:rowOff>19050</xdr:rowOff>
        </xdr:from>
        <xdr:to>
          <xdr:col>19</xdr:col>
          <xdr:colOff>0</xdr:colOff>
          <xdr:row>93</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93</xdr:row>
          <xdr:rowOff>19050</xdr:rowOff>
        </xdr:from>
        <xdr:to>
          <xdr:col>19</xdr:col>
          <xdr:colOff>0</xdr:colOff>
          <xdr:row>94</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7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94</xdr:row>
          <xdr:rowOff>9525</xdr:rowOff>
        </xdr:from>
        <xdr:to>
          <xdr:col>19</xdr:col>
          <xdr:colOff>0</xdr:colOff>
          <xdr:row>94</xdr:row>
          <xdr:rowOff>190500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7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89</xdr:row>
          <xdr:rowOff>9525</xdr:rowOff>
        </xdr:from>
        <xdr:to>
          <xdr:col>18</xdr:col>
          <xdr:colOff>666750</xdr:colOff>
          <xdr:row>90</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7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666750</xdr:colOff>
          <xdr:row>89</xdr:row>
          <xdr:rowOff>9525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7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90</xdr:row>
          <xdr:rowOff>9525</xdr:rowOff>
        </xdr:from>
        <xdr:to>
          <xdr:col>18</xdr:col>
          <xdr:colOff>666750</xdr:colOff>
          <xdr:row>91</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7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695844</xdr:colOff>
      <xdr:row>115</xdr:row>
      <xdr:rowOff>146597</xdr:rowOff>
    </xdr:from>
    <xdr:to>
      <xdr:col>16</xdr:col>
      <xdr:colOff>163479</xdr:colOff>
      <xdr:row>139</xdr:row>
      <xdr:rowOff>70630</xdr:rowOff>
    </xdr:to>
    <xdr:graphicFrame macro="">
      <xdr:nvGraphicFramePr>
        <xdr:cNvPr id="5" name="Diagramm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88</xdr:row>
          <xdr:rowOff>152400</xdr:rowOff>
        </xdr:from>
        <xdr:to>
          <xdr:col>10</xdr:col>
          <xdr:colOff>723900</xdr:colOff>
          <xdr:row>90</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7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190500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7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91</xdr:row>
          <xdr:rowOff>190500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7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7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180975</xdr:rowOff>
        </xdr:from>
        <xdr:to>
          <xdr:col>10</xdr:col>
          <xdr:colOff>723900</xdr:colOff>
          <xdr:row>94</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7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95</xdr:row>
          <xdr:rowOff>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7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180975</xdr:rowOff>
        </xdr:from>
        <xdr:to>
          <xdr:col>10</xdr:col>
          <xdr:colOff>723900</xdr:colOff>
          <xdr:row>96</xdr:row>
          <xdr:rowOff>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7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190500</xdr:rowOff>
        </xdr:from>
        <xdr:to>
          <xdr:col>10</xdr:col>
          <xdr:colOff>723900</xdr:colOff>
          <xdr:row>96</xdr:row>
          <xdr:rowOff>190500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7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96</xdr:row>
          <xdr:rowOff>180975</xdr:rowOff>
        </xdr:from>
        <xdr:to>
          <xdr:col>10</xdr:col>
          <xdr:colOff>723900</xdr:colOff>
          <xdr:row>97</xdr:row>
          <xdr:rowOff>190500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7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97</xdr:row>
          <xdr:rowOff>171450</xdr:rowOff>
        </xdr:from>
        <xdr:to>
          <xdr:col>10</xdr:col>
          <xdr:colOff>723900</xdr:colOff>
          <xdr:row>98</xdr:row>
          <xdr:rowOff>180975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7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98</xdr:row>
          <xdr:rowOff>171450</xdr:rowOff>
        </xdr:from>
        <xdr:to>
          <xdr:col>10</xdr:col>
          <xdr:colOff>723900</xdr:colOff>
          <xdr:row>99</xdr:row>
          <xdr:rowOff>180975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7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86</xdr:row>
      <xdr:rowOff>76042</xdr:rowOff>
    </xdr:from>
    <xdr:to>
      <xdr:col>10</xdr:col>
      <xdr:colOff>762000</xdr:colOff>
      <xdr:row>100</xdr:row>
      <xdr:rowOff>155282</xdr:rowOff>
    </xdr:to>
    <xdr:sp macro="" textlink="">
      <xdr:nvSpPr>
        <xdr:cNvPr id="6" name="Rechteck 5">
          <a:extLst>
            <a:ext uri="{FF2B5EF4-FFF2-40B4-BE49-F238E27FC236}">
              <a16:creationId xmlns:a16="http://schemas.microsoft.com/office/drawing/2014/main" id="{00000000-0008-0000-0700-000006000000}"/>
            </a:ext>
          </a:extLst>
        </xdr:cNvPr>
        <xdr:cNvSpPr/>
      </xdr:nvSpPr>
      <xdr:spPr bwMode="auto">
        <a:xfrm>
          <a:off x="8622846" y="13182442"/>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38</xdr:row>
      <xdr:rowOff>121226</xdr:rowOff>
    </xdr:from>
    <xdr:to>
      <xdr:col>9</xdr:col>
      <xdr:colOff>523636</xdr:colOff>
      <xdr:row>113</xdr:row>
      <xdr:rowOff>88499</xdr:rowOff>
    </xdr:to>
    <xdr:sp macro="" textlink="">
      <xdr:nvSpPr>
        <xdr:cNvPr id="7" name="Rechteck 6">
          <a:extLst>
            <a:ext uri="{FF2B5EF4-FFF2-40B4-BE49-F238E27FC236}">
              <a16:creationId xmlns:a16="http://schemas.microsoft.com/office/drawing/2014/main" id="{00000000-0008-0000-0700-000007000000}"/>
            </a:ext>
          </a:extLst>
        </xdr:cNvPr>
        <xdr:cNvSpPr/>
      </xdr:nvSpPr>
      <xdr:spPr bwMode="auto">
        <a:xfrm>
          <a:off x="8330911" y="5026601"/>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38</xdr:row>
      <xdr:rowOff>117762</xdr:rowOff>
    </xdr:from>
    <xdr:to>
      <xdr:col>17</xdr:col>
      <xdr:colOff>295035</xdr:colOff>
      <xdr:row>113</xdr:row>
      <xdr:rowOff>85035</xdr:rowOff>
    </xdr:to>
    <xdr:sp macro="" textlink="">
      <xdr:nvSpPr>
        <xdr:cNvPr id="8" name="Rechteck 7">
          <a:extLst>
            <a:ext uri="{FF2B5EF4-FFF2-40B4-BE49-F238E27FC236}">
              <a16:creationId xmlns:a16="http://schemas.microsoft.com/office/drawing/2014/main" id="{00000000-0008-0000-0700-000008000000}"/>
            </a:ext>
          </a:extLst>
        </xdr:cNvPr>
        <xdr:cNvSpPr/>
      </xdr:nvSpPr>
      <xdr:spPr bwMode="auto">
        <a:xfrm>
          <a:off x="16655760" y="5023137"/>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00000000-0008-0000-0700-000009000000}"/>
            </a:ext>
          </a:extLst>
        </xdr:cNvPr>
        <xdr:cNvCxnSpPr/>
      </xdr:nvCxnSpPr>
      <xdr:spPr bwMode="auto">
        <a:xfrm>
          <a:off x="1131795" y="5133415"/>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00000000-0008-0000-0700-00000A000000}"/>
            </a:ext>
          </a:extLst>
        </xdr:cNvPr>
        <xdr:cNvCxnSpPr/>
      </xdr:nvCxnSpPr>
      <xdr:spPr bwMode="auto">
        <a:xfrm>
          <a:off x="1125071" y="3072093"/>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oneCellAnchor>
    <xdr:from>
      <xdr:col>11</xdr:col>
      <xdr:colOff>930088</xdr:colOff>
      <xdr:row>14</xdr:row>
      <xdr:rowOff>145677</xdr:rowOff>
    </xdr:from>
    <xdr:ext cx="2241177" cy="239809"/>
    <xdr:sp macro="" textlink="">
      <xdr:nvSpPr>
        <xdr:cNvPr id="13" name="Textfeld 12">
          <a:extLst>
            <a:ext uri="{FF2B5EF4-FFF2-40B4-BE49-F238E27FC236}">
              <a16:creationId xmlns:a16="http://schemas.microsoft.com/office/drawing/2014/main" id="{00000000-0008-0000-0700-00000D000000}"/>
            </a:ext>
          </a:extLst>
        </xdr:cNvPr>
        <xdr:cNvSpPr txBox="1"/>
      </xdr:nvSpPr>
      <xdr:spPr>
        <a:xfrm>
          <a:off x="10455088" y="2409265"/>
          <a:ext cx="2241177" cy="239809"/>
        </a:xfrm>
        <a:prstGeom prst="rect">
          <a:avLst/>
        </a:prstGeom>
        <a:noFill/>
      </xdr:spPr>
      <xdr:txBody>
        <a:bodyPr vertOverflow="clip" horzOverflow="clip" wrap="square" rtlCol="0" anchor="t">
          <a:spAutoFit/>
        </a:bodyPr>
        <a:lstStyle/>
        <a:p>
          <a:r>
            <a:rPr lang="de-DE" sz="1000" dirty="0" err="1">
              <a:solidFill>
                <a:schemeClr val="tx1"/>
              </a:solidFill>
            </a:rPr>
            <a:t>Quelle: EBeV 2022</a:t>
          </a:r>
        </a:p>
      </xdr:txBody>
    </xdr:sp>
    <xdr:clientData/>
  </xdr:oneCellAnchor>
  <xdr:twoCellAnchor>
    <xdr:from>
      <xdr:col>11</xdr:col>
      <xdr:colOff>560723</xdr:colOff>
      <xdr:row>19</xdr:row>
      <xdr:rowOff>19050</xdr:rowOff>
    </xdr:from>
    <xdr:to>
      <xdr:col>12</xdr:col>
      <xdr:colOff>280575</xdr:colOff>
      <xdr:row>24</xdr:row>
      <xdr:rowOff>85725</xdr:rowOff>
    </xdr:to>
    <xdr:grpSp>
      <xdr:nvGrpSpPr>
        <xdr:cNvPr id="14" name="Gruppieren 13">
          <a:extLst>
            <a:ext uri="{FF2B5EF4-FFF2-40B4-BE49-F238E27FC236}">
              <a16:creationId xmlns:a16="http://schemas.microsoft.com/office/drawing/2014/main" id="{00000000-0008-0000-0700-00000E000000}"/>
            </a:ext>
          </a:extLst>
        </xdr:cNvPr>
        <xdr:cNvGrpSpPr/>
      </xdr:nvGrpSpPr>
      <xdr:grpSpPr>
        <a:xfrm>
          <a:off x="10096306" y="5469467"/>
          <a:ext cx="3000686" cy="1050925"/>
          <a:chOff x="10095248" y="5524500"/>
          <a:chExt cx="2996452" cy="1057275"/>
        </a:xfrm>
      </xdr:grpSpPr>
      <xdr:sp macro="" textlink="$D$135">
        <xdr:nvSpPr>
          <xdr:cNvPr id="12" name="Rechteck 11">
            <a:extLst>
              <a:ext uri="{FF2B5EF4-FFF2-40B4-BE49-F238E27FC236}">
                <a16:creationId xmlns:a16="http://schemas.microsoft.com/office/drawing/2014/main" id="{00000000-0008-0000-0700-00000C000000}"/>
              </a:ext>
            </a:extLst>
          </xdr:cNvPr>
          <xdr:cNvSpPr/>
        </xdr:nvSpPr>
        <xdr:spPr bwMode="auto">
          <a:xfrm>
            <a:off x="10095248" y="5781674"/>
            <a:ext cx="2996452" cy="800101"/>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EE75EC32-F08D-431E-A068-7D2FB4110C41}"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sp macro="" textlink="">
        <xdr:nvSpPr>
          <xdr:cNvPr id="11" name="Rechteck 10">
            <a:extLst>
              <a:ext uri="{FF2B5EF4-FFF2-40B4-BE49-F238E27FC236}">
                <a16:creationId xmlns:a16="http://schemas.microsoft.com/office/drawing/2014/main" id="{00000000-0008-0000-0700-00000B000000}"/>
              </a:ext>
            </a:extLst>
          </xdr:cNvPr>
          <xdr:cNvSpPr/>
        </xdr:nvSpPr>
        <xdr:spPr bwMode="auto">
          <a:xfrm>
            <a:off x="10096500" y="5524500"/>
            <a:ext cx="2995200" cy="2539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0.23302</cdr:x>
      <cdr:y>0.03526</cdr:y>
    </cdr:from>
    <cdr:to>
      <cdr:x>0.32481</cdr:x>
      <cdr:y>0.09309</cdr:y>
    </cdr:to>
    <cdr:sp macro="" textlink="'M2 Fuhrpark'!$E$12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6576" y="146227"/>
          <a:ext cx="61315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0.09309</cdr:y>
    </cdr:to>
    <cdr:sp macro="" textlink="'M2 Fuhrpark'!$F$12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9952" y="146227"/>
          <a:ext cx="61315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216,7</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0.09309</cdr:y>
    </cdr:to>
    <cdr:sp macro="" textlink="'M2 Fuhrpark'!$G$12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61978" y="146227"/>
          <a:ext cx="6130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138,6</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0.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2 Fuhrpark'!$N$8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A0FCCA-4E6E-4BAB-B61A-6415EB8B8DA4}" type="TxLink">
            <a:rPr lang="en-US" sz="1000" b="1" i="0" u="none" strike="noStrike" dirty="0" err="1">
              <a:solidFill>
                <a:srgbClr val="323232"/>
              </a:solidFill>
              <a:latin typeface="Arial"/>
              <a:cs typeface="Arial"/>
            </a:rPr>
            <a:pPr/>
            <a:t>6.040</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2 Fuhrpark'!$O$84">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5.950</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2 Fuhrpark'!$M$84">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5C966C8-2920-4A9C-BEB4-02A8D01857AF}"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1.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2 Fuhrpark'!$U$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2 Fuhrpark'!$V$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436.435 €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2 Fuhrpark'!$W$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695.595 €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2.xml><?xml version="1.0" encoding="utf-8"?>
<c:userShapes xmlns:c="http://schemas.openxmlformats.org/drawingml/2006/chart">
  <cdr:relSizeAnchor xmlns:cdr="http://schemas.openxmlformats.org/drawingml/2006/chartDrawing">
    <cdr:from>
      <cdr:x>0.26001</cdr:x>
      <cdr:y>0</cdr:y>
    </cdr:from>
    <cdr:to>
      <cdr:x>0.35189</cdr:x>
      <cdr:y>1</cdr:y>
    </cdr:to>
    <cdr:sp macro="" textlink="'M2 Fuhrpark'!$M$13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2 Fuhrpark'!$N$13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5.683</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2 Fuhrpark'!$O$13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5.671</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560292</xdr:colOff>
      <xdr:row>44</xdr:row>
      <xdr:rowOff>117661</xdr:rowOff>
    </xdr:from>
    <xdr:to>
      <xdr:col>8</xdr:col>
      <xdr:colOff>539185</xdr:colOff>
      <xdr:row>71</xdr:row>
      <xdr:rowOff>28948</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48</xdr:row>
      <xdr:rowOff>33094</xdr:rowOff>
    </xdr:from>
    <xdr:to>
      <xdr:col>15</xdr:col>
      <xdr:colOff>778217</xdr:colOff>
      <xdr:row>71</xdr:row>
      <xdr:rowOff>57523</xdr:rowOff>
    </xdr:to>
    <xdr:graphicFrame macro="">
      <xdr:nvGraphicFramePr>
        <xdr:cNvPr id="3" name="Diagram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80</xdr:row>
          <xdr:rowOff>28575</xdr:rowOff>
        </xdr:from>
        <xdr:to>
          <xdr:col>2</xdr:col>
          <xdr:colOff>704850</xdr:colOff>
          <xdr:row>81</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8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28575</xdr:rowOff>
        </xdr:from>
        <xdr:to>
          <xdr:col>2</xdr:col>
          <xdr:colOff>704850</xdr:colOff>
          <xdr:row>81</xdr:row>
          <xdr:rowOff>190500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8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28575</xdr:rowOff>
        </xdr:from>
        <xdr:to>
          <xdr:col>2</xdr:col>
          <xdr:colOff>704850</xdr:colOff>
          <xdr:row>82</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8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19050</xdr:rowOff>
        </xdr:from>
        <xdr:to>
          <xdr:col>2</xdr:col>
          <xdr:colOff>704850</xdr:colOff>
          <xdr:row>83</xdr:row>
          <xdr:rowOff>190500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8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84</xdr:row>
          <xdr:rowOff>19050</xdr:rowOff>
        </xdr:from>
        <xdr:to>
          <xdr:col>2</xdr:col>
          <xdr:colOff>704850</xdr:colOff>
          <xdr:row>84</xdr:row>
          <xdr:rowOff>180975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8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85</xdr:row>
          <xdr:rowOff>0</xdr:rowOff>
        </xdr:from>
        <xdr:to>
          <xdr:col>2</xdr:col>
          <xdr:colOff>704850</xdr:colOff>
          <xdr:row>85</xdr:row>
          <xdr:rowOff>180975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8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86</xdr:row>
          <xdr:rowOff>9525</xdr:rowOff>
        </xdr:from>
        <xdr:to>
          <xdr:col>2</xdr:col>
          <xdr:colOff>704850</xdr:colOff>
          <xdr:row>86</xdr:row>
          <xdr:rowOff>190500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8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44</xdr:row>
      <xdr:rowOff>117663</xdr:rowOff>
    </xdr:from>
    <xdr:to>
      <xdr:col>25</xdr:col>
      <xdr:colOff>445249</xdr:colOff>
      <xdr:row>71</xdr:row>
      <xdr:rowOff>28948</xdr:rowOff>
    </xdr:to>
    <xdr:graphicFrame macro="">
      <xdr:nvGraphicFramePr>
        <xdr:cNvPr id="4" name="Diagramm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91</xdr:row>
          <xdr:rowOff>0</xdr:rowOff>
        </xdr:from>
        <xdr:to>
          <xdr:col>18</xdr:col>
          <xdr:colOff>676275</xdr:colOff>
          <xdr:row>91</xdr:row>
          <xdr:rowOff>180975</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8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92</xdr:row>
          <xdr:rowOff>19050</xdr:rowOff>
        </xdr:from>
        <xdr:to>
          <xdr:col>19</xdr:col>
          <xdr:colOff>0</xdr:colOff>
          <xdr:row>93</xdr:row>
          <xdr:rowOff>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8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93</xdr:row>
          <xdr:rowOff>19050</xdr:rowOff>
        </xdr:from>
        <xdr:to>
          <xdr:col>19</xdr:col>
          <xdr:colOff>0</xdr:colOff>
          <xdr:row>94</xdr:row>
          <xdr:rowOff>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8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94</xdr:row>
          <xdr:rowOff>9525</xdr:rowOff>
        </xdr:from>
        <xdr:to>
          <xdr:col>19</xdr:col>
          <xdr:colOff>0</xdr:colOff>
          <xdr:row>94</xdr:row>
          <xdr:rowOff>190500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8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89</xdr:row>
          <xdr:rowOff>9525</xdr:rowOff>
        </xdr:from>
        <xdr:to>
          <xdr:col>18</xdr:col>
          <xdr:colOff>676275</xdr:colOff>
          <xdr:row>90</xdr:row>
          <xdr:rowOff>9525</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8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676275</xdr:colOff>
          <xdr:row>89</xdr:row>
          <xdr:rowOff>9525</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8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90</xdr:row>
          <xdr:rowOff>9525</xdr:rowOff>
        </xdr:from>
        <xdr:to>
          <xdr:col>18</xdr:col>
          <xdr:colOff>676275</xdr:colOff>
          <xdr:row>91</xdr:row>
          <xdr:rowOff>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8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673432</xdr:colOff>
      <xdr:row>115</xdr:row>
      <xdr:rowOff>124185</xdr:rowOff>
    </xdr:from>
    <xdr:to>
      <xdr:col>16</xdr:col>
      <xdr:colOff>141067</xdr:colOff>
      <xdr:row>139</xdr:row>
      <xdr:rowOff>48218</xdr:rowOff>
    </xdr:to>
    <xdr:graphicFrame macro="">
      <xdr:nvGraphicFramePr>
        <xdr:cNvPr id="5" name="Diagram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88</xdr:row>
          <xdr:rowOff>152400</xdr:rowOff>
        </xdr:from>
        <xdr:to>
          <xdr:col>10</xdr:col>
          <xdr:colOff>723900</xdr:colOff>
          <xdr:row>90</xdr:row>
          <xdr:rowOff>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8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190500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8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91</xdr:row>
          <xdr:rowOff>190500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8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8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180975</xdr:rowOff>
        </xdr:from>
        <xdr:to>
          <xdr:col>10</xdr:col>
          <xdr:colOff>723900</xdr:colOff>
          <xdr:row>94</xdr:row>
          <xdr:rowOff>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8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95</xdr:row>
          <xdr:rowOff>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8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180975</xdr:rowOff>
        </xdr:from>
        <xdr:to>
          <xdr:col>10</xdr:col>
          <xdr:colOff>723900</xdr:colOff>
          <xdr:row>96</xdr:row>
          <xdr:rowOff>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8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190500</xdr:rowOff>
        </xdr:from>
        <xdr:to>
          <xdr:col>10</xdr:col>
          <xdr:colOff>723900</xdr:colOff>
          <xdr:row>96</xdr:row>
          <xdr:rowOff>190500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8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96</xdr:row>
          <xdr:rowOff>180975</xdr:rowOff>
        </xdr:from>
        <xdr:to>
          <xdr:col>10</xdr:col>
          <xdr:colOff>723900</xdr:colOff>
          <xdr:row>97</xdr:row>
          <xdr:rowOff>190500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8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97</xdr:row>
          <xdr:rowOff>171450</xdr:rowOff>
        </xdr:from>
        <xdr:to>
          <xdr:col>10</xdr:col>
          <xdr:colOff>723900</xdr:colOff>
          <xdr:row>98</xdr:row>
          <xdr:rowOff>180975</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8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98</xdr:row>
          <xdr:rowOff>171450</xdr:rowOff>
        </xdr:from>
        <xdr:to>
          <xdr:col>10</xdr:col>
          <xdr:colOff>723900</xdr:colOff>
          <xdr:row>99</xdr:row>
          <xdr:rowOff>180975</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8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86</xdr:row>
      <xdr:rowOff>76042</xdr:rowOff>
    </xdr:from>
    <xdr:to>
      <xdr:col>10</xdr:col>
      <xdr:colOff>762000</xdr:colOff>
      <xdr:row>100</xdr:row>
      <xdr:rowOff>155282</xdr:rowOff>
    </xdr:to>
    <xdr:sp macro="" textlink="">
      <xdr:nvSpPr>
        <xdr:cNvPr id="6" name="Rechteck 5">
          <a:extLst>
            <a:ext uri="{FF2B5EF4-FFF2-40B4-BE49-F238E27FC236}">
              <a16:creationId xmlns:a16="http://schemas.microsoft.com/office/drawing/2014/main" id="{00000000-0008-0000-0800-000006000000}"/>
            </a:ext>
          </a:extLst>
        </xdr:cNvPr>
        <xdr:cNvSpPr/>
      </xdr:nvSpPr>
      <xdr:spPr bwMode="auto">
        <a:xfrm>
          <a:off x="8622846" y="14820742"/>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38</xdr:row>
      <xdr:rowOff>121226</xdr:rowOff>
    </xdr:from>
    <xdr:to>
      <xdr:col>9</xdr:col>
      <xdr:colOff>523636</xdr:colOff>
      <xdr:row>113</xdr:row>
      <xdr:rowOff>88499</xdr:rowOff>
    </xdr:to>
    <xdr:sp macro="" textlink="">
      <xdr:nvSpPr>
        <xdr:cNvPr id="7" name="Rechteck 6">
          <a:extLst>
            <a:ext uri="{FF2B5EF4-FFF2-40B4-BE49-F238E27FC236}">
              <a16:creationId xmlns:a16="http://schemas.microsoft.com/office/drawing/2014/main" id="{00000000-0008-0000-0800-000007000000}"/>
            </a:ext>
          </a:extLst>
        </xdr:cNvPr>
        <xdr:cNvSpPr/>
      </xdr:nvSpPr>
      <xdr:spPr bwMode="auto">
        <a:xfrm>
          <a:off x="8330911" y="6664901"/>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38</xdr:row>
      <xdr:rowOff>117762</xdr:rowOff>
    </xdr:from>
    <xdr:to>
      <xdr:col>17</xdr:col>
      <xdr:colOff>295035</xdr:colOff>
      <xdr:row>113</xdr:row>
      <xdr:rowOff>85035</xdr:rowOff>
    </xdr:to>
    <xdr:sp macro="" textlink="">
      <xdr:nvSpPr>
        <xdr:cNvPr id="8" name="Rechteck 7">
          <a:extLst>
            <a:ext uri="{FF2B5EF4-FFF2-40B4-BE49-F238E27FC236}">
              <a16:creationId xmlns:a16="http://schemas.microsoft.com/office/drawing/2014/main" id="{00000000-0008-0000-0800-000008000000}"/>
            </a:ext>
          </a:extLst>
        </xdr:cNvPr>
        <xdr:cNvSpPr/>
      </xdr:nvSpPr>
      <xdr:spPr bwMode="auto">
        <a:xfrm>
          <a:off x="16655760" y="6661437"/>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605119</xdr:colOff>
      <xdr:row>30</xdr:row>
      <xdr:rowOff>12327</xdr:rowOff>
    </xdr:from>
    <xdr:to>
      <xdr:col>11</xdr:col>
      <xdr:colOff>930795</xdr:colOff>
      <xdr:row>30</xdr:row>
      <xdr:rowOff>12327</xdr:rowOff>
    </xdr:to>
    <xdr:cxnSp macro="">
      <xdr:nvCxnSpPr>
        <xdr:cNvPr id="9" name="Gerader Verbinder 8">
          <a:extLst>
            <a:ext uri="{FF2B5EF4-FFF2-40B4-BE49-F238E27FC236}">
              <a16:creationId xmlns:a16="http://schemas.microsoft.com/office/drawing/2014/main" id="{00000000-0008-0000-0800-000009000000}"/>
            </a:ext>
          </a:extLst>
        </xdr:cNvPr>
        <xdr:cNvCxnSpPr/>
      </xdr:nvCxnSpPr>
      <xdr:spPr bwMode="auto">
        <a:xfrm>
          <a:off x="1138519" y="5241552"/>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598395</xdr:colOff>
      <xdr:row>18</xdr:row>
      <xdr:rowOff>91328</xdr:rowOff>
    </xdr:from>
    <xdr:to>
      <xdr:col>11</xdr:col>
      <xdr:colOff>924071</xdr:colOff>
      <xdr:row>18</xdr:row>
      <xdr:rowOff>91328</xdr:rowOff>
    </xdr:to>
    <xdr:cxnSp macro="">
      <xdr:nvCxnSpPr>
        <xdr:cNvPr id="10" name="Gerader Verbinder 9">
          <a:extLst>
            <a:ext uri="{FF2B5EF4-FFF2-40B4-BE49-F238E27FC236}">
              <a16:creationId xmlns:a16="http://schemas.microsoft.com/office/drawing/2014/main" id="{00000000-0008-0000-0800-00000A000000}"/>
            </a:ext>
          </a:extLst>
        </xdr:cNvPr>
        <xdr:cNvCxnSpPr/>
      </xdr:nvCxnSpPr>
      <xdr:spPr bwMode="auto">
        <a:xfrm>
          <a:off x="1131795" y="3139328"/>
          <a:ext cx="9326801"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7</xdr:col>
      <xdr:colOff>647700</xdr:colOff>
      <xdr:row>13</xdr:row>
      <xdr:rowOff>76763</xdr:rowOff>
    </xdr:from>
    <xdr:to>
      <xdr:col>11</xdr:col>
      <xdr:colOff>1428750</xdr:colOff>
      <xdr:row>17</xdr:row>
      <xdr:rowOff>151844</xdr:rowOff>
    </xdr:to>
    <xdr:sp macro="" textlink="$D$135">
      <xdr:nvSpPr>
        <xdr:cNvPr id="13" name="Rechteck 12">
          <a:extLst>
            <a:ext uri="{FF2B5EF4-FFF2-40B4-BE49-F238E27FC236}">
              <a16:creationId xmlns:a16="http://schemas.microsoft.com/office/drawing/2014/main" id="{00000000-0008-0000-0800-00000D000000}"/>
            </a:ext>
          </a:extLst>
        </xdr:cNvPr>
        <xdr:cNvSpPr/>
      </xdr:nvSpPr>
      <xdr:spPr bwMode="auto">
        <a:xfrm>
          <a:off x="7191935" y="4469469"/>
          <a:ext cx="3761815" cy="792257"/>
        </a:xfrm>
        <a:prstGeom prst="rect">
          <a:avLst/>
        </a:prstGeom>
        <a:solidFill>
          <a:schemeClr val="bg1"/>
        </a:solidFill>
        <a:ln>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fld id="{EE75EC32-F08D-431E-A068-7D2FB4110C41}" type="TxLink">
            <a:rPr lang="en-US" sz="1000" b="0" i="0" u="none" strike="noStrike" dirty="0">
              <a:solidFill>
                <a:srgbClr val="323232"/>
              </a:solidFill>
              <a:latin typeface="Arial"/>
              <a:cs typeface="Arial"/>
            </a:rPr>
            <a:pPr algn="ctr"/>
            <a:t> </a:t>
          </a:fld>
          <a:endParaRPr lang="de-DE" sz="1100" dirty="0">
            <a:solidFill>
              <a:schemeClr val="tx1"/>
            </a:solidFill>
          </a:endParaRPr>
        </a:p>
      </xdr:txBody>
    </xdr:sp>
    <xdr:clientData/>
  </xdr:twoCellAnchor>
  <xdr:twoCellAnchor>
    <xdr:from>
      <xdr:col>7</xdr:col>
      <xdr:colOff>649940</xdr:colOff>
      <xdr:row>12</xdr:row>
      <xdr:rowOff>22413</xdr:rowOff>
    </xdr:from>
    <xdr:to>
      <xdr:col>11</xdr:col>
      <xdr:colOff>1431175</xdr:colOff>
      <xdr:row>13</xdr:row>
      <xdr:rowOff>89646</xdr:rowOff>
    </xdr:to>
    <xdr:sp macro="" textlink="">
      <xdr:nvSpPr>
        <xdr:cNvPr id="11" name="Rechteck 10">
          <a:extLst>
            <a:ext uri="{FF2B5EF4-FFF2-40B4-BE49-F238E27FC236}">
              <a16:creationId xmlns:a16="http://schemas.microsoft.com/office/drawing/2014/main" id="{00000000-0008-0000-0800-00000B000000}"/>
            </a:ext>
          </a:extLst>
        </xdr:cNvPr>
        <xdr:cNvSpPr/>
      </xdr:nvSpPr>
      <xdr:spPr bwMode="auto">
        <a:xfrm>
          <a:off x="7194175" y="4213413"/>
          <a:ext cx="3762000" cy="268939"/>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0.23302</cdr:x>
      <cdr:y>0.03526</cdr:y>
    </cdr:from>
    <cdr:to>
      <cdr:x>0.32481</cdr:x>
      <cdr:y>0.09309</cdr:y>
    </cdr:to>
    <cdr:sp macro="" textlink="'M3 Effizienz Stapler'!$E$127">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6576" y="146227"/>
          <a:ext cx="61315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0.09309</cdr:y>
    </cdr:to>
    <cdr:sp macro="" textlink="'M3 Effizienz Stapler'!$F$127">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9951" y="146227"/>
          <a:ext cx="61315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218,4</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0.09309</cdr:y>
    </cdr:to>
    <cdr:sp macro="" textlink="'M3 Effizienz Stapler'!$G$127">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61978" y="146227"/>
          <a:ext cx="6130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153,6</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5.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3 Effizienz Stapler'!$N$8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DD10CD1-2FFB-4FE3-965E-04342AE702FF}" type="TxLink">
            <a:rPr lang="en-US" sz="1000" b="1" i="0" u="none" strike="noStrike" dirty="0" err="1">
              <a:solidFill>
                <a:srgbClr val="323232"/>
              </a:solidFill>
              <a:latin typeface="Arial"/>
              <a:cs typeface="Arial"/>
            </a:rPr>
            <a:pPr/>
            <a:t>6.043</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3 Effizienz Stapler'!$O$84">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5.968</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3 Effizienz Stapler'!$M$84">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0B27D86-4AA7-493E-97A7-B621E4E5195F}"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6.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3 Effizienz Stapler'!$U$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3 Effizienz Stapler'!$V$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409.774 €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3 Effizienz Stapler'!$W$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643.504 €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7.xml><?xml version="1.0" encoding="utf-8"?>
<c:userShapes xmlns:c="http://schemas.openxmlformats.org/drawingml/2006/chart">
  <cdr:relSizeAnchor xmlns:cdr="http://schemas.openxmlformats.org/drawingml/2006/chartDrawing">
    <cdr:from>
      <cdr:x>0.26001</cdr:x>
      <cdr:y>0</cdr:y>
    </cdr:from>
    <cdr:to>
      <cdr:x>0.35189</cdr:x>
      <cdr:y>1</cdr:y>
    </cdr:to>
    <cdr:sp macro="" textlink="'M3 Effizienz Stapler'!$M$13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3 Effizienz Stapler'!$N$13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5.683</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3 Effizienz Stapler'!$O$13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560292</xdr:colOff>
      <xdr:row>29</xdr:row>
      <xdr:rowOff>117661</xdr:rowOff>
    </xdr:from>
    <xdr:to>
      <xdr:col>8</xdr:col>
      <xdr:colOff>539185</xdr:colOff>
      <xdr:row>56</xdr:row>
      <xdr:rowOff>28948</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33</xdr:row>
      <xdr:rowOff>33094</xdr:rowOff>
    </xdr:from>
    <xdr:to>
      <xdr:col>15</xdr:col>
      <xdr:colOff>778217</xdr:colOff>
      <xdr:row>56</xdr:row>
      <xdr:rowOff>57523</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65</xdr:row>
          <xdr:rowOff>28575</xdr:rowOff>
        </xdr:from>
        <xdr:to>
          <xdr:col>2</xdr:col>
          <xdr:colOff>704850</xdr:colOff>
          <xdr:row>66</xdr:row>
          <xdr:rowOff>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9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66</xdr:row>
          <xdr:rowOff>28575</xdr:rowOff>
        </xdr:from>
        <xdr:to>
          <xdr:col>2</xdr:col>
          <xdr:colOff>704850</xdr:colOff>
          <xdr:row>66</xdr:row>
          <xdr:rowOff>190500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9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67</xdr:row>
          <xdr:rowOff>28575</xdr:rowOff>
        </xdr:from>
        <xdr:to>
          <xdr:col>2</xdr:col>
          <xdr:colOff>704850</xdr:colOff>
          <xdr:row>67</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9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68</xdr:row>
          <xdr:rowOff>19050</xdr:rowOff>
        </xdr:from>
        <xdr:to>
          <xdr:col>2</xdr:col>
          <xdr:colOff>704850</xdr:colOff>
          <xdr:row>68</xdr:row>
          <xdr:rowOff>190500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9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69</xdr:row>
          <xdr:rowOff>19050</xdr:rowOff>
        </xdr:from>
        <xdr:to>
          <xdr:col>2</xdr:col>
          <xdr:colOff>704850</xdr:colOff>
          <xdr:row>69</xdr:row>
          <xdr:rowOff>180975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9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70</xdr:row>
          <xdr:rowOff>0</xdr:rowOff>
        </xdr:from>
        <xdr:to>
          <xdr:col>2</xdr:col>
          <xdr:colOff>704850</xdr:colOff>
          <xdr:row>70</xdr:row>
          <xdr:rowOff>180975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9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71</xdr:row>
          <xdr:rowOff>9525</xdr:rowOff>
        </xdr:from>
        <xdr:to>
          <xdr:col>2</xdr:col>
          <xdr:colOff>704850</xdr:colOff>
          <xdr:row>71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9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29</xdr:row>
      <xdr:rowOff>117663</xdr:rowOff>
    </xdr:from>
    <xdr:to>
      <xdr:col>25</xdr:col>
      <xdr:colOff>445249</xdr:colOff>
      <xdr:row>56</xdr:row>
      <xdr:rowOff>28948</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76</xdr:row>
          <xdr:rowOff>0</xdr:rowOff>
        </xdr:from>
        <xdr:to>
          <xdr:col>18</xdr:col>
          <xdr:colOff>676275</xdr:colOff>
          <xdr:row>76</xdr:row>
          <xdr:rowOff>180975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9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77</xdr:row>
          <xdr:rowOff>19050</xdr:rowOff>
        </xdr:from>
        <xdr:to>
          <xdr:col>19</xdr:col>
          <xdr:colOff>0</xdr:colOff>
          <xdr:row>78</xdr:row>
          <xdr:rowOff>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9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78</xdr:row>
          <xdr:rowOff>19050</xdr:rowOff>
        </xdr:from>
        <xdr:to>
          <xdr:col>19</xdr:col>
          <xdr:colOff>0</xdr:colOff>
          <xdr:row>79</xdr:row>
          <xdr:rowOff>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9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79</xdr:row>
          <xdr:rowOff>9525</xdr:rowOff>
        </xdr:from>
        <xdr:to>
          <xdr:col>19</xdr:col>
          <xdr:colOff>0</xdr:colOff>
          <xdr:row>79</xdr:row>
          <xdr:rowOff>190500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9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74</xdr:row>
          <xdr:rowOff>9525</xdr:rowOff>
        </xdr:from>
        <xdr:to>
          <xdr:col>18</xdr:col>
          <xdr:colOff>676275</xdr:colOff>
          <xdr:row>75</xdr:row>
          <xdr:rowOff>9525</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9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73</xdr:row>
          <xdr:rowOff>0</xdr:rowOff>
        </xdr:from>
        <xdr:to>
          <xdr:col>18</xdr:col>
          <xdr:colOff>676275</xdr:colOff>
          <xdr:row>74</xdr:row>
          <xdr:rowOff>9525</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9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75</xdr:row>
          <xdr:rowOff>9525</xdr:rowOff>
        </xdr:from>
        <xdr:to>
          <xdr:col>18</xdr:col>
          <xdr:colOff>676275</xdr:colOff>
          <xdr:row>76</xdr:row>
          <xdr:rowOff>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9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772685</xdr:colOff>
      <xdr:row>101</xdr:row>
      <xdr:rowOff>26534</xdr:rowOff>
    </xdr:from>
    <xdr:to>
      <xdr:col>16</xdr:col>
      <xdr:colOff>240320</xdr:colOff>
      <xdr:row>124</xdr:row>
      <xdr:rowOff>113853</xdr:rowOff>
    </xdr:to>
    <xdr:graphicFrame macro="">
      <xdr:nvGraphicFramePr>
        <xdr:cNvPr id="5" name="Diagramm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73</xdr:row>
          <xdr:rowOff>152400</xdr:rowOff>
        </xdr:from>
        <xdr:to>
          <xdr:col>10</xdr:col>
          <xdr:colOff>723900</xdr:colOff>
          <xdr:row>75</xdr:row>
          <xdr:rowOff>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09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74</xdr:row>
          <xdr:rowOff>171450</xdr:rowOff>
        </xdr:from>
        <xdr:to>
          <xdr:col>10</xdr:col>
          <xdr:colOff>723900</xdr:colOff>
          <xdr:row>75</xdr:row>
          <xdr:rowOff>190500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9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75</xdr:row>
          <xdr:rowOff>180975</xdr:rowOff>
        </xdr:from>
        <xdr:to>
          <xdr:col>10</xdr:col>
          <xdr:colOff>723900</xdr:colOff>
          <xdr:row>76</xdr:row>
          <xdr:rowOff>190500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9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76</xdr:row>
          <xdr:rowOff>180975</xdr:rowOff>
        </xdr:from>
        <xdr:to>
          <xdr:col>10</xdr:col>
          <xdr:colOff>723900</xdr:colOff>
          <xdr:row>78</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9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77</xdr:row>
          <xdr:rowOff>180975</xdr:rowOff>
        </xdr:from>
        <xdr:to>
          <xdr:col>10</xdr:col>
          <xdr:colOff>723900</xdr:colOff>
          <xdr:row>79</xdr:row>
          <xdr:rowOff>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09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78</xdr:row>
          <xdr:rowOff>180975</xdr:rowOff>
        </xdr:from>
        <xdr:to>
          <xdr:col>10</xdr:col>
          <xdr:colOff>723900</xdr:colOff>
          <xdr:row>80</xdr:row>
          <xdr:rowOff>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09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79</xdr:row>
          <xdr:rowOff>180975</xdr:rowOff>
        </xdr:from>
        <xdr:to>
          <xdr:col>10</xdr:col>
          <xdr:colOff>723900</xdr:colOff>
          <xdr:row>81</xdr:row>
          <xdr:rowOff>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09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190500</xdr:rowOff>
        </xdr:from>
        <xdr:to>
          <xdr:col>10</xdr:col>
          <xdr:colOff>723900</xdr:colOff>
          <xdr:row>81</xdr:row>
          <xdr:rowOff>190500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09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09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171450</xdr:rowOff>
        </xdr:from>
        <xdr:to>
          <xdr:col>10</xdr:col>
          <xdr:colOff>723900</xdr:colOff>
          <xdr:row>83</xdr:row>
          <xdr:rowOff>180975</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09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171450</xdr:rowOff>
        </xdr:from>
        <xdr:to>
          <xdr:col>10</xdr:col>
          <xdr:colOff>723900</xdr:colOff>
          <xdr:row>84</xdr:row>
          <xdr:rowOff>180975</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09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71</xdr:row>
      <xdr:rowOff>76042</xdr:rowOff>
    </xdr:from>
    <xdr:to>
      <xdr:col>10</xdr:col>
      <xdr:colOff>762000</xdr:colOff>
      <xdr:row>85</xdr:row>
      <xdr:rowOff>155282</xdr:rowOff>
    </xdr:to>
    <xdr:sp macro="" textlink="">
      <xdr:nvSpPr>
        <xdr:cNvPr id="6" name="Rechteck 5">
          <a:extLst>
            <a:ext uri="{FF2B5EF4-FFF2-40B4-BE49-F238E27FC236}">
              <a16:creationId xmlns:a16="http://schemas.microsoft.com/office/drawing/2014/main" id="{00000000-0008-0000-09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23</xdr:row>
      <xdr:rowOff>121226</xdr:rowOff>
    </xdr:from>
    <xdr:to>
      <xdr:col>9</xdr:col>
      <xdr:colOff>523636</xdr:colOff>
      <xdr:row>98</xdr:row>
      <xdr:rowOff>88499</xdr:rowOff>
    </xdr:to>
    <xdr:sp macro="" textlink="">
      <xdr:nvSpPr>
        <xdr:cNvPr id="7" name="Rechteck 6">
          <a:extLst>
            <a:ext uri="{FF2B5EF4-FFF2-40B4-BE49-F238E27FC236}">
              <a16:creationId xmlns:a16="http://schemas.microsoft.com/office/drawing/2014/main" id="{00000000-0008-0000-09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23</xdr:row>
      <xdr:rowOff>117762</xdr:rowOff>
    </xdr:from>
    <xdr:to>
      <xdr:col>17</xdr:col>
      <xdr:colOff>295035</xdr:colOff>
      <xdr:row>98</xdr:row>
      <xdr:rowOff>85035</xdr:rowOff>
    </xdr:to>
    <xdr:sp macro="" textlink="">
      <xdr:nvSpPr>
        <xdr:cNvPr id="8" name="Rechteck 7">
          <a:extLst>
            <a:ext uri="{FF2B5EF4-FFF2-40B4-BE49-F238E27FC236}">
              <a16:creationId xmlns:a16="http://schemas.microsoft.com/office/drawing/2014/main" id="{00000000-0008-0000-09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0.23302</cdr:x>
      <cdr:y>0.03526</cdr:y>
    </cdr:from>
    <cdr:to>
      <cdr:x>0.32481</cdr:x>
      <cdr:y>0.09309</cdr:y>
    </cdr:to>
    <cdr:sp macro="" textlink="'M4 Grünstrom'!$E$11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90522" y="146227"/>
          <a:ext cx="62653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0.09309</cdr:y>
    </cdr:to>
    <cdr:sp macro="" textlink="'M4 Grünstrom'!$F$11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55842" y="146227"/>
          <a:ext cx="62653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94,9</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0.09309</cdr:y>
    </cdr:to>
    <cdr:sp macro="" textlink="'M4 Grünstrom'!$G$11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478912" y="146227"/>
          <a:ext cx="62646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94,9</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0.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4 Grünstrom'!$N$69">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920F94-A9A5-449A-9EE6-F5964C12E3FE}" type="TxLink">
            <a:rPr lang="en-US" sz="1000" b="1" i="0" u="none" strike="noStrike" dirty="0" err="1">
              <a:solidFill>
                <a:srgbClr val="323232"/>
              </a:solidFill>
              <a:latin typeface="Arial"/>
              <a:cs typeface="Arial"/>
            </a:rPr>
            <a:pPr/>
            <a:t>5.920</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4 Grünstrom'!$O$69">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5.920</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4 Grünstrom'!$M$69">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2B2141-60C4-4F1A-99D6-431617ADEEB4}"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1.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4 Grünstrom'!$U$12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4 Grünstrom'!$V$120">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79" y="157134"/>
          <a:ext cx="89130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377.177 €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4 Grünstrom'!$W$120">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3"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584.363 €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2.xml><?xml version="1.0" encoding="utf-8"?>
<c:userShapes xmlns:c="http://schemas.openxmlformats.org/drawingml/2006/chart">
  <cdr:relSizeAnchor xmlns:cdr="http://schemas.openxmlformats.org/drawingml/2006/chartDrawing">
    <cdr:from>
      <cdr:x>0.26001</cdr:x>
      <cdr:y>0</cdr:y>
    </cdr:from>
    <cdr:to>
      <cdr:x>0.35189</cdr:x>
      <cdr:y>1</cdr:y>
    </cdr:to>
    <cdr:sp macro="" textlink="'M4 Grünstrom'!$M$11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4 Grünstrom'!$N$11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5.684</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4 Grünstrom'!$O$11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5.684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3.xml><?xml version="1.0" encoding="utf-8"?>
<xdr:wsDr xmlns:xdr="http://schemas.openxmlformats.org/drawingml/2006/spreadsheetDrawing" xmlns:a="http://schemas.openxmlformats.org/drawingml/2006/main">
  <xdr:twoCellAnchor>
    <xdr:from>
      <xdr:col>2</xdr:col>
      <xdr:colOff>560292</xdr:colOff>
      <xdr:row>35</xdr:row>
      <xdr:rowOff>117661</xdr:rowOff>
    </xdr:from>
    <xdr:to>
      <xdr:col>8</xdr:col>
      <xdr:colOff>539185</xdr:colOff>
      <xdr:row>62</xdr:row>
      <xdr:rowOff>28948</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39</xdr:row>
      <xdr:rowOff>33094</xdr:rowOff>
    </xdr:from>
    <xdr:to>
      <xdr:col>15</xdr:col>
      <xdr:colOff>778217</xdr:colOff>
      <xdr:row>62</xdr:row>
      <xdr:rowOff>57523</xdr:rowOff>
    </xdr:to>
    <xdr:graphicFrame macro="">
      <xdr:nvGraphicFramePr>
        <xdr:cNvPr id="3" name="Diagram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71</xdr:row>
          <xdr:rowOff>28575</xdr:rowOff>
        </xdr:from>
        <xdr:to>
          <xdr:col>2</xdr:col>
          <xdr:colOff>704850</xdr:colOff>
          <xdr:row>72</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A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72</xdr:row>
          <xdr:rowOff>28575</xdr:rowOff>
        </xdr:from>
        <xdr:to>
          <xdr:col>2</xdr:col>
          <xdr:colOff>704850</xdr:colOff>
          <xdr:row>72</xdr:row>
          <xdr:rowOff>190500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A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73</xdr:row>
          <xdr:rowOff>28575</xdr:rowOff>
        </xdr:from>
        <xdr:to>
          <xdr:col>2</xdr:col>
          <xdr:colOff>704850</xdr:colOff>
          <xdr:row>73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A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74</xdr:row>
          <xdr:rowOff>19050</xdr:rowOff>
        </xdr:from>
        <xdr:to>
          <xdr:col>2</xdr:col>
          <xdr:colOff>704850</xdr:colOff>
          <xdr:row>74</xdr:row>
          <xdr:rowOff>190500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A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75</xdr:row>
          <xdr:rowOff>19050</xdr:rowOff>
        </xdr:from>
        <xdr:to>
          <xdr:col>2</xdr:col>
          <xdr:colOff>704850</xdr:colOff>
          <xdr:row>75</xdr:row>
          <xdr:rowOff>180975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A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76</xdr:row>
          <xdr:rowOff>0</xdr:rowOff>
        </xdr:from>
        <xdr:to>
          <xdr:col>2</xdr:col>
          <xdr:colOff>704850</xdr:colOff>
          <xdr:row>76</xdr:row>
          <xdr:rowOff>180975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A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77</xdr:row>
          <xdr:rowOff>9525</xdr:rowOff>
        </xdr:from>
        <xdr:to>
          <xdr:col>2</xdr:col>
          <xdr:colOff>704850</xdr:colOff>
          <xdr:row>77</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A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35</xdr:row>
      <xdr:rowOff>117663</xdr:rowOff>
    </xdr:from>
    <xdr:to>
      <xdr:col>25</xdr:col>
      <xdr:colOff>445249</xdr:colOff>
      <xdr:row>62</xdr:row>
      <xdr:rowOff>28948</xdr:rowOff>
    </xdr:to>
    <xdr:graphicFrame macro="">
      <xdr:nvGraphicFramePr>
        <xdr:cNvPr id="4" name="Diagram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82</xdr:row>
          <xdr:rowOff>0</xdr:rowOff>
        </xdr:from>
        <xdr:to>
          <xdr:col>18</xdr:col>
          <xdr:colOff>676275</xdr:colOff>
          <xdr:row>82</xdr:row>
          <xdr:rowOff>180975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A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83</xdr:row>
          <xdr:rowOff>19050</xdr:rowOff>
        </xdr:from>
        <xdr:to>
          <xdr:col>19</xdr:col>
          <xdr:colOff>0</xdr:colOff>
          <xdr:row>84</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A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84</xdr:row>
          <xdr:rowOff>19050</xdr:rowOff>
        </xdr:from>
        <xdr:to>
          <xdr:col>19</xdr:col>
          <xdr:colOff>0</xdr:colOff>
          <xdr:row>85</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A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85</xdr:row>
          <xdr:rowOff>9525</xdr:rowOff>
        </xdr:from>
        <xdr:to>
          <xdr:col>19</xdr:col>
          <xdr:colOff>0</xdr:colOff>
          <xdr:row>85</xdr:row>
          <xdr:rowOff>190500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A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80</xdr:row>
          <xdr:rowOff>9525</xdr:rowOff>
        </xdr:from>
        <xdr:to>
          <xdr:col>18</xdr:col>
          <xdr:colOff>676275</xdr:colOff>
          <xdr:row>81</xdr:row>
          <xdr:rowOff>9525</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A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79</xdr:row>
          <xdr:rowOff>0</xdr:rowOff>
        </xdr:from>
        <xdr:to>
          <xdr:col>18</xdr:col>
          <xdr:colOff>676275</xdr:colOff>
          <xdr:row>80</xdr:row>
          <xdr:rowOff>9525</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A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81</xdr:row>
          <xdr:rowOff>9525</xdr:rowOff>
        </xdr:from>
        <xdr:to>
          <xdr:col>18</xdr:col>
          <xdr:colOff>676275</xdr:colOff>
          <xdr:row>82</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A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740668</xdr:colOff>
      <xdr:row>106</xdr:row>
      <xdr:rowOff>112979</xdr:rowOff>
    </xdr:from>
    <xdr:to>
      <xdr:col>16</xdr:col>
      <xdr:colOff>208303</xdr:colOff>
      <xdr:row>130</xdr:row>
      <xdr:rowOff>37012</xdr:rowOff>
    </xdr:to>
    <xdr:graphicFrame macro="">
      <xdr:nvGraphicFramePr>
        <xdr:cNvPr id="5" name="Diagramm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79</xdr:row>
          <xdr:rowOff>152400</xdr:rowOff>
        </xdr:from>
        <xdr:to>
          <xdr:col>10</xdr:col>
          <xdr:colOff>723900</xdr:colOff>
          <xdr:row>81</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A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80</xdr:row>
          <xdr:rowOff>171450</xdr:rowOff>
        </xdr:from>
        <xdr:to>
          <xdr:col>10</xdr:col>
          <xdr:colOff>723900</xdr:colOff>
          <xdr:row>81</xdr:row>
          <xdr:rowOff>190500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A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81</xdr:row>
          <xdr:rowOff>180975</xdr:rowOff>
        </xdr:from>
        <xdr:to>
          <xdr:col>10</xdr:col>
          <xdr:colOff>723900</xdr:colOff>
          <xdr:row>82</xdr:row>
          <xdr:rowOff>190500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A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82</xdr:row>
          <xdr:rowOff>180975</xdr:rowOff>
        </xdr:from>
        <xdr:to>
          <xdr:col>10</xdr:col>
          <xdr:colOff>723900</xdr:colOff>
          <xdr:row>84</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A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83</xdr:row>
          <xdr:rowOff>180975</xdr:rowOff>
        </xdr:from>
        <xdr:to>
          <xdr:col>10</xdr:col>
          <xdr:colOff>723900</xdr:colOff>
          <xdr:row>85</xdr:row>
          <xdr:rowOff>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A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84</xdr:row>
          <xdr:rowOff>180975</xdr:rowOff>
        </xdr:from>
        <xdr:to>
          <xdr:col>10</xdr:col>
          <xdr:colOff>723900</xdr:colOff>
          <xdr:row>86</xdr:row>
          <xdr:rowOff>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A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85</xdr:row>
          <xdr:rowOff>180975</xdr:rowOff>
        </xdr:from>
        <xdr:to>
          <xdr:col>10</xdr:col>
          <xdr:colOff>723900</xdr:colOff>
          <xdr:row>87</xdr:row>
          <xdr:rowOff>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A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190500</xdr:rowOff>
        </xdr:from>
        <xdr:to>
          <xdr:col>10</xdr:col>
          <xdr:colOff>723900</xdr:colOff>
          <xdr:row>87</xdr:row>
          <xdr:rowOff>190500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A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A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171450</xdr:rowOff>
        </xdr:from>
        <xdr:to>
          <xdr:col>10</xdr:col>
          <xdr:colOff>723900</xdr:colOff>
          <xdr:row>89</xdr:row>
          <xdr:rowOff>180975</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A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171450</xdr:rowOff>
        </xdr:from>
        <xdr:to>
          <xdr:col>10</xdr:col>
          <xdr:colOff>723900</xdr:colOff>
          <xdr:row>90</xdr:row>
          <xdr:rowOff>180975</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A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77</xdr:row>
      <xdr:rowOff>76042</xdr:rowOff>
    </xdr:from>
    <xdr:to>
      <xdr:col>10</xdr:col>
      <xdr:colOff>762000</xdr:colOff>
      <xdr:row>91</xdr:row>
      <xdr:rowOff>155282</xdr:rowOff>
    </xdr:to>
    <xdr:sp macro="" textlink="">
      <xdr:nvSpPr>
        <xdr:cNvPr id="6" name="Rechteck 5">
          <a:extLst>
            <a:ext uri="{FF2B5EF4-FFF2-40B4-BE49-F238E27FC236}">
              <a16:creationId xmlns:a16="http://schemas.microsoft.com/office/drawing/2014/main" id="{00000000-0008-0000-0A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29</xdr:row>
      <xdr:rowOff>121226</xdr:rowOff>
    </xdr:from>
    <xdr:to>
      <xdr:col>9</xdr:col>
      <xdr:colOff>523636</xdr:colOff>
      <xdr:row>104</xdr:row>
      <xdr:rowOff>88499</xdr:rowOff>
    </xdr:to>
    <xdr:sp macro="" textlink="">
      <xdr:nvSpPr>
        <xdr:cNvPr id="7" name="Rechteck 6">
          <a:extLst>
            <a:ext uri="{FF2B5EF4-FFF2-40B4-BE49-F238E27FC236}">
              <a16:creationId xmlns:a16="http://schemas.microsoft.com/office/drawing/2014/main" id="{00000000-0008-0000-0A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29</xdr:row>
      <xdr:rowOff>117762</xdr:rowOff>
    </xdr:from>
    <xdr:to>
      <xdr:col>17</xdr:col>
      <xdr:colOff>295035</xdr:colOff>
      <xdr:row>104</xdr:row>
      <xdr:rowOff>85035</xdr:rowOff>
    </xdr:to>
    <xdr:sp macro="" textlink="">
      <xdr:nvSpPr>
        <xdr:cNvPr id="8" name="Rechteck 7">
          <a:extLst>
            <a:ext uri="{FF2B5EF4-FFF2-40B4-BE49-F238E27FC236}">
              <a16:creationId xmlns:a16="http://schemas.microsoft.com/office/drawing/2014/main" id="{00000000-0008-0000-0A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20</xdr:row>
      <xdr:rowOff>142875</xdr:rowOff>
    </xdr:from>
    <xdr:to>
      <xdr:col>11</xdr:col>
      <xdr:colOff>1018200</xdr:colOff>
      <xdr:row>20</xdr:row>
      <xdr:rowOff>142875</xdr:rowOff>
    </xdr:to>
    <xdr:cxnSp macro="">
      <xdr:nvCxnSpPr>
        <xdr:cNvPr id="9" name="Gerader Verbinder 8">
          <a:extLst>
            <a:ext uri="{FF2B5EF4-FFF2-40B4-BE49-F238E27FC236}">
              <a16:creationId xmlns:a16="http://schemas.microsoft.com/office/drawing/2014/main" id="{00000000-0008-0000-0A00-000009000000}"/>
            </a:ext>
          </a:extLst>
        </xdr:cNvPr>
        <xdr:cNvCxnSpPr/>
      </xdr:nvCxnSpPr>
      <xdr:spPr bwMode="auto">
        <a:xfrm>
          <a:off x="1228725" y="3752850"/>
          <a:ext cx="9324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638735</xdr:colOff>
      <xdr:row>11</xdr:row>
      <xdr:rowOff>156883</xdr:rowOff>
    </xdr:from>
    <xdr:to>
      <xdr:col>12</xdr:col>
      <xdr:colOff>448235</xdr:colOff>
      <xdr:row>17</xdr:row>
      <xdr:rowOff>112057</xdr:rowOff>
    </xdr:to>
    <xdr:grpSp>
      <xdr:nvGrpSpPr>
        <xdr:cNvPr id="10" name="Gruppieren 9">
          <a:extLst>
            <a:ext uri="{FF2B5EF4-FFF2-40B4-BE49-F238E27FC236}">
              <a16:creationId xmlns:a16="http://schemas.microsoft.com/office/drawing/2014/main" id="{00000000-0008-0000-0A00-00000A000000}"/>
            </a:ext>
          </a:extLst>
        </xdr:cNvPr>
        <xdr:cNvGrpSpPr/>
      </xdr:nvGrpSpPr>
      <xdr:grpSpPr>
        <a:xfrm>
          <a:off x="10174318" y="4305550"/>
          <a:ext cx="3090334" cy="1119340"/>
          <a:chOff x="10163735" y="4280648"/>
          <a:chExt cx="3081618" cy="1266262"/>
        </a:xfrm>
      </xdr:grpSpPr>
      <xdr:sp macro="" textlink="$D$126">
        <xdr:nvSpPr>
          <xdr:cNvPr id="11" name="Textfeld 10">
            <a:extLst>
              <a:ext uri="{FF2B5EF4-FFF2-40B4-BE49-F238E27FC236}">
                <a16:creationId xmlns:a16="http://schemas.microsoft.com/office/drawing/2014/main" id="{00000000-0008-0000-0A00-00000B000000}"/>
              </a:ext>
            </a:extLst>
          </xdr:cNvPr>
          <xdr:cNvSpPr txBox="1"/>
        </xdr:nvSpPr>
        <xdr:spPr>
          <a:xfrm>
            <a:off x="10163735" y="4650439"/>
            <a:ext cx="3081600" cy="896471"/>
          </a:xfrm>
          <a:prstGeom prst="rect">
            <a:avLst/>
          </a:prstGeom>
          <a:noFill/>
          <a:ln>
            <a:solidFill>
              <a:schemeClr val="bg1">
                <a:lumMod val="50000"/>
              </a:schemeClr>
            </a:solidFill>
          </a:ln>
        </xdr:spPr>
        <xdr:txBody>
          <a:bodyPr vertOverflow="clip" horzOverflow="clip" wrap="square" rtlCol="0" anchor="t">
            <a:noAutofit/>
          </a:bodyPr>
          <a:lstStyle/>
          <a:p>
            <a:pPr algn="ctr"/>
            <a:fld id="{C2BF7F2C-B3FD-404D-B601-1F9C893DA07A}"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13" name="Rechteck 12">
            <a:extLst>
              <a:ext uri="{FF2B5EF4-FFF2-40B4-BE49-F238E27FC236}">
                <a16:creationId xmlns:a16="http://schemas.microsoft.com/office/drawing/2014/main" id="{00000000-0008-0000-0A00-00000D000000}"/>
              </a:ext>
            </a:extLst>
          </xdr:cNvPr>
          <xdr:cNvSpPr/>
        </xdr:nvSpPr>
        <xdr:spPr bwMode="auto">
          <a:xfrm>
            <a:off x="10163735" y="4280648"/>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24.xml><?xml version="1.0" encoding="utf-8"?>
<c:userShapes xmlns:c="http://schemas.openxmlformats.org/drawingml/2006/chart">
  <cdr:relSizeAnchor xmlns:cdr="http://schemas.openxmlformats.org/drawingml/2006/chartDrawing">
    <cdr:from>
      <cdr:x>0.23302</cdr:x>
      <cdr:y>0.03526</cdr:y>
    </cdr:from>
    <cdr:to>
      <cdr:x>0.32481</cdr:x>
      <cdr:y>0.09309</cdr:y>
    </cdr:to>
    <cdr:sp macro="" textlink="'M5 PV-Anlage'!$E$11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6576" y="146227"/>
          <a:ext cx="61315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0.09309</cdr:y>
    </cdr:to>
    <cdr:sp macro="" textlink="'M5 PV-Anlage'!$F$11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9952" y="146227"/>
          <a:ext cx="61315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192,1</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0.09309</cdr:y>
    </cdr:to>
    <cdr:sp macro="" textlink="'M5 PV-Anlage'!$G$11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61978" y="146227"/>
          <a:ext cx="6130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142,8</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5.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5 PV-Anlage'!$N$7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3" y="153264"/>
          <a:ext cx="7254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D04F997-4F52-454B-A954-00CFFEE3F404}" type="TxLink">
            <a:rPr lang="en-US" sz="1000" b="1" i="0" u="none" strike="noStrike" dirty="0" err="1">
              <a:solidFill>
                <a:srgbClr val="323232"/>
              </a:solidFill>
              <a:latin typeface="Arial"/>
              <a:cs typeface="Arial"/>
            </a:rPr>
            <a:pPr/>
            <a:t>6.018</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5 PV-Anlage'!$O$75">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4"/>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5.962</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5 PV-Anlage'!$M$75">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85A6EC5-B1AA-4618-9E48-4E64AF7B5DB6}"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6.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5 PV-Anlage'!$U$12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5 PV-Anlage'!$V$12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399.289 €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5 PV-Anlage'!$W$12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605.407 €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7.xml><?xml version="1.0" encoding="utf-8"?>
<c:userShapes xmlns:c="http://schemas.openxmlformats.org/drawingml/2006/chart">
  <cdr:relSizeAnchor xmlns:cdr="http://schemas.openxmlformats.org/drawingml/2006/chartDrawing">
    <cdr:from>
      <cdr:x>0.26001</cdr:x>
      <cdr:y>0</cdr:y>
    </cdr:from>
    <cdr:to>
      <cdr:x>0.35189</cdr:x>
      <cdr:y>1</cdr:y>
    </cdr:to>
    <cdr:sp macro="" textlink="'M5 PV-Anlage'!$M$12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5 PV-Anlage'!$N$12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5.685</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5 PV-Anlage'!$O$12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5.678</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560292</xdr:colOff>
      <xdr:row>41</xdr:row>
      <xdr:rowOff>117661</xdr:rowOff>
    </xdr:from>
    <xdr:to>
      <xdr:col>8</xdr:col>
      <xdr:colOff>539185</xdr:colOff>
      <xdr:row>68</xdr:row>
      <xdr:rowOff>28948</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799740</xdr:colOff>
      <xdr:row>45</xdr:row>
      <xdr:rowOff>33094</xdr:rowOff>
    </xdr:from>
    <xdr:to>
      <xdr:col>15</xdr:col>
      <xdr:colOff>778217</xdr:colOff>
      <xdr:row>68</xdr:row>
      <xdr:rowOff>57523</xdr:rowOff>
    </xdr:to>
    <xdr:graphicFrame macro="">
      <xdr:nvGraphicFramePr>
        <xdr:cNvPr id="3" name="Diagram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523875</xdr:colOff>
          <xdr:row>77</xdr:row>
          <xdr:rowOff>28575</xdr:rowOff>
        </xdr:from>
        <xdr:to>
          <xdr:col>2</xdr:col>
          <xdr:colOff>704850</xdr:colOff>
          <xdr:row>78</xdr:row>
          <xdr:rowOff>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78</xdr:row>
          <xdr:rowOff>28575</xdr:rowOff>
        </xdr:from>
        <xdr:to>
          <xdr:col>2</xdr:col>
          <xdr:colOff>704850</xdr:colOff>
          <xdr:row>78</xdr:row>
          <xdr:rowOff>190500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79</xdr:row>
          <xdr:rowOff>28575</xdr:rowOff>
        </xdr:from>
        <xdr:to>
          <xdr:col>2</xdr:col>
          <xdr:colOff>704850</xdr:colOff>
          <xdr:row>79</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80</xdr:row>
          <xdr:rowOff>19050</xdr:rowOff>
        </xdr:from>
        <xdr:to>
          <xdr:col>2</xdr:col>
          <xdr:colOff>704850</xdr:colOff>
          <xdr:row>80</xdr:row>
          <xdr:rowOff>190500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B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81</xdr:row>
          <xdr:rowOff>19050</xdr:rowOff>
        </xdr:from>
        <xdr:to>
          <xdr:col>2</xdr:col>
          <xdr:colOff>704850</xdr:colOff>
          <xdr:row>81</xdr:row>
          <xdr:rowOff>180975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B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82</xdr:row>
          <xdr:rowOff>0</xdr:rowOff>
        </xdr:from>
        <xdr:to>
          <xdr:col>2</xdr:col>
          <xdr:colOff>704850</xdr:colOff>
          <xdr:row>82</xdr:row>
          <xdr:rowOff>180975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B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83</xdr:row>
          <xdr:rowOff>9525</xdr:rowOff>
        </xdr:from>
        <xdr:to>
          <xdr:col>2</xdr:col>
          <xdr:colOff>704850</xdr:colOff>
          <xdr:row>83</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B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41</xdr:row>
      <xdr:rowOff>117663</xdr:rowOff>
    </xdr:from>
    <xdr:to>
      <xdr:col>25</xdr:col>
      <xdr:colOff>445249</xdr:colOff>
      <xdr:row>68</xdr:row>
      <xdr:rowOff>28948</xdr:rowOff>
    </xdr:to>
    <xdr:graphicFrame macro="">
      <xdr:nvGraphicFramePr>
        <xdr:cNvPr id="4" name="Diagram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88</xdr:row>
          <xdr:rowOff>0</xdr:rowOff>
        </xdr:from>
        <xdr:to>
          <xdr:col>18</xdr:col>
          <xdr:colOff>676275</xdr:colOff>
          <xdr:row>88</xdr:row>
          <xdr:rowOff>180975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B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89</xdr:row>
          <xdr:rowOff>19050</xdr:rowOff>
        </xdr:from>
        <xdr:to>
          <xdr:col>19</xdr:col>
          <xdr:colOff>0</xdr:colOff>
          <xdr:row>90</xdr:row>
          <xdr:rowOff>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B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90</xdr:row>
          <xdr:rowOff>19050</xdr:rowOff>
        </xdr:from>
        <xdr:to>
          <xdr:col>19</xdr:col>
          <xdr:colOff>0</xdr:colOff>
          <xdr:row>91</xdr:row>
          <xdr:rowOff>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B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91</xdr:row>
          <xdr:rowOff>9525</xdr:rowOff>
        </xdr:from>
        <xdr:to>
          <xdr:col>19</xdr:col>
          <xdr:colOff>0</xdr:colOff>
          <xdr:row>91</xdr:row>
          <xdr:rowOff>190500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B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86</xdr:row>
          <xdr:rowOff>9525</xdr:rowOff>
        </xdr:from>
        <xdr:to>
          <xdr:col>18</xdr:col>
          <xdr:colOff>676275</xdr:colOff>
          <xdr:row>87</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B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85</xdr:row>
          <xdr:rowOff>0</xdr:rowOff>
        </xdr:from>
        <xdr:to>
          <xdr:col>18</xdr:col>
          <xdr:colOff>676275</xdr:colOff>
          <xdr:row>86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B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87</xdr:row>
          <xdr:rowOff>9525</xdr:rowOff>
        </xdr:from>
        <xdr:to>
          <xdr:col>18</xdr:col>
          <xdr:colOff>676275</xdr:colOff>
          <xdr:row>88</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B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763079</xdr:colOff>
      <xdr:row>113</xdr:row>
      <xdr:rowOff>920</xdr:rowOff>
    </xdr:from>
    <xdr:to>
      <xdr:col>16</xdr:col>
      <xdr:colOff>230714</xdr:colOff>
      <xdr:row>136</xdr:row>
      <xdr:rowOff>81836</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514350</xdr:colOff>
          <xdr:row>85</xdr:row>
          <xdr:rowOff>152400</xdr:rowOff>
        </xdr:from>
        <xdr:to>
          <xdr:col>10</xdr:col>
          <xdr:colOff>723900</xdr:colOff>
          <xdr:row>87</xdr:row>
          <xdr:rowOff>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B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86</xdr:row>
          <xdr:rowOff>171450</xdr:rowOff>
        </xdr:from>
        <xdr:to>
          <xdr:col>10</xdr:col>
          <xdr:colOff>723900</xdr:colOff>
          <xdr:row>87</xdr:row>
          <xdr:rowOff>190500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B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87</xdr:row>
          <xdr:rowOff>180975</xdr:rowOff>
        </xdr:from>
        <xdr:to>
          <xdr:col>10</xdr:col>
          <xdr:colOff>723900</xdr:colOff>
          <xdr:row>88</xdr:row>
          <xdr:rowOff>190500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B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88</xdr:row>
          <xdr:rowOff>180975</xdr:rowOff>
        </xdr:from>
        <xdr:to>
          <xdr:col>10</xdr:col>
          <xdr:colOff>723900</xdr:colOff>
          <xdr:row>90</xdr:row>
          <xdr:rowOff>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B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89</xdr:row>
          <xdr:rowOff>180975</xdr:rowOff>
        </xdr:from>
        <xdr:to>
          <xdr:col>10</xdr:col>
          <xdr:colOff>723900</xdr:colOff>
          <xdr:row>91</xdr:row>
          <xdr:rowOff>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B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90</xdr:row>
          <xdr:rowOff>180975</xdr:rowOff>
        </xdr:from>
        <xdr:to>
          <xdr:col>10</xdr:col>
          <xdr:colOff>723900</xdr:colOff>
          <xdr:row>92</xdr:row>
          <xdr:rowOff>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B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91</xdr:row>
          <xdr:rowOff>180975</xdr:rowOff>
        </xdr:from>
        <xdr:to>
          <xdr:col>10</xdr:col>
          <xdr:colOff>723900</xdr:colOff>
          <xdr:row>93</xdr:row>
          <xdr:rowOff>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B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92</xdr:row>
          <xdr:rowOff>190500</xdr:rowOff>
        </xdr:from>
        <xdr:to>
          <xdr:col>10</xdr:col>
          <xdr:colOff>723900</xdr:colOff>
          <xdr:row>93</xdr:row>
          <xdr:rowOff>190500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B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93</xdr:row>
          <xdr:rowOff>180975</xdr:rowOff>
        </xdr:from>
        <xdr:to>
          <xdr:col>10</xdr:col>
          <xdr:colOff>723900</xdr:colOff>
          <xdr:row>94</xdr:row>
          <xdr:rowOff>190500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B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94</xdr:row>
          <xdr:rowOff>171450</xdr:rowOff>
        </xdr:from>
        <xdr:to>
          <xdr:col>10</xdr:col>
          <xdr:colOff>723900</xdr:colOff>
          <xdr:row>95</xdr:row>
          <xdr:rowOff>180975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B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171450</xdr:rowOff>
        </xdr:from>
        <xdr:to>
          <xdr:col>10</xdr:col>
          <xdr:colOff>723900</xdr:colOff>
          <xdr:row>96</xdr:row>
          <xdr:rowOff>180975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B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707571</xdr:colOff>
      <xdr:row>83</xdr:row>
      <xdr:rowOff>76042</xdr:rowOff>
    </xdr:from>
    <xdr:to>
      <xdr:col>10</xdr:col>
      <xdr:colOff>762000</xdr:colOff>
      <xdr:row>97</xdr:row>
      <xdr:rowOff>155282</xdr:rowOff>
    </xdr:to>
    <xdr:sp macro="" textlink="">
      <xdr:nvSpPr>
        <xdr:cNvPr id="6" name="Rechteck 5">
          <a:extLst>
            <a:ext uri="{FF2B5EF4-FFF2-40B4-BE49-F238E27FC236}">
              <a16:creationId xmlns:a16="http://schemas.microsoft.com/office/drawing/2014/main" id="{00000000-0008-0000-0B00-000006000000}"/>
            </a:ext>
          </a:extLst>
        </xdr:cNvPr>
        <xdr:cNvSpPr/>
      </xdr:nvSpPr>
      <xdr:spPr bwMode="auto">
        <a:xfrm>
          <a:off x="8622846" y="13363417"/>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9</xdr:col>
      <xdr:colOff>415636</xdr:colOff>
      <xdr:row>35</xdr:row>
      <xdr:rowOff>121226</xdr:rowOff>
    </xdr:from>
    <xdr:to>
      <xdr:col>9</xdr:col>
      <xdr:colOff>523636</xdr:colOff>
      <xdr:row>110</xdr:row>
      <xdr:rowOff>88499</xdr:rowOff>
    </xdr:to>
    <xdr:sp macro="" textlink="">
      <xdr:nvSpPr>
        <xdr:cNvPr id="7" name="Rechteck 6">
          <a:extLst>
            <a:ext uri="{FF2B5EF4-FFF2-40B4-BE49-F238E27FC236}">
              <a16:creationId xmlns:a16="http://schemas.microsoft.com/office/drawing/2014/main" id="{00000000-0008-0000-0B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35</xdr:row>
      <xdr:rowOff>117762</xdr:rowOff>
    </xdr:from>
    <xdr:to>
      <xdr:col>17</xdr:col>
      <xdr:colOff>295035</xdr:colOff>
      <xdr:row>110</xdr:row>
      <xdr:rowOff>85035</xdr:rowOff>
    </xdr:to>
    <xdr:sp macro="" textlink="">
      <xdr:nvSpPr>
        <xdr:cNvPr id="8" name="Rechteck 7">
          <a:extLst>
            <a:ext uri="{FF2B5EF4-FFF2-40B4-BE49-F238E27FC236}">
              <a16:creationId xmlns:a16="http://schemas.microsoft.com/office/drawing/2014/main" id="{00000000-0008-0000-0B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26</xdr:row>
      <xdr:rowOff>142875</xdr:rowOff>
    </xdr:from>
    <xdr:to>
      <xdr:col>11</xdr:col>
      <xdr:colOff>1018200</xdr:colOff>
      <xdr:row>26</xdr:row>
      <xdr:rowOff>142875</xdr:rowOff>
    </xdr:to>
    <xdr:cxnSp macro="">
      <xdr:nvCxnSpPr>
        <xdr:cNvPr id="9" name="Gerader Verbinder 8">
          <a:extLst>
            <a:ext uri="{FF2B5EF4-FFF2-40B4-BE49-F238E27FC236}">
              <a16:creationId xmlns:a16="http://schemas.microsoft.com/office/drawing/2014/main" id="{00000000-0008-0000-0B00-000009000000}"/>
            </a:ext>
          </a:extLst>
        </xdr:cNvPr>
        <xdr:cNvCxnSpPr/>
      </xdr:nvCxnSpPr>
      <xdr:spPr bwMode="auto">
        <a:xfrm>
          <a:off x="1222001" y="5398434"/>
          <a:ext cx="9321199"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17</xdr:row>
      <xdr:rowOff>0</xdr:rowOff>
    </xdr:from>
    <xdr:to>
      <xdr:col>11</xdr:col>
      <xdr:colOff>1018200</xdr:colOff>
      <xdr:row>17</xdr:row>
      <xdr:rowOff>0</xdr:rowOff>
    </xdr:to>
    <xdr:cxnSp macro="">
      <xdr:nvCxnSpPr>
        <xdr:cNvPr id="12" name="Gerader Verbinder 11">
          <a:extLst>
            <a:ext uri="{FF2B5EF4-FFF2-40B4-BE49-F238E27FC236}">
              <a16:creationId xmlns:a16="http://schemas.microsoft.com/office/drawing/2014/main" id="{00000000-0008-0000-0B00-00000C000000}"/>
            </a:ext>
          </a:extLst>
        </xdr:cNvPr>
        <xdr:cNvCxnSpPr/>
      </xdr:nvCxnSpPr>
      <xdr:spPr bwMode="auto">
        <a:xfrm>
          <a:off x="1222001" y="3429000"/>
          <a:ext cx="9321199"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11</xdr:col>
      <xdr:colOff>582706</xdr:colOff>
      <xdr:row>17</xdr:row>
      <xdr:rowOff>156882</xdr:rowOff>
    </xdr:from>
    <xdr:to>
      <xdr:col>12</xdr:col>
      <xdr:colOff>392206</xdr:colOff>
      <xdr:row>22</xdr:row>
      <xdr:rowOff>145678</xdr:rowOff>
    </xdr:to>
    <xdr:grpSp>
      <xdr:nvGrpSpPr>
        <xdr:cNvPr id="13" name="Gruppieren 12">
          <a:extLst>
            <a:ext uri="{FF2B5EF4-FFF2-40B4-BE49-F238E27FC236}">
              <a16:creationId xmlns:a16="http://schemas.microsoft.com/office/drawing/2014/main" id="{00000000-0008-0000-0B00-00000D000000}"/>
            </a:ext>
          </a:extLst>
        </xdr:cNvPr>
        <xdr:cNvGrpSpPr/>
      </xdr:nvGrpSpPr>
      <xdr:grpSpPr>
        <a:xfrm>
          <a:off x="10118289" y="6422215"/>
          <a:ext cx="3090334" cy="1152963"/>
          <a:chOff x="10107706" y="6387353"/>
          <a:chExt cx="3081618" cy="1143001"/>
        </a:xfrm>
      </xdr:grpSpPr>
      <xdr:sp macro="" textlink="$D$131">
        <xdr:nvSpPr>
          <xdr:cNvPr id="11" name="Textfeld 10">
            <a:extLst>
              <a:ext uri="{FF2B5EF4-FFF2-40B4-BE49-F238E27FC236}">
                <a16:creationId xmlns:a16="http://schemas.microsoft.com/office/drawing/2014/main" id="{00000000-0008-0000-0B00-00000B000000}"/>
              </a:ext>
            </a:extLst>
          </xdr:cNvPr>
          <xdr:cNvSpPr txBox="1"/>
        </xdr:nvSpPr>
        <xdr:spPr>
          <a:xfrm>
            <a:off x="10107706" y="6757148"/>
            <a:ext cx="3081600" cy="773206"/>
          </a:xfrm>
          <a:prstGeom prst="rect">
            <a:avLst/>
          </a:prstGeom>
          <a:noFill/>
          <a:ln>
            <a:solidFill>
              <a:schemeClr val="bg1">
                <a:lumMod val="50000"/>
              </a:schemeClr>
            </a:solidFill>
          </a:ln>
        </xdr:spPr>
        <xdr:txBody>
          <a:bodyPr vertOverflow="clip" horzOverflow="clip" wrap="square" rtlCol="0" anchor="t">
            <a:noAutofit/>
          </a:bodyPr>
          <a:lstStyle/>
          <a:p>
            <a:pPr algn="ctr"/>
            <a:fld id="{B58545AA-70CF-48A7-BB8D-821AEF935C24}" type="TxLink">
              <a:rPr lang="en-US" sz="1000" b="0" i="0" u="none" strike="noStrike" dirty="0" err="1" smtClean="0">
                <a:solidFill>
                  <a:sysClr val="windowText" lastClr="000000"/>
                </a:solidFill>
                <a:latin typeface="Arial"/>
                <a:cs typeface="Arial"/>
              </a:rPr>
              <a:pPr algn="ctr"/>
              <a:t> </a:t>
            </a:fld>
            <a:endParaRPr lang="de-DE" sz="1100" dirty="0" err="1">
              <a:solidFill>
                <a:sysClr val="windowText" lastClr="000000"/>
              </a:solidFill>
            </a:endParaRPr>
          </a:p>
        </xdr:txBody>
      </xdr:sp>
      <xdr:sp macro="" textlink="">
        <xdr:nvSpPr>
          <xdr:cNvPr id="10" name="Rechteck 9">
            <a:extLst>
              <a:ext uri="{FF2B5EF4-FFF2-40B4-BE49-F238E27FC236}">
                <a16:creationId xmlns:a16="http://schemas.microsoft.com/office/drawing/2014/main" id="{00000000-0008-0000-0B00-00000A000000}"/>
              </a:ext>
            </a:extLst>
          </xdr:cNvPr>
          <xdr:cNvSpPr/>
        </xdr:nvSpPr>
        <xdr:spPr bwMode="auto">
          <a:xfrm>
            <a:off x="10107706" y="6387353"/>
            <a:ext cx="3081618" cy="369794"/>
          </a:xfrm>
          <a:prstGeom prst="rect">
            <a:avLst/>
          </a:prstGeom>
          <a:solidFill>
            <a:schemeClr val="bg1">
              <a:lumMod val="95000"/>
            </a:schemeClr>
          </a:solidFill>
          <a:ln w="3175">
            <a:solidFill>
              <a:schemeClr val="bg1">
                <a:lumMod val="50000"/>
              </a:schemeClr>
            </a:solidFill>
          </a:ln>
          <a:effectLst/>
        </xdr:spPr>
        <xdr:txBody>
          <a:bodyPr vert="horz" wrap="square" lIns="91440" tIns="45720" rIns="91440" bIns="45720" numCol="1" rtlCol="0" anchor="ctr" anchorCtr="0" compatLnSpc="1">
            <a:prstTxWarp prst="textNoShape">
              <a:avLst/>
            </a:prstTxWarp>
            <a:noAutofit/>
          </a:bodyPr>
          <a:lstStyle/>
          <a:p>
            <a:pPr algn="ctr"/>
            <a:r>
              <a:rPr lang="de-DE" sz="1000" dirty="0">
                <a:solidFill>
                  <a:schemeClr val="tx1"/>
                </a:solidFill>
              </a:rPr>
              <a:t>Hinweis</a:t>
            </a:r>
          </a:p>
        </xdr:txBody>
      </xdr:sp>
    </xdr:grpSp>
    <xdr:clientData/>
  </xdr:twoCellAnchor>
</xdr:wsDr>
</file>

<file path=xl/drawings/drawing29.xml><?xml version="1.0" encoding="utf-8"?>
<c:userShapes xmlns:c="http://schemas.openxmlformats.org/drawingml/2006/chart">
  <cdr:relSizeAnchor xmlns:cdr="http://schemas.openxmlformats.org/drawingml/2006/chartDrawing">
    <cdr:from>
      <cdr:x>0.23302</cdr:x>
      <cdr:y>0.03526</cdr:y>
    </cdr:from>
    <cdr:to>
      <cdr:x>0.32481</cdr:x>
      <cdr:y>0.09309</cdr:y>
    </cdr:to>
    <cdr:sp macro="" textlink="'M6 allgemeine Effizienz'!$E$12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556576" y="146227"/>
          <a:ext cx="61315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0.03526</cdr:y>
    </cdr:from>
    <cdr:to>
      <cdr:x>0.61274</cdr:x>
      <cdr:y>0.09309</cdr:y>
    </cdr:to>
    <cdr:sp macro="" textlink="'M6 allgemeine Effizienz'!$F$12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79952" y="146227"/>
          <a:ext cx="61315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214,2</a:t>
          </a:fld>
          <a:endParaRPr lang="en-GB" sz="1100" dirty="0" err="1">
            <a:solidFill>
              <a:schemeClr val="tx1"/>
            </a:solidFill>
          </a:endParaRPr>
        </a:p>
      </cdr:txBody>
    </cdr:sp>
  </cdr:relSizeAnchor>
  <cdr:relSizeAnchor xmlns:cdr="http://schemas.openxmlformats.org/drawingml/2006/chartDrawing">
    <cdr:from>
      <cdr:x>0.80269</cdr:x>
      <cdr:y>0.03526</cdr:y>
    </cdr:from>
    <cdr:to>
      <cdr:x>0.89447</cdr:x>
      <cdr:y>0.09309</cdr:y>
    </cdr:to>
    <cdr:sp macro="" textlink="'M6 allgemeine Effizienz'!$G$12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361978" y="146227"/>
          <a:ext cx="61309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153,7</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0.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6 allgemeine Effizienz'!$N$8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3" y="153264"/>
          <a:ext cx="72546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1692638-4828-4CBE-A9BB-AE0080EB305F}" type="TxLink">
            <a:rPr lang="en-US" sz="1000" b="1" i="0" u="none" strike="noStrike" dirty="0" err="1">
              <a:solidFill>
                <a:srgbClr val="323232"/>
              </a:solidFill>
              <a:latin typeface="Arial"/>
              <a:cs typeface="Arial"/>
            </a:rPr>
            <a:pPr/>
            <a:t>6.038</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6 allgemeine Effizienz'!$O$81">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4"/>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5.969</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6 allgemeine Effizienz'!$M$81">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93C6129-75EC-48BB-AEB0-5D88F4F44664}"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1.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6 allgemeine Effizienz'!$U$13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6 allgemeine Effizienz'!$V$132">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379.697 €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6 allgemeine Effizienz'!$W$132">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585.479 €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2.xml><?xml version="1.0" encoding="utf-8"?>
<c:userShapes xmlns:c="http://schemas.openxmlformats.org/drawingml/2006/chart">
  <cdr:relSizeAnchor xmlns:cdr="http://schemas.openxmlformats.org/drawingml/2006/chartDrawing">
    <cdr:from>
      <cdr:x>0.26001</cdr:x>
      <cdr:y>0</cdr:y>
    </cdr:from>
    <cdr:to>
      <cdr:x>0.35189</cdr:x>
      <cdr:y>1</cdr:y>
    </cdr:to>
    <cdr:sp macro="" textlink="'M6 allgemeine Effizienz'!$M$12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7012" y="0"/>
          <a:ext cx="599675"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1</cdr:y>
    </cdr:to>
    <cdr:sp macro="" textlink="'M6 allgemeine Effizienz'!$N$12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49175" y="0"/>
          <a:ext cx="59974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5.683</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1</cdr:y>
    </cdr:to>
    <cdr:sp macro="" textlink="'M6 allgemeine Effizienz'!$O$12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47024" y="0"/>
          <a:ext cx="59974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3.xml><?xml version="1.0" encoding="utf-8"?>
<xdr:wsDr xmlns:xdr="http://schemas.openxmlformats.org/drawingml/2006/spreadsheetDrawing" xmlns:a="http://schemas.openxmlformats.org/drawingml/2006/main">
  <xdr:twoCellAnchor>
    <xdr:from>
      <xdr:col>10</xdr:col>
      <xdr:colOff>799740</xdr:colOff>
      <xdr:row>57</xdr:row>
      <xdr:rowOff>33094</xdr:rowOff>
    </xdr:from>
    <xdr:to>
      <xdr:col>15</xdr:col>
      <xdr:colOff>778217</xdr:colOff>
      <xdr:row>80</xdr:row>
      <xdr:rowOff>57523</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98</xdr:row>
          <xdr:rowOff>28575</xdr:rowOff>
        </xdr:from>
        <xdr:to>
          <xdr:col>10</xdr:col>
          <xdr:colOff>704850</xdr:colOff>
          <xdr:row>98</xdr:row>
          <xdr:rowOff>190500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C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28575</xdr:rowOff>
        </xdr:from>
        <xdr:to>
          <xdr:col>10</xdr:col>
          <xdr:colOff>704850</xdr:colOff>
          <xdr:row>99</xdr:row>
          <xdr:rowOff>190500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C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28575</xdr:rowOff>
        </xdr:from>
        <xdr:to>
          <xdr:col>10</xdr:col>
          <xdr:colOff>704850</xdr:colOff>
          <xdr:row>100</xdr:row>
          <xdr:rowOff>180975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C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19050</xdr:rowOff>
        </xdr:from>
        <xdr:to>
          <xdr:col>10</xdr:col>
          <xdr:colOff>704850</xdr:colOff>
          <xdr:row>101</xdr:row>
          <xdr:rowOff>190500</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C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102</xdr:row>
          <xdr:rowOff>19050</xdr:rowOff>
        </xdr:from>
        <xdr:to>
          <xdr:col>10</xdr:col>
          <xdr:colOff>704850</xdr:colOff>
          <xdr:row>102</xdr:row>
          <xdr:rowOff>180975</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C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103</xdr:row>
          <xdr:rowOff>0</xdr:rowOff>
        </xdr:from>
        <xdr:to>
          <xdr:col>10</xdr:col>
          <xdr:colOff>704850</xdr:colOff>
          <xdr:row>103</xdr:row>
          <xdr:rowOff>180975</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C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104</xdr:row>
          <xdr:rowOff>9525</xdr:rowOff>
        </xdr:from>
        <xdr:to>
          <xdr:col>10</xdr:col>
          <xdr:colOff>704850</xdr:colOff>
          <xdr:row>104</xdr:row>
          <xdr:rowOff>190500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C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53</xdr:row>
      <xdr:rowOff>117663</xdr:rowOff>
    </xdr:from>
    <xdr:to>
      <xdr:col>25</xdr:col>
      <xdr:colOff>445249</xdr:colOff>
      <xdr:row>80</xdr:row>
      <xdr:rowOff>28948</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100</xdr:row>
          <xdr:rowOff>0</xdr:rowOff>
        </xdr:from>
        <xdr:to>
          <xdr:col>18</xdr:col>
          <xdr:colOff>676275</xdr:colOff>
          <xdr:row>100</xdr:row>
          <xdr:rowOff>180975</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C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101</xdr:row>
          <xdr:rowOff>19050</xdr:rowOff>
        </xdr:from>
        <xdr:to>
          <xdr:col>19</xdr:col>
          <xdr:colOff>0</xdr:colOff>
          <xdr:row>102</xdr:row>
          <xdr:rowOff>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C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102</xdr:row>
          <xdr:rowOff>19050</xdr:rowOff>
        </xdr:from>
        <xdr:to>
          <xdr:col>19</xdr:col>
          <xdr:colOff>0</xdr:colOff>
          <xdr:row>102</xdr:row>
          <xdr:rowOff>200025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C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103</xdr:row>
          <xdr:rowOff>9525</xdr:rowOff>
        </xdr:from>
        <xdr:to>
          <xdr:col>19</xdr:col>
          <xdr:colOff>0</xdr:colOff>
          <xdr:row>103</xdr:row>
          <xdr:rowOff>190500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C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98</xdr:row>
          <xdr:rowOff>9525</xdr:rowOff>
        </xdr:from>
        <xdr:to>
          <xdr:col>18</xdr:col>
          <xdr:colOff>676275</xdr:colOff>
          <xdr:row>99</xdr:row>
          <xdr:rowOff>9525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C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97</xdr:row>
          <xdr:rowOff>0</xdr:rowOff>
        </xdr:from>
        <xdr:to>
          <xdr:col>18</xdr:col>
          <xdr:colOff>676275</xdr:colOff>
          <xdr:row>97</xdr:row>
          <xdr:rowOff>180975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C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99</xdr:row>
          <xdr:rowOff>9525</xdr:rowOff>
        </xdr:from>
        <xdr:to>
          <xdr:col>18</xdr:col>
          <xdr:colOff>676275</xdr:colOff>
          <xdr:row>100</xdr:row>
          <xdr:rowOff>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C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152400</xdr:rowOff>
        </xdr:from>
        <xdr:to>
          <xdr:col>2</xdr:col>
          <xdr:colOff>723900</xdr:colOff>
          <xdr:row>90</xdr:row>
          <xdr:rowOff>9525</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C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91</xdr:row>
          <xdr:rowOff>9525</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C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190500</xdr:rowOff>
        </xdr:from>
        <xdr:to>
          <xdr:col>2</xdr:col>
          <xdr:colOff>723900</xdr:colOff>
          <xdr:row>92</xdr:row>
          <xdr:rowOff>9525</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C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190500</xdr:rowOff>
        </xdr:from>
        <xdr:to>
          <xdr:col>2</xdr:col>
          <xdr:colOff>723900</xdr:colOff>
          <xdr:row>93</xdr:row>
          <xdr:rowOff>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C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92</xdr:row>
          <xdr:rowOff>190500</xdr:rowOff>
        </xdr:from>
        <xdr:to>
          <xdr:col>2</xdr:col>
          <xdr:colOff>723900</xdr:colOff>
          <xdr:row>93</xdr:row>
          <xdr:rowOff>200025</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C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180975</xdr:rowOff>
        </xdr:from>
        <xdr:to>
          <xdr:col>2</xdr:col>
          <xdr:colOff>723900</xdr:colOff>
          <xdr:row>94</xdr:row>
          <xdr:rowOff>190500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C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94</xdr:row>
          <xdr:rowOff>171450</xdr:rowOff>
        </xdr:from>
        <xdr:to>
          <xdr:col>2</xdr:col>
          <xdr:colOff>723900</xdr:colOff>
          <xdr:row>96</xdr:row>
          <xdr:rowOff>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C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190500</xdr:rowOff>
        </xdr:from>
        <xdr:to>
          <xdr:col>2</xdr:col>
          <xdr:colOff>723900</xdr:colOff>
          <xdr:row>98</xdr:row>
          <xdr:rowOff>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C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97</xdr:row>
          <xdr:rowOff>180975</xdr:rowOff>
        </xdr:from>
        <xdr:to>
          <xdr:col>2</xdr:col>
          <xdr:colOff>723900</xdr:colOff>
          <xdr:row>99</xdr:row>
          <xdr:rowOff>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C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98</xdr:row>
          <xdr:rowOff>180975</xdr:rowOff>
        </xdr:from>
        <xdr:to>
          <xdr:col>2</xdr:col>
          <xdr:colOff>723900</xdr:colOff>
          <xdr:row>100</xdr:row>
          <xdr:rowOff>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C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99</xdr:row>
          <xdr:rowOff>180975</xdr:rowOff>
        </xdr:from>
        <xdr:to>
          <xdr:col>2</xdr:col>
          <xdr:colOff>723900</xdr:colOff>
          <xdr:row>101</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C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47</xdr:row>
      <xdr:rowOff>121226</xdr:rowOff>
    </xdr:from>
    <xdr:to>
      <xdr:col>9</xdr:col>
      <xdr:colOff>523636</xdr:colOff>
      <xdr:row>122</xdr:row>
      <xdr:rowOff>88499</xdr:rowOff>
    </xdr:to>
    <xdr:sp macro="" textlink="">
      <xdr:nvSpPr>
        <xdr:cNvPr id="7" name="Rechteck 6">
          <a:extLst>
            <a:ext uri="{FF2B5EF4-FFF2-40B4-BE49-F238E27FC236}">
              <a16:creationId xmlns:a16="http://schemas.microsoft.com/office/drawing/2014/main" id="{00000000-0008-0000-0C00-000007000000}"/>
            </a:ext>
          </a:extLst>
        </xdr:cNvPr>
        <xdr:cNvSpPr/>
      </xdr:nvSpPr>
      <xdr:spPr bwMode="auto">
        <a:xfrm>
          <a:off x="8330911" y="5207576"/>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47</xdr:row>
      <xdr:rowOff>117762</xdr:rowOff>
    </xdr:from>
    <xdr:to>
      <xdr:col>17</xdr:col>
      <xdr:colOff>295035</xdr:colOff>
      <xdr:row>122</xdr:row>
      <xdr:rowOff>85035</xdr:rowOff>
    </xdr:to>
    <xdr:sp macro="" textlink="">
      <xdr:nvSpPr>
        <xdr:cNvPr id="8" name="Rechteck 7">
          <a:extLst>
            <a:ext uri="{FF2B5EF4-FFF2-40B4-BE49-F238E27FC236}">
              <a16:creationId xmlns:a16="http://schemas.microsoft.com/office/drawing/2014/main" id="{00000000-0008-0000-0C00-000008000000}"/>
            </a:ext>
          </a:extLst>
        </xdr:cNvPr>
        <xdr:cNvSpPr/>
      </xdr:nvSpPr>
      <xdr:spPr bwMode="auto">
        <a:xfrm>
          <a:off x="16655760" y="5204112"/>
          <a:ext cx="108000" cy="13311798"/>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35</xdr:row>
      <xdr:rowOff>142875</xdr:rowOff>
    </xdr:from>
    <xdr:to>
      <xdr:col>11</xdr:col>
      <xdr:colOff>3061800</xdr:colOff>
      <xdr:row>35</xdr:row>
      <xdr:rowOff>142875</xdr:rowOff>
    </xdr:to>
    <xdr:cxnSp macro="">
      <xdr:nvCxnSpPr>
        <xdr:cNvPr id="9" name="Gerader Verbinder 8">
          <a:extLst>
            <a:ext uri="{FF2B5EF4-FFF2-40B4-BE49-F238E27FC236}">
              <a16:creationId xmlns:a16="http://schemas.microsoft.com/office/drawing/2014/main" id="{00000000-0008-0000-0C00-000009000000}"/>
            </a:ext>
          </a:extLst>
        </xdr:cNvPr>
        <xdr:cNvCxnSpPr/>
      </xdr:nvCxnSpPr>
      <xdr:spPr bwMode="auto">
        <a:xfrm>
          <a:off x="1228725" y="599122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30</xdr:row>
      <xdr:rowOff>133353</xdr:rowOff>
    </xdr:from>
    <xdr:to>
      <xdr:col>11</xdr:col>
      <xdr:colOff>3061800</xdr:colOff>
      <xdr:row>30</xdr:row>
      <xdr:rowOff>133353</xdr:rowOff>
    </xdr:to>
    <xdr:cxnSp macro="">
      <xdr:nvCxnSpPr>
        <xdr:cNvPr id="12" name="Gerader Verbinder 11">
          <a:extLst>
            <a:ext uri="{FF2B5EF4-FFF2-40B4-BE49-F238E27FC236}">
              <a16:creationId xmlns:a16="http://schemas.microsoft.com/office/drawing/2014/main" id="{00000000-0008-0000-0C00-00000C000000}"/>
            </a:ext>
          </a:extLst>
        </xdr:cNvPr>
        <xdr:cNvCxnSpPr/>
      </xdr:nvCxnSpPr>
      <xdr:spPr bwMode="auto">
        <a:xfrm>
          <a:off x="1228725" y="511492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683561</xdr:colOff>
      <xdr:row>124</xdr:row>
      <xdr:rowOff>67238</xdr:rowOff>
    </xdr:from>
    <xdr:to>
      <xdr:col>8</xdr:col>
      <xdr:colOff>662453</xdr:colOff>
      <xdr:row>145</xdr:row>
      <xdr:rowOff>124200</xdr:rowOff>
    </xdr:to>
    <xdr:graphicFrame macro="">
      <xdr:nvGraphicFramePr>
        <xdr:cNvPr id="14" name="Diagramm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54</xdr:row>
      <xdr:rowOff>152400</xdr:rowOff>
    </xdr:from>
    <xdr:to>
      <xdr:col>8</xdr:col>
      <xdr:colOff>180890</xdr:colOff>
      <xdr:row>83</xdr:row>
      <xdr:rowOff>82597</xdr:rowOff>
    </xdr:to>
    <xdr:graphicFrame macro="">
      <xdr:nvGraphicFramePr>
        <xdr:cNvPr id="15" name="Diagramm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95</xdr:row>
          <xdr:rowOff>180975</xdr:rowOff>
        </xdr:from>
        <xdr:to>
          <xdr:col>2</xdr:col>
          <xdr:colOff>723900</xdr:colOff>
          <xdr:row>97</xdr:row>
          <xdr:rowOff>9525</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C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93</xdr:row>
      <xdr:rowOff>134472</xdr:rowOff>
    </xdr:from>
    <xdr:to>
      <xdr:col>10</xdr:col>
      <xdr:colOff>750314</xdr:colOff>
      <xdr:row>107</xdr:row>
      <xdr:rowOff>124625</xdr:rowOff>
    </xdr:to>
    <xdr:sp macro="" textlink="">
      <xdr:nvSpPr>
        <xdr:cNvPr id="2" name="Rechteck 1">
          <a:extLst>
            <a:ext uri="{FF2B5EF4-FFF2-40B4-BE49-F238E27FC236}">
              <a16:creationId xmlns:a16="http://schemas.microsoft.com/office/drawing/2014/main" id="{00000000-0008-0000-0C00-000002000000}"/>
            </a:ext>
          </a:extLst>
        </xdr:cNvPr>
        <xdr:cNvSpPr/>
      </xdr:nvSpPr>
      <xdr:spPr bwMode="auto">
        <a:xfrm>
          <a:off x="8606117" y="14859001"/>
          <a:ext cx="873579" cy="2870065"/>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925607</xdr:colOff>
      <xdr:row>19</xdr:row>
      <xdr:rowOff>2801</xdr:rowOff>
    </xdr:from>
    <xdr:to>
      <xdr:col>11</xdr:col>
      <xdr:colOff>2977607</xdr:colOff>
      <xdr:row>20</xdr:row>
      <xdr:rowOff>4208</xdr:rowOff>
    </xdr:to>
    <xdr:sp macro="" textlink="" fLocksText="0">
      <xdr:nvSpPr>
        <xdr:cNvPr id="5" name="Rechteck 4">
          <a:extLst>
            <a:ext uri="{FF2B5EF4-FFF2-40B4-BE49-F238E27FC236}">
              <a16:creationId xmlns:a16="http://schemas.microsoft.com/office/drawing/2014/main" id="{00000000-0008-0000-0C00-000005000000}"/>
            </a:ext>
          </a:extLst>
        </xdr:cNvPr>
        <xdr:cNvSpPr/>
      </xdr:nvSpPr>
      <xdr:spPr bwMode="auto">
        <a:xfrm>
          <a:off x="10688732" y="3250826"/>
          <a:ext cx="2052000" cy="182382"/>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909918</xdr:colOff>
      <xdr:row>11</xdr:row>
      <xdr:rowOff>100854</xdr:rowOff>
    </xdr:from>
    <xdr:to>
      <xdr:col>11</xdr:col>
      <xdr:colOff>2949389</xdr:colOff>
      <xdr:row>15</xdr:row>
      <xdr:rowOff>11207</xdr:rowOff>
    </xdr:to>
    <xdr:sp macro="" textlink="">
      <xdr:nvSpPr>
        <xdr:cNvPr id="6" name="Rechteck 5">
          <a:extLst>
            <a:ext uri="{FF2B5EF4-FFF2-40B4-BE49-F238E27FC236}">
              <a16:creationId xmlns:a16="http://schemas.microsoft.com/office/drawing/2014/main" id="{00000000-0008-0000-0C00-000006000000}"/>
            </a:ext>
          </a:extLst>
        </xdr:cNvPr>
        <xdr:cNvSpPr/>
      </xdr:nvSpPr>
      <xdr:spPr bwMode="auto">
        <a:xfrm>
          <a:off x="10434918" y="1961030"/>
          <a:ext cx="2039471" cy="582706"/>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925607</xdr:colOff>
      <xdr:row>24</xdr:row>
      <xdr:rowOff>163758</xdr:rowOff>
    </xdr:from>
    <xdr:to>
      <xdr:col>11</xdr:col>
      <xdr:colOff>2977607</xdr:colOff>
      <xdr:row>26</xdr:row>
      <xdr:rowOff>1194</xdr:rowOff>
    </xdr:to>
    <xdr:sp macro="" textlink="" fLocksText="0">
      <xdr:nvSpPr>
        <xdr:cNvPr id="13" name="Rechteck 12">
          <a:extLst>
            <a:ext uri="{FF2B5EF4-FFF2-40B4-BE49-F238E27FC236}">
              <a16:creationId xmlns:a16="http://schemas.microsoft.com/office/drawing/2014/main" id="{00000000-0008-0000-0C00-00000D000000}"/>
            </a:ext>
          </a:extLst>
        </xdr:cNvPr>
        <xdr:cNvSpPr/>
      </xdr:nvSpPr>
      <xdr:spPr bwMode="auto">
        <a:xfrm>
          <a:off x="10694447" y="4137588"/>
          <a:ext cx="2052000" cy="165096"/>
        </a:xfrm>
        <a:prstGeom prst="rect">
          <a:avLst/>
        </a:prstGeom>
        <a:solidFill>
          <a:schemeClr val="accent3">
            <a:lumMod val="20000"/>
            <a:lumOff val="80000"/>
          </a:schemeClr>
        </a:solidFill>
        <a:ln w="3175">
          <a:solidFill>
            <a:sysClr val="windowText" lastClr="000000"/>
          </a:solidFill>
        </a:ln>
        <a:effectLst/>
      </xdr:spPr>
      <xdr:txBody>
        <a:bodyPr vert="horz" wrap="square" lIns="91440" tIns="72000" rIns="91440" bIns="5400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925607</xdr:colOff>
      <xdr:row>26</xdr:row>
      <xdr:rowOff>769</xdr:rowOff>
    </xdr:from>
    <xdr:to>
      <xdr:col>11</xdr:col>
      <xdr:colOff>2977607</xdr:colOff>
      <xdr:row>27</xdr:row>
      <xdr:rowOff>2035</xdr:rowOff>
    </xdr:to>
    <xdr:sp macro="" textlink="" fLocksText="0">
      <xdr:nvSpPr>
        <xdr:cNvPr id="16" name="Rechteck 15">
          <a:extLst>
            <a:ext uri="{FF2B5EF4-FFF2-40B4-BE49-F238E27FC236}">
              <a16:creationId xmlns:a16="http://schemas.microsoft.com/office/drawing/2014/main" id="{00000000-0008-0000-0C00-000010000000}"/>
            </a:ext>
          </a:extLst>
        </xdr:cNvPr>
        <xdr:cNvSpPr/>
      </xdr:nvSpPr>
      <xdr:spPr bwMode="auto">
        <a:xfrm>
          <a:off x="10694685" y="4221535"/>
          <a:ext cx="2052000" cy="162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925607</xdr:colOff>
      <xdr:row>27</xdr:row>
      <xdr:rowOff>148267</xdr:rowOff>
    </xdr:from>
    <xdr:to>
      <xdr:col>11</xdr:col>
      <xdr:colOff>2977607</xdr:colOff>
      <xdr:row>29</xdr:row>
      <xdr:rowOff>1126</xdr:rowOff>
    </xdr:to>
    <xdr:sp macro="" textlink="" fLocksText="0">
      <xdr:nvSpPr>
        <xdr:cNvPr id="17" name="Rechteck 16">
          <a:extLst>
            <a:ext uri="{FF2B5EF4-FFF2-40B4-BE49-F238E27FC236}">
              <a16:creationId xmlns:a16="http://schemas.microsoft.com/office/drawing/2014/main" id="{00000000-0008-0000-0C00-000011000000}"/>
            </a:ext>
          </a:extLst>
        </xdr:cNvPr>
        <xdr:cNvSpPr/>
      </xdr:nvSpPr>
      <xdr:spPr bwMode="auto">
        <a:xfrm>
          <a:off x="10694685" y="4529767"/>
          <a:ext cx="2052000" cy="216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925607</xdr:colOff>
      <xdr:row>28</xdr:row>
      <xdr:rowOff>199464</xdr:rowOff>
    </xdr:from>
    <xdr:to>
      <xdr:col>11</xdr:col>
      <xdr:colOff>2977607</xdr:colOff>
      <xdr:row>30</xdr:row>
      <xdr:rowOff>10651</xdr:rowOff>
    </xdr:to>
    <xdr:sp macro="" textlink="" fLocksText="0">
      <xdr:nvSpPr>
        <xdr:cNvPr id="18" name="Rechteck 17">
          <a:extLst>
            <a:ext uri="{FF2B5EF4-FFF2-40B4-BE49-F238E27FC236}">
              <a16:creationId xmlns:a16="http://schemas.microsoft.com/office/drawing/2014/main" id="{00000000-0008-0000-0C00-000012000000}"/>
            </a:ext>
          </a:extLst>
        </xdr:cNvPr>
        <xdr:cNvSpPr/>
      </xdr:nvSpPr>
      <xdr:spPr bwMode="auto">
        <a:xfrm>
          <a:off x="10694685" y="4741698"/>
          <a:ext cx="2052000" cy="216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oneCellAnchor>
    <xdr:from>
      <xdr:col>11</xdr:col>
      <xdr:colOff>937932</xdr:colOff>
      <xdr:row>15</xdr:row>
      <xdr:rowOff>94691</xdr:rowOff>
    </xdr:from>
    <xdr:ext cx="5024718" cy="514909"/>
    <xdr:sp macro="" textlink="$D$149">
      <xdr:nvSpPr>
        <xdr:cNvPr id="19" name="Textfeld 18">
          <a:extLst>
            <a:ext uri="{FF2B5EF4-FFF2-40B4-BE49-F238E27FC236}">
              <a16:creationId xmlns:a16="http://schemas.microsoft.com/office/drawing/2014/main" id="{00000000-0008-0000-0C00-000013000000}"/>
            </a:ext>
          </a:extLst>
        </xdr:cNvPr>
        <xdr:cNvSpPr txBox="1"/>
      </xdr:nvSpPr>
      <xdr:spPr>
        <a:xfrm>
          <a:off x="10701057" y="4466666"/>
          <a:ext cx="5024718" cy="514909"/>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oneCellAnchor>
    <xdr:from>
      <xdr:col>11</xdr:col>
      <xdr:colOff>925605</xdr:colOff>
      <xdr:row>21</xdr:row>
      <xdr:rowOff>27456</xdr:rowOff>
    </xdr:from>
    <xdr:ext cx="5084670" cy="477370"/>
    <xdr:sp macro="" textlink="$D$150">
      <xdr:nvSpPr>
        <xdr:cNvPr id="20" name="Textfeld 19">
          <a:extLst>
            <a:ext uri="{FF2B5EF4-FFF2-40B4-BE49-F238E27FC236}">
              <a16:creationId xmlns:a16="http://schemas.microsoft.com/office/drawing/2014/main" id="{00000000-0008-0000-0C00-000014000000}"/>
            </a:ext>
          </a:extLst>
        </xdr:cNvPr>
        <xdr:cNvSpPr txBox="1"/>
      </xdr:nvSpPr>
      <xdr:spPr>
        <a:xfrm>
          <a:off x="10688730" y="5390031"/>
          <a:ext cx="5084670" cy="477370"/>
        </a:xfrm>
        <a:prstGeom prst="rect">
          <a:avLst/>
        </a:prstGeom>
        <a:noFill/>
        <a:ln>
          <a:noFill/>
        </a:ln>
      </xdr:spPr>
      <xdr:txBody>
        <a:bodyPr vertOverflow="clip" horzOverflow="clip" wrap="square" lIns="0" tIns="0" rIns="0" bIns="0" rtlCol="0" anchor="t">
          <a:noAutofit/>
        </a:bodyPr>
        <a:lstStyle/>
        <a:p>
          <a:pPr algn="l"/>
          <a:fld id="{6247BF3D-C33F-4275-B2AA-F25D602509B0}"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wsDr>
</file>

<file path=xl/drawings/drawing34.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7 Rezeptur, Einsatzmenge'!$N$9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380477C-7707-4B9E-B81E-4A2F6B311F2D}" type="TxLink">
            <a:rPr lang="en-US" sz="1000" b="1" i="0" u="none" strike="noStrike" dirty="0" err="1">
              <a:solidFill>
                <a:srgbClr val="323232"/>
              </a:solidFill>
              <a:latin typeface="Arial"/>
              <a:cs typeface="Arial"/>
            </a:rPr>
            <a:pPr/>
            <a:t>5.955</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7 Rezeptur, Einsatzmenge'!$O$93">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5.748</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7 Rezeptur, Einsatzmenge'!$M$93">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FA31DEF-89D9-43ED-818A-5237D8469971}"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5.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7 Rezeptur, Einsatzmenge'!$U$144">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7 Rezeptur, Einsatzmenge'!$V$144">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377.649 €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7 Rezeptur, Einsatzmenge'!$W$144">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569.546 €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6.xml><?xml version="1.0" encoding="utf-8"?>
<c:userShapes xmlns:c="http://schemas.openxmlformats.org/drawingml/2006/chart">
  <cdr:relSizeAnchor xmlns:cdr="http://schemas.openxmlformats.org/drawingml/2006/chartDrawing">
    <cdr:from>
      <cdr:x>0.23302</cdr:x>
      <cdr:y>0</cdr:y>
    </cdr:from>
    <cdr:to>
      <cdr:x>0.32481</cdr:x>
      <cdr:y>1</cdr:y>
    </cdr:to>
    <cdr:sp macro="" textlink="'M7 Rezeptur, Einsatzmenge'!$E$136">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7929" y="0"/>
          <a:ext cx="63338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7 Rezeptur, Einsatzmenge'!$F$136">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94759" y="0"/>
          <a:ext cx="63338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219,8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7 Rezeptur, Einsatzmenge'!$G$136">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38876" y="0"/>
          <a:ext cx="63331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156,5</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7.xml><?xml version="1.0" encoding="utf-8"?>
<c:userShapes xmlns:c="http://schemas.openxmlformats.org/drawingml/2006/chart">
  <cdr:relSizeAnchor xmlns:cdr="http://schemas.openxmlformats.org/drawingml/2006/chartDrawing">
    <cdr:from>
      <cdr:x>0.26001</cdr:x>
      <cdr:y>0</cdr:y>
    </cdr:from>
    <cdr:to>
      <cdr:x>0.35189</cdr:x>
      <cdr:y>0.05347</cdr:y>
    </cdr:to>
    <cdr:sp macro="" textlink="'M7 Rezeptur, Einsatzmenge'!$M$14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0.05347</cdr:y>
    </cdr:to>
    <cdr:sp macro="" textlink="'M7 Rezeptur, Einsatzmenge'!$N$14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5.594</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0.05347</cdr:y>
    </cdr:to>
    <cdr:sp macro="" textlink="'M7 Rezeptur, Einsatzmenge'!$O$14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5.451</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38.xml><?xml version="1.0" encoding="utf-8"?>
<xdr:wsDr xmlns:xdr="http://schemas.openxmlformats.org/drawingml/2006/spreadsheetDrawing" xmlns:a="http://schemas.openxmlformats.org/drawingml/2006/main">
  <xdr:twoCellAnchor>
    <xdr:from>
      <xdr:col>10</xdr:col>
      <xdr:colOff>799740</xdr:colOff>
      <xdr:row>54</xdr:row>
      <xdr:rowOff>33094</xdr:rowOff>
    </xdr:from>
    <xdr:to>
      <xdr:col>15</xdr:col>
      <xdr:colOff>778217</xdr:colOff>
      <xdr:row>77</xdr:row>
      <xdr:rowOff>57523</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95</xdr:row>
          <xdr:rowOff>28575</xdr:rowOff>
        </xdr:from>
        <xdr:to>
          <xdr:col>10</xdr:col>
          <xdr:colOff>704850</xdr:colOff>
          <xdr:row>95</xdr:row>
          <xdr:rowOff>190500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D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96</xdr:row>
          <xdr:rowOff>28575</xdr:rowOff>
        </xdr:from>
        <xdr:to>
          <xdr:col>10</xdr:col>
          <xdr:colOff>704850</xdr:colOff>
          <xdr:row>96</xdr:row>
          <xdr:rowOff>190500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D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97</xdr:row>
          <xdr:rowOff>28575</xdr:rowOff>
        </xdr:from>
        <xdr:to>
          <xdr:col>10</xdr:col>
          <xdr:colOff>704850</xdr:colOff>
          <xdr:row>97</xdr:row>
          <xdr:rowOff>180975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D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98</xdr:row>
          <xdr:rowOff>19050</xdr:rowOff>
        </xdr:from>
        <xdr:to>
          <xdr:col>10</xdr:col>
          <xdr:colOff>704850</xdr:colOff>
          <xdr:row>98</xdr:row>
          <xdr:rowOff>190500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D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19050</xdr:rowOff>
        </xdr:from>
        <xdr:to>
          <xdr:col>10</xdr:col>
          <xdr:colOff>704850</xdr:colOff>
          <xdr:row>99</xdr:row>
          <xdr:rowOff>180975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D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0</xdr:rowOff>
        </xdr:from>
        <xdr:to>
          <xdr:col>10</xdr:col>
          <xdr:colOff>704850</xdr:colOff>
          <xdr:row>100</xdr:row>
          <xdr:rowOff>180975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D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9525</xdr:rowOff>
        </xdr:from>
        <xdr:to>
          <xdr:col>10</xdr:col>
          <xdr:colOff>704850</xdr:colOff>
          <xdr:row>101</xdr:row>
          <xdr:rowOff>190500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D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50</xdr:row>
      <xdr:rowOff>117663</xdr:rowOff>
    </xdr:from>
    <xdr:to>
      <xdr:col>25</xdr:col>
      <xdr:colOff>445249</xdr:colOff>
      <xdr:row>77</xdr:row>
      <xdr:rowOff>28948</xdr:rowOff>
    </xdr:to>
    <xdr:graphicFrame macro="">
      <xdr:nvGraphicFramePr>
        <xdr:cNvPr id="3" name="Diagram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97</xdr:row>
          <xdr:rowOff>0</xdr:rowOff>
        </xdr:from>
        <xdr:to>
          <xdr:col>18</xdr:col>
          <xdr:colOff>676275</xdr:colOff>
          <xdr:row>97</xdr:row>
          <xdr:rowOff>180975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D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98</xdr:row>
          <xdr:rowOff>19050</xdr:rowOff>
        </xdr:from>
        <xdr:to>
          <xdr:col>19</xdr:col>
          <xdr:colOff>0</xdr:colOff>
          <xdr:row>98</xdr:row>
          <xdr:rowOff>200025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D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99</xdr:row>
          <xdr:rowOff>19050</xdr:rowOff>
        </xdr:from>
        <xdr:to>
          <xdr:col>19</xdr:col>
          <xdr:colOff>0</xdr:colOff>
          <xdr:row>99</xdr:row>
          <xdr:rowOff>200025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D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100</xdr:row>
          <xdr:rowOff>9525</xdr:rowOff>
        </xdr:from>
        <xdr:to>
          <xdr:col>19</xdr:col>
          <xdr:colOff>0</xdr:colOff>
          <xdr:row>100</xdr:row>
          <xdr:rowOff>190500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D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95</xdr:row>
          <xdr:rowOff>9525</xdr:rowOff>
        </xdr:from>
        <xdr:to>
          <xdr:col>18</xdr:col>
          <xdr:colOff>676275</xdr:colOff>
          <xdr:row>96</xdr:row>
          <xdr:rowOff>9525</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D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94</xdr:row>
          <xdr:rowOff>0</xdr:rowOff>
        </xdr:from>
        <xdr:to>
          <xdr:col>18</xdr:col>
          <xdr:colOff>676275</xdr:colOff>
          <xdr:row>94</xdr:row>
          <xdr:rowOff>180975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D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96</xdr:row>
          <xdr:rowOff>9525</xdr:rowOff>
        </xdr:from>
        <xdr:to>
          <xdr:col>18</xdr:col>
          <xdr:colOff>676275</xdr:colOff>
          <xdr:row>97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D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85</xdr:row>
          <xdr:rowOff>152400</xdr:rowOff>
        </xdr:from>
        <xdr:to>
          <xdr:col>2</xdr:col>
          <xdr:colOff>723900</xdr:colOff>
          <xdr:row>87</xdr:row>
          <xdr:rowOff>9525</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D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86</xdr:row>
          <xdr:rowOff>190500</xdr:rowOff>
        </xdr:from>
        <xdr:to>
          <xdr:col>2</xdr:col>
          <xdr:colOff>723900</xdr:colOff>
          <xdr:row>88</xdr:row>
          <xdr:rowOff>9525</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D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87</xdr:row>
          <xdr:rowOff>190500</xdr:rowOff>
        </xdr:from>
        <xdr:to>
          <xdr:col>2</xdr:col>
          <xdr:colOff>723900</xdr:colOff>
          <xdr:row>89</xdr:row>
          <xdr:rowOff>9525</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D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190500</xdr:rowOff>
        </xdr:from>
        <xdr:to>
          <xdr:col>2</xdr:col>
          <xdr:colOff>723900</xdr:colOff>
          <xdr:row>90</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D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90</xdr:row>
          <xdr:rowOff>200025</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D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180975</xdr:rowOff>
        </xdr:from>
        <xdr:to>
          <xdr:col>2</xdr:col>
          <xdr:colOff>723900</xdr:colOff>
          <xdr:row>91</xdr:row>
          <xdr:rowOff>190500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D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171450</xdr:rowOff>
        </xdr:from>
        <xdr:to>
          <xdr:col>2</xdr:col>
          <xdr:colOff>723900</xdr:colOff>
          <xdr:row>93</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D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190500</xdr:rowOff>
        </xdr:from>
        <xdr:to>
          <xdr:col>2</xdr:col>
          <xdr:colOff>723900</xdr:colOff>
          <xdr:row>95</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D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94</xdr:row>
          <xdr:rowOff>180975</xdr:rowOff>
        </xdr:from>
        <xdr:to>
          <xdr:col>2</xdr:col>
          <xdr:colOff>723900</xdr:colOff>
          <xdr:row>96</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D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95</xdr:row>
          <xdr:rowOff>180975</xdr:rowOff>
        </xdr:from>
        <xdr:to>
          <xdr:col>2</xdr:col>
          <xdr:colOff>723900</xdr:colOff>
          <xdr:row>97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D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180975</xdr:rowOff>
        </xdr:from>
        <xdr:to>
          <xdr:col>2</xdr:col>
          <xdr:colOff>723900</xdr:colOff>
          <xdr:row>98</xdr:row>
          <xdr:rowOff>9525</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D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44</xdr:row>
      <xdr:rowOff>121226</xdr:rowOff>
    </xdr:from>
    <xdr:to>
      <xdr:col>9</xdr:col>
      <xdr:colOff>523636</xdr:colOff>
      <xdr:row>119</xdr:row>
      <xdr:rowOff>88499</xdr:rowOff>
    </xdr:to>
    <xdr:sp macro="" textlink="">
      <xdr:nvSpPr>
        <xdr:cNvPr id="4" name="Rechteck 3">
          <a:extLst>
            <a:ext uri="{FF2B5EF4-FFF2-40B4-BE49-F238E27FC236}">
              <a16:creationId xmlns:a16="http://schemas.microsoft.com/office/drawing/2014/main" id="{00000000-0008-0000-0D00-000004000000}"/>
            </a:ext>
          </a:extLst>
        </xdr:cNvPr>
        <xdr:cNvSpPr/>
      </xdr:nvSpPr>
      <xdr:spPr bwMode="auto">
        <a:xfrm>
          <a:off x="8483311" y="7960301"/>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44</xdr:row>
      <xdr:rowOff>117762</xdr:rowOff>
    </xdr:from>
    <xdr:to>
      <xdr:col>17</xdr:col>
      <xdr:colOff>295035</xdr:colOff>
      <xdr:row>119</xdr:row>
      <xdr:rowOff>85035</xdr:rowOff>
    </xdr:to>
    <xdr:sp macro="" textlink="">
      <xdr:nvSpPr>
        <xdr:cNvPr id="5" name="Rechteck 4">
          <a:extLst>
            <a:ext uri="{FF2B5EF4-FFF2-40B4-BE49-F238E27FC236}">
              <a16:creationId xmlns:a16="http://schemas.microsoft.com/office/drawing/2014/main" id="{00000000-0008-0000-0D00-000005000000}"/>
            </a:ext>
          </a:extLst>
        </xdr:cNvPr>
        <xdr:cNvSpPr/>
      </xdr:nvSpPr>
      <xdr:spPr bwMode="auto">
        <a:xfrm>
          <a:off x="16808160" y="7956837"/>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32</xdr:row>
      <xdr:rowOff>142875</xdr:rowOff>
    </xdr:from>
    <xdr:to>
      <xdr:col>11</xdr:col>
      <xdr:colOff>3061800</xdr:colOff>
      <xdr:row>32</xdr:row>
      <xdr:rowOff>142875</xdr:rowOff>
    </xdr:to>
    <xdr:cxnSp macro="">
      <xdr:nvCxnSpPr>
        <xdr:cNvPr id="6" name="Gerader Verbinder 5">
          <a:extLst>
            <a:ext uri="{FF2B5EF4-FFF2-40B4-BE49-F238E27FC236}">
              <a16:creationId xmlns:a16="http://schemas.microsoft.com/office/drawing/2014/main" id="{00000000-0008-0000-0D00-000006000000}"/>
            </a:ext>
          </a:extLst>
        </xdr:cNvPr>
        <xdr:cNvCxnSpPr/>
      </xdr:nvCxnSpPr>
      <xdr:spPr bwMode="auto">
        <a:xfrm>
          <a:off x="1228725" y="566737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27</xdr:row>
      <xdr:rowOff>133353</xdr:rowOff>
    </xdr:from>
    <xdr:to>
      <xdr:col>11</xdr:col>
      <xdr:colOff>3061800</xdr:colOff>
      <xdr:row>27</xdr:row>
      <xdr:rowOff>133353</xdr:rowOff>
    </xdr:to>
    <xdr:cxnSp macro="">
      <xdr:nvCxnSpPr>
        <xdr:cNvPr id="9" name="Gerader Verbinder 8">
          <a:extLst>
            <a:ext uri="{FF2B5EF4-FFF2-40B4-BE49-F238E27FC236}">
              <a16:creationId xmlns:a16="http://schemas.microsoft.com/office/drawing/2014/main" id="{00000000-0008-0000-0D00-000009000000}"/>
            </a:ext>
          </a:extLst>
        </xdr:cNvPr>
        <xdr:cNvCxnSpPr/>
      </xdr:nvCxnSpPr>
      <xdr:spPr bwMode="auto">
        <a:xfrm>
          <a:off x="1228725" y="479107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620247</xdr:colOff>
      <xdr:row>121</xdr:row>
      <xdr:rowOff>126068</xdr:rowOff>
    </xdr:from>
    <xdr:to>
      <xdr:col>8</xdr:col>
      <xdr:colOff>601381</xdr:colOff>
      <xdr:row>143</xdr:row>
      <xdr:rowOff>21106</xdr:rowOff>
    </xdr:to>
    <xdr:graphicFrame macro="">
      <xdr:nvGraphicFramePr>
        <xdr:cNvPr id="10" name="Diagramm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51</xdr:row>
      <xdr:rowOff>152400</xdr:rowOff>
    </xdr:from>
    <xdr:to>
      <xdr:col>8</xdr:col>
      <xdr:colOff>180890</xdr:colOff>
      <xdr:row>80</xdr:row>
      <xdr:rowOff>82597</xdr:rowOff>
    </xdr:to>
    <xdr:graphicFrame macro="">
      <xdr:nvGraphicFramePr>
        <xdr:cNvPr id="11" name="Diagramm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92</xdr:row>
          <xdr:rowOff>180975</xdr:rowOff>
        </xdr:from>
        <xdr:to>
          <xdr:col>2</xdr:col>
          <xdr:colOff>723900</xdr:colOff>
          <xdr:row>94</xdr:row>
          <xdr:rowOff>9525</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D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90</xdr:row>
      <xdr:rowOff>134472</xdr:rowOff>
    </xdr:from>
    <xdr:to>
      <xdr:col>10</xdr:col>
      <xdr:colOff>750314</xdr:colOff>
      <xdr:row>104</xdr:row>
      <xdr:rowOff>124625</xdr:rowOff>
    </xdr:to>
    <xdr:sp macro="" textlink="">
      <xdr:nvSpPr>
        <xdr:cNvPr id="12" name="Rechteck 11">
          <a:extLst>
            <a:ext uri="{FF2B5EF4-FFF2-40B4-BE49-F238E27FC236}">
              <a16:creationId xmlns:a16="http://schemas.microsoft.com/office/drawing/2014/main" id="{00000000-0008-0000-0D00-00000C000000}"/>
            </a:ext>
          </a:extLst>
        </xdr:cNvPr>
        <xdr:cNvSpPr/>
      </xdr:nvSpPr>
      <xdr:spPr bwMode="auto">
        <a:xfrm>
          <a:off x="8762439" y="15764997"/>
          <a:ext cx="874700" cy="2838128"/>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909918</xdr:colOff>
      <xdr:row>11</xdr:row>
      <xdr:rowOff>100854</xdr:rowOff>
    </xdr:from>
    <xdr:to>
      <xdr:col>11</xdr:col>
      <xdr:colOff>2949389</xdr:colOff>
      <xdr:row>15</xdr:row>
      <xdr:rowOff>11207</xdr:rowOff>
    </xdr:to>
    <xdr:sp macro="" textlink="">
      <xdr:nvSpPr>
        <xdr:cNvPr id="14" name="Rechteck 13">
          <a:extLst>
            <a:ext uri="{FF2B5EF4-FFF2-40B4-BE49-F238E27FC236}">
              <a16:creationId xmlns:a16="http://schemas.microsoft.com/office/drawing/2014/main" id="{00000000-0008-0000-0D00-00000E000000}"/>
            </a:ext>
          </a:extLst>
        </xdr:cNvPr>
        <xdr:cNvSpPr/>
      </xdr:nvSpPr>
      <xdr:spPr bwMode="auto">
        <a:xfrm>
          <a:off x="10596843" y="2015379"/>
          <a:ext cx="2039471" cy="596153"/>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887507</xdr:colOff>
      <xdr:row>21</xdr:row>
      <xdr:rowOff>179614</xdr:rowOff>
    </xdr:from>
    <xdr:to>
      <xdr:col>11</xdr:col>
      <xdr:colOff>2939507</xdr:colOff>
      <xdr:row>23</xdr:row>
      <xdr:rowOff>4906</xdr:rowOff>
    </xdr:to>
    <xdr:sp macro="" textlink="" fLocksText="0">
      <xdr:nvSpPr>
        <xdr:cNvPr id="15" name="Rechteck 14">
          <a:extLst>
            <a:ext uri="{FF2B5EF4-FFF2-40B4-BE49-F238E27FC236}">
              <a16:creationId xmlns:a16="http://schemas.microsoft.com/office/drawing/2014/main" id="{00000000-0008-0000-0D00-00000F000000}"/>
            </a:ext>
          </a:extLst>
        </xdr:cNvPr>
        <xdr:cNvSpPr/>
      </xdr:nvSpPr>
      <xdr:spPr bwMode="auto">
        <a:xfrm>
          <a:off x="10581236" y="4936671"/>
          <a:ext cx="2052000" cy="168192"/>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23</xdr:row>
      <xdr:rowOff>6722</xdr:rowOff>
    </xdr:from>
    <xdr:to>
      <xdr:col>11</xdr:col>
      <xdr:colOff>2939507</xdr:colOff>
      <xdr:row>24</xdr:row>
      <xdr:rowOff>25988</xdr:rowOff>
    </xdr:to>
    <xdr:sp macro="" textlink="" fLocksText="0">
      <xdr:nvSpPr>
        <xdr:cNvPr id="16" name="Rechteck 15">
          <a:extLst>
            <a:ext uri="{FF2B5EF4-FFF2-40B4-BE49-F238E27FC236}">
              <a16:creationId xmlns:a16="http://schemas.microsoft.com/office/drawing/2014/main" id="{00000000-0008-0000-0D00-000010000000}"/>
            </a:ext>
          </a:extLst>
        </xdr:cNvPr>
        <xdr:cNvSpPr/>
      </xdr:nvSpPr>
      <xdr:spPr bwMode="auto">
        <a:xfrm>
          <a:off x="10574432" y="4264397"/>
          <a:ext cx="2052000" cy="18119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25</xdr:row>
      <xdr:rowOff>11345</xdr:rowOff>
    </xdr:from>
    <xdr:to>
      <xdr:col>11</xdr:col>
      <xdr:colOff>2939507</xdr:colOff>
      <xdr:row>25</xdr:row>
      <xdr:rowOff>191345</xdr:rowOff>
    </xdr:to>
    <xdr:sp macro="" textlink="" fLocksText="0">
      <xdr:nvSpPr>
        <xdr:cNvPr id="17" name="Rechteck 16">
          <a:extLst>
            <a:ext uri="{FF2B5EF4-FFF2-40B4-BE49-F238E27FC236}">
              <a16:creationId xmlns:a16="http://schemas.microsoft.com/office/drawing/2014/main" id="{00000000-0008-0000-0D00-000011000000}"/>
            </a:ext>
          </a:extLst>
        </xdr:cNvPr>
        <xdr:cNvSpPr/>
      </xdr:nvSpPr>
      <xdr:spPr bwMode="auto">
        <a:xfrm>
          <a:off x="10574432" y="4592870"/>
          <a:ext cx="2052000" cy="180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25</xdr:row>
      <xdr:rowOff>187558</xdr:rowOff>
    </xdr:from>
    <xdr:to>
      <xdr:col>11</xdr:col>
      <xdr:colOff>2939507</xdr:colOff>
      <xdr:row>26</xdr:row>
      <xdr:rowOff>165151</xdr:rowOff>
    </xdr:to>
    <xdr:sp macro="" textlink="" fLocksText="0">
      <xdr:nvSpPr>
        <xdr:cNvPr id="18" name="Rechteck 17">
          <a:extLst>
            <a:ext uri="{FF2B5EF4-FFF2-40B4-BE49-F238E27FC236}">
              <a16:creationId xmlns:a16="http://schemas.microsoft.com/office/drawing/2014/main" id="{00000000-0008-0000-0D00-000012000000}"/>
            </a:ext>
          </a:extLst>
        </xdr:cNvPr>
        <xdr:cNvSpPr/>
      </xdr:nvSpPr>
      <xdr:spPr bwMode="auto">
        <a:xfrm>
          <a:off x="10574432" y="4769083"/>
          <a:ext cx="2052000" cy="177618"/>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16</xdr:row>
      <xdr:rowOff>0</xdr:rowOff>
    </xdr:from>
    <xdr:to>
      <xdr:col>11</xdr:col>
      <xdr:colOff>2939507</xdr:colOff>
      <xdr:row>17</xdr:row>
      <xdr:rowOff>17735</xdr:rowOff>
    </xdr:to>
    <xdr:sp macro="" textlink="" fLocksText="0">
      <xdr:nvSpPr>
        <xdr:cNvPr id="19" name="Rechteck 18">
          <a:extLst>
            <a:ext uri="{FF2B5EF4-FFF2-40B4-BE49-F238E27FC236}">
              <a16:creationId xmlns:a16="http://schemas.microsoft.com/office/drawing/2014/main" id="{00000000-0008-0000-0D00-000013000000}"/>
            </a:ext>
          </a:extLst>
        </xdr:cNvPr>
        <xdr:cNvSpPr/>
      </xdr:nvSpPr>
      <xdr:spPr bwMode="auto">
        <a:xfrm>
          <a:off x="10581236" y="3924300"/>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17</xdr:row>
      <xdr:rowOff>0</xdr:rowOff>
    </xdr:from>
    <xdr:to>
      <xdr:col>11</xdr:col>
      <xdr:colOff>2939507</xdr:colOff>
      <xdr:row>18</xdr:row>
      <xdr:rowOff>17736</xdr:rowOff>
    </xdr:to>
    <xdr:sp macro="" textlink="" fLocksText="0">
      <xdr:nvSpPr>
        <xdr:cNvPr id="20" name="Rechteck 19">
          <a:extLst>
            <a:ext uri="{FF2B5EF4-FFF2-40B4-BE49-F238E27FC236}">
              <a16:creationId xmlns:a16="http://schemas.microsoft.com/office/drawing/2014/main" id="{00000000-0008-0000-0D00-000014000000}"/>
            </a:ext>
          </a:extLst>
        </xdr:cNvPr>
        <xdr:cNvSpPr/>
      </xdr:nvSpPr>
      <xdr:spPr bwMode="auto">
        <a:xfrm>
          <a:off x="10581236" y="4087586"/>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17</xdr:row>
      <xdr:rowOff>163285</xdr:rowOff>
    </xdr:from>
    <xdr:to>
      <xdr:col>11</xdr:col>
      <xdr:colOff>2939507</xdr:colOff>
      <xdr:row>19</xdr:row>
      <xdr:rowOff>17735</xdr:rowOff>
    </xdr:to>
    <xdr:sp macro="" textlink="" fLocksText="0">
      <xdr:nvSpPr>
        <xdr:cNvPr id="21" name="Rechteck 20">
          <a:extLst>
            <a:ext uri="{FF2B5EF4-FFF2-40B4-BE49-F238E27FC236}">
              <a16:creationId xmlns:a16="http://schemas.microsoft.com/office/drawing/2014/main" id="{00000000-0008-0000-0D00-000015000000}"/>
            </a:ext>
          </a:extLst>
        </xdr:cNvPr>
        <xdr:cNvSpPr/>
      </xdr:nvSpPr>
      <xdr:spPr bwMode="auto">
        <a:xfrm>
          <a:off x="10581236" y="4250871"/>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twoCellAnchor>
    <xdr:from>
      <xdr:col>11</xdr:col>
      <xdr:colOff>887507</xdr:colOff>
      <xdr:row>19</xdr:row>
      <xdr:rowOff>0</xdr:rowOff>
    </xdr:from>
    <xdr:to>
      <xdr:col>11</xdr:col>
      <xdr:colOff>2939507</xdr:colOff>
      <xdr:row>20</xdr:row>
      <xdr:rowOff>1407</xdr:rowOff>
    </xdr:to>
    <xdr:sp macro="" textlink="" fLocksText="0">
      <xdr:nvSpPr>
        <xdr:cNvPr id="22" name="Rechteck 21">
          <a:extLst>
            <a:ext uri="{FF2B5EF4-FFF2-40B4-BE49-F238E27FC236}">
              <a16:creationId xmlns:a16="http://schemas.microsoft.com/office/drawing/2014/main" id="{00000000-0008-0000-0D00-000016000000}"/>
            </a:ext>
          </a:extLst>
        </xdr:cNvPr>
        <xdr:cNvSpPr/>
      </xdr:nvSpPr>
      <xdr:spPr bwMode="auto">
        <a:xfrm>
          <a:off x="10581236" y="4414157"/>
          <a:ext cx="2052000" cy="18102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fLocksWithSheet="0"/>
  </xdr:twoCellAnchor>
  <xdr:oneCellAnchor>
    <xdr:from>
      <xdr:col>11</xdr:col>
      <xdr:colOff>3152776</xdr:colOff>
      <xdr:row>15</xdr:row>
      <xdr:rowOff>152400</xdr:rowOff>
    </xdr:from>
    <xdr:ext cx="2924174" cy="657225"/>
    <xdr:sp macro="" textlink="$D$148">
      <xdr:nvSpPr>
        <xdr:cNvPr id="23" name="Textfeld 22">
          <a:extLst>
            <a:ext uri="{FF2B5EF4-FFF2-40B4-BE49-F238E27FC236}">
              <a16:creationId xmlns:a16="http://schemas.microsoft.com/office/drawing/2014/main" id="{00000000-0008-0000-0D00-000017000000}"/>
            </a:ext>
          </a:extLst>
        </xdr:cNvPr>
        <xdr:cNvSpPr txBox="1"/>
      </xdr:nvSpPr>
      <xdr:spPr>
        <a:xfrm>
          <a:off x="12839701" y="4505325"/>
          <a:ext cx="2924174" cy="657225"/>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wsDr>
</file>

<file path=xl/drawings/drawing39.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8 Rezeptur, geringerer EF'!$N$9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7766C1-E1A2-48BE-891C-ADD23BEA6D94}" type="TxLink">
            <a:rPr lang="en-US" sz="1000" b="1" i="0" u="none" strike="noStrike" dirty="0" err="1">
              <a:solidFill>
                <a:srgbClr val="323232"/>
              </a:solidFill>
              <a:latin typeface="Arial"/>
              <a:cs typeface="Arial"/>
            </a:rPr>
            <a:pPr/>
            <a:t>5.817</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8 Rezeptur, geringerer EF'!$O$90">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5.517</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8 Rezeptur, geringerer EF'!$M$90">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14F70C3-F7DC-42C2-A3A8-AE9400D1CAB8}"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0.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8 Rezeptur, geringerer EF'!$U$141">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8 Rezeptur, geringerer EF'!$V$141">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371.436 €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8 Rezeptur, geringerer EF'!$W$141">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551.028 €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1.xml><?xml version="1.0" encoding="utf-8"?>
<c:userShapes xmlns:c="http://schemas.openxmlformats.org/drawingml/2006/chart">
  <cdr:relSizeAnchor xmlns:cdr="http://schemas.openxmlformats.org/drawingml/2006/chartDrawing">
    <cdr:from>
      <cdr:x>0.23302</cdr:x>
      <cdr:y>0</cdr:y>
    </cdr:from>
    <cdr:to>
      <cdr:x>0.32481</cdr:x>
      <cdr:y>1</cdr:y>
    </cdr:to>
    <cdr:sp macro="" textlink="'M8 Rezeptur, geringerer EF'!$E$13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3519" y="0"/>
          <a:ext cx="6316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8 Rezeptur, geringerer EF'!$F$13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4900" y="0"/>
          <a:ext cx="63165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219,8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8 Rezeptur, geringerer EF'!$G$13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23685" y="0"/>
          <a:ext cx="631581"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156,5</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2.xml><?xml version="1.0" encoding="utf-8"?>
<c:userShapes xmlns:c="http://schemas.openxmlformats.org/drawingml/2006/chart">
  <cdr:relSizeAnchor xmlns:cdr="http://schemas.openxmlformats.org/drawingml/2006/chartDrawing">
    <cdr:from>
      <cdr:x>0.26001</cdr:x>
      <cdr:y>0</cdr:y>
    </cdr:from>
    <cdr:to>
      <cdr:x>0.35189</cdr:x>
      <cdr:y>0.05347</cdr:y>
    </cdr:to>
    <cdr:sp macro="" textlink="'M8 Rezeptur, geringerer EF'!$M$138">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0.05347</cdr:y>
    </cdr:to>
    <cdr:sp macro="" textlink="'M8 Rezeptur, geringerer EF'!$N$138">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5.456</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0.05347</cdr:y>
    </cdr:to>
    <cdr:sp macro="" textlink="'M8 Rezeptur, geringerer EF'!$O$138">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5.219</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3.xml><?xml version="1.0" encoding="utf-8"?>
<xdr:wsDr xmlns:xdr="http://schemas.openxmlformats.org/drawingml/2006/spreadsheetDrawing" xmlns:a="http://schemas.openxmlformats.org/drawingml/2006/main">
  <xdr:twoCellAnchor>
    <xdr:from>
      <xdr:col>10</xdr:col>
      <xdr:colOff>799740</xdr:colOff>
      <xdr:row>56</xdr:row>
      <xdr:rowOff>33094</xdr:rowOff>
    </xdr:from>
    <xdr:to>
      <xdr:col>15</xdr:col>
      <xdr:colOff>778217</xdr:colOff>
      <xdr:row>79</xdr:row>
      <xdr:rowOff>57523</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10</xdr:col>
          <xdr:colOff>523875</xdr:colOff>
          <xdr:row>97</xdr:row>
          <xdr:rowOff>28575</xdr:rowOff>
        </xdr:from>
        <xdr:to>
          <xdr:col>10</xdr:col>
          <xdr:colOff>704850</xdr:colOff>
          <xdr:row>97</xdr:row>
          <xdr:rowOff>190500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E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98</xdr:row>
          <xdr:rowOff>28575</xdr:rowOff>
        </xdr:from>
        <xdr:to>
          <xdr:col>10</xdr:col>
          <xdr:colOff>704850</xdr:colOff>
          <xdr:row>98</xdr:row>
          <xdr:rowOff>190500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E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99</xdr:row>
          <xdr:rowOff>28575</xdr:rowOff>
        </xdr:from>
        <xdr:to>
          <xdr:col>10</xdr:col>
          <xdr:colOff>704850</xdr:colOff>
          <xdr:row>99</xdr:row>
          <xdr:rowOff>180975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E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100</xdr:row>
          <xdr:rowOff>19050</xdr:rowOff>
        </xdr:from>
        <xdr:to>
          <xdr:col>10</xdr:col>
          <xdr:colOff>704850</xdr:colOff>
          <xdr:row>100</xdr:row>
          <xdr:rowOff>190500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E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101</xdr:row>
          <xdr:rowOff>19050</xdr:rowOff>
        </xdr:from>
        <xdr:to>
          <xdr:col>10</xdr:col>
          <xdr:colOff>704850</xdr:colOff>
          <xdr:row>101</xdr:row>
          <xdr:rowOff>180975</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E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102</xdr:row>
          <xdr:rowOff>0</xdr:rowOff>
        </xdr:from>
        <xdr:to>
          <xdr:col>10</xdr:col>
          <xdr:colOff>704850</xdr:colOff>
          <xdr:row>102</xdr:row>
          <xdr:rowOff>180975</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E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103</xdr:row>
          <xdr:rowOff>9525</xdr:rowOff>
        </xdr:from>
        <xdr:to>
          <xdr:col>10</xdr:col>
          <xdr:colOff>704850</xdr:colOff>
          <xdr:row>103</xdr:row>
          <xdr:rowOff>190500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E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665157</xdr:colOff>
      <xdr:row>52</xdr:row>
      <xdr:rowOff>117663</xdr:rowOff>
    </xdr:from>
    <xdr:to>
      <xdr:col>25</xdr:col>
      <xdr:colOff>445249</xdr:colOff>
      <xdr:row>79</xdr:row>
      <xdr:rowOff>28948</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18</xdr:col>
          <xdr:colOff>457200</xdr:colOff>
          <xdr:row>99</xdr:row>
          <xdr:rowOff>0</xdr:rowOff>
        </xdr:from>
        <xdr:to>
          <xdr:col>18</xdr:col>
          <xdr:colOff>676275</xdr:colOff>
          <xdr:row>99</xdr:row>
          <xdr:rowOff>180975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E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100</xdr:row>
          <xdr:rowOff>19050</xdr:rowOff>
        </xdr:from>
        <xdr:to>
          <xdr:col>19</xdr:col>
          <xdr:colOff>0</xdr:colOff>
          <xdr:row>101</xdr:row>
          <xdr:rowOff>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E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101</xdr:row>
          <xdr:rowOff>19050</xdr:rowOff>
        </xdr:from>
        <xdr:to>
          <xdr:col>19</xdr:col>
          <xdr:colOff>0</xdr:colOff>
          <xdr:row>101</xdr:row>
          <xdr:rowOff>200025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E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571500</xdr:colOff>
          <xdr:row>102</xdr:row>
          <xdr:rowOff>9525</xdr:rowOff>
        </xdr:from>
        <xdr:to>
          <xdr:col>19</xdr:col>
          <xdr:colOff>0</xdr:colOff>
          <xdr:row>102</xdr:row>
          <xdr:rowOff>190500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E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97</xdr:row>
          <xdr:rowOff>9525</xdr:rowOff>
        </xdr:from>
        <xdr:to>
          <xdr:col>18</xdr:col>
          <xdr:colOff>676275</xdr:colOff>
          <xdr:row>98</xdr:row>
          <xdr:rowOff>9525</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E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96</xdr:row>
          <xdr:rowOff>0</xdr:rowOff>
        </xdr:from>
        <xdr:to>
          <xdr:col>18</xdr:col>
          <xdr:colOff>676275</xdr:colOff>
          <xdr:row>96</xdr:row>
          <xdr:rowOff>180975</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E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457200</xdr:colOff>
          <xdr:row>98</xdr:row>
          <xdr:rowOff>9525</xdr:rowOff>
        </xdr:from>
        <xdr:to>
          <xdr:col>18</xdr:col>
          <xdr:colOff>676275</xdr:colOff>
          <xdr:row>99</xdr:row>
          <xdr:rowOff>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E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87</xdr:row>
          <xdr:rowOff>152400</xdr:rowOff>
        </xdr:from>
        <xdr:to>
          <xdr:col>2</xdr:col>
          <xdr:colOff>723900</xdr:colOff>
          <xdr:row>89</xdr:row>
          <xdr:rowOff>9525</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E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88</xdr:row>
          <xdr:rowOff>190500</xdr:rowOff>
        </xdr:from>
        <xdr:to>
          <xdr:col>2</xdr:col>
          <xdr:colOff>723900</xdr:colOff>
          <xdr:row>90</xdr:row>
          <xdr:rowOff>9525</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E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89</xdr:row>
          <xdr:rowOff>190500</xdr:rowOff>
        </xdr:from>
        <xdr:to>
          <xdr:col>2</xdr:col>
          <xdr:colOff>723900</xdr:colOff>
          <xdr:row>91</xdr:row>
          <xdr:rowOff>9525</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E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90</xdr:row>
          <xdr:rowOff>190500</xdr:rowOff>
        </xdr:from>
        <xdr:to>
          <xdr:col>2</xdr:col>
          <xdr:colOff>723900</xdr:colOff>
          <xdr:row>92</xdr:row>
          <xdr:rowOff>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E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91</xdr:row>
          <xdr:rowOff>190500</xdr:rowOff>
        </xdr:from>
        <xdr:to>
          <xdr:col>2</xdr:col>
          <xdr:colOff>723900</xdr:colOff>
          <xdr:row>92</xdr:row>
          <xdr:rowOff>200025</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E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92</xdr:row>
          <xdr:rowOff>180975</xdr:rowOff>
        </xdr:from>
        <xdr:to>
          <xdr:col>2</xdr:col>
          <xdr:colOff>723900</xdr:colOff>
          <xdr:row>93</xdr:row>
          <xdr:rowOff>190500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E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93</xdr:row>
          <xdr:rowOff>171450</xdr:rowOff>
        </xdr:from>
        <xdr:to>
          <xdr:col>2</xdr:col>
          <xdr:colOff>723900</xdr:colOff>
          <xdr:row>95</xdr:row>
          <xdr:rowOff>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E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95</xdr:row>
          <xdr:rowOff>190500</xdr:rowOff>
        </xdr:from>
        <xdr:to>
          <xdr:col>2</xdr:col>
          <xdr:colOff>723900</xdr:colOff>
          <xdr:row>97</xdr:row>
          <xdr:rowOff>0</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E00-00001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96</xdr:row>
          <xdr:rowOff>180975</xdr:rowOff>
        </xdr:from>
        <xdr:to>
          <xdr:col>2</xdr:col>
          <xdr:colOff>723900</xdr:colOff>
          <xdr:row>98</xdr:row>
          <xdr:rowOff>0</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E00-00001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97</xdr:row>
          <xdr:rowOff>180975</xdr:rowOff>
        </xdr:from>
        <xdr:to>
          <xdr:col>2</xdr:col>
          <xdr:colOff>723900</xdr:colOff>
          <xdr:row>99</xdr:row>
          <xdr:rowOff>0</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E00-00001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98</xdr:row>
          <xdr:rowOff>180975</xdr:rowOff>
        </xdr:from>
        <xdr:to>
          <xdr:col>2</xdr:col>
          <xdr:colOff>723900</xdr:colOff>
          <xdr:row>100</xdr:row>
          <xdr:rowOff>9525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E00-00001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415636</xdr:colOff>
      <xdr:row>46</xdr:row>
      <xdr:rowOff>121226</xdr:rowOff>
    </xdr:from>
    <xdr:to>
      <xdr:col>9</xdr:col>
      <xdr:colOff>523636</xdr:colOff>
      <xdr:row>121</xdr:row>
      <xdr:rowOff>88499</xdr:rowOff>
    </xdr:to>
    <xdr:sp macro="" textlink="">
      <xdr:nvSpPr>
        <xdr:cNvPr id="4" name="Rechteck 3">
          <a:extLst>
            <a:ext uri="{FF2B5EF4-FFF2-40B4-BE49-F238E27FC236}">
              <a16:creationId xmlns:a16="http://schemas.microsoft.com/office/drawing/2014/main" id="{00000000-0008-0000-0E00-000004000000}"/>
            </a:ext>
          </a:extLst>
        </xdr:cNvPr>
        <xdr:cNvSpPr/>
      </xdr:nvSpPr>
      <xdr:spPr bwMode="auto">
        <a:xfrm>
          <a:off x="8483311" y="7636451"/>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17</xdr:col>
      <xdr:colOff>187035</xdr:colOff>
      <xdr:row>46</xdr:row>
      <xdr:rowOff>117762</xdr:rowOff>
    </xdr:from>
    <xdr:to>
      <xdr:col>17</xdr:col>
      <xdr:colOff>295035</xdr:colOff>
      <xdr:row>121</xdr:row>
      <xdr:rowOff>85035</xdr:rowOff>
    </xdr:to>
    <xdr:sp macro="" textlink="">
      <xdr:nvSpPr>
        <xdr:cNvPr id="5" name="Rechteck 4">
          <a:extLst>
            <a:ext uri="{FF2B5EF4-FFF2-40B4-BE49-F238E27FC236}">
              <a16:creationId xmlns:a16="http://schemas.microsoft.com/office/drawing/2014/main" id="{00000000-0008-0000-0E00-000005000000}"/>
            </a:ext>
          </a:extLst>
        </xdr:cNvPr>
        <xdr:cNvSpPr/>
      </xdr:nvSpPr>
      <xdr:spPr bwMode="auto">
        <a:xfrm>
          <a:off x="16808160" y="7632987"/>
          <a:ext cx="108000" cy="13283223"/>
        </a:xfrm>
        <a:prstGeom prst="rect">
          <a:avLst/>
        </a:prstGeom>
        <a:solidFill>
          <a:srgbClr val="00549F"/>
        </a:solidFill>
        <a:ln>
          <a:solidFill>
            <a:srgbClr val="00549F"/>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2</xdr:col>
      <xdr:colOff>695325</xdr:colOff>
      <xdr:row>33</xdr:row>
      <xdr:rowOff>142875</xdr:rowOff>
    </xdr:from>
    <xdr:to>
      <xdr:col>11</xdr:col>
      <xdr:colOff>3061800</xdr:colOff>
      <xdr:row>33</xdr:row>
      <xdr:rowOff>142875</xdr:rowOff>
    </xdr:to>
    <xdr:cxnSp macro="">
      <xdr:nvCxnSpPr>
        <xdr:cNvPr id="6" name="Gerader Verbinder 5">
          <a:extLst>
            <a:ext uri="{FF2B5EF4-FFF2-40B4-BE49-F238E27FC236}">
              <a16:creationId xmlns:a16="http://schemas.microsoft.com/office/drawing/2014/main" id="{00000000-0008-0000-0E00-000006000000}"/>
            </a:ext>
          </a:extLst>
        </xdr:cNvPr>
        <xdr:cNvCxnSpPr/>
      </xdr:nvCxnSpPr>
      <xdr:spPr bwMode="auto">
        <a:xfrm>
          <a:off x="1228725" y="5667375"/>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695325</xdr:colOff>
      <xdr:row>28</xdr:row>
      <xdr:rowOff>133353</xdr:rowOff>
    </xdr:from>
    <xdr:to>
      <xdr:col>11</xdr:col>
      <xdr:colOff>3061800</xdr:colOff>
      <xdr:row>28</xdr:row>
      <xdr:rowOff>133353</xdr:rowOff>
    </xdr:to>
    <xdr:cxnSp macro="">
      <xdr:nvCxnSpPr>
        <xdr:cNvPr id="9" name="Gerader Verbinder 8">
          <a:extLst>
            <a:ext uri="{FF2B5EF4-FFF2-40B4-BE49-F238E27FC236}">
              <a16:creationId xmlns:a16="http://schemas.microsoft.com/office/drawing/2014/main" id="{00000000-0008-0000-0E00-000009000000}"/>
            </a:ext>
          </a:extLst>
        </xdr:cNvPr>
        <xdr:cNvCxnSpPr/>
      </xdr:nvCxnSpPr>
      <xdr:spPr bwMode="auto">
        <a:xfrm>
          <a:off x="1228725" y="4791078"/>
          <a:ext cx="11520000" cy="0"/>
        </a:xfrm>
        <a:prstGeom prst="line">
          <a:avLst/>
        </a:prstGeom>
        <a:noFill/>
        <a:ln w="9525" cap="flat" cmpd="sng" algn="ctr">
          <a:solidFill>
            <a:schemeClr val="accent4">
              <a:lumMod val="90000"/>
              <a:lumOff val="10000"/>
            </a:schemeClr>
          </a:solidFill>
          <a:prstDash val="solid"/>
          <a:round/>
          <a:headEnd type="none" w="med" len="med"/>
          <a:tailEnd type="non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cxnSp>
    <xdr:clientData/>
  </xdr:twoCellAnchor>
  <xdr:twoCellAnchor>
    <xdr:from>
      <xdr:col>2</xdr:col>
      <xdr:colOff>705972</xdr:colOff>
      <xdr:row>124</xdr:row>
      <xdr:rowOff>78443</xdr:rowOff>
    </xdr:from>
    <xdr:to>
      <xdr:col>9</xdr:col>
      <xdr:colOff>1306</xdr:colOff>
      <xdr:row>145</xdr:row>
      <xdr:rowOff>135406</xdr:rowOff>
    </xdr:to>
    <xdr:graphicFrame macro="">
      <xdr:nvGraphicFramePr>
        <xdr:cNvPr id="10" name="Diagramm 9">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529479</xdr:colOff>
      <xdr:row>53</xdr:row>
      <xdr:rowOff>152400</xdr:rowOff>
    </xdr:from>
    <xdr:to>
      <xdr:col>8</xdr:col>
      <xdr:colOff>180890</xdr:colOff>
      <xdr:row>82</xdr:row>
      <xdr:rowOff>82597</xdr:rowOff>
    </xdr:to>
    <xdr:graphicFrame macro="">
      <xdr:nvGraphicFramePr>
        <xdr:cNvPr id="11" name="Diagramm 10">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514350</xdr:colOff>
          <xdr:row>94</xdr:row>
          <xdr:rowOff>180975</xdr:rowOff>
        </xdr:from>
        <xdr:to>
          <xdr:col>2</xdr:col>
          <xdr:colOff>723900</xdr:colOff>
          <xdr:row>96</xdr:row>
          <xdr:rowOff>9525</xdr:rowOff>
        </xdr:to>
        <xdr:sp macro="" textlink="">
          <xdr:nvSpPr>
            <xdr:cNvPr id="83994" name="Check Box 26" hidden="1">
              <a:extLst>
                <a:ext uri="{63B3BB69-23CF-44E3-9099-C40C66FF867C}">
                  <a14:compatExt spid="_x0000_s83994"/>
                </a:ext>
                <a:ext uri="{FF2B5EF4-FFF2-40B4-BE49-F238E27FC236}">
                  <a16:creationId xmlns:a16="http://schemas.microsoft.com/office/drawing/2014/main" id="{00000000-0008-0000-0E00-00001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694764</xdr:colOff>
      <xdr:row>92</xdr:row>
      <xdr:rowOff>134472</xdr:rowOff>
    </xdr:from>
    <xdr:to>
      <xdr:col>10</xdr:col>
      <xdr:colOff>750314</xdr:colOff>
      <xdr:row>106</xdr:row>
      <xdr:rowOff>124625</xdr:rowOff>
    </xdr:to>
    <xdr:sp macro="" textlink="">
      <xdr:nvSpPr>
        <xdr:cNvPr id="12" name="Rechteck 11">
          <a:extLst>
            <a:ext uri="{FF2B5EF4-FFF2-40B4-BE49-F238E27FC236}">
              <a16:creationId xmlns:a16="http://schemas.microsoft.com/office/drawing/2014/main" id="{00000000-0008-0000-0E00-00000C000000}"/>
            </a:ext>
          </a:extLst>
        </xdr:cNvPr>
        <xdr:cNvSpPr/>
      </xdr:nvSpPr>
      <xdr:spPr bwMode="auto">
        <a:xfrm>
          <a:off x="8762439" y="15441147"/>
          <a:ext cx="874700" cy="2838128"/>
        </a:xfrm>
        <a:prstGeom prst="rect">
          <a:avLst/>
        </a:prstGeom>
        <a:solidFill>
          <a:schemeClr val="bg1"/>
        </a:solidFill>
        <a:ln>
          <a:solidFill>
            <a:schemeClr val="bg1"/>
          </a:solidFill>
        </a:ln>
        <a:effectLst/>
      </xdr:spPr>
      <xdr:txBody>
        <a:bodyPr vert="horz" wrap="square" lIns="91440" tIns="45720" rIns="91440" bIns="45720" numCol="1" rtlCol="0" anchor="ctr" anchorCtr="0" compatLnSpc="1">
          <a:prstTxWarp prst="textNoShape">
            <a:avLst/>
          </a:prstTxWarp>
          <a:noAutofit/>
        </a:bodyPr>
        <a:lstStyle/>
        <a:p>
          <a:pPr algn="ctr"/>
          <a:endParaRPr lang="de-DE" sz="1100" dirty="0">
            <a:solidFill>
              <a:schemeClr val="tx1"/>
            </a:solidFill>
          </a:endParaRPr>
        </a:p>
      </xdr:txBody>
    </xdr:sp>
    <xdr:clientData/>
  </xdr:twoCellAnchor>
  <xdr:twoCellAnchor>
    <xdr:from>
      <xdr:col>11</xdr:col>
      <xdr:colOff>909918</xdr:colOff>
      <xdr:row>11</xdr:row>
      <xdr:rowOff>100854</xdr:rowOff>
    </xdr:from>
    <xdr:to>
      <xdr:col>11</xdr:col>
      <xdr:colOff>2949389</xdr:colOff>
      <xdr:row>15</xdr:row>
      <xdr:rowOff>11207</xdr:rowOff>
    </xdr:to>
    <xdr:sp macro="" textlink="">
      <xdr:nvSpPr>
        <xdr:cNvPr id="14" name="Rechteck 13">
          <a:extLst>
            <a:ext uri="{FF2B5EF4-FFF2-40B4-BE49-F238E27FC236}">
              <a16:creationId xmlns:a16="http://schemas.microsoft.com/office/drawing/2014/main" id="{00000000-0008-0000-0E00-00000E000000}"/>
            </a:ext>
          </a:extLst>
        </xdr:cNvPr>
        <xdr:cNvSpPr/>
      </xdr:nvSpPr>
      <xdr:spPr bwMode="auto">
        <a:xfrm>
          <a:off x="10596843" y="2015379"/>
          <a:ext cx="2039471" cy="596153"/>
        </a:xfrm>
        <a:prstGeom prst="rect">
          <a:avLst/>
        </a:prstGeom>
        <a:solidFill>
          <a:schemeClr val="bg1">
            <a:lumMod val="95000"/>
          </a:schemeClr>
        </a:solidFill>
        <a:ln>
          <a:noFill/>
        </a:ln>
        <a:effectLst/>
      </xdr:spPr>
      <xdr:txBody>
        <a:bodyPr vert="horz" wrap="square" lIns="72000" tIns="0" rIns="0" bIns="36000" numCol="1" rtlCol="0" anchor="ctr" anchorCtr="0" compatLnSpc="1">
          <a:prstTxWarp prst="textNoShape">
            <a:avLst/>
          </a:prstTxWarp>
          <a:noAutofit/>
        </a:bodyPr>
        <a:lstStyle/>
        <a:p>
          <a:pPr algn="l"/>
          <a:r>
            <a:rPr lang="de-DE" sz="1000" b="1" u="sng" dirty="0">
              <a:solidFill>
                <a:schemeClr val="tx1"/>
              </a:solidFill>
            </a:rPr>
            <a:t>Kommentarfeld</a:t>
          </a:r>
        </a:p>
        <a:p>
          <a:pPr algn="l"/>
          <a:r>
            <a:rPr lang="de-DE" sz="1000" dirty="0">
              <a:solidFill>
                <a:schemeClr val="tx1"/>
              </a:solidFill>
            </a:rPr>
            <a:t>Tragen</a:t>
          </a:r>
          <a:r>
            <a:rPr lang="de-DE" sz="1000" baseline="0" dirty="0">
              <a:solidFill>
                <a:schemeClr val="tx1"/>
              </a:solidFill>
            </a:rPr>
            <a:t> Sie z. B. die Zementsorte  oder den Ersatzstoff ein.</a:t>
          </a:r>
          <a:endParaRPr lang="de-DE" sz="1000" dirty="0">
            <a:solidFill>
              <a:schemeClr val="tx1"/>
            </a:solidFill>
          </a:endParaRPr>
        </a:p>
      </xdr:txBody>
    </xdr:sp>
    <xdr:clientData/>
  </xdr:twoCellAnchor>
  <xdr:twoCellAnchor>
    <xdr:from>
      <xdr:col>11</xdr:col>
      <xdr:colOff>944657</xdr:colOff>
      <xdr:row>21</xdr:row>
      <xdr:rowOff>0</xdr:rowOff>
    </xdr:from>
    <xdr:to>
      <xdr:col>11</xdr:col>
      <xdr:colOff>2996657</xdr:colOff>
      <xdr:row>22</xdr:row>
      <xdr:rowOff>4906</xdr:rowOff>
    </xdr:to>
    <xdr:sp macro="" textlink="">
      <xdr:nvSpPr>
        <xdr:cNvPr id="15" name="Rechteck 14">
          <a:extLst>
            <a:ext uri="{FF2B5EF4-FFF2-40B4-BE49-F238E27FC236}">
              <a16:creationId xmlns:a16="http://schemas.microsoft.com/office/drawing/2014/main" id="{00000000-0008-0000-0E00-00000F000000}"/>
            </a:ext>
          </a:extLst>
        </xdr:cNvPr>
        <xdr:cNvSpPr/>
      </xdr:nvSpPr>
      <xdr:spPr bwMode="auto">
        <a:xfrm>
          <a:off x="10631582" y="5067300"/>
          <a:ext cx="2052000" cy="166831"/>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22</xdr:row>
      <xdr:rowOff>6722</xdr:rowOff>
    </xdr:from>
    <xdr:to>
      <xdr:col>11</xdr:col>
      <xdr:colOff>2996657</xdr:colOff>
      <xdr:row>23</xdr:row>
      <xdr:rowOff>10397</xdr:rowOff>
    </xdr:to>
    <xdr:sp macro="" textlink="">
      <xdr:nvSpPr>
        <xdr:cNvPr id="16" name="Rechteck 15">
          <a:extLst>
            <a:ext uri="{FF2B5EF4-FFF2-40B4-BE49-F238E27FC236}">
              <a16:creationId xmlns:a16="http://schemas.microsoft.com/office/drawing/2014/main" id="{00000000-0008-0000-0E00-000010000000}"/>
            </a:ext>
          </a:extLst>
        </xdr:cNvPr>
        <xdr:cNvSpPr/>
      </xdr:nvSpPr>
      <xdr:spPr bwMode="auto">
        <a:xfrm>
          <a:off x="10669682" y="5559797"/>
          <a:ext cx="2052000" cy="1656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24</xdr:row>
      <xdr:rowOff>160029</xdr:rowOff>
    </xdr:from>
    <xdr:to>
      <xdr:col>11</xdr:col>
      <xdr:colOff>2996657</xdr:colOff>
      <xdr:row>25</xdr:row>
      <xdr:rowOff>195407</xdr:rowOff>
    </xdr:to>
    <xdr:sp macro="" textlink="">
      <xdr:nvSpPr>
        <xdr:cNvPr id="17" name="Rechteck 16">
          <a:extLst>
            <a:ext uri="{FF2B5EF4-FFF2-40B4-BE49-F238E27FC236}">
              <a16:creationId xmlns:a16="http://schemas.microsoft.com/office/drawing/2014/main" id="{00000000-0008-0000-0E00-000011000000}"/>
            </a:ext>
          </a:extLst>
        </xdr:cNvPr>
        <xdr:cNvSpPr/>
      </xdr:nvSpPr>
      <xdr:spPr bwMode="auto">
        <a:xfrm>
          <a:off x="10632279" y="5563724"/>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26</xdr:row>
      <xdr:rowOff>1703</xdr:rowOff>
    </xdr:from>
    <xdr:to>
      <xdr:col>11</xdr:col>
      <xdr:colOff>2996657</xdr:colOff>
      <xdr:row>26</xdr:row>
      <xdr:rowOff>199703</xdr:rowOff>
    </xdr:to>
    <xdr:sp macro="" textlink="">
      <xdr:nvSpPr>
        <xdr:cNvPr id="18" name="Rechteck 17">
          <a:extLst>
            <a:ext uri="{FF2B5EF4-FFF2-40B4-BE49-F238E27FC236}">
              <a16:creationId xmlns:a16="http://schemas.microsoft.com/office/drawing/2014/main" id="{00000000-0008-0000-0E00-000012000000}"/>
            </a:ext>
          </a:extLst>
        </xdr:cNvPr>
        <xdr:cNvSpPr/>
      </xdr:nvSpPr>
      <xdr:spPr bwMode="auto">
        <a:xfrm>
          <a:off x="10632279" y="5767813"/>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15</xdr:row>
      <xdr:rowOff>161192</xdr:rowOff>
    </xdr:from>
    <xdr:to>
      <xdr:col>11</xdr:col>
      <xdr:colOff>2996657</xdr:colOff>
      <xdr:row>17</xdr:row>
      <xdr:rowOff>23387</xdr:rowOff>
    </xdr:to>
    <xdr:sp macro="" textlink="">
      <xdr:nvSpPr>
        <xdr:cNvPr id="19" name="Rechteck 18">
          <a:extLst>
            <a:ext uri="{FF2B5EF4-FFF2-40B4-BE49-F238E27FC236}">
              <a16:creationId xmlns:a16="http://schemas.microsoft.com/office/drawing/2014/main" id="{00000000-0008-0000-0E00-000013000000}"/>
            </a:ext>
          </a:extLst>
        </xdr:cNvPr>
        <xdr:cNvSpPr/>
      </xdr:nvSpPr>
      <xdr:spPr bwMode="auto">
        <a:xfrm>
          <a:off x="10631582" y="4056917"/>
          <a:ext cx="2052000" cy="186045"/>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17</xdr:row>
      <xdr:rowOff>0</xdr:rowOff>
    </xdr:from>
    <xdr:to>
      <xdr:col>11</xdr:col>
      <xdr:colOff>2996657</xdr:colOff>
      <xdr:row>18</xdr:row>
      <xdr:rowOff>23388</xdr:rowOff>
    </xdr:to>
    <xdr:sp macro="" textlink="">
      <xdr:nvSpPr>
        <xdr:cNvPr id="21" name="Rechteck 20">
          <a:extLst>
            <a:ext uri="{FF2B5EF4-FFF2-40B4-BE49-F238E27FC236}">
              <a16:creationId xmlns:a16="http://schemas.microsoft.com/office/drawing/2014/main" id="{00000000-0008-0000-0E00-000015000000}"/>
            </a:ext>
          </a:extLst>
        </xdr:cNvPr>
        <xdr:cNvSpPr/>
      </xdr:nvSpPr>
      <xdr:spPr bwMode="auto">
        <a:xfrm>
          <a:off x="10631582" y="4219575"/>
          <a:ext cx="2052000" cy="185313"/>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18</xdr:row>
      <xdr:rowOff>0</xdr:rowOff>
    </xdr:from>
    <xdr:to>
      <xdr:col>11</xdr:col>
      <xdr:colOff>2996657</xdr:colOff>
      <xdr:row>19</xdr:row>
      <xdr:rowOff>0</xdr:rowOff>
    </xdr:to>
    <xdr:sp macro="" textlink="">
      <xdr:nvSpPr>
        <xdr:cNvPr id="22" name="Rechteck 21">
          <a:extLst>
            <a:ext uri="{FF2B5EF4-FFF2-40B4-BE49-F238E27FC236}">
              <a16:creationId xmlns:a16="http://schemas.microsoft.com/office/drawing/2014/main" id="{00000000-0008-0000-0E00-000016000000}"/>
            </a:ext>
          </a:extLst>
        </xdr:cNvPr>
        <xdr:cNvSpPr/>
      </xdr:nvSpPr>
      <xdr:spPr bwMode="auto">
        <a:xfrm>
          <a:off x="10631582" y="4381500"/>
          <a:ext cx="2052000" cy="185313"/>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twoCellAnchor>
    <xdr:from>
      <xdr:col>11</xdr:col>
      <xdr:colOff>944657</xdr:colOff>
      <xdr:row>19</xdr:row>
      <xdr:rowOff>0</xdr:rowOff>
    </xdr:from>
    <xdr:to>
      <xdr:col>11</xdr:col>
      <xdr:colOff>2996657</xdr:colOff>
      <xdr:row>19</xdr:row>
      <xdr:rowOff>6225</xdr:rowOff>
    </xdr:to>
    <xdr:sp macro="" textlink="">
      <xdr:nvSpPr>
        <xdr:cNvPr id="23" name="Rechteck 22">
          <a:extLst>
            <a:ext uri="{FF2B5EF4-FFF2-40B4-BE49-F238E27FC236}">
              <a16:creationId xmlns:a16="http://schemas.microsoft.com/office/drawing/2014/main" id="{00000000-0008-0000-0E00-000017000000}"/>
            </a:ext>
          </a:extLst>
        </xdr:cNvPr>
        <xdr:cNvSpPr/>
      </xdr:nvSpPr>
      <xdr:spPr bwMode="auto">
        <a:xfrm>
          <a:off x="10631582" y="4543425"/>
          <a:ext cx="2052000" cy="1872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oneCellAnchor>
    <xdr:from>
      <xdr:col>12</xdr:col>
      <xdr:colOff>0</xdr:colOff>
      <xdr:row>15</xdr:row>
      <xdr:rowOff>142875</xdr:rowOff>
    </xdr:from>
    <xdr:ext cx="2924174" cy="657225"/>
    <xdr:sp macro="" textlink="$D$150">
      <xdr:nvSpPr>
        <xdr:cNvPr id="24" name="Textfeld 23">
          <a:extLst>
            <a:ext uri="{FF2B5EF4-FFF2-40B4-BE49-F238E27FC236}">
              <a16:creationId xmlns:a16="http://schemas.microsoft.com/office/drawing/2014/main" id="{00000000-0008-0000-0E00-000018000000}"/>
            </a:ext>
          </a:extLst>
        </xdr:cNvPr>
        <xdr:cNvSpPr txBox="1"/>
      </xdr:nvSpPr>
      <xdr:spPr>
        <a:xfrm>
          <a:off x="12963525" y="4038600"/>
          <a:ext cx="2924174" cy="657225"/>
        </a:xfrm>
        <a:prstGeom prst="rect">
          <a:avLst/>
        </a:prstGeom>
        <a:noFill/>
        <a:ln>
          <a:noFill/>
        </a:ln>
      </xdr:spPr>
      <xdr:txBody>
        <a:bodyPr vertOverflow="clip" horzOverflow="clip" wrap="square" lIns="0" tIns="0" rIns="0" bIns="0" rtlCol="0" anchor="t">
          <a:noAutofit/>
        </a:bodyPr>
        <a:lstStyle/>
        <a:p>
          <a:pPr algn="l"/>
          <a:fld id="{60965AAD-8297-4335-86B5-63A1B014A349}" type="TxLink">
            <a:rPr lang="en-US" sz="1000" b="0" i="0" u="none" strike="noStrike" dirty="0" err="1" smtClean="0">
              <a:solidFill>
                <a:sysClr val="windowText" lastClr="000000"/>
              </a:solidFill>
              <a:latin typeface="Arial"/>
              <a:cs typeface="Arial"/>
            </a:rPr>
            <a:pPr algn="l"/>
            <a:t> </a:t>
          </a:fld>
          <a:endParaRPr lang="de-DE" sz="1100" dirty="0" err="1">
            <a:solidFill>
              <a:sysClr val="windowText" lastClr="000000"/>
            </a:solidFill>
          </a:endParaRPr>
        </a:p>
      </xdr:txBody>
    </xdr:sp>
    <xdr:clientData/>
  </xdr:oneCellAnchor>
  <xdr:twoCellAnchor>
    <xdr:from>
      <xdr:col>11</xdr:col>
      <xdr:colOff>944657</xdr:colOff>
      <xdr:row>27</xdr:row>
      <xdr:rowOff>1703</xdr:rowOff>
    </xdr:from>
    <xdr:to>
      <xdr:col>11</xdr:col>
      <xdr:colOff>2996657</xdr:colOff>
      <xdr:row>27</xdr:row>
      <xdr:rowOff>199703</xdr:rowOff>
    </xdr:to>
    <xdr:sp macro="" textlink="">
      <xdr:nvSpPr>
        <xdr:cNvPr id="7" name="Rechteck 6">
          <a:extLst>
            <a:ext uri="{FF2B5EF4-FFF2-40B4-BE49-F238E27FC236}">
              <a16:creationId xmlns:a16="http://schemas.microsoft.com/office/drawing/2014/main" id="{00000000-0008-0000-0E00-000007000000}"/>
            </a:ext>
          </a:extLst>
        </xdr:cNvPr>
        <xdr:cNvSpPr/>
      </xdr:nvSpPr>
      <xdr:spPr bwMode="auto">
        <a:xfrm>
          <a:off x="10632279" y="5967605"/>
          <a:ext cx="2052000" cy="198000"/>
        </a:xfrm>
        <a:prstGeom prst="rect">
          <a:avLst/>
        </a:prstGeom>
        <a:solidFill>
          <a:schemeClr val="accent3">
            <a:lumMod val="20000"/>
            <a:lumOff val="80000"/>
          </a:schemeClr>
        </a:solidFill>
        <a:ln w="3175">
          <a:solidFill>
            <a:sysClr val="windowText" lastClr="000000"/>
          </a:solidFill>
        </a:ln>
        <a:effectLst/>
      </xdr:spPr>
      <xdr:txBody>
        <a:bodyPr vert="horz" wrap="square" lIns="91440" tIns="45720" rIns="91440" bIns="45720" numCol="1" rtlCol="0" anchor="ctr" anchorCtr="0" compatLnSpc="1">
          <a:prstTxWarp prst="textNoShape">
            <a:avLst/>
          </a:prstTxWarp>
          <a:noAutofit/>
        </a:bodyPr>
        <a:lstStyle/>
        <a:p>
          <a:pPr algn="ctr"/>
          <a:endParaRPr lang="de-DE" sz="1000" dirty="0">
            <a:solidFill>
              <a:schemeClr val="tx1"/>
            </a:solidFill>
          </a:endParaRP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0.51422</cdr:x>
      <cdr:y>0.04219</cdr:y>
    </cdr:from>
    <cdr:to>
      <cdr:x>0.63321</cdr:x>
      <cdr:y>0.1082</cdr:y>
    </cdr:to>
    <cdr:sp macro="" textlink="'M9 Rezeptur, Recycling'!$N$92">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3135142"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CFE672-DD26-4F5B-ADF4-CEAEBF5BADE6}" type="TxLink">
            <a:rPr lang="en-US" sz="1000" b="1" i="0" u="none" strike="noStrike" dirty="0" err="1">
              <a:solidFill>
                <a:srgbClr val="323232"/>
              </a:solidFill>
              <a:latin typeface="Arial"/>
              <a:cs typeface="Arial"/>
            </a:rPr>
            <a:pPr/>
            <a:t>6.044</a:t>
          </a:fld>
          <a:endParaRPr lang="en-GB" sz="1100" dirty="0" err="1">
            <a:solidFill>
              <a:schemeClr val="tx1"/>
            </a:solidFill>
          </a:endParaRPr>
        </a:p>
      </cdr:txBody>
    </cdr:sp>
  </cdr:relSizeAnchor>
  <cdr:relSizeAnchor xmlns:cdr="http://schemas.openxmlformats.org/drawingml/2006/chartDrawing">
    <cdr:from>
      <cdr:x>0.79394</cdr:x>
      <cdr:y>0.04219</cdr:y>
    </cdr:from>
    <cdr:to>
      <cdr:x>0.91293</cdr:x>
      <cdr:y>0.1082</cdr:y>
    </cdr:to>
    <cdr:sp macro="" textlink="'M9 Rezeptur, Recycling'!$O$92">
      <cdr:nvSpPr>
        <cdr:cNvPr id="3" name="Textfeld 4">
          <a:extLst xmlns:a="http://schemas.openxmlformats.org/drawingml/2006/main">
            <a:ext uri="{FF2B5EF4-FFF2-40B4-BE49-F238E27FC236}">
              <a16:creationId xmlns:a16="http://schemas.microsoft.com/office/drawing/2014/main" id="{7886FBD3-66B9-1243-4F27-8624812B2D8D}"/>
            </a:ext>
          </a:extLst>
        </cdr:cNvPr>
        <cdr:cNvSpPr txBox="1"/>
      </cdr:nvSpPr>
      <cdr:spPr>
        <a:xfrm xmlns:a="http://schemas.openxmlformats.org/drawingml/2006/main">
          <a:off x="4840564" y="153265"/>
          <a:ext cx="725469"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8188C18-1010-42AD-8E3F-5EF9E9001ADE}" type="TxLink">
            <a:rPr lang="en-US" sz="1000" b="1" i="0" u="none" strike="noStrike" dirty="0" err="1">
              <a:solidFill>
                <a:srgbClr val="323232"/>
              </a:solidFill>
              <a:latin typeface="Arial"/>
              <a:cs typeface="Arial"/>
            </a:rPr>
            <a:pPr/>
            <a:t>5.972</a:t>
          </a:fld>
          <a:endParaRPr lang="en-GB" sz="1100" dirty="0" err="1">
            <a:solidFill>
              <a:schemeClr val="tx1"/>
            </a:solidFill>
          </a:endParaRPr>
        </a:p>
      </cdr:txBody>
    </cdr:sp>
  </cdr:relSizeAnchor>
  <cdr:relSizeAnchor xmlns:cdr="http://schemas.openxmlformats.org/drawingml/2006/chartDrawing">
    <cdr:from>
      <cdr:x>0.2312</cdr:x>
      <cdr:y>0.04219</cdr:y>
    </cdr:from>
    <cdr:to>
      <cdr:x>0.35019</cdr:x>
      <cdr:y>0.12105</cdr:y>
    </cdr:to>
    <cdr:sp macro="" textlink="'M9 Rezeptur, Recycling'!$M$92">
      <cdr:nvSpPr>
        <cdr:cNvPr id="4"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329092" y="154083"/>
          <a:ext cx="684000" cy="28800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94FEF26-4589-4134-B856-94839CA76836}" type="TxLink">
            <a:rPr lang="en-US" sz="1000" b="1" i="0" u="none" strike="noStrike" dirty="0" err="1" smtClean="0">
              <a:solidFill>
                <a:srgbClr val="323232"/>
              </a:solidFill>
              <a:latin typeface="Arial"/>
              <a:cs typeface="Arial"/>
            </a:rPr>
            <a:pPr/>
            <a:t>6.098</a:t>
          </a:fld>
          <a:endParaRPr lang="en-GB" sz="1100" dirty="0" err="1">
            <a:solidFill>
              <a:schemeClr val="tx1"/>
            </a:solidFill>
          </a:endParaRPr>
        </a:p>
      </cdr:txBody>
    </cdr:sp>
  </cdr:relSizeAnchor>
  <cdr:relSizeAnchor xmlns:cdr="http://schemas.openxmlformats.org/drawingml/2006/chartDrawing">
    <cdr:from>
      <cdr:x>0.13792</cdr:x>
      <cdr:y>0.02941</cdr:y>
    </cdr:from>
    <cdr:to>
      <cdr:x>0.18534</cdr:x>
      <cdr:y>0.0958</cdr:y>
    </cdr:to>
    <cdr:sp macro="" textlink="">
      <cdr:nvSpPr>
        <cdr:cNvPr id="5" name="Textfeld 7">
          <a:extLst xmlns:a="http://schemas.openxmlformats.org/drawingml/2006/main">
            <a:ext uri="{FF2B5EF4-FFF2-40B4-BE49-F238E27FC236}">
              <a16:creationId xmlns:a16="http://schemas.microsoft.com/office/drawing/2014/main" id="{3D70A982-A824-884F-4E0F-74E18E6F5FB8}"/>
            </a:ext>
          </a:extLst>
        </cdr:cNvPr>
        <cdr:cNvSpPr txBox="1"/>
      </cdr:nvSpPr>
      <cdr:spPr>
        <a:xfrm xmlns:a="http://schemas.openxmlformats.org/drawingml/2006/main">
          <a:off x="846417" y="106829"/>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5.xml><?xml version="1.0" encoding="utf-8"?>
<c:userShapes xmlns:c="http://schemas.openxmlformats.org/drawingml/2006/chart">
  <cdr:relSizeAnchor xmlns:cdr="http://schemas.openxmlformats.org/drawingml/2006/chartDrawing">
    <cdr:from>
      <cdr:x>0.24983</cdr:x>
      <cdr:y>0.03789</cdr:y>
    </cdr:from>
    <cdr:to>
      <cdr:x>0.38319</cdr:x>
      <cdr:y>0.09572</cdr:y>
    </cdr:to>
    <cdr:sp macro="" textlink="'M9 Rezeptur, Recycling'!$U$143">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69593" y="157134"/>
          <a:ext cx="89123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07223D5-F632-40C2-B510-1CEB9A834B29}" type="TxLink">
            <a:rPr lang="en-US" sz="1000" b="1" i="0" u="none" strike="noStrike" dirty="0" err="1">
              <a:solidFill>
                <a:srgbClr val="323232"/>
              </a:solidFill>
              <a:latin typeface="Arial"/>
              <a:cs typeface="Arial"/>
            </a:rPr>
            <a:pPr/>
            <a:t>262.128 €</a:t>
          </a:fld>
          <a:endParaRPr lang="en-GB" sz="1100" dirty="0" err="1">
            <a:solidFill>
              <a:schemeClr val="tx1"/>
            </a:solidFill>
          </a:endParaRPr>
        </a:p>
      </cdr:txBody>
    </cdr:sp>
  </cdr:relSizeAnchor>
  <cdr:relSizeAnchor xmlns:cdr="http://schemas.openxmlformats.org/drawingml/2006/chartDrawing">
    <cdr:from>
      <cdr:x>0.5075</cdr:x>
      <cdr:y>0.03789</cdr:y>
    </cdr:from>
    <cdr:to>
      <cdr:x>0.64087</cdr:x>
      <cdr:y>0.09572</cdr:y>
    </cdr:to>
    <cdr:sp macro="" textlink="'M9 Rezeptur, Recycling'!$V$143">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391580" y="157134"/>
          <a:ext cx="891300"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D1617B2-C270-4A98-AFA8-ECFCD2AD3321}" type="TxLink">
            <a:rPr lang="en-US" sz="1000" b="1" i="0" u="none" strike="noStrike" dirty="0" err="1">
              <a:solidFill>
                <a:srgbClr val="323232"/>
              </a:solidFill>
              <a:latin typeface="Arial"/>
              <a:cs typeface="Arial"/>
            </a:rPr>
            <a:pPr/>
            <a:t>381.670 €</a:t>
          </a:fld>
          <a:endParaRPr lang="en-GB" sz="1100" dirty="0" err="1">
            <a:solidFill>
              <a:schemeClr val="tx1"/>
            </a:solidFill>
          </a:endParaRPr>
        </a:p>
      </cdr:txBody>
    </cdr:sp>
  </cdr:relSizeAnchor>
  <cdr:relSizeAnchor xmlns:cdr="http://schemas.openxmlformats.org/drawingml/2006/chartDrawing">
    <cdr:from>
      <cdr:x>0.77748</cdr:x>
      <cdr:y>0.03789</cdr:y>
    </cdr:from>
    <cdr:to>
      <cdr:x>0.91083</cdr:x>
      <cdr:y>0.09572</cdr:y>
    </cdr:to>
    <cdr:sp macro="" textlink="'M9 Rezeptur, Recycling'!$W$143">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195834" y="157134"/>
          <a:ext cx="891166"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CD93D49-5F9B-4993-9775-20FA25A1E3F5}" type="TxLink">
            <a:rPr lang="en-US" sz="1000" b="1" i="0" u="none" strike="noStrike" dirty="0" err="1">
              <a:solidFill>
                <a:srgbClr val="323232"/>
              </a:solidFill>
              <a:latin typeface="Arial"/>
              <a:cs typeface="Arial"/>
            </a:rPr>
            <a:pPr/>
            <a:t>587.416 €</a:t>
          </a:fld>
          <a:endParaRPr lang="en-GB" sz="1100" dirty="0" err="1">
            <a:solidFill>
              <a:schemeClr val="tx1"/>
            </a:solidFill>
          </a:endParaRPr>
        </a:p>
      </cdr:txBody>
    </cdr:sp>
  </cdr:relSizeAnchor>
  <cdr:relSizeAnchor xmlns:cdr="http://schemas.openxmlformats.org/drawingml/2006/chartDrawing">
    <cdr:from>
      <cdr:x>0.16375</cdr:x>
      <cdr:y>0.02306</cdr:y>
    </cdr:from>
    <cdr:to>
      <cdr:x>0.20735</cdr:x>
      <cdr:y>0.08122</cdr:y>
    </cdr:to>
    <cdr:sp macro="" textlink="">
      <cdr:nvSpPr>
        <cdr:cNvPr id="5" name="Textfeld 7">
          <a:extLst xmlns:a="http://schemas.openxmlformats.org/drawingml/2006/main">
            <a:ext uri="{FF2B5EF4-FFF2-40B4-BE49-F238E27FC236}">
              <a16:creationId xmlns:a16="http://schemas.microsoft.com/office/drawing/2014/main" id="{90D891BE-721B-956D-8016-AD77BF3D49A4}"/>
            </a:ext>
          </a:extLst>
        </cdr:cNvPr>
        <cdr:cNvSpPr txBox="1"/>
      </cdr:nvSpPr>
      <cdr:spPr>
        <a:xfrm xmlns:a="http://schemas.openxmlformats.org/drawingml/2006/main">
          <a:off x="1092946"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6.xml><?xml version="1.0" encoding="utf-8"?>
<c:userShapes xmlns:c="http://schemas.openxmlformats.org/drawingml/2006/chart">
  <cdr:relSizeAnchor xmlns:cdr="http://schemas.openxmlformats.org/drawingml/2006/chartDrawing">
    <cdr:from>
      <cdr:x>0.23302</cdr:x>
      <cdr:y>0</cdr:y>
    </cdr:from>
    <cdr:to>
      <cdr:x>0.32481</cdr:x>
      <cdr:y>1</cdr:y>
    </cdr:to>
    <cdr:sp macro="" textlink="'M9 Rezeptur, Recycling'!$E$135">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01546" y="0"/>
          <a:ext cx="6308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EE0C056-CE22-4495-9A6F-E80649B82A50}" type="TxLink">
            <a:rPr lang="en-US" sz="1000" b="1" i="0" u="none" strike="noStrike" dirty="0" err="1">
              <a:solidFill>
                <a:srgbClr val="323232"/>
              </a:solidFill>
              <a:latin typeface="Arial"/>
              <a:cs typeface="Arial"/>
            </a:rPr>
            <a:pPr/>
            <a:t>266,8</a:t>
          </a:fld>
          <a:endParaRPr lang="en-GB" sz="1100" dirty="0" err="1">
            <a:solidFill>
              <a:schemeClr val="tx1"/>
            </a:solidFill>
          </a:endParaRPr>
        </a:p>
      </cdr:txBody>
    </cdr:sp>
  </cdr:relSizeAnchor>
  <cdr:relSizeAnchor xmlns:cdr="http://schemas.openxmlformats.org/drawingml/2006/chartDrawing">
    <cdr:from>
      <cdr:x>0.52095</cdr:x>
      <cdr:y>0</cdr:y>
    </cdr:from>
    <cdr:to>
      <cdr:x>0.61274</cdr:x>
      <cdr:y>1</cdr:y>
    </cdr:to>
    <cdr:sp macro="" textlink="'M9 Rezeptur, Recycling'!$F$135">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580489" y="0"/>
          <a:ext cx="630873"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BC939AB-7089-44DB-97F2-08EE2AF4CB03}" type="TxLink">
            <a:rPr lang="en-US" sz="1000" b="1" i="0" u="none" strike="noStrike" dirty="0" err="1">
              <a:solidFill>
                <a:srgbClr val="323232"/>
              </a:solidFill>
              <a:latin typeface="Arial"/>
              <a:cs typeface="Arial"/>
            </a:rPr>
            <a:pPr/>
            <a:t>219,8</a:t>
          </a:fld>
          <a:endParaRPr lang="en-GB" sz="1100" dirty="0" err="1">
            <a:solidFill>
              <a:schemeClr val="tx1"/>
            </a:solidFill>
          </a:endParaRPr>
        </a:p>
      </cdr:txBody>
    </cdr:sp>
  </cdr:relSizeAnchor>
  <cdr:relSizeAnchor xmlns:cdr="http://schemas.openxmlformats.org/drawingml/2006/chartDrawing">
    <cdr:from>
      <cdr:x>0.80269</cdr:x>
      <cdr:y>0</cdr:y>
    </cdr:from>
    <cdr:to>
      <cdr:x>0.89447</cdr:x>
      <cdr:y>1</cdr:y>
    </cdr:to>
    <cdr:sp macro="" textlink="'M9 Rezeptur, Recycling'!$G$135">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516888" y="0"/>
          <a:ext cx="630804"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FCAB81-A713-4613-A1FF-8425E77F27F9}" type="TxLink">
            <a:rPr lang="en-US" sz="1000" b="1" i="0" u="none" strike="noStrike" dirty="0" err="1">
              <a:solidFill>
                <a:srgbClr val="323232"/>
              </a:solidFill>
              <a:latin typeface="Arial"/>
              <a:cs typeface="Arial"/>
            </a:rPr>
            <a:pPr/>
            <a:t>156,5</a:t>
          </a:fld>
          <a:endParaRPr lang="en-GB" sz="1100" dirty="0" err="1">
            <a:solidFill>
              <a:schemeClr val="tx1"/>
            </a:solidFill>
          </a:endParaRPr>
        </a:p>
      </cdr:txBody>
    </cdr:sp>
  </cdr:relSizeAnchor>
  <cdr:relSizeAnchor xmlns:cdr="http://schemas.openxmlformats.org/drawingml/2006/chartDrawing">
    <cdr:from>
      <cdr:x>0.13342</cdr:x>
      <cdr:y>0.02306</cdr:y>
    </cdr:from>
    <cdr:to>
      <cdr:x>0.17698</cdr:x>
      <cdr:y>0.08122</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891242" y="95624"/>
          <a:ext cx="290977" cy="241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7.xml><?xml version="1.0" encoding="utf-8"?>
<c:userShapes xmlns:c="http://schemas.openxmlformats.org/drawingml/2006/chart">
  <cdr:relSizeAnchor xmlns:cdr="http://schemas.openxmlformats.org/drawingml/2006/chartDrawing">
    <cdr:from>
      <cdr:x>0.26001</cdr:x>
      <cdr:y>0</cdr:y>
    </cdr:from>
    <cdr:to>
      <cdr:x>0.35189</cdr:x>
      <cdr:y>0.05347</cdr:y>
    </cdr:to>
    <cdr:sp macro="" textlink="'M9 Rezeptur, Recycling'!$M$140">
      <cdr:nvSpPr>
        <cdr:cNvPr id="2" name="Textfeld 4">
          <a:extLst xmlns:a="http://schemas.openxmlformats.org/drawingml/2006/main">
            <a:ext uri="{FF2B5EF4-FFF2-40B4-BE49-F238E27FC236}">
              <a16:creationId xmlns:a16="http://schemas.microsoft.com/office/drawing/2014/main" id="{D88C153D-788E-268B-4C99-1D5B066C04A3}"/>
            </a:ext>
          </a:extLst>
        </cdr:cNvPr>
        <cdr:cNvSpPr txBox="1"/>
      </cdr:nvSpPr>
      <cdr:spPr>
        <a:xfrm xmlns:a="http://schemas.openxmlformats.org/drawingml/2006/main">
          <a:off x="1691347" y="0"/>
          <a:ext cx="597672"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3C91213-6B8D-4CC0-8E0B-FB5E5FB7B566}" type="TxLink">
            <a:rPr lang="en-US" sz="1000" b="1" i="0" u="none" strike="noStrike" dirty="0" err="1">
              <a:solidFill>
                <a:srgbClr val="323232"/>
              </a:solidFill>
              <a:latin typeface="Arial"/>
              <a:cs typeface="Arial"/>
            </a:rPr>
            <a:pPr/>
            <a:t>5.691</a:t>
          </a:fld>
          <a:endParaRPr lang="en-GB" sz="1100" dirty="0" err="1">
            <a:solidFill>
              <a:schemeClr val="tx1"/>
            </a:solidFill>
          </a:endParaRPr>
        </a:p>
      </cdr:txBody>
    </cdr:sp>
  </cdr:relSizeAnchor>
  <cdr:relSizeAnchor xmlns:cdr="http://schemas.openxmlformats.org/drawingml/2006/chartDrawing">
    <cdr:from>
      <cdr:x>0.52847</cdr:x>
      <cdr:y>0</cdr:y>
    </cdr:from>
    <cdr:to>
      <cdr:x>0.62036</cdr:x>
      <cdr:y>0.05347</cdr:y>
    </cdr:to>
    <cdr:sp macro="" textlink="'M9 Rezeptur, Recycling'!$N$140">
      <cdr:nvSpPr>
        <cdr:cNvPr id="3" name="Textfeld 4">
          <a:extLst xmlns:a="http://schemas.openxmlformats.org/drawingml/2006/main">
            <a:ext uri="{FF2B5EF4-FFF2-40B4-BE49-F238E27FC236}">
              <a16:creationId xmlns:a16="http://schemas.microsoft.com/office/drawing/2014/main" id="{031BECEF-92B7-F69B-EA56-7F729BD337D4}"/>
            </a:ext>
          </a:extLst>
        </cdr:cNvPr>
        <cdr:cNvSpPr txBox="1"/>
      </cdr:nvSpPr>
      <cdr:spPr>
        <a:xfrm xmlns:a="http://schemas.openxmlformats.org/drawingml/2006/main">
          <a:off x="3437660" y="0"/>
          <a:ext cx="597738"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1231624-E9A0-47AE-B94D-3EC779352B37}" type="TxLink">
            <a:rPr lang="en-US" sz="1000" b="1" i="0" u="none" strike="noStrike" dirty="0" err="1">
              <a:solidFill>
                <a:srgbClr val="323232"/>
              </a:solidFill>
              <a:latin typeface="Arial"/>
              <a:cs typeface="Arial"/>
            </a:rPr>
            <a:pPr/>
            <a:t>5.684</a:t>
          </a:fld>
          <a:endParaRPr lang="en-GB" sz="1100" dirty="0" err="1">
            <a:solidFill>
              <a:schemeClr val="tx1"/>
            </a:solidFill>
          </a:endParaRPr>
        </a:p>
      </cdr:txBody>
    </cdr:sp>
  </cdr:relSizeAnchor>
  <cdr:relSizeAnchor xmlns:cdr="http://schemas.openxmlformats.org/drawingml/2006/chartDrawing">
    <cdr:from>
      <cdr:x>0.80393</cdr:x>
      <cdr:y>0</cdr:y>
    </cdr:from>
    <cdr:to>
      <cdr:x>0.89582</cdr:x>
      <cdr:y>0.05347</cdr:y>
    </cdr:to>
    <cdr:sp macro="" textlink="'M9 Rezeptur, Recycling'!$O$140">
      <cdr:nvSpPr>
        <cdr:cNvPr id="4" name="Textfeld 4">
          <a:extLst xmlns:a="http://schemas.openxmlformats.org/drawingml/2006/main">
            <a:ext uri="{FF2B5EF4-FFF2-40B4-BE49-F238E27FC236}">
              <a16:creationId xmlns:a16="http://schemas.microsoft.com/office/drawing/2014/main" id="{10596E9B-EEFA-3A03-3E21-99DE579A7DC0}"/>
            </a:ext>
          </a:extLst>
        </cdr:cNvPr>
        <cdr:cNvSpPr txBox="1"/>
      </cdr:nvSpPr>
      <cdr:spPr>
        <a:xfrm xmlns:a="http://schemas.openxmlformats.org/drawingml/2006/main">
          <a:off x="5229508" y="0"/>
          <a:ext cx="597737" cy="239809"/>
        </a:xfrm>
        <a:prstGeom xmlns:a="http://schemas.openxmlformats.org/drawingml/2006/main" prst="rect">
          <a:avLst/>
        </a:prstGeom>
        <a:noFill xmlns:a="http://schemas.openxmlformats.org/drawingml/2006/main"/>
      </cdr:spPr>
      <cdr:txBody>
        <a:bodyPr xmlns:a="http://schemas.openxmlformats.org/drawingml/2006/main" wrap="square" rtlCol="0" anchor="t">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9EDABD0-74FB-4593-86EC-DC358D7A7CC6}" type="TxLink">
            <a:rPr lang="en-US" sz="1000" b="1" i="0" u="none" strike="noStrike" dirty="0" err="1">
              <a:solidFill>
                <a:srgbClr val="323232"/>
              </a:solidFill>
              <a:latin typeface="Arial"/>
              <a:cs typeface="Arial"/>
            </a:rPr>
            <a:pPr/>
            <a:t>5.674</a:t>
          </a:fld>
          <a:endParaRPr lang="en-GB" sz="1100" dirty="0" err="1">
            <a:solidFill>
              <a:schemeClr val="tx1"/>
            </a:solidFill>
          </a:endParaRPr>
        </a:p>
      </cdr:txBody>
    </cdr:sp>
  </cdr:relSizeAnchor>
  <cdr:relSizeAnchor xmlns:cdr="http://schemas.openxmlformats.org/drawingml/2006/chartDrawing">
    <cdr:from>
      <cdr:x>0.16488</cdr:x>
      <cdr:y>0</cdr:y>
    </cdr:from>
    <cdr:to>
      <cdr:x>0.20844</cdr:x>
      <cdr:y>0.05816</cdr:y>
    </cdr:to>
    <cdr:sp macro="" textlink="">
      <cdr:nvSpPr>
        <cdr:cNvPr id="5" name="Textfeld 7">
          <a:extLst xmlns:a="http://schemas.openxmlformats.org/drawingml/2006/main">
            <a:ext uri="{FF2B5EF4-FFF2-40B4-BE49-F238E27FC236}">
              <a16:creationId xmlns:a16="http://schemas.microsoft.com/office/drawing/2014/main" id="{00000000-0008-0000-0300-000008000000}"/>
            </a:ext>
          </a:extLst>
        </cdr:cNvPr>
        <cdr:cNvSpPr txBox="1"/>
      </cdr:nvSpPr>
      <cdr:spPr>
        <a:xfrm xmlns:a="http://schemas.openxmlformats.org/drawingml/2006/main">
          <a:off x="1098160" y="0"/>
          <a:ext cx="290121" cy="2666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400" b="1" i="0" u="none" strike="noStrike">
              <a:solidFill>
                <a:srgbClr val="000000"/>
              </a:solidFill>
              <a:latin typeface="Symbol" panose="05050102010706020507" pitchFamily="18" charset="2"/>
              <a:cs typeface="Arial"/>
            </a:rPr>
            <a:t>S</a:t>
          </a:r>
        </a:p>
      </cdr:txBody>
    </cdr:sp>
  </cdr:relSizeAnchor>
</c:userShapes>
</file>

<file path=xl/drawings/drawing48.xml><?xml version="1.0" encoding="utf-8"?>
<xdr:wsDr xmlns:xdr="http://schemas.openxmlformats.org/drawingml/2006/spreadsheetDrawing" xmlns:a="http://schemas.openxmlformats.org/drawingml/2006/main">
  <xdr:oneCellAnchor>
    <xdr:from>
      <xdr:col>0</xdr:col>
      <xdr:colOff>95250</xdr:colOff>
      <xdr:row>0</xdr:row>
      <xdr:rowOff>76202</xdr:rowOff>
    </xdr:from>
    <xdr:ext cx="9639300" cy="30394274"/>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95250" y="76202"/>
          <a:ext cx="9639300" cy="30394274"/>
        </a:xfrm>
        <a:prstGeom prst="rect">
          <a:avLst/>
        </a:prstGeom>
        <a:solidFill>
          <a:schemeClr val="bg1">
            <a:lumMod val="95000"/>
          </a:schemeClr>
        </a:solidFill>
      </xdr:spPr>
      <xdr:txBody>
        <a:bodyPr vertOverflow="clip" horzOverflow="clip" wrap="square" rtlCol="0" anchor="t">
          <a:noAutofit/>
        </a:bodyPr>
        <a:lstStyle/>
        <a:p>
          <a:pPr algn="l">
            <a:spcBef>
              <a:spcPts val="900"/>
            </a:spcBef>
            <a:spcAft>
              <a:spcPts val="300"/>
            </a:spcAft>
          </a:pPr>
          <a:r>
            <a:rPr lang="de-DE" sz="2400">
              <a:effectLst/>
              <a:latin typeface="Verdana" panose="020B0604030504040204" pitchFamily="34" charset="0"/>
              <a:ea typeface="Times New Roman" panose="02020603050405020304" pitchFamily="18" charset="0"/>
              <a:cs typeface="Times New Roman" panose="02020603050405020304" pitchFamily="18" charset="0"/>
            </a:rPr>
            <a:t>Nutzungsbedingungen von ecoinvent Emissionsfaktoren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800"/>
            </a:spcAft>
          </a:pPr>
          <a:r>
            <a:rPr lang="de-DE" sz="1050">
              <a:effectLst/>
              <a:latin typeface="Helvetica LT Pro"/>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lnSpc>
              <a:spcPct val="107000"/>
            </a:lnSpc>
            <a:spcAft>
              <a:spcPts val="800"/>
            </a:spcAft>
          </a:pPr>
          <a:r>
            <a:rPr lang="de-DE" sz="1100">
              <a:effectLst/>
              <a:latin typeface="Verdana" panose="020B0604030504040204" pitchFamily="34" charset="0"/>
              <a:ea typeface="Calibri" panose="020F0502020204030204" pitchFamily="34" charset="0"/>
              <a:cs typeface="Times New Roman" panose="02020603050405020304" pitchFamily="18" charset="0"/>
            </a:rPr>
            <a:t>Für Scope 1- und Scope 2-Emissionen sind derzeit Emissionsfaktoren von frei verfügbaren Quellen verwendbar. Speziell im Bereich der Scope 3-Emissionen kann es notwendig sein, dass Emissionsfaktoren aus der Datenbank „ecoinvent“ verwendet werden müssen, da diese in anderen Datenbanken nicht vorhanden sind. </a:t>
          </a:r>
          <a:r>
            <a:rPr lang="de-DE" sz="1100" b="1">
              <a:effectLst/>
              <a:latin typeface="Verdana" panose="020B0604030504040204" pitchFamily="34" charset="0"/>
              <a:ea typeface="Calibri" panose="020F0502020204030204" pitchFamily="34" charset="0"/>
              <a:cs typeface="Times New Roman" panose="02020603050405020304" pitchFamily="18" charset="0"/>
            </a:rPr>
            <a:t>Im vorliegenden Vermeidungskostenrechner wurde ein</a:t>
          </a:r>
          <a:r>
            <a:rPr lang="de-DE" sz="1100" b="1" baseline="0">
              <a:effectLst/>
              <a:latin typeface="Verdana" panose="020B0604030504040204" pitchFamily="34" charset="0"/>
              <a:ea typeface="Calibri" panose="020F0502020204030204" pitchFamily="34" charset="0"/>
              <a:cs typeface="Times New Roman" panose="02020603050405020304" pitchFamily="18" charset="0"/>
            </a:rPr>
            <a:t> Emissionsfaktor von ecoinvent verwendet. Die Lizenzgebühr für die Verwendung dieses (statischen) Emissionsfaktors </a:t>
          </a:r>
          <a:r>
            <a:rPr lang="de-DE" sz="1100" b="1" baseline="0">
              <a:effectLst/>
              <a:latin typeface="+mn-lt"/>
              <a:ea typeface="+mn-ea"/>
              <a:cs typeface="+mn-cs"/>
            </a:rPr>
            <a:t>wurde von FutureCamp Climate im Rahmen des Projektes übernommen. </a:t>
          </a:r>
          <a:r>
            <a:rPr lang="de-DE" sz="1100" b="0" baseline="0">
              <a:effectLst/>
              <a:latin typeface="Verdana" panose="020B0604030504040204" pitchFamily="34" charset="0"/>
              <a:ea typeface="Calibri" panose="020F0502020204030204" pitchFamily="34" charset="0"/>
              <a:cs typeface="Times New Roman" panose="02020603050405020304" pitchFamily="18" charset="0"/>
            </a:rPr>
            <a:t>Das Tool wird durch die Mitglieder des Betonverband SLG genutzt. </a:t>
          </a:r>
        </a:p>
        <a:p>
          <a:pPr algn="l">
            <a:lnSpc>
              <a:spcPct val="107000"/>
            </a:lnSpc>
            <a:spcAft>
              <a:spcPts val="200"/>
            </a:spcAft>
          </a:pPr>
          <a:r>
            <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Folgenden</a:t>
          </a:r>
          <a:r>
            <a:rPr lang="de-DE" sz="1100" b="0" baseline="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sind die Nutzungsbedingungen für ecoinvent-Daten dargestellt.</a:t>
          </a:r>
          <a:endParaRPr lang="de-DE" sz="1100" b="0">
            <a:solidFill>
              <a:srgbClr val="000000"/>
            </a:solidFill>
            <a:effectLst/>
            <a:latin typeface="Verdana" panose="020B0604030504040204" pitchFamily="34" charset="0"/>
            <a:ea typeface="Calibri" panose="020F0502020204030204" pitchFamily="34" charset="0"/>
            <a:cs typeface="Times New Roman" panose="02020603050405020304" pitchFamily="18" charset="0"/>
          </a:endParaRPr>
        </a:p>
        <a:p>
          <a:pPr algn="l">
            <a:lnSpc>
              <a:spcPct val="107000"/>
            </a:lnSpc>
            <a:spcAft>
              <a:spcPts val="200"/>
            </a:spcAft>
          </a:pP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Anlage: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200"/>
            </a:spcAft>
          </a:pPr>
          <a:r>
            <a:rPr lang="de-DE" sz="20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Nutzungsbedingungen (NB) für Benutzer des Tools des Lizenznehmers FutureCamp Climate GmbH, die ecoinvent-Daten verwenden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600">
              <a:solidFill>
                <a:srgbClr val="000000"/>
              </a:solidFill>
              <a:effectLst/>
              <a:latin typeface="Verdana" panose="020B0604030504040204" pitchFamily="34" charset="0"/>
              <a:ea typeface="Calibri" panose="020F0502020204030204" pitchFamily="34" charset="0"/>
              <a:cs typeface="Segoe UI" panose="020B0502040204020203" pitchFamily="34"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spcBef>
              <a:spcPts val="200"/>
            </a:spcBef>
            <a:spcAft>
              <a:spcPts val="3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Version 1.0 / 28. Juli 2022</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Präambel</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FutureCamp Climate GmbH ist Lizenznehmer der ecoinvent Association.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 hat eine Teilmenge der</a:t>
          </a:r>
          <a:r>
            <a:rPr lang="de-DE" sz="1100">
              <a:effectLst/>
              <a:latin typeface="Verdana" panose="020B0604030504040204" pitchFamily="34" charset="0"/>
              <a:ea typeface="Calibri" panose="020F0502020204030204" pitchFamily="34" charset="0"/>
              <a:cs typeface="Times New Roman" panose="02020603050405020304" pitchFamily="18" charset="0"/>
            </a:rPr>
            <a:t>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bzw. Limited Life Cycle Impact Assessment Results)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Tool für seinen kundenseitigen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a:t>
          </a:r>
          <a:r>
            <a:rPr lang="de-DE" sz="1100">
              <a:effectLst/>
              <a:latin typeface="Verdana" panose="020B0604030504040204" pitchFamily="34" charset="0"/>
              <a:ea typeface="Calibri" panose="020F0502020204030204" pitchFamily="34" charset="0"/>
              <a:cs typeface="Times New Roman" panose="02020603050405020304" pitchFamily="18" charset="0"/>
            </a:rPr>
            <a:t>Lizenznehmer FutureCamp Climate GmbH unterlizenziert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eine solche eingeschränkte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(in der Regel Kunde von FutureCamp Climate).</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Parteien vereinbaren daher Folgendes: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1 Begriffsbestimmungen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folgenden definierten Begriffe, die groß geschrieben und in fetten Buchstaben gedruckt werden, müssen sowohl im Singular als auch im Plural die gleiche Bedeutung haben: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juristische Person oder Organisation, die das Tool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entwickelt hat (FutureCamp)</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in diesem Dokument festgelegten Nutzungsbedingungen.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die Anwendung/der Rechner basierend auf Excel oder ähnlicher Applikation,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a:t>
          </a:r>
          <a:r>
            <a:rPr lang="de-DE" sz="1100">
              <a:effectLst/>
              <a:latin typeface="Verdana" panose="020B0604030504040204" pitchFamily="34" charset="0"/>
              <a:ea typeface="Calibri" panose="020F0502020204030204" pitchFamily="34" charset="0"/>
              <a:cs typeface="Times New Roman" panose="02020603050405020304" pitchFamily="18" charset="0"/>
            </a:rPr>
            <a:t> zur Verfügung gestellt wird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Benutzer des </a:t>
          </a:r>
          <a:r>
            <a:rPr lang="de-DE" sz="1100" b="1">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individueller (End)Nutzer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Lizenznehmer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Ergebnisse der Ökobilanz.</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eine Teilmenge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gemäß der Definition unter § 5</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2 Geltungsbereich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ergänzen und gelten für das Vertragsverhältnis zwischen</a:t>
          </a:r>
          <a:r>
            <a:rPr lang="de-DE" sz="1100">
              <a:effectLst/>
              <a:latin typeface="Verdana" panose="020B0604030504040204" pitchFamily="34" charset="0"/>
              <a:ea typeface="Calibri" panose="020F0502020204030204" pitchFamily="34" charset="0"/>
              <a:cs typeface="Times New Roman" panose="02020603050405020304" pitchFamily="18" charset="0"/>
            </a:rPr>
            <a:t> dem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und </a:t>
          </a:r>
          <a:r>
            <a:rPr lang="de-DE" sz="1100">
              <a:effectLst/>
              <a:latin typeface="Verdana" panose="020B0604030504040204" pitchFamily="34" charset="0"/>
              <a:ea typeface="Calibri" panose="020F0502020204030204" pitchFamily="34" charset="0"/>
              <a:cs typeface="Times New Roman" panose="02020603050405020304" pitchFamily="18" charset="0"/>
            </a:rPr>
            <a:t>dem Tool-Benutzer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in dem </a:t>
          </a:r>
          <a:r>
            <a:rPr lang="de-DE" sz="1100">
              <a:effectLst/>
              <a:latin typeface="Verdana" panose="020B0604030504040204" pitchFamily="34" charset="0"/>
              <a:ea typeface="Calibri" panose="020F0502020204030204" pitchFamily="34" charset="0"/>
              <a:cs typeface="Times New Roman" panose="02020603050405020304" pitchFamily="18" charset="0"/>
            </a:rPr>
            <a:t>der Lizenznehmer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seines</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lizenziert.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3 Gewerblicher Rechtsschutz und sonstige Rechte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alleiniges Eigentum von ecoinvent. </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nur lizenziert, nicht verkauft.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ist durch nationale und internationale Gesetze wie Urheberrechtsgesetze, Datenbankrechte und/oder Verträge geschützt. ecoinvent behält sich alle geistigen Eigentumsrechte an und für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vor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das Recht eingeräumt, die ecoinvent-Daten wie hierin dargelegt zu nutzen.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Vorbehaltlich §4 gewährt</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 dem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 nicht ausschließliches, nicht übertragbares, beschränktes, widerrufliches und gebührenpflichtiges Recht während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Laufzeit</a:t>
          </a:r>
          <a:r>
            <a:rPr lang="de-DE" sz="1100">
              <a:effectLst/>
              <a:latin typeface="Verdana" panose="020B0604030504040204" pitchFamily="34" charset="0"/>
              <a:ea typeface="Calibri" panose="020F0502020204030204" pitchFamily="34" charset="0"/>
              <a:cs typeface="Times New Roman" panose="02020603050405020304" pitchFamily="18" charset="0"/>
            </a:rPr>
            <a:t> zur Nutzung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zur Erstellung einer unbegrenzten Anzahl von internen oder externen, kommerziellen oder akademischen Studien und Berichten mit Hilfe</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Tools des Lizenznehmers</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vom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Lizenznehmers unter Angabe von "ecoinvent Data", wie sie im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implementiert sind</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 Angabe der verwendeten ecoinvent Data Version 3.x zitiert.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4 Nutzungsbeschränkungen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erklärt und garantiert, dass seine Tool-Benutzer nicht: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weder ganz noch teilweise verwenden, kopieren, anpassen, ändern, übersetzen, modifizieren, unterlizenzieren, verkaufen oder vertreiben, außer ausdrücklich in dieser Vereinbarung unterlizenziert oder anderweitig ausdrücklich durch zwingendes Recht vorgeschrieben;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(Derivate) davon, die nicht in dieser Vereinbarung gewährt wurde, reproduzieren, verbreiten oder veröffentlichen;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Dritten Rechte in Bezug auf die Limited LCIA gewähren (z. B. Unterlizenzierungsrecht);</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Derivate Datenbanken oder Datensätze oder datenbankähnliche Produkte unter Verwendung der Limited LCIA oder deren Ableitung ganz oder teilweise veröffentlichen oder anderen zur Verfügung stellen;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Extrakte der Limited LCIA oder eines Teils oder einer Ableitung davon erarbeiten;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in einem anderen Produkt oder einer anderen Dienstleistung verwenden;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Limited LCIA oder einen Teil oder eine Ableitung davon verwenden, um Dienstleistungen für Dritte zu erbringen, mit Ausnahme der in dieser Vereinbarung gewährten Studien und Berichte;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Webcrawler oder andere Arten von Software- oder Hardwaretechnologie verwenden, um die Limited LCIA automatisch herunterzuladen oder zu indizieren;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das Tool zurückentwickeln, dekompilieren und disassemblieren, um daraus die Limited LCIA abzuleiten;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Anmeldedaten für den Zugriff auf das Tool an Dritte weitergeben oder Dritten den Zugriff auf das Tool ermöglichen;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Die Unterlizenzrechte an Dritte übertragen.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Der Lizenznehmer wird gegenüber dem Tool-Nutzer geltend machen, dass ecoinvent Begünstigtenrechte hinsichtlich der Durchsetzung der Einschränkungen gemäß dem vorstehenden Absatz hat.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marL="449580" algn="l">
            <a:lnSpc>
              <a:spcPct val="107000"/>
            </a:lnSpc>
            <a:spcBef>
              <a:spcPts val="600"/>
            </a:spcBef>
            <a:spcAft>
              <a:spcPts val="600"/>
            </a:spcAft>
          </a:pPr>
          <a:r>
            <a:rPr lang="de-DE" sz="1100">
              <a:solidFill>
                <a:srgbClr val="000000"/>
              </a:solidFill>
              <a:effectLst/>
              <a:latin typeface="Verdana" panose="020B0604030504040204" pitchFamily="34" charset="0"/>
              <a:ea typeface="Calibri" panose="020F0502020204030204" pitchFamily="34" charset="0"/>
              <a:cs typeface="Segoe UI" panose="020B0502040204020203" pitchFamily="34" charset="0"/>
            </a:rPr>
            <a:t>Wenn der Lizenznehmer feststellt, dass sein Tool-Benutzer gegen eine der Einschränkungen gemäß diesem Abschnitt verstößt, muss der Lizenznehmer ecoinvent unverzüglich schriftlich über den Verstoß informieren.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5 Laufzeit und Kündigung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Das Tool darf vom Tool-Benutzer auf unbeschränkte Zeit verwendet werden, solange diese NB eingehalten werden.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Lizenznehmer</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kann die hierunter gewährten Rechte mit sofortiger Wirkung kündigen, wenn der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gegen 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verstößt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Nach Ablauf oder Beendigung der hierunter gewährten Rechte ist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verpflichtet, alle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von seinen Hard- und Softwaregeräten zu löschen und dem Lizenznehmer eine unaufgeforderte Löschung zu bestätigen.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6 Lizenzgebühr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 Lizenzgebühr für die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richtet sich nach</a:t>
          </a:r>
          <a:r>
            <a:rPr lang="de-DE" sz="1100">
              <a:effectLst/>
              <a:latin typeface="Verdana" panose="020B0604030504040204" pitchFamily="34" charset="0"/>
              <a:ea typeface="Calibri" panose="020F0502020204030204" pitchFamily="34" charset="0"/>
              <a:cs typeface="Times New Roman" panose="02020603050405020304" pitchFamily="18" charset="0"/>
            </a:rPr>
            <a:t> der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zum Zeitpunkt der Bestellung gültigen Preisliste des Lizenznehmers oder vorbehaltlich einer schriftlichen Vereinbarung zwischen den Parteien über den Preis.</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7 Zusicherungen und Gewährleistungen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Begrenzte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wird "wie vorliegend" zur Verfügung gestellt. Es liegt in der Verantwortung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Tool-Benutzers des Lizenznehmers</a:t>
          </a:r>
          <a:r>
            <a:rPr lang="de-DE" sz="1100">
              <a:effectLst/>
              <a:latin typeface="Verdana" panose="020B0604030504040204" pitchFamily="34" charset="0"/>
              <a:ea typeface="Calibri" panose="020F0502020204030204" pitchFamily="34" charset="0"/>
              <a:cs typeface="Times New Roman" panose="02020603050405020304" pitchFamily="18" charset="0"/>
            </a:rPr>
            <a:t>, die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Gültigkeit und Integrität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für seine Verwendung zu überprüfen, zu bewerten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und zu entscheiden, ob es für die beabsichtigte Verwendung geeignet ist oder nicht.</a:t>
          </a:r>
          <a:r>
            <a:rPr lang="de-DE" sz="1100">
              <a:effectLst/>
              <a:latin typeface="Verdana" panose="020B0604030504040204" pitchFamily="34" charset="0"/>
              <a:ea typeface="Calibri" panose="020F0502020204030204" pitchFamily="34" charset="0"/>
              <a:cs typeface="Times New Roman" panose="02020603050405020304" pitchFamily="18" charset="0"/>
            </a:rPr>
            <a: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Der Tool-Benutzer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verwendet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auf eigenes Risiko.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alle ausdrücklichen oder implizierten Zusicherungen und Gewährleistungen von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ab,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einschließlich, aber nicht beschränkt auf Marktfähigkeit, Eignung für einen bestimmten Zweck, Genauigkeit, Vollständigkeit, Richtigkeit und Verletzung der geistigen Eigentumsrechte Dritter.</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ecoinvent</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hat wirtschaftlich angemessene Anstrengungen unternommen, um zu reduzieren, </a:t>
          </a:r>
          <a:r>
            <a:rPr lang="de-DE" sz="1100">
              <a:effectLst/>
              <a:latin typeface="Verdana" panose="020B0604030504040204" pitchFamily="34" charset="0"/>
              <a:ea typeface="Calibri" panose="020F0502020204030204" pitchFamily="34" charset="0"/>
              <a:cs typeface="Times New Roman" panose="02020603050405020304" pitchFamily="18" charset="0"/>
            </a:rPr>
            <a:t>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den Rechten Dritter unterliegt.</a:t>
          </a:r>
          <a:r>
            <a:rPr lang="de-DE" sz="1100">
              <a:effectLst/>
              <a:latin typeface="Verdana" panose="020B0604030504040204" pitchFamily="34" charset="0"/>
              <a:ea typeface="Calibri" panose="020F0502020204030204" pitchFamily="34" charset="0"/>
              <a:cs typeface="Times New Roman" panose="02020603050405020304" pitchFamily="18" charset="0"/>
            </a:rPr>
            <a:t> ecoinvent</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lehnt jedoch ausdrücklich jede Zusicherung ab, dass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nicht den Rechten Dritter unterliegt. </a:t>
          </a:r>
          <a:r>
            <a:rPr lang="de-DE" sz="1100">
              <a:effectLst/>
              <a:latin typeface="Verdana" panose="020B0604030504040204" pitchFamily="34" charset="0"/>
              <a:ea typeface="Calibri" panose="020F0502020204030204" pitchFamily="34" charset="0"/>
              <a:cs typeface="Times New Roman" panose="02020603050405020304" pitchFamily="18" charset="0"/>
            </a:rPr>
            <a:t>Der Tool-Benutzer des Lizenznehmers hat den Lizenznehmer unverzüglich und schriftlich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zu benachrichtigen, wenn ein Dritter im Zusammenhang mit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Limited LCIA</a:t>
          </a:r>
          <a:r>
            <a:rPr lang="de-DE" sz="1100">
              <a:effectLst/>
              <a:latin typeface="Verdana" panose="020B0604030504040204" pitchFamily="34" charset="0"/>
              <a:ea typeface="Calibri" panose="020F0502020204030204" pitchFamily="34" charset="0"/>
              <a:cs typeface="Times New Roman" panose="02020603050405020304" pitchFamily="18" charset="0"/>
            </a:rPr>
            <a:t> einen Verletzungsanspruch gegen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den Tool-Benutzer</a:t>
          </a:r>
          <a:r>
            <a:rPr lang="de-DE" sz="1100">
              <a:effectLst/>
              <a:latin typeface="Verdana" panose="020B0604030504040204" pitchFamily="34" charset="0"/>
              <a:ea typeface="Calibri" panose="020F0502020204030204" pitchFamily="34" charset="0"/>
              <a:cs typeface="Times New Roman" panose="02020603050405020304" pitchFamily="18" charset="0"/>
            </a:rPr>
            <a:t>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Lizenznehmers </a:t>
          </a:r>
          <a:r>
            <a:rPr lang="de-DE" sz="1100">
              <a:effectLst/>
              <a:latin typeface="Verdana" panose="020B0604030504040204" pitchFamily="34" charset="0"/>
              <a:ea typeface="Calibri" panose="020F0502020204030204" pitchFamily="34" charset="0"/>
              <a:cs typeface="Times New Roman" panose="02020603050405020304" pitchFamily="18" charset="0"/>
            </a:rPr>
            <a:t>geltend machen sollte.</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8 Haftungsbeschränkung</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lehnt ecoinvent jegliche Haftung für direkte Schäden und/oder indirekte Schäden (z. B. Folgeschäden, Einkommens-, Geschäfts- oder Gewinnverluste, Reputation) ab, die im Rahmen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effectLst/>
              <a:latin typeface="Verdana" panose="020B0604030504040204" pitchFamily="34" charset="0"/>
              <a:ea typeface="Calibri" panose="020F0502020204030204" pitchFamily="34" charset="0"/>
              <a:cs typeface="Times New Roman" panose="02020603050405020304" pitchFamily="18" charset="0"/>
            </a:rPr>
            <a:t> auftreten</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Soweit dies nach geltendem Recht zulässig ist, ist hiermit jegliche Haftung für die Erfüllungsgehilfen von ecoinvent ausgeschlossen.</a:t>
          </a:r>
          <a:r>
            <a:rPr lang="de-DE" sz="1100">
              <a:effectLst/>
              <a:latin typeface="Verdana" panose="020B0604030504040204" pitchFamily="34" charset="0"/>
              <a:ea typeface="Calibri" panose="020F0502020204030204" pitchFamily="34" charset="0"/>
              <a:cs typeface="Times New Roman" panose="02020603050405020304" pitchFamily="18" charset="0"/>
            </a:rPr>
            <a:t>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just">
            <a:spcAft>
              <a:spcPts val="600"/>
            </a:spcAft>
          </a:pPr>
          <a:endParaRPr lang="de-DE" sz="1100" b="1">
            <a:effectLst/>
            <a:latin typeface="Verdana" panose="020B0604030504040204" pitchFamily="34" charset="0"/>
            <a:ea typeface="Calibri" panose="020F0502020204030204" pitchFamily="34" charset="0"/>
            <a:cs typeface="Times New Roman" panose="02020603050405020304" pitchFamily="18" charset="0"/>
          </a:endParaRPr>
        </a:p>
        <a:p>
          <a:pPr algn="just">
            <a:spcAft>
              <a:spcPts val="600"/>
            </a:spcAft>
          </a:pPr>
          <a:r>
            <a:rPr lang="de-DE" sz="1100" b="1">
              <a:effectLst/>
              <a:latin typeface="Verdana" panose="020B0604030504040204" pitchFamily="34" charset="0"/>
              <a:ea typeface="Calibri" panose="020F0502020204030204" pitchFamily="34" charset="0"/>
              <a:cs typeface="Times New Roman" panose="02020603050405020304" pitchFamily="18" charset="0"/>
            </a:rPr>
            <a:t>§ 9 Anwendbares Recht und Gerichtsstand</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Allgemeine Geschäftsbedingungen des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Tool-Nutzers des Lizenznehmers </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werden ausdrücklich ausgeschlossen.</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Diese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unterstehen ausschließlich schweizerischem Recht, ohne Rücksicht auf die Grundsätze des Kollisionsrechts. </a:t>
          </a:r>
          <a:endParaRPr lang="de-DE" sz="1100">
            <a:effectLst/>
            <a:latin typeface="Verdana" panose="020B0604030504040204" pitchFamily="34" charset="0"/>
            <a:ea typeface="Times New Roman" panose="02020603050405020304" pitchFamily="18" charset="0"/>
            <a:cs typeface="Times New Roman" panose="02020603050405020304" pitchFamily="18" charset="0"/>
          </a:endParaRPr>
        </a:p>
        <a:p>
          <a:pPr algn="l">
            <a:lnSpc>
              <a:spcPct val="107000"/>
            </a:lnSpc>
            <a:spcAft>
              <a:spcPts val="1400"/>
            </a:spcAft>
          </a:pP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Meinungsverschiedenheiten über die Auslegung dieser </a:t>
          </a:r>
          <a:r>
            <a:rPr lang="de-DE" sz="1100" b="1">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NB</a:t>
          </a:r>
          <a:r>
            <a:rPr lang="de-DE" sz="1100">
              <a:solidFill>
                <a:srgbClr val="000000"/>
              </a:solidFill>
              <a:effectLst/>
              <a:latin typeface="Verdana" panose="020B0604030504040204" pitchFamily="34" charset="0"/>
              <a:ea typeface="Calibri" panose="020F0502020204030204" pitchFamily="34" charset="0"/>
              <a:cs typeface="Times New Roman" panose="02020603050405020304" pitchFamily="18" charset="0"/>
            </a:rPr>
            <a:t> oder andere Meinungsverschiedenheiten zwischen den Parteien über den oben beschriebenen Anwendungsbereich werden zuerst gütlich beigelegt. Für den Fall, dass keine gütliche Einigung erzielt wird, werden die sich aus oder im Zusammenhang mit diesen NB ergebenden Streitigkeiten ausschließlich vor dem zuständigen Gericht der Stadt Zürich verhandelt.</a:t>
          </a:r>
          <a:br>
            <a:rPr lang="de-DE" sz="1100" b="1" i="1">
              <a:solidFill>
                <a:srgbClr val="C00000"/>
              </a:solidFill>
              <a:effectLst/>
              <a:latin typeface="Verdana" panose="020B0604030504040204" pitchFamily="34" charset="0"/>
              <a:ea typeface="Times New Roman" panose="02020603050405020304" pitchFamily="18" charset="0"/>
              <a:cs typeface="Times New Roman" panose="02020603050405020304" pitchFamily="18" charset="0"/>
            </a:rPr>
          </a:br>
          <a:endParaRPr lang="de-DE" sz="1100" dirty="0" err="1">
            <a:solidFill>
              <a:schemeClr val="tx1"/>
            </a:solidFill>
          </a:endParaRPr>
        </a:p>
      </xdr:txBody>
    </xdr:sp>
    <xdr:clientData/>
  </xdr:oneCellAnchor>
</xdr:wsDr>
</file>

<file path=xl/theme/theme1.xml><?xml version="1.0" encoding="utf-8"?>
<a:theme xmlns:a="http://schemas.openxmlformats.org/drawingml/2006/main" name="FC-Climate">
  <a:themeElements>
    <a:clrScheme name="Betonverband">
      <a:dk1>
        <a:srgbClr val="323232"/>
      </a:dk1>
      <a:lt1>
        <a:srgbClr val="FFFFFF"/>
      </a:lt1>
      <a:dk2>
        <a:srgbClr val="323232"/>
      </a:dk2>
      <a:lt2>
        <a:srgbClr val="FFFFFF"/>
      </a:lt2>
      <a:accent1>
        <a:srgbClr val="B9B9B9"/>
      </a:accent1>
      <a:accent2>
        <a:srgbClr val="97CDFF"/>
      </a:accent2>
      <a:accent3>
        <a:srgbClr val="00549F"/>
      </a:accent3>
      <a:accent4>
        <a:srgbClr val="002546"/>
      </a:accent4>
      <a:accent5>
        <a:srgbClr val="32AF64"/>
      </a:accent5>
      <a:accent6>
        <a:srgbClr val="FAC832"/>
      </a:accent6>
      <a:hlink>
        <a:srgbClr val="323232"/>
      </a:hlink>
      <a:folHlink>
        <a:srgbClr val="323232"/>
      </a:folHlink>
    </a:clrScheme>
    <a:fontScheme name="FC-Excel">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1">
            <a:lumMod val="10000"/>
            <a:lumOff val="90000"/>
          </a:schemeClr>
        </a:solidFill>
        <a:ln>
          <a:solidFill>
            <a:schemeClr val="bg1">
              <a:lumMod val="75000"/>
            </a:schemeClr>
          </a:solidFill>
        </a:ln>
        <a:effectLst/>
      </a:spPr>
      <a:bodyPr vert="horz" wrap="square" lIns="91440" tIns="45720" rIns="91440" bIns="45720" numCol="1" rtlCol="0" anchor="ctr" anchorCtr="0" compatLnSpc="1">
        <a:prstTxWarp prst="textNoShape">
          <a:avLst/>
        </a:prstTxWarp>
        <a:noAutofit/>
      </a:bodyPr>
      <a:lstStyle>
        <a:defPPr algn="ctr">
          <a:defRPr dirty="0">
            <a:solidFill>
              <a:schemeClr val="tx1"/>
            </a:solidFill>
          </a:defRPr>
        </a:defPPr>
      </a:lstStyle>
    </a:spDef>
    <a:lnDef>
      <a:spPr bwMode="auto">
        <a:noFill/>
        <a:ln w="9525" cap="flat" cmpd="sng" algn="ctr">
          <a:solidFill>
            <a:srgbClr val="646464"/>
          </a:solidFill>
          <a:prstDash val="solid"/>
          <a:round/>
          <a:headEnd type="none" w="med" len="med"/>
          <a:tailEnd type="triangle" w="lg" len="me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a:lstStyle/>
    </a:lnDef>
    <a:txDef>
      <a:spPr>
        <a:noFill/>
      </a:spPr>
      <a:bodyPr wrap="square" rtlCol="0">
        <a:spAutoFit/>
      </a:bodyPr>
      <a:lstStyle>
        <a:defPPr>
          <a:defRPr dirty="0" err="1" smtClean="0">
            <a:solidFill>
              <a:schemeClr val="tx1"/>
            </a:solidFill>
          </a:defRPr>
        </a:defPPr>
      </a:lstStyle>
    </a:txDef>
  </a:objectDefaults>
  <a:extraClrSchemeLst>
    <a:extraClrScheme>
      <a:clrScheme name="Larissa 1">
        <a:dk1>
          <a:srgbClr val="000000"/>
        </a:dk1>
        <a:lt1>
          <a:srgbClr val="FFFFFF"/>
        </a:lt1>
        <a:dk2>
          <a:srgbClr val="000000"/>
        </a:dk2>
        <a:lt2>
          <a:srgbClr val="333333"/>
        </a:lt2>
        <a:accent1>
          <a:srgbClr val="DDDDDD"/>
        </a:accent1>
        <a:accent2>
          <a:srgbClr val="808080"/>
        </a:accent2>
        <a:accent3>
          <a:srgbClr val="FFFFFF"/>
        </a:accent3>
        <a:accent4>
          <a:srgbClr val="000000"/>
        </a:accent4>
        <a:accent5>
          <a:srgbClr val="EBEBEB"/>
        </a:accent5>
        <a:accent6>
          <a:srgbClr val="737373"/>
        </a:accent6>
        <a:hlink>
          <a:srgbClr val="4D4D4D"/>
        </a:hlink>
        <a:folHlink>
          <a:srgbClr val="EAEAEA"/>
        </a:folHlink>
      </a:clrScheme>
      <a:clrMap bg1="lt1" tx1="dk1" bg2="lt2" tx2="dk2" accent1="accent1" accent2="accent2" accent3="accent3" accent4="accent4" accent5="accent5" accent6="accent6" hlink="hlink" folHlink="folHlink"/>
    </a:extraClrScheme>
  </a:extraClrSchemeLst>
</a:theme>
</file>

<file path=xl/threadedComments/threadedComment1.xml><?xml version="1.0" encoding="utf-8"?>
<ThreadedComments xmlns="http://schemas.microsoft.com/office/spreadsheetml/2018/threadedcomments" xmlns:x="http://schemas.openxmlformats.org/spreadsheetml/2006/main">
  <threadedComment ref="L14" dT="2023-01-26T11:58:32.95" personId="{00000000-0000-0000-0000-000000000000}" id="{F5C0D0CF-25C2-4336-A403-7ABC09D2476B}">
    <text>Der erscheinende Hinweis zur Handeingabe für das Jahr 2030 sollte wieder verschwinden, wenn für 2030 ein Wert größer/gleich dem Wert für 2025 erfolgt ist. Gilt auch für z. B. M5 PV-Anlage und M6</text>
  </threadedComment>
</ThreadedComments>
</file>

<file path=xl/threadedComments/threadedComment2.xml><?xml version="1.0" encoding="utf-8"?>
<ThreadedComments xmlns="http://schemas.microsoft.com/office/spreadsheetml/2018/threadedcomments" xmlns:x="http://schemas.openxmlformats.org/spreadsheetml/2006/main">
  <threadedComment ref="H305" dT="2023-07-27T13:29:38.57" personId="{00000000-0000-0000-0000-000000000000}" id="{24BE383D-DD7B-49F7-9C4F-C4D8B27AF57C}">
    <text xml:space="preserve">H286 wurde nicht abgezogen. Somit sind die Werte in H287+H288 doppelt erfasst.
Wurde korrigiert.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ebkontakt@future-camp.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8.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drawing" Target="../drawings/drawing13.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4.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18.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vmlDrawing" Target="../drawings/vmlDrawing5.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2" Type="http://schemas.openxmlformats.org/officeDocument/2006/relationships/drawing" Target="../drawings/drawing23.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1.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26" Type="http://schemas.openxmlformats.org/officeDocument/2006/relationships/ctrlProp" Target="../ctrlProps/ctrlProp148.xml"/><Relationship Id="rId3" Type="http://schemas.openxmlformats.org/officeDocument/2006/relationships/vmlDrawing" Target="../drawings/vmlDrawing6.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28.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2.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28" Type="http://schemas.openxmlformats.org/officeDocument/2006/relationships/ctrlProp" Target="../ctrlProps/ctrlProp150.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 Id="rId27" Type="http://schemas.openxmlformats.org/officeDocument/2006/relationships/ctrlProp" Target="../ctrlProps/ctrlProp1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7.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2" Type="http://schemas.openxmlformats.org/officeDocument/2006/relationships/drawing" Target="../drawings/drawing33.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1" Type="http://schemas.openxmlformats.org/officeDocument/2006/relationships/printerSettings" Target="../printerSettings/printerSettings13.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vmlDrawing" Target="../drawings/vmlDrawing8.v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drawing" Target="../drawings/drawing38.xml"/><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printerSettings" Target="../printerSettings/printerSettings14.bin"/><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microsoft.com/office/2017/10/relationships/threadedComment" Target="../threadedComments/threadedComment2.xml"/><Relationship Id="rId4" Type="http://schemas.openxmlformats.org/officeDocument/2006/relationships/ctrlProp" Target="../ctrlProps/ctrlProp177.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 Type="http://schemas.openxmlformats.org/officeDocument/2006/relationships/vmlDrawing" Target="../drawings/vmlDrawing9.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2" Type="http://schemas.openxmlformats.org/officeDocument/2006/relationships/drawing" Target="../drawings/drawing43.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1" Type="http://schemas.openxmlformats.org/officeDocument/2006/relationships/printerSettings" Target="../printerSettings/printerSettings15.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umweltbundesamt.de/publikationen/entwicklung-der-spezifischen-kohlendioxid-8" TargetMode="External"/><Relationship Id="rId3" Type="http://schemas.openxmlformats.org/officeDocument/2006/relationships/hyperlink" Target="https://muster-epd.deutsche-bauchemie.de/fileadmin/user_upload/EFCA-model-EPD_plasticisers_superplasticisers_final_2026-12-15.pdf" TargetMode="External"/><Relationship Id="rId7" Type="http://schemas.openxmlformats.org/officeDocument/2006/relationships/hyperlink" Target="https://www.dehst.de/SharedDocs/downloads/DE/stationaere_anlagen/2021-2030/Ueberwachungsplan-Emissionsbericht_Leitfaden.pdf?__blob=publicationFile&amp;v=2" TargetMode="External"/><Relationship Id="rId2" Type="http://schemas.openxmlformats.org/officeDocument/2006/relationships/hyperlink" Target="https://www.rheingas.de/fluessiggas/gastank/der-energietraeger-fluessiggas/umrechner" TargetMode="External"/><Relationship Id="rId1" Type="http://schemas.openxmlformats.org/officeDocument/2006/relationships/hyperlink" Target="https://www-genesis.destatis.de/genesis/online?operation=abruftabelleBearbeiten&amp;levelindex=1&amp;levelid=1662640912503&amp;auswahloperation=abruftabelleAuspraegungAuswaehlen&amp;auswahlverzeichnis=ordnungsstruktur&amp;auswahlziel=werteabruf&amp;code=61243-0011&amp;auswahltext=&amp;werteabruf=starten" TargetMode="External"/><Relationship Id="rId6" Type="http://schemas.openxmlformats.org/officeDocument/2006/relationships/hyperlink" Target="https://muster-epd.deutsche-bauchemie.de/fileadmin/user_upload/EFCA-model-EPD_water-resisting_admixtures_final_2026-12-15.pdf" TargetMode="External"/><Relationship Id="rId5" Type="http://schemas.openxmlformats.org/officeDocument/2006/relationships/hyperlink" Target="https://muster-epd.deutsche-bauchemie.de/fileadmin/user_upload/EFCA-model-EPD_retarders_final_2026-12-15.pdf" TargetMode="External"/><Relationship Id="rId4" Type="http://schemas.openxmlformats.org/officeDocument/2006/relationships/hyperlink" Target="https://muster-epd.deutsche-bauchemie.de/fileadmin/user_upload/EFCA-model-EPD_air_entrainers_final_2026-12-15.pdf" TargetMode="External"/><Relationship Id="rId9"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0863D-2D56-4E3E-9B24-F2095E93961F}">
  <sheetPr>
    <pageSetUpPr fitToPage="1"/>
  </sheetPr>
  <dimension ref="B2:K36"/>
  <sheetViews>
    <sheetView tabSelected="1" zoomScale="115" zoomScaleNormal="115" workbookViewId="0">
      <selection activeCell="D30" sqref="D30"/>
    </sheetView>
  </sheetViews>
  <sheetFormatPr baseColWidth="10" defaultColWidth="9" defaultRowHeight="12.75" x14ac:dyDescent="0.2"/>
  <cols>
    <col min="1" max="2" width="2.5" style="2" customWidth="1"/>
    <col min="3" max="3" width="20.375" style="2" customWidth="1"/>
    <col min="4" max="4" width="22" style="2" customWidth="1"/>
    <col min="5" max="8" width="9" style="2"/>
    <col min="9" max="9" width="39.75" style="2" bestFit="1" customWidth="1"/>
    <col min="10" max="10" width="16.5" style="2" customWidth="1"/>
    <col min="11" max="16384" width="9" style="2"/>
  </cols>
  <sheetData>
    <row r="2" spans="2:11" x14ac:dyDescent="0.2">
      <c r="B2" s="3"/>
      <c r="C2" s="3"/>
      <c r="D2" s="3"/>
      <c r="E2" s="3"/>
      <c r="F2" s="3"/>
      <c r="G2" s="3"/>
      <c r="H2" s="3"/>
      <c r="I2" s="3"/>
      <c r="J2" s="3"/>
      <c r="K2" s="3"/>
    </row>
    <row r="3" spans="2:11" x14ac:dyDescent="0.2">
      <c r="B3" s="3"/>
      <c r="C3" s="3"/>
      <c r="D3" s="3"/>
      <c r="E3" s="3"/>
      <c r="F3" s="3"/>
      <c r="G3" s="3"/>
      <c r="H3" s="3"/>
      <c r="I3" s="3"/>
      <c r="J3" s="3"/>
      <c r="K3" s="3"/>
    </row>
    <row r="4" spans="2:11" x14ac:dyDescent="0.2">
      <c r="B4" s="3"/>
      <c r="C4" s="3"/>
      <c r="D4" s="3"/>
      <c r="E4" s="3"/>
      <c r="F4" s="3"/>
      <c r="G4" s="3"/>
      <c r="H4" s="3"/>
      <c r="I4" s="3"/>
      <c r="J4" s="3"/>
      <c r="K4" s="3"/>
    </row>
    <row r="5" spans="2:11" x14ac:dyDescent="0.2">
      <c r="B5" s="3"/>
      <c r="C5" s="3"/>
      <c r="D5" s="3"/>
      <c r="E5" s="3"/>
      <c r="F5" s="3"/>
      <c r="G5" s="3"/>
      <c r="H5" s="3"/>
      <c r="I5" s="3"/>
      <c r="J5" s="3"/>
      <c r="K5" s="3"/>
    </row>
    <row r="6" spans="2:11" x14ac:dyDescent="0.2">
      <c r="B6" s="3"/>
      <c r="C6" s="3"/>
      <c r="D6" s="3"/>
      <c r="E6" s="3"/>
      <c r="F6" s="3"/>
      <c r="G6" s="3"/>
      <c r="H6" s="3"/>
      <c r="I6" s="3"/>
      <c r="J6" s="3"/>
      <c r="K6" s="3"/>
    </row>
    <row r="7" spans="2:11" x14ac:dyDescent="0.2">
      <c r="B7" s="3"/>
      <c r="C7" s="3"/>
      <c r="D7" s="3"/>
      <c r="E7" s="3"/>
      <c r="F7" s="3"/>
      <c r="G7" s="3"/>
      <c r="H7" s="3"/>
      <c r="I7" s="3"/>
      <c r="J7" s="3"/>
      <c r="K7" s="3"/>
    </row>
    <row r="8" spans="2:11" x14ac:dyDescent="0.2">
      <c r="B8" s="3"/>
      <c r="C8" s="3"/>
      <c r="D8" s="3"/>
      <c r="E8" s="3"/>
      <c r="F8" s="3"/>
      <c r="G8" s="3"/>
      <c r="H8" s="3"/>
      <c r="I8" s="3"/>
      <c r="J8" s="3"/>
      <c r="K8" s="3"/>
    </row>
    <row r="9" spans="2:11" ht="15.75" x14ac:dyDescent="0.25">
      <c r="B9" s="3"/>
      <c r="C9" s="86" t="s">
        <v>0</v>
      </c>
      <c r="D9" s="3"/>
      <c r="E9" s="3"/>
      <c r="F9" s="3"/>
      <c r="G9" s="3"/>
      <c r="H9" s="3"/>
      <c r="I9" s="3"/>
      <c r="J9" s="3"/>
      <c r="K9" s="3"/>
    </row>
    <row r="10" spans="2:11" ht="15" x14ac:dyDescent="0.2">
      <c r="B10" s="3"/>
      <c r="C10" s="87"/>
      <c r="D10" s="3"/>
      <c r="E10" s="3"/>
      <c r="F10" s="3"/>
      <c r="G10" s="3"/>
      <c r="H10" s="3"/>
      <c r="I10" s="3"/>
      <c r="J10" s="3"/>
      <c r="K10" s="3"/>
    </row>
    <row r="11" spans="2:11" ht="15.75" x14ac:dyDescent="0.25">
      <c r="B11" s="3"/>
      <c r="C11" s="86" t="s">
        <v>459</v>
      </c>
      <c r="D11" s="3"/>
      <c r="E11" s="3"/>
      <c r="F11" s="3"/>
      <c r="G11" s="3"/>
      <c r="H11" s="3"/>
      <c r="I11" s="3"/>
      <c r="J11" s="3"/>
      <c r="K11" s="3"/>
    </row>
    <row r="12" spans="2:11" ht="15.75" x14ac:dyDescent="0.25">
      <c r="B12" s="3"/>
      <c r="C12" s="88"/>
      <c r="D12" s="89"/>
      <c r="E12" s="89"/>
      <c r="F12" s="89"/>
      <c r="G12" s="89"/>
      <c r="H12" s="89"/>
      <c r="I12" s="89"/>
      <c r="J12" s="89"/>
      <c r="K12" s="3"/>
    </row>
    <row r="13" spans="2:11" x14ac:dyDescent="0.2">
      <c r="B13" s="3"/>
      <c r="C13" s="3"/>
      <c r="D13" s="3"/>
      <c r="E13" s="3"/>
      <c r="F13" s="3"/>
      <c r="G13" s="3"/>
      <c r="H13" s="3"/>
      <c r="I13" s="3"/>
      <c r="J13" s="3"/>
      <c r="K13" s="3"/>
    </row>
    <row r="14" spans="2:11" x14ac:dyDescent="0.2">
      <c r="B14" s="3"/>
      <c r="C14" s="3" t="s">
        <v>176</v>
      </c>
      <c r="D14" s="3"/>
      <c r="E14" s="3"/>
      <c r="F14" s="3"/>
      <c r="G14" s="3"/>
      <c r="H14" s="3"/>
      <c r="I14" s="3"/>
      <c r="J14" s="3"/>
      <c r="K14" s="3"/>
    </row>
    <row r="15" spans="2:11" x14ac:dyDescent="0.2">
      <c r="B15" s="3"/>
      <c r="C15" s="3"/>
      <c r="D15" s="3"/>
      <c r="E15" s="3"/>
      <c r="F15" s="3"/>
      <c r="G15" s="3"/>
      <c r="H15" s="3"/>
      <c r="I15" s="3"/>
      <c r="J15" s="3"/>
      <c r="K15" s="3"/>
    </row>
    <row r="16" spans="2:11" x14ac:dyDescent="0.2">
      <c r="B16" s="3"/>
      <c r="C16" s="3" t="s">
        <v>1</v>
      </c>
      <c r="D16" s="3" t="s">
        <v>2</v>
      </c>
      <c r="E16" s="3"/>
      <c r="F16" s="3"/>
      <c r="G16" s="3" t="s">
        <v>12</v>
      </c>
      <c r="H16" s="3"/>
      <c r="I16" s="3" t="s">
        <v>16</v>
      </c>
      <c r="J16" s="3"/>
      <c r="K16" s="3"/>
    </row>
    <row r="17" spans="2:11" x14ac:dyDescent="0.2">
      <c r="B17" s="3"/>
      <c r="C17" s="3"/>
      <c r="D17" s="3" t="s">
        <v>3</v>
      </c>
      <c r="E17" s="3"/>
      <c r="F17" s="3"/>
      <c r="G17" s="3"/>
      <c r="H17" s="3"/>
      <c r="I17" s="3" t="s">
        <v>17</v>
      </c>
      <c r="J17" s="3"/>
      <c r="K17" s="3"/>
    </row>
    <row r="18" spans="2:11" x14ac:dyDescent="0.2">
      <c r="B18" s="3"/>
      <c r="C18" s="3"/>
      <c r="D18" s="3" t="s">
        <v>4</v>
      </c>
      <c r="E18" s="3"/>
      <c r="F18" s="3"/>
      <c r="G18" s="3"/>
      <c r="H18" s="3"/>
      <c r="I18" s="3" t="s">
        <v>18</v>
      </c>
      <c r="J18" s="3"/>
      <c r="K18" s="3"/>
    </row>
    <row r="19" spans="2:11" x14ac:dyDescent="0.2">
      <c r="B19" s="3"/>
      <c r="C19" s="3"/>
      <c r="D19" s="3" t="s">
        <v>5</v>
      </c>
      <c r="E19" s="3"/>
      <c r="F19" s="3"/>
      <c r="G19" s="3"/>
      <c r="H19" s="3"/>
      <c r="I19" s="3"/>
      <c r="J19" s="3"/>
      <c r="K19" s="3"/>
    </row>
    <row r="20" spans="2:11" x14ac:dyDescent="0.2">
      <c r="B20" s="3"/>
      <c r="C20" s="3"/>
      <c r="D20" s="3"/>
      <c r="E20" s="3"/>
      <c r="F20" s="3"/>
      <c r="G20" s="3"/>
      <c r="H20" s="3"/>
      <c r="I20" s="3"/>
      <c r="J20" s="3"/>
      <c r="K20" s="3"/>
    </row>
    <row r="21" spans="2:11" x14ac:dyDescent="0.2">
      <c r="B21" s="3"/>
      <c r="C21" s="3"/>
      <c r="D21" s="3" t="s">
        <v>174</v>
      </c>
      <c r="E21" s="3"/>
      <c r="F21" s="3"/>
      <c r="G21" s="3" t="s">
        <v>13</v>
      </c>
      <c r="H21" s="3"/>
      <c r="I21" s="3" t="s">
        <v>19</v>
      </c>
      <c r="J21" s="3"/>
      <c r="K21" s="3"/>
    </row>
    <row r="22" spans="2:11" x14ac:dyDescent="0.2">
      <c r="B22" s="3"/>
      <c r="C22" s="3"/>
      <c r="D22" s="3" t="s">
        <v>175</v>
      </c>
      <c r="E22" s="3"/>
      <c r="F22" s="3"/>
      <c r="G22" s="3" t="s">
        <v>14</v>
      </c>
      <c r="H22" s="3"/>
      <c r="I22" s="3" t="s">
        <v>19</v>
      </c>
      <c r="J22" s="3"/>
      <c r="K22" s="3"/>
    </row>
    <row r="23" spans="2:11" x14ac:dyDescent="0.2">
      <c r="B23" s="3"/>
      <c r="C23" s="3"/>
      <c r="D23" s="3"/>
      <c r="E23" s="3"/>
      <c r="F23" s="3"/>
      <c r="G23" s="3"/>
      <c r="H23" s="3"/>
      <c r="I23" s="3"/>
      <c r="J23" s="3"/>
      <c r="K23" s="3"/>
    </row>
    <row r="24" spans="2:11" x14ac:dyDescent="0.2">
      <c r="B24" s="3"/>
      <c r="C24" s="3"/>
      <c r="D24" s="3"/>
      <c r="E24" s="3"/>
      <c r="F24" s="3"/>
      <c r="G24" s="3"/>
      <c r="H24" s="3"/>
      <c r="I24" s="3"/>
      <c r="J24" s="3"/>
      <c r="K24" s="3"/>
    </row>
    <row r="25" spans="2:11" x14ac:dyDescent="0.2">
      <c r="B25" s="3"/>
      <c r="C25" s="3" t="s">
        <v>449</v>
      </c>
      <c r="D25" s="3" t="s">
        <v>11</v>
      </c>
      <c r="E25" s="3"/>
      <c r="F25" s="3"/>
      <c r="G25" s="3" t="s">
        <v>15</v>
      </c>
      <c r="H25" s="3"/>
      <c r="I25" s="3" t="s">
        <v>2</v>
      </c>
      <c r="J25" s="3"/>
      <c r="K25" s="3"/>
    </row>
    <row r="26" spans="2:11" x14ac:dyDescent="0.2">
      <c r="B26" s="3"/>
      <c r="C26" s="3"/>
      <c r="D26" s="3"/>
      <c r="E26" s="3"/>
      <c r="F26" s="3"/>
      <c r="G26" s="3"/>
      <c r="H26" s="3"/>
      <c r="I26" s="3"/>
      <c r="J26" s="3"/>
      <c r="K26" s="3"/>
    </row>
    <row r="27" spans="2:11" x14ac:dyDescent="0.2">
      <c r="B27" s="3"/>
      <c r="C27" s="89"/>
      <c r="D27" s="89"/>
      <c r="E27" s="89"/>
      <c r="F27" s="89"/>
      <c r="G27" s="89"/>
      <c r="H27" s="89"/>
      <c r="I27" s="89"/>
      <c r="J27" s="89"/>
      <c r="K27" s="3"/>
    </row>
    <row r="28" spans="2:11" x14ac:dyDescent="0.2">
      <c r="B28" s="3"/>
      <c r="C28" s="3"/>
      <c r="D28" s="3"/>
      <c r="E28" s="3"/>
      <c r="F28" s="3"/>
      <c r="G28" s="3"/>
      <c r="H28" s="3"/>
      <c r="I28" s="3"/>
      <c r="J28" s="3"/>
      <c r="K28" s="3"/>
    </row>
    <row r="29" spans="2:11" x14ac:dyDescent="0.2">
      <c r="B29" s="3"/>
      <c r="C29" s="3" t="s">
        <v>6</v>
      </c>
      <c r="D29" s="4">
        <v>45013</v>
      </c>
      <c r="E29" s="3"/>
      <c r="F29" s="3"/>
      <c r="G29" s="3" t="s">
        <v>172</v>
      </c>
      <c r="H29" s="3"/>
      <c r="I29" s="3"/>
      <c r="J29" s="3"/>
      <c r="K29" s="3"/>
    </row>
    <row r="30" spans="2:11" x14ac:dyDescent="0.2">
      <c r="B30" s="3"/>
      <c r="C30" s="3" t="s">
        <v>7</v>
      </c>
      <c r="D30" s="5" t="s">
        <v>8</v>
      </c>
      <c r="E30" s="3"/>
      <c r="F30" s="3"/>
      <c r="G30" s="3" t="s">
        <v>173</v>
      </c>
      <c r="H30" s="3"/>
      <c r="I30" s="3"/>
      <c r="J30" s="3"/>
      <c r="K30" s="3"/>
    </row>
    <row r="31" spans="2:11" x14ac:dyDescent="0.2">
      <c r="B31" s="3"/>
      <c r="C31" s="3"/>
      <c r="D31" s="5"/>
      <c r="E31" s="3"/>
      <c r="F31" s="3"/>
      <c r="G31" s="3"/>
      <c r="H31" s="3"/>
      <c r="I31" s="3"/>
      <c r="J31" s="3"/>
      <c r="K31" s="3"/>
    </row>
    <row r="32" spans="2:11" x14ac:dyDescent="0.2">
      <c r="B32" s="3"/>
      <c r="C32" s="3" t="s">
        <v>9</v>
      </c>
      <c r="D32" s="5" t="s">
        <v>10</v>
      </c>
      <c r="E32" s="3"/>
      <c r="F32" s="3"/>
      <c r="G32" s="3"/>
      <c r="H32" s="3"/>
      <c r="I32" s="3"/>
      <c r="J32" s="3"/>
      <c r="K32" s="3"/>
    </row>
    <row r="33" spans="2:11" x14ac:dyDescent="0.2">
      <c r="B33" s="3"/>
      <c r="C33" s="3"/>
      <c r="D33" s="3"/>
      <c r="E33" s="3"/>
      <c r="F33" s="3"/>
      <c r="G33" s="3" t="s">
        <v>443</v>
      </c>
      <c r="H33" s="3"/>
      <c r="I33" s="3" t="s">
        <v>444</v>
      </c>
      <c r="J33" s="3"/>
      <c r="K33" s="3"/>
    </row>
    <row r="34" spans="2:11" x14ac:dyDescent="0.2">
      <c r="B34" s="3"/>
      <c r="C34" s="3"/>
      <c r="D34" s="3"/>
      <c r="E34" s="3"/>
      <c r="F34" s="3"/>
      <c r="G34" s="3"/>
      <c r="H34" s="3"/>
      <c r="I34" s="3" t="s">
        <v>445</v>
      </c>
      <c r="J34" s="3"/>
      <c r="K34" s="3"/>
    </row>
    <row r="35" spans="2:11" x14ac:dyDescent="0.2">
      <c r="B35" s="3"/>
      <c r="C35" s="3"/>
      <c r="D35" s="3"/>
      <c r="E35" s="3"/>
      <c r="F35" s="3"/>
      <c r="G35" s="3"/>
      <c r="H35" s="3"/>
      <c r="I35" s="3" t="s">
        <v>462</v>
      </c>
      <c r="J35" s="3"/>
      <c r="K35" s="3"/>
    </row>
    <row r="36" spans="2:11" x14ac:dyDescent="0.2">
      <c r="B36" s="3"/>
      <c r="C36" s="3"/>
      <c r="D36" s="3"/>
      <c r="E36" s="3"/>
      <c r="F36" s="3"/>
      <c r="G36" s="3"/>
      <c r="H36" s="3"/>
      <c r="I36" s="3"/>
      <c r="J36" s="3"/>
      <c r="K36" s="3"/>
    </row>
  </sheetData>
  <sheetProtection algorithmName="SHA-512" hashValue="Fqm8C265hAez7YWoeG0JlnAKLfrph4TdXjwqdsxgPKoIC1acFa2dsY6PTNqvhLbW9UNcq4ntRG6rWRkk1eLGxA==" saltValue="wQwHoFiXzBhZ6wmCreUc8w==" spinCount="100000" sheet="1" objects="1" scenarios="1" selectLockedCells="1"/>
  <hyperlinks>
    <hyperlink ref="D32" r:id="rId1" xr:uid="{05DF6F83-879A-4718-A8CB-73FCB51EAC06}"/>
  </hyperlinks>
  <printOptions horizontalCentered="1"/>
  <pageMargins left="0.39370078740157483" right="0.39370078740157483" top="0.39370078740157483" bottom="0.59055118110236227" header="0.19685039370078741" footer="0.19685039370078741"/>
  <pageSetup paperSize="9" orientation="landscape" verticalDpi="60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EAEA-DC4F-41F5-A123-E0E22079813B}">
  <sheetPr>
    <pageSetUpPr fitToPage="1"/>
  </sheetPr>
  <dimension ref="B3:AG90"/>
  <sheetViews>
    <sheetView zoomScale="90" zoomScaleNormal="90" workbookViewId="0">
      <pane ySplit="14" topLeftCell="A15" activePane="bottomLeft" state="frozen"/>
      <selection pane="bottomLeft" activeCell="D6" sqref="D6"/>
    </sheetView>
  </sheetViews>
  <sheetFormatPr baseColWidth="10" defaultColWidth="9" defaultRowHeight="12.75" outlineLevelRow="1" x14ac:dyDescent="0.2"/>
  <cols>
    <col min="1" max="1" width="3.5" style="6" customWidth="1"/>
    <col min="2" max="2" width="3.75" style="6" customWidth="1"/>
    <col min="3" max="3" width="13.625" style="6" customWidth="1"/>
    <col min="4" max="4" width="25.25" style="6" customWidth="1"/>
    <col min="5" max="5" width="26.5" style="6" customWidth="1"/>
    <col min="6" max="6" width="16.25" style="6" customWidth="1"/>
    <col min="7" max="7" width="17.625" style="6" customWidth="1"/>
    <col min="8" max="8" width="2" style="6" customWidth="1"/>
    <col min="9" max="9" width="17" style="6" customWidth="1"/>
    <col min="10" max="10" width="17.375" style="6" customWidth="1"/>
    <col min="11" max="11" width="21.375" style="6" customWidth="1"/>
    <col min="12" max="12" width="3.75" style="6" customWidth="1"/>
    <col min="13" max="13" width="4.125" style="6" customWidth="1"/>
    <col min="14" max="14" width="3.75" style="6" customWidth="1"/>
    <col min="15" max="15" width="31" style="6" customWidth="1"/>
    <col min="16" max="16" width="1.375" style="6" customWidth="1"/>
    <col min="17" max="19" width="9" style="6"/>
    <col min="20" max="20" width="3.125" style="6" customWidth="1"/>
    <col min="21" max="22" width="11.625" style="6" customWidth="1"/>
    <col min="23" max="23" width="15.125" style="6" bestFit="1" customWidth="1"/>
    <col min="24" max="24" width="3.75" style="6" customWidth="1"/>
    <col min="25" max="25" width="4.125" style="6" customWidth="1"/>
    <col min="26" max="26" width="3.75" style="6" customWidth="1"/>
    <col min="27" max="27" width="29.875" style="6" bestFit="1" customWidth="1"/>
    <col min="28" max="28" width="10.875" style="6" bestFit="1" customWidth="1"/>
    <col min="29" max="29" width="6.625" style="6" customWidth="1"/>
    <col min="30" max="16384" width="9" style="6"/>
  </cols>
  <sheetData>
    <row r="3" spans="2:33" x14ac:dyDescent="0.2">
      <c r="B3" s="3"/>
      <c r="C3" s="3"/>
      <c r="D3" s="3"/>
      <c r="E3" s="3"/>
      <c r="F3" s="3"/>
      <c r="G3" s="3"/>
      <c r="H3" s="3"/>
      <c r="I3" s="3"/>
      <c r="J3" s="3"/>
      <c r="K3" s="3"/>
      <c r="L3" s="3"/>
    </row>
    <row r="4" spans="2:33" ht="15.75" x14ac:dyDescent="0.25">
      <c r="B4" s="3"/>
      <c r="C4" s="336" t="s">
        <v>460</v>
      </c>
      <c r="D4" s="3"/>
      <c r="E4" s="3"/>
      <c r="F4" s="3"/>
      <c r="G4" s="3"/>
      <c r="H4" s="3"/>
      <c r="I4" s="3"/>
      <c r="J4" s="3"/>
      <c r="K4" s="3"/>
      <c r="L4" s="3"/>
    </row>
    <row r="5" spans="2:33" ht="23.25" customHeight="1" x14ac:dyDescent="0.2">
      <c r="B5" s="3"/>
      <c r="C5" s="3"/>
      <c r="D5" s="3"/>
      <c r="E5" s="3"/>
      <c r="F5" s="384" t="s">
        <v>456</v>
      </c>
      <c r="G5" s="384"/>
      <c r="H5" s="384"/>
      <c r="I5" s="384"/>
      <c r="J5" s="384"/>
      <c r="K5" s="384"/>
      <c r="L5" s="3"/>
    </row>
    <row r="6" spans="2:33" x14ac:dyDescent="0.2">
      <c r="B6" s="3"/>
      <c r="C6" s="3" t="s">
        <v>275</v>
      </c>
      <c r="D6" s="111"/>
      <c r="E6" s="3"/>
      <c r="F6" s="3"/>
      <c r="G6" s="3"/>
      <c r="H6" s="3"/>
      <c r="I6" s="3"/>
      <c r="J6" s="3"/>
      <c r="K6" s="3"/>
      <c r="L6" s="3"/>
    </row>
    <row r="7" spans="2:33" x14ac:dyDescent="0.2">
      <c r="B7" s="3"/>
      <c r="C7" s="3" t="s">
        <v>276</v>
      </c>
      <c r="D7" s="112"/>
      <c r="E7" s="3"/>
      <c r="F7" s="3"/>
      <c r="G7" s="3"/>
      <c r="H7" s="3"/>
      <c r="I7" s="3"/>
      <c r="J7" s="3"/>
      <c r="K7" s="3"/>
      <c r="L7" s="3"/>
    </row>
    <row r="8" spans="2:33" x14ac:dyDescent="0.2">
      <c r="B8" s="3"/>
      <c r="C8" s="3" t="s">
        <v>277</v>
      </c>
      <c r="D8" s="111"/>
      <c r="E8" s="3"/>
      <c r="F8" s="3"/>
      <c r="G8" s="3"/>
      <c r="H8" s="3"/>
      <c r="I8" s="3"/>
      <c r="J8" s="3"/>
      <c r="K8" s="3"/>
      <c r="L8" s="3"/>
      <c r="N8" s="3"/>
      <c r="O8" s="3"/>
      <c r="P8" s="3"/>
      <c r="Q8" s="3"/>
      <c r="R8" s="3"/>
      <c r="S8" s="3"/>
      <c r="T8" s="3"/>
      <c r="U8" s="3"/>
      <c r="V8" s="3"/>
      <c r="W8" s="3"/>
      <c r="X8" s="3"/>
      <c r="Z8" s="3"/>
      <c r="AA8" s="3"/>
      <c r="AB8" s="3"/>
      <c r="AC8" s="3"/>
      <c r="AD8" s="3"/>
    </row>
    <row r="9" spans="2:33" x14ac:dyDescent="0.2">
      <c r="B9" s="3"/>
      <c r="C9" s="3"/>
      <c r="D9" s="3"/>
      <c r="E9" s="3"/>
      <c r="F9" s="3"/>
      <c r="G9" s="3"/>
      <c r="H9" s="3"/>
      <c r="I9" s="3"/>
      <c r="J9" s="3"/>
      <c r="K9" s="3"/>
      <c r="L9" s="3"/>
      <c r="N9" s="3"/>
      <c r="O9" s="3"/>
      <c r="P9" s="3"/>
      <c r="Q9" s="3"/>
      <c r="R9" s="3"/>
      <c r="S9" s="3"/>
      <c r="T9" s="3"/>
      <c r="U9" s="3"/>
      <c r="V9" s="3"/>
      <c r="W9" s="3"/>
      <c r="X9" s="3"/>
      <c r="Z9" s="3"/>
      <c r="AA9" s="3"/>
      <c r="AB9" s="3"/>
      <c r="AC9" s="3"/>
      <c r="AD9" s="3"/>
    </row>
    <row r="10" spans="2:33" ht="15" x14ac:dyDescent="0.25">
      <c r="B10" s="3"/>
      <c r="C10" s="3"/>
      <c r="D10" s="3"/>
      <c r="E10" s="3"/>
      <c r="F10" s="3"/>
      <c r="G10" s="3"/>
      <c r="H10" s="3"/>
      <c r="I10" s="3"/>
      <c r="J10" s="3"/>
      <c r="K10" s="3"/>
      <c r="L10" s="3"/>
      <c r="N10" s="3"/>
      <c r="O10" s="337" t="s">
        <v>321</v>
      </c>
      <c r="P10" s="3"/>
      <c r="Q10" s="3"/>
      <c r="R10" s="3"/>
      <c r="S10" s="3"/>
      <c r="T10" s="3"/>
      <c r="U10" s="3"/>
      <c r="V10" s="3"/>
      <c r="W10" s="3"/>
      <c r="X10" s="3"/>
      <c r="Z10" s="3"/>
      <c r="AA10" s="337" t="s">
        <v>134</v>
      </c>
      <c r="AB10" s="3"/>
      <c r="AC10" s="3"/>
      <c r="AD10" s="3"/>
    </row>
    <row r="11" spans="2:33" x14ac:dyDescent="0.2">
      <c r="B11" s="3"/>
      <c r="C11" s="3"/>
      <c r="D11" s="3"/>
      <c r="E11" s="3"/>
      <c r="F11" s="338" t="s">
        <v>324</v>
      </c>
      <c r="G11" s="338"/>
      <c r="H11" s="117"/>
      <c r="I11" s="117" t="s">
        <v>77</v>
      </c>
      <c r="J11" s="3"/>
      <c r="K11" s="3"/>
      <c r="L11" s="3"/>
      <c r="N11" s="3"/>
      <c r="O11" s="3"/>
      <c r="P11" s="3"/>
      <c r="Q11" s="3"/>
      <c r="R11" s="3"/>
      <c r="S11" s="3"/>
      <c r="T11" s="3"/>
      <c r="U11" s="3"/>
      <c r="V11" s="3"/>
      <c r="W11" s="3"/>
      <c r="X11" s="3"/>
      <c r="Z11" s="3"/>
      <c r="AA11" s="3"/>
      <c r="AB11" s="3"/>
      <c r="AC11" s="3"/>
      <c r="AD11" s="3"/>
    </row>
    <row r="12" spans="2:33" x14ac:dyDescent="0.2">
      <c r="B12" s="3"/>
      <c r="C12" s="3"/>
      <c r="D12" s="3"/>
      <c r="E12" s="13" t="s">
        <v>83</v>
      </c>
      <c r="F12" s="339">
        <v>40000</v>
      </c>
      <c r="G12" s="339" t="s">
        <v>48</v>
      </c>
      <c r="H12" s="3"/>
      <c r="I12" s="111"/>
      <c r="J12" s="3" t="s">
        <v>48</v>
      </c>
      <c r="K12" s="3"/>
      <c r="L12" s="3"/>
      <c r="N12" s="3"/>
      <c r="O12" s="3"/>
      <c r="P12" s="3"/>
      <c r="Q12" s="3"/>
      <c r="R12" s="3"/>
      <c r="S12" s="3"/>
      <c r="T12" s="3"/>
      <c r="U12" s="3"/>
      <c r="V12" s="3"/>
      <c r="W12" s="3"/>
      <c r="X12" s="3"/>
      <c r="Z12" s="3"/>
      <c r="AA12" s="3"/>
      <c r="AB12" s="3"/>
      <c r="AC12" s="3"/>
      <c r="AD12" s="3"/>
    </row>
    <row r="13" spans="2:33" x14ac:dyDescent="0.2">
      <c r="B13" s="3"/>
      <c r="C13" s="3"/>
      <c r="D13" s="3"/>
      <c r="E13" s="3"/>
      <c r="F13" s="3"/>
      <c r="G13" s="3"/>
      <c r="H13" s="3"/>
      <c r="I13" s="3"/>
      <c r="J13" s="3"/>
      <c r="K13" s="3"/>
      <c r="L13" s="3"/>
      <c r="N13" s="3"/>
      <c r="O13" s="3"/>
      <c r="P13" s="3"/>
      <c r="Q13" s="3"/>
      <c r="R13" s="3"/>
      <c r="S13" s="3"/>
      <c r="T13" s="3"/>
      <c r="U13" s="3"/>
      <c r="V13" s="3"/>
      <c r="W13" s="3"/>
      <c r="X13" s="3"/>
      <c r="Z13" s="3"/>
      <c r="AA13" s="3"/>
      <c r="AB13" s="3"/>
      <c r="AC13" s="3"/>
      <c r="AD13" s="3"/>
    </row>
    <row r="14" spans="2:33" s="344" customFormat="1" ht="38.25" x14ac:dyDescent="0.2">
      <c r="B14" s="118"/>
      <c r="C14" s="24"/>
      <c r="D14" s="340"/>
      <c r="E14" s="50" t="s">
        <v>74</v>
      </c>
      <c r="F14" s="341" t="s">
        <v>79</v>
      </c>
      <c r="G14" s="342" t="s">
        <v>21</v>
      </c>
      <c r="H14" s="343"/>
      <c r="I14" s="343" t="s">
        <v>78</v>
      </c>
      <c r="J14" s="50" t="s">
        <v>21</v>
      </c>
      <c r="K14" s="50" t="s">
        <v>284</v>
      </c>
      <c r="L14" s="118"/>
      <c r="N14" s="118"/>
      <c r="O14" s="24"/>
      <c r="P14" s="24"/>
      <c r="Q14" s="119" t="s">
        <v>27</v>
      </c>
      <c r="R14" s="119" t="s">
        <v>28</v>
      </c>
      <c r="S14" s="119" t="s">
        <v>29</v>
      </c>
      <c r="T14" s="119"/>
      <c r="U14" s="50" t="s">
        <v>88</v>
      </c>
      <c r="V14" s="345" t="s">
        <v>39</v>
      </c>
      <c r="W14" s="50"/>
      <c r="X14" s="118"/>
      <c r="Z14" s="118"/>
      <c r="AA14" s="340"/>
      <c r="AB14" s="340"/>
      <c r="AC14" s="340"/>
      <c r="AD14" s="118"/>
      <c r="AE14" s="6"/>
      <c r="AF14" s="6"/>
      <c r="AG14" s="6"/>
    </row>
    <row r="15" spans="2:33" s="344" customFormat="1" ht="14.25" x14ac:dyDescent="0.2">
      <c r="B15" s="118"/>
      <c r="C15" s="8" t="s">
        <v>76</v>
      </c>
      <c r="D15" s="118"/>
      <c r="E15" s="12"/>
      <c r="F15" s="346"/>
      <c r="G15" s="347"/>
      <c r="H15" s="348"/>
      <c r="I15" s="348"/>
      <c r="J15" s="12"/>
      <c r="K15" s="118"/>
      <c r="L15" s="118"/>
      <c r="N15" s="118"/>
      <c r="O15" s="349" t="s">
        <v>190</v>
      </c>
      <c r="P15" s="349"/>
      <c r="Q15" s="350">
        <f>SUM(Q16:Q29)</f>
        <v>94.932355060000006</v>
      </c>
      <c r="R15" s="350">
        <f>SUM(R16:R29)</f>
        <v>171.9</v>
      </c>
      <c r="S15" s="350">
        <f>SUM(S16:S29)</f>
        <v>41.281733459999998</v>
      </c>
      <c r="T15" s="351"/>
      <c r="U15" s="350">
        <f>Q15+R15</f>
        <v>266.83235506</v>
      </c>
      <c r="V15" s="374">
        <f>SUM(Q15:S15)</f>
        <v>308.11408852</v>
      </c>
      <c r="W15" s="351" t="s">
        <v>163</v>
      </c>
      <c r="X15" s="118"/>
      <c r="Z15" s="118"/>
      <c r="AA15" s="351" t="s">
        <v>119</v>
      </c>
      <c r="AB15" s="376">
        <f>SUM(AB16:AB22)</f>
        <v>109669</v>
      </c>
      <c r="AC15" s="351" t="s">
        <v>106</v>
      </c>
      <c r="AD15" s="118"/>
      <c r="AE15" s="6"/>
      <c r="AF15" s="6"/>
      <c r="AG15" s="6"/>
    </row>
    <row r="16" spans="2:33" ht="15.75" x14ac:dyDescent="0.2">
      <c r="B16" s="3"/>
      <c r="C16" s="352"/>
      <c r="D16" s="3" t="s">
        <v>73</v>
      </c>
      <c r="E16" s="3" t="s">
        <v>31</v>
      </c>
      <c r="F16" s="339">
        <f>235000*0.8</f>
        <v>188000</v>
      </c>
      <c r="G16" s="120" t="s">
        <v>40</v>
      </c>
      <c r="H16" s="9"/>
      <c r="I16" s="111"/>
      <c r="J16" s="3" t="s">
        <v>40</v>
      </c>
      <c r="K16" s="3"/>
      <c r="L16" s="3"/>
      <c r="N16" s="3"/>
      <c r="O16" s="3" t="str">
        <f>E16</f>
        <v>Erdgas</v>
      </c>
      <c r="P16" s="3"/>
      <c r="Q16" s="80">
        <f>IF(NOT(ISBLANK($I16)),$I16,$F16)*IF(NOT(ISBLANK('Eingabe EF'!$I9)),'Eingabe EF'!$I9,'Eingabe EF'!$G9)</f>
        <v>34.434080000000002</v>
      </c>
      <c r="R16" s="80">
        <f>IF(NOT(ISBLANK($I16)),$I16,$F16)*IF(NOT(ISBLANK('Eingabe EF'!$M9)),'Eingabe EF'!$M9,'Eingabe EF'!$K9)</f>
        <v>0</v>
      </c>
      <c r="S16" s="80">
        <f>IF(NOT(ISBLANK($I16)),$I16,$F16)*IF(NOT(ISBLANK('Eingabe EF'!$Q9)),'Eingabe EF'!$Q9,'Eingabe EF'!$O9)</f>
        <v>5.8938000000000006</v>
      </c>
      <c r="T16" s="15"/>
      <c r="U16" s="80">
        <f>Q16+R16</f>
        <v>34.434080000000002</v>
      </c>
      <c r="V16" s="82">
        <f>SUM(Q16:S16)</f>
        <v>40.32788</v>
      </c>
      <c r="W16" s="15" t="s">
        <v>162</v>
      </c>
      <c r="X16" s="3"/>
      <c r="Z16" s="3"/>
      <c r="AA16" s="15" t="s">
        <v>31</v>
      </c>
      <c r="AB16" s="81">
        <f>(IF(NOT(ISBLANK($I16)),$I16,$F16)+IF(NOT(ISBLANK($I21)),$I21,$F21))/1000*IF(NOT(ISBLANK('Eingabe Preise'!$G10)),'Eingabe Preise'!$G10,'Eingabe Preise'!$E10)</f>
        <v>14335</v>
      </c>
      <c r="AC16" s="15" t="s">
        <v>106</v>
      </c>
      <c r="AD16" s="3"/>
    </row>
    <row r="17" spans="2:30" ht="15.75" x14ac:dyDescent="0.2">
      <c r="B17" s="3"/>
      <c r="C17" s="352"/>
      <c r="D17" s="3"/>
      <c r="E17" s="3" t="s">
        <v>32</v>
      </c>
      <c r="F17" s="339">
        <f>60000*0.4</f>
        <v>24000</v>
      </c>
      <c r="G17" s="120" t="s">
        <v>43</v>
      </c>
      <c r="H17" s="9"/>
      <c r="I17" s="111"/>
      <c r="J17" s="3" t="s">
        <v>43</v>
      </c>
      <c r="K17" s="3"/>
      <c r="L17" s="3"/>
      <c r="N17" s="3"/>
      <c r="O17" s="3" t="str">
        <f>E17</f>
        <v>Heizöl</v>
      </c>
      <c r="P17" s="3"/>
      <c r="Q17" s="80">
        <f>IF(NOT(ISBLANK($I17)),$I17,$F17)*IF(NOT(ISBLANK('Eingabe EF'!$I10)),'Eingabe EF'!$I10,'Eingabe EF'!$G10)</f>
        <v>6.4022399999999999</v>
      </c>
      <c r="R17" s="80">
        <f>IF(NOT(ISBLANK($I17)),$I17,$F17)*IF(NOT(ISBLANK('Eingabe EF'!$M10)),'Eingabe EF'!$M10,'Eingabe EF'!$K10)</f>
        <v>0</v>
      </c>
      <c r="S17" s="80">
        <f>IF(NOT(ISBLANK($I17)),$I17,$F17)*IF(NOT(ISBLANK('Eingabe EF'!$Q10)),'Eingabe EF'!$Q10,'Eingabe EF'!$O10)</f>
        <v>0.949824</v>
      </c>
      <c r="T17" s="15"/>
      <c r="U17" s="80">
        <f t="shared" ref="U17:U29" si="0">Q17+R17</f>
        <v>6.4022399999999999</v>
      </c>
      <c r="V17" s="82">
        <f>SUM(Q17:S17)</f>
        <v>7.3520640000000004</v>
      </c>
      <c r="W17" s="15" t="s">
        <v>162</v>
      </c>
      <c r="X17" s="3"/>
      <c r="Z17" s="3"/>
      <c r="AA17" s="15" t="s">
        <v>32</v>
      </c>
      <c r="AB17" s="81">
        <f>(IF(NOT(ISBLANK($I17)),$I17,$F17)+IF(NOT(ISBLANK($I22)),$I22,$F22))/1000*IF(NOT(ISBLANK('Eingabe Preise'!$G11)),'Eingabe Preise'!$G11,'Eingabe Preise'!$E11)</f>
        <v>2760</v>
      </c>
      <c r="AC17" s="15" t="s">
        <v>106</v>
      </c>
      <c r="AD17" s="3"/>
    </row>
    <row r="18" spans="2:30" ht="25.5" x14ac:dyDescent="0.2">
      <c r="B18" s="3"/>
      <c r="C18" s="352"/>
      <c r="D18" s="3"/>
      <c r="E18" s="118" t="s">
        <v>131</v>
      </c>
      <c r="F18" s="339">
        <f>450000*0.1</f>
        <v>45000</v>
      </c>
      <c r="G18" s="120" t="s">
        <v>42</v>
      </c>
      <c r="H18" s="9"/>
      <c r="I18" s="111"/>
      <c r="J18" s="3" t="s">
        <v>42</v>
      </c>
      <c r="K18" s="3"/>
      <c r="L18" s="3"/>
      <c r="N18" s="3"/>
      <c r="O18" s="3" t="str">
        <f t="shared" ref="O18:O26" si="1">E18</f>
        <v>Elektrische Energie (deutscher Mix)</v>
      </c>
      <c r="P18" s="3"/>
      <c r="Q18" s="80">
        <f>IF(NOT(ISBLANK($I18)),$I18,$F18)*IF(NOT(ISBLANK('Eingabe EF'!$I11)),'Eingabe EF'!$I11,'Eingabe EF'!$G11)</f>
        <v>0</v>
      </c>
      <c r="R18" s="80">
        <f>IF(NOT(ISBLANK($I18)),$I18,$F18)*IF(NOT(ISBLANK('Eingabe EF'!$M11)),'Eingabe EF'!$M11,'Eingabe EF'!$K11)</f>
        <v>17.190000000000001</v>
      </c>
      <c r="S18" s="80">
        <f>IF(NOT(ISBLANK($I18)),$I18,$F18)*IF(NOT(ISBLANK('Eingabe EF'!$Q11)),'Eingabe EF'!$Q11,'Eingabe EF'!$O11)</f>
        <v>2.52</v>
      </c>
      <c r="T18" s="15"/>
      <c r="U18" s="80">
        <f>Q18+R18</f>
        <v>17.190000000000001</v>
      </c>
      <c r="V18" s="82">
        <f>SUM(Q18:S18)</f>
        <v>19.71</v>
      </c>
      <c r="W18" s="15" t="s">
        <v>162</v>
      </c>
      <c r="X18" s="3"/>
      <c r="Z18" s="3"/>
      <c r="AA18" s="15" t="s">
        <v>33</v>
      </c>
      <c r="AB18" s="81">
        <f>(IF(NOT(ISBLANK($I18)),$I18,$F18)+IF(NOT(ISBLANK($I24)),$I24,$F24))/1000*IF(NOT(ISBLANK('Eingabe Preise'!$G12)),'Eingabe Preise'!$G12,'Eingabe Preise'!$E12)</f>
        <v>77400</v>
      </c>
      <c r="AC18" s="15" t="s">
        <v>106</v>
      </c>
      <c r="AD18" s="3"/>
    </row>
    <row r="19" spans="2:30" ht="15.75" x14ac:dyDescent="0.2">
      <c r="B19" s="3"/>
      <c r="C19" s="352"/>
      <c r="D19" s="3"/>
      <c r="E19" s="3" t="s">
        <v>130</v>
      </c>
      <c r="F19" s="339">
        <v>0</v>
      </c>
      <c r="G19" s="120" t="s">
        <v>42</v>
      </c>
      <c r="H19" s="9"/>
      <c r="I19" s="111"/>
      <c r="J19" s="3" t="s">
        <v>42</v>
      </c>
      <c r="K19" s="121"/>
      <c r="L19" s="3"/>
      <c r="N19" s="3"/>
      <c r="O19" s="3" t="str">
        <f t="shared" si="1"/>
        <v>Alternativer Energieträger</v>
      </c>
      <c r="P19" s="3"/>
      <c r="Q19" s="80">
        <f>IF(NOT(ISBLANK($I19)),$I19,$F19)*IF(NOT(ISBLANK('Eingabe EF'!$I12)),'Eingabe EF'!$I12,0)</f>
        <v>0</v>
      </c>
      <c r="R19" s="80">
        <f>IF(NOT(ISBLANK($I19)),$I19,$F19)*IF(NOT(ISBLANK('Eingabe EF'!$M12)),'Eingabe EF'!$M12,0)</f>
        <v>0</v>
      </c>
      <c r="S19" s="80">
        <f>IF(NOT(ISBLANK($I19)),$I19,$F19)*IF(NOT(ISBLANK('Eingabe EF'!$Q12)),'Eingabe EF'!$Q12,0)</f>
        <v>0</v>
      </c>
      <c r="T19" s="15"/>
      <c r="U19" s="80">
        <f>Q19+R19</f>
        <v>0</v>
      </c>
      <c r="V19" s="82">
        <f>SUM(Q19:S19)</f>
        <v>0</v>
      </c>
      <c r="W19" s="15" t="s">
        <v>162</v>
      </c>
      <c r="X19" s="3"/>
      <c r="Z19" s="3"/>
      <c r="AA19" s="15" t="s">
        <v>122</v>
      </c>
      <c r="AB19" s="81">
        <f>IF(NOT(ISBLANK($I25)),$I25,$F25)/1000*IF(NOT(ISBLANK('Eingabe Preise'!$G13)),'Eingabe Preise'!$G13,'Eingabe Preise'!$E13)</f>
        <v>0</v>
      </c>
      <c r="AC19" s="15" t="s">
        <v>106</v>
      </c>
      <c r="AD19" s="3"/>
    </row>
    <row r="20" spans="2:30" x14ac:dyDescent="0.2">
      <c r="B20" s="3"/>
      <c r="C20" s="352"/>
      <c r="D20" s="3"/>
      <c r="E20" s="3"/>
      <c r="F20" s="339"/>
      <c r="G20" s="120"/>
      <c r="H20" s="9"/>
      <c r="I20" s="9"/>
      <c r="J20" s="3"/>
      <c r="K20" s="3"/>
      <c r="L20" s="3"/>
      <c r="N20" s="3"/>
      <c r="O20" s="3"/>
      <c r="P20" s="3"/>
      <c r="Q20" s="80"/>
      <c r="R20" s="80"/>
      <c r="S20" s="80"/>
      <c r="T20" s="15"/>
      <c r="U20" s="80"/>
      <c r="V20" s="82"/>
      <c r="W20" s="15"/>
      <c r="X20" s="3"/>
      <c r="Z20" s="3"/>
      <c r="AA20" s="15" t="s">
        <v>123</v>
      </c>
      <c r="AB20" s="81">
        <f>I19/1000*'Eingabe Preise'!G16</f>
        <v>0</v>
      </c>
      <c r="AC20" s="15" t="s">
        <v>106</v>
      </c>
      <c r="AD20" s="3"/>
    </row>
    <row r="21" spans="2:30" ht="15.75" x14ac:dyDescent="0.2">
      <c r="B21" s="3"/>
      <c r="C21" s="352"/>
      <c r="D21" s="3" t="s">
        <v>121</v>
      </c>
      <c r="E21" s="3" t="s">
        <v>31</v>
      </c>
      <c r="F21" s="339">
        <f>235000-F16</f>
        <v>47000</v>
      </c>
      <c r="G21" s="120" t="s">
        <v>40</v>
      </c>
      <c r="H21" s="9"/>
      <c r="I21" s="111"/>
      <c r="J21" s="3" t="s">
        <v>40</v>
      </c>
      <c r="K21" s="3"/>
      <c r="L21" s="3"/>
      <c r="N21" s="3"/>
      <c r="O21" s="3" t="str">
        <f t="shared" si="1"/>
        <v>Erdgas</v>
      </c>
      <c r="P21" s="3"/>
      <c r="Q21" s="80">
        <f>IF(NOT(ISBLANK($I21)),$I21,$F21)*IF(NOT(ISBLANK('Eingabe EF'!$I9)),'Eingabe EF'!$I9,'Eingabe EF'!$G9)</f>
        <v>8.6085200000000004</v>
      </c>
      <c r="R21" s="80">
        <f>IF(NOT(ISBLANK($I21)),$I21,$F21)*IF(NOT(ISBLANK('Eingabe EF'!$M9)),'Eingabe EF'!$M9,'Eingabe EF'!$K9)</f>
        <v>0</v>
      </c>
      <c r="S21" s="80">
        <f>IF(NOT(ISBLANK($I21)),$I21,$F21)*IF(NOT(ISBLANK('Eingabe EF'!$Q9)),'Eingabe EF'!$Q9,'Eingabe EF'!$O9)</f>
        <v>1.4734500000000001</v>
      </c>
      <c r="T21" s="15"/>
      <c r="U21" s="80">
        <f>Q21+R21</f>
        <v>8.6085200000000004</v>
      </c>
      <c r="V21" s="82">
        <f t="shared" ref="V21:V29" si="2">SUM(Q21:S21)</f>
        <v>10.08197</v>
      </c>
      <c r="W21" s="15" t="s">
        <v>162</v>
      </c>
      <c r="X21" s="3"/>
      <c r="Z21" s="3"/>
      <c r="AA21" s="15" t="s">
        <v>124</v>
      </c>
      <c r="AB21" s="81">
        <f>I26/1000*'Eingabe Preise'!G17</f>
        <v>0</v>
      </c>
      <c r="AC21" s="15" t="s">
        <v>106</v>
      </c>
      <c r="AD21" s="3"/>
    </row>
    <row r="22" spans="2:30" ht="15.75" x14ac:dyDescent="0.2">
      <c r="B22" s="3"/>
      <c r="C22" s="352"/>
      <c r="D22" s="3"/>
      <c r="E22" s="3" t="s">
        <v>32</v>
      </c>
      <c r="F22" s="367">
        <f>60000-F17</f>
        <v>36000</v>
      </c>
      <c r="G22" s="368" t="s">
        <v>43</v>
      </c>
      <c r="H22" s="9"/>
      <c r="I22" s="111"/>
      <c r="J22" s="3" t="s">
        <v>43</v>
      </c>
      <c r="K22" s="3"/>
      <c r="L22" s="3"/>
      <c r="N22" s="3"/>
      <c r="O22" s="3" t="str">
        <f t="shared" si="1"/>
        <v>Heizöl</v>
      </c>
      <c r="P22" s="3"/>
      <c r="Q22" s="80">
        <f>IF(NOT(ISBLANK($I22)),$I22,$F22)*IF(NOT(ISBLANK('Eingabe EF'!$I10)),'Eingabe EF'!$I10,'Eingabe EF'!$G10)</f>
        <v>9.6033600000000003</v>
      </c>
      <c r="R22" s="80">
        <f>IF(NOT(ISBLANK($I22)),$I22,$F22)*IF(NOT(ISBLANK('Eingabe EF'!$M10)),'Eingabe EF'!$M10,'Eingabe EF'!$K10)</f>
        <v>0</v>
      </c>
      <c r="S22" s="80">
        <f>IF(NOT(ISBLANK($I22)),$I22,$F22)*IF(NOT(ISBLANK('Eingabe EF'!$Q10)),'Eingabe EF'!$Q10,'Eingabe EF'!$O10)</f>
        <v>1.424736</v>
      </c>
      <c r="T22" s="15"/>
      <c r="U22" s="80">
        <f t="shared" ref="U22" si="3">Q22+R22</f>
        <v>9.6033600000000003</v>
      </c>
      <c r="V22" s="82">
        <f t="shared" si="2"/>
        <v>11.028096</v>
      </c>
      <c r="W22" s="15" t="s">
        <v>162</v>
      </c>
      <c r="X22" s="3"/>
      <c r="Z22" s="3"/>
      <c r="AA22" s="15" t="s">
        <v>34</v>
      </c>
      <c r="AB22" s="81">
        <f>(IF(NOT(ISBLANK($I28)),$I28,$F28)+IF(NOT(ISBLANK($I29)),$I29,$F29))*IF(NOT(ISBLANK('Eingabe Preise'!$G14)),'Eingabe Preise'!$G14,'Eingabe Preise'!$E14)</f>
        <v>15174.000000000002</v>
      </c>
      <c r="AC22" s="15" t="s">
        <v>106</v>
      </c>
      <c r="AD22" s="3"/>
    </row>
    <row r="23" spans="2:30" x14ac:dyDescent="0.2">
      <c r="B23" s="3"/>
      <c r="C23" s="352"/>
      <c r="D23" s="3"/>
      <c r="E23" s="3"/>
      <c r="F23" s="368"/>
      <c r="G23" s="368"/>
      <c r="H23" s="3"/>
      <c r="I23" s="9"/>
      <c r="J23" s="3"/>
      <c r="K23" s="3"/>
      <c r="L23" s="3"/>
      <c r="N23" s="3"/>
      <c r="O23" s="3"/>
      <c r="P23" s="3"/>
      <c r="Q23" s="80"/>
      <c r="R23" s="80"/>
      <c r="S23" s="80"/>
      <c r="T23" s="15"/>
      <c r="U23" s="80"/>
      <c r="V23" s="82"/>
      <c r="W23" s="15"/>
      <c r="X23" s="3"/>
      <c r="Z23" s="3"/>
      <c r="AA23" s="15"/>
      <c r="AB23" s="81"/>
      <c r="AC23" s="15"/>
      <c r="AD23" s="3"/>
    </row>
    <row r="24" spans="2:30" ht="25.5" x14ac:dyDescent="0.2">
      <c r="B24" s="3"/>
      <c r="C24" s="352"/>
      <c r="D24" s="118" t="s">
        <v>107</v>
      </c>
      <c r="E24" s="118" t="s">
        <v>131</v>
      </c>
      <c r="F24" s="367">
        <f>450000-F18</f>
        <v>405000</v>
      </c>
      <c r="G24" s="368" t="s">
        <v>42</v>
      </c>
      <c r="H24" s="9"/>
      <c r="I24" s="111"/>
      <c r="J24" s="3" t="s">
        <v>42</v>
      </c>
      <c r="K24" s="3"/>
      <c r="L24" s="3"/>
      <c r="N24" s="3"/>
      <c r="O24" s="3" t="str">
        <f t="shared" si="1"/>
        <v>Elektrische Energie (deutscher Mix)</v>
      </c>
      <c r="P24" s="3"/>
      <c r="Q24" s="80">
        <f>IF(NOT(ISBLANK($I24)),$I24,$F24)*IF(NOT(ISBLANK('Eingabe EF'!$I11)),'Eingabe EF'!$I11,'Eingabe EF'!$G11)</f>
        <v>0</v>
      </c>
      <c r="R24" s="80">
        <f>IF(NOT(ISBLANK($I24)),$I24,$F24)*IF(NOT(ISBLANK('Eingabe EF'!$M11)),'Eingabe EF'!$M11,'Eingabe EF'!$K11)</f>
        <v>154.71</v>
      </c>
      <c r="S24" s="80">
        <f>IF(NOT(ISBLANK($I24)),$I24,$F24)*IF(NOT(ISBLANK('Eingabe EF'!$Q11)),'Eingabe EF'!$Q11,'Eingabe EF'!$O11)</f>
        <v>22.68</v>
      </c>
      <c r="T24" s="15"/>
      <c r="U24" s="80">
        <f t="shared" si="0"/>
        <v>154.71</v>
      </c>
      <c r="V24" s="82">
        <f t="shared" si="2"/>
        <v>177.39000000000001</v>
      </c>
      <c r="W24" s="15" t="s">
        <v>162</v>
      </c>
      <c r="X24" s="3"/>
      <c r="Z24" s="3"/>
      <c r="AA24" s="15"/>
      <c r="AB24" s="15"/>
      <c r="AC24" s="15"/>
      <c r="AD24" s="3"/>
    </row>
    <row r="25" spans="2:30" ht="15.75" x14ac:dyDescent="0.2">
      <c r="B25" s="3"/>
      <c r="C25" s="352"/>
      <c r="D25" s="3"/>
      <c r="E25" s="3" t="s">
        <v>122</v>
      </c>
      <c r="F25" s="367">
        <v>0</v>
      </c>
      <c r="G25" s="368" t="s">
        <v>42</v>
      </c>
      <c r="H25" s="9"/>
      <c r="I25" s="111"/>
      <c r="J25" s="3" t="s">
        <v>42</v>
      </c>
      <c r="K25" s="3"/>
      <c r="L25" s="3"/>
      <c r="N25" s="3"/>
      <c r="O25" s="3" t="str">
        <f t="shared" si="1"/>
        <v>Flüssiggas</v>
      </c>
      <c r="P25" s="3"/>
      <c r="Q25" s="80">
        <f>IF(NOT(ISBLANK($I25)),$I25,$F25)*IF(NOT(ISBLANK('Eingabe EF'!$I13)),'Eingabe EF'!$I13,'Eingabe EF'!$G13)</f>
        <v>0</v>
      </c>
      <c r="R25" s="80">
        <f>IF(NOT(ISBLANK($I25)),$I25,$F25)*IF(NOT(ISBLANK('Eingabe EF'!$M13)),'Eingabe EF'!$M13,'Eingabe EF'!$K13)</f>
        <v>0</v>
      </c>
      <c r="S25" s="80">
        <f>IF(NOT(ISBLANK($I25)),$I25,$F25)*IF(NOT(ISBLANK('Eingabe EF'!$Q13)),'Eingabe EF'!$Q13,'Eingabe EF'!$O13)</f>
        <v>0</v>
      </c>
      <c r="T25" s="15"/>
      <c r="U25" s="80">
        <f t="shared" ref="U25" si="4">Q25+R25</f>
        <v>0</v>
      </c>
      <c r="V25" s="82">
        <f t="shared" si="2"/>
        <v>0</v>
      </c>
      <c r="W25" s="15" t="s">
        <v>162</v>
      </c>
      <c r="X25" s="3"/>
      <c r="Z25" s="3"/>
      <c r="AA25" s="351" t="s">
        <v>322</v>
      </c>
      <c r="AB25" s="376">
        <f>SUM(AB26:AB28)</f>
        <v>152459.04944673795</v>
      </c>
      <c r="AC25" s="351" t="s">
        <v>106</v>
      </c>
      <c r="AD25" s="3"/>
    </row>
    <row r="26" spans="2:30" ht="15.75" x14ac:dyDescent="0.2">
      <c r="B26" s="3"/>
      <c r="C26" s="352"/>
      <c r="D26" s="3"/>
      <c r="E26" s="3" t="s">
        <v>130</v>
      </c>
      <c r="F26" s="367">
        <v>0</v>
      </c>
      <c r="G26" s="368" t="s">
        <v>42</v>
      </c>
      <c r="H26" s="9"/>
      <c r="I26" s="111"/>
      <c r="J26" s="3" t="s">
        <v>42</v>
      </c>
      <c r="K26" s="121"/>
      <c r="L26" s="3"/>
      <c r="N26" s="3"/>
      <c r="O26" s="3" t="str">
        <f t="shared" si="1"/>
        <v>Alternativer Energieträger</v>
      </c>
      <c r="P26" s="3"/>
      <c r="Q26" s="80">
        <f>IF(NOT(ISBLANK($I26)),$I26,$F26)*IF(NOT(ISBLANK('Eingabe EF'!$I14)),'Eingabe EF'!$I14,0)</f>
        <v>0</v>
      </c>
      <c r="R26" s="80">
        <f>IF(NOT(ISBLANK($I26)),$I26,$F26)*IF(NOT(ISBLANK('Eingabe EF'!$M12)),'Eingabe EF'!$M12,0)</f>
        <v>0</v>
      </c>
      <c r="S26" s="80">
        <f>IF(NOT(ISBLANK($I26)),$I26,$F26)*IF(NOT(ISBLANK('Eingabe EF'!$Q14)),'Eingabe EF'!$Q14,0)</f>
        <v>0</v>
      </c>
      <c r="T26" s="15"/>
      <c r="U26" s="80">
        <f>Q26+R26</f>
        <v>0</v>
      </c>
      <c r="V26" s="82">
        <f t="shared" si="2"/>
        <v>0</v>
      </c>
      <c r="W26" s="15" t="s">
        <v>162</v>
      </c>
      <c r="X26" s="3"/>
      <c r="Z26" s="3"/>
      <c r="AA26" s="15" t="s">
        <v>27</v>
      </c>
      <c r="AB26" s="81">
        <f>Q74*IF(NOT(ISBLANK('Eingabe Preise'!$G21)),'Eingabe Preise'!$G21,'Eingabe Preise'!$E21)</f>
        <v>2373.3088765000002</v>
      </c>
      <c r="AC26" s="15" t="s">
        <v>106</v>
      </c>
      <c r="AD26" s="3"/>
    </row>
    <row r="27" spans="2:30" x14ac:dyDescent="0.2">
      <c r="B27" s="3"/>
      <c r="C27" s="352"/>
      <c r="D27" s="3"/>
      <c r="E27" s="3"/>
      <c r="F27" s="367"/>
      <c r="G27" s="367"/>
      <c r="H27" s="9"/>
      <c r="I27" s="9"/>
      <c r="J27" s="3"/>
      <c r="K27" s="3"/>
      <c r="L27" s="3"/>
      <c r="N27" s="3"/>
      <c r="O27" s="31"/>
      <c r="P27" s="31"/>
      <c r="Q27" s="371"/>
      <c r="R27" s="371"/>
      <c r="S27" s="371"/>
      <c r="T27" s="372"/>
      <c r="U27" s="371"/>
      <c r="V27" s="383"/>
      <c r="W27" s="372"/>
      <c r="X27" s="3"/>
      <c r="Z27" s="3"/>
      <c r="AA27" s="15" t="s">
        <v>28</v>
      </c>
      <c r="AB27" s="81">
        <f>R74*IF(NOT(ISBLANK('Eingabe Preise'!$G22)),'Eingabe Preise'!$G22,'Eingabe Preise'!$E22)</f>
        <v>4297.5</v>
      </c>
      <c r="AC27" s="15" t="s">
        <v>106</v>
      </c>
      <c r="AD27" s="3"/>
    </row>
    <row r="28" spans="2:30" ht="15.75" x14ac:dyDescent="0.2">
      <c r="B28" s="3"/>
      <c r="C28" s="352"/>
      <c r="D28" s="3" t="s">
        <v>463</v>
      </c>
      <c r="E28" s="3" t="s">
        <v>34</v>
      </c>
      <c r="F28" s="367">
        <v>11000</v>
      </c>
      <c r="G28" s="368" t="s">
        <v>41</v>
      </c>
      <c r="H28" s="9"/>
      <c r="I28" s="111"/>
      <c r="J28" s="3" t="s">
        <v>41</v>
      </c>
      <c r="K28" s="3"/>
      <c r="L28" s="3"/>
      <c r="N28" s="3"/>
      <c r="O28" s="3" t="str">
        <f>E28&amp;" "&amp;D28</f>
        <v>Diesel Gabelstapler (4x) 1)</v>
      </c>
      <c r="P28" s="3"/>
      <c r="Q28" s="80">
        <f>IF(NOT(ISBLANK($I28)),$I28,$F28)*IF(NOT(ISBLANK('Eingabe EF'!$I15)),'Eingabe EF'!$I15,'Eingabe EF'!$G15)</f>
        <v>29.238941159999996</v>
      </c>
      <c r="R28" s="80">
        <f>IF(NOT(ISBLANK($I28)),$I28,$F28)*IF(NOT(ISBLANK('Eingabe EF'!$M15)),'Eingabe EF'!$M15,'Eingabe EF'!$K15)</f>
        <v>0</v>
      </c>
      <c r="S28" s="80">
        <f>IF(NOT(ISBLANK($I28)),$I28,$F28)*IF(NOT(ISBLANK('Eingabe EF'!$Q15)),'Eingabe EF'!$Q15,'Eingabe EF'!$O15)</f>
        <v>5.1658635600000009</v>
      </c>
      <c r="T28" s="15"/>
      <c r="U28" s="80">
        <f t="shared" si="0"/>
        <v>29.238941159999996</v>
      </c>
      <c r="V28" s="82">
        <f t="shared" si="2"/>
        <v>34.404804719999994</v>
      </c>
      <c r="W28" s="15" t="s">
        <v>162</v>
      </c>
      <c r="X28" s="3"/>
      <c r="Z28" s="3"/>
      <c r="AA28" s="15" t="s">
        <v>29</v>
      </c>
      <c r="AB28" s="81">
        <f>S74*IF(NOT(ISBLANK('Eingabe Preise'!$G23)),'Eingabe Preise'!$G23,'Eingabe Preise'!$E23)</f>
        <v>145788.24057023795</v>
      </c>
      <c r="AC28" s="15" t="s">
        <v>106</v>
      </c>
      <c r="AD28" s="3"/>
    </row>
    <row r="29" spans="2:30" ht="15.75" x14ac:dyDescent="0.2">
      <c r="B29" s="3"/>
      <c r="C29" s="352"/>
      <c r="D29" s="3" t="s">
        <v>75</v>
      </c>
      <c r="E29" s="3" t="s">
        <v>34</v>
      </c>
      <c r="F29" s="367">
        <v>2500</v>
      </c>
      <c r="G29" s="368" t="s">
        <v>41</v>
      </c>
      <c r="H29" s="9"/>
      <c r="I29" s="111"/>
      <c r="J29" s="3" t="s">
        <v>41</v>
      </c>
      <c r="K29" s="3"/>
      <c r="L29" s="3"/>
      <c r="N29" s="3"/>
      <c r="O29" s="3" t="str">
        <f>E29&amp;" "&amp;D29</f>
        <v>Diesel Radlader (1x)</v>
      </c>
      <c r="P29" s="3"/>
      <c r="Q29" s="80">
        <f>IF(NOT(ISBLANK($I29)),$I29,$F29)*IF(NOT(ISBLANK('Eingabe EF'!$I15)),'Eingabe EF'!$I15,'Eingabe EF'!$G15)</f>
        <v>6.645213899999999</v>
      </c>
      <c r="R29" s="80">
        <f>IF(NOT(ISBLANK($I29)),$I29,$F29)*IF(NOT(ISBLANK('Eingabe EF'!$M15)),'Eingabe EF'!$M15,'Eingabe EF'!$K15)</f>
        <v>0</v>
      </c>
      <c r="S29" s="80">
        <f>IF(NOT(ISBLANK($I29)),$I29,$F29)*IF(NOT(ISBLANK('Eingabe EF'!$Q15)),'Eingabe EF'!$Q15,'Eingabe EF'!$O15)</f>
        <v>1.1740599000000003</v>
      </c>
      <c r="T29" s="15"/>
      <c r="U29" s="80">
        <f t="shared" si="0"/>
        <v>6.645213899999999</v>
      </c>
      <c r="V29" s="82">
        <f t="shared" si="2"/>
        <v>7.8192737999999995</v>
      </c>
      <c r="W29" s="15" t="s">
        <v>162</v>
      </c>
      <c r="X29" s="3"/>
      <c r="Z29" s="3"/>
      <c r="AA29" s="15"/>
      <c r="AB29" s="15"/>
      <c r="AC29" s="15"/>
      <c r="AD29" s="3"/>
    </row>
    <row r="30" spans="2:30" ht="13.5" thickBot="1" x14ac:dyDescent="0.25">
      <c r="B30" s="3"/>
      <c r="C30" s="352"/>
      <c r="D30" s="3"/>
      <c r="E30" s="3"/>
      <c r="F30" s="367"/>
      <c r="G30" s="368"/>
      <c r="H30" s="9"/>
      <c r="I30" s="9"/>
      <c r="J30" s="3"/>
      <c r="K30" s="3"/>
      <c r="L30" s="3"/>
      <c r="N30" s="3"/>
      <c r="O30" s="3"/>
      <c r="P30" s="3"/>
      <c r="Q30" s="80"/>
      <c r="R30" s="80"/>
      <c r="S30" s="80"/>
      <c r="T30" s="15"/>
      <c r="U30" s="80"/>
      <c r="V30" s="82"/>
      <c r="W30" s="15"/>
      <c r="X30" s="3"/>
      <c r="Z30" s="3"/>
      <c r="AA30" s="377" t="s">
        <v>133</v>
      </c>
      <c r="AB30" s="378">
        <f>AB25+AB15</f>
        <v>262128.04944673795</v>
      </c>
      <c r="AC30" s="377" t="s">
        <v>106</v>
      </c>
      <c r="AD30" s="3"/>
    </row>
    <row r="31" spans="2:30" ht="15" thickTop="1" x14ac:dyDescent="0.2">
      <c r="B31" s="3"/>
      <c r="C31" s="8" t="s">
        <v>29</v>
      </c>
      <c r="D31" s="3"/>
      <c r="E31" s="3"/>
      <c r="F31" s="367"/>
      <c r="G31" s="368"/>
      <c r="H31" s="9"/>
      <c r="I31" s="9"/>
      <c r="J31" s="3"/>
      <c r="K31" s="3"/>
      <c r="L31" s="3"/>
      <c r="N31" s="3"/>
      <c r="O31" s="349" t="s">
        <v>189</v>
      </c>
      <c r="P31" s="120"/>
      <c r="Q31" s="350">
        <f>Q32+Q33</f>
        <v>0</v>
      </c>
      <c r="R31" s="350">
        <f>R32+R33</f>
        <v>0</v>
      </c>
      <c r="S31" s="350">
        <f>S32+S33</f>
        <v>469.15642799999995</v>
      </c>
      <c r="T31" s="368"/>
      <c r="U31" s="350">
        <f>Q31+R31</f>
        <v>0</v>
      </c>
      <c r="V31" s="374">
        <f>SUM(Q31:S31)</f>
        <v>469.15642799999995</v>
      </c>
      <c r="W31" s="351" t="s">
        <v>163</v>
      </c>
      <c r="X31" s="3"/>
      <c r="Z31" s="3"/>
      <c r="AA31" s="3"/>
      <c r="AB31" s="3"/>
      <c r="AC31" s="3"/>
      <c r="AD31" s="3"/>
    </row>
    <row r="32" spans="2:30" ht="15.75" x14ac:dyDescent="0.2">
      <c r="B32" s="3"/>
      <c r="C32" s="3"/>
      <c r="D32" s="3" t="s">
        <v>45</v>
      </c>
      <c r="E32" s="3" t="s">
        <v>34</v>
      </c>
      <c r="F32" s="367">
        <v>35000</v>
      </c>
      <c r="G32" s="368" t="s">
        <v>41</v>
      </c>
      <c r="H32" s="9"/>
      <c r="I32" s="111"/>
      <c r="J32" s="3" t="s">
        <v>41</v>
      </c>
      <c r="K32" s="3"/>
      <c r="L32" s="3"/>
      <c r="N32" s="3"/>
      <c r="O32" s="3" t="str">
        <f>E32&amp;" "&amp;D32</f>
        <v>Diesel Transport vorgelagert</v>
      </c>
      <c r="P32" s="3"/>
      <c r="Q32" s="80">
        <f>IF(NOT(ISBLANK($I32)),$I32,$F32)*IF(NOT(ISBLANK('Eingabe EF'!$I17)),'Eingabe EF'!$I17,'Eingabe EF'!$G17)</f>
        <v>0</v>
      </c>
      <c r="R32" s="80">
        <f>IF(NOT(ISBLANK($I32)),$I32,$F32)*IF(NOT(ISBLANK('Eingabe EF'!$M17)),'Eingabe EF'!$M17,'Eingabe EF'!$K17)</f>
        <v>0</v>
      </c>
      <c r="S32" s="80">
        <f>IF(NOT(ISBLANK($I32)),$I32,$F32)*IF(NOT(ISBLANK('Eingabe EF'!$Q17)),'Eingabe EF'!$Q17,'Eingabe EF'!$O17)</f>
        <v>109.4698332</v>
      </c>
      <c r="T32" s="15"/>
      <c r="U32" s="80">
        <f>Q32+R32</f>
        <v>0</v>
      </c>
      <c r="V32" s="82">
        <f>SUM(Q32:S32)</f>
        <v>109.4698332</v>
      </c>
      <c r="W32" s="15" t="s">
        <v>162</v>
      </c>
      <c r="X32" s="3"/>
      <c r="Z32" s="3"/>
      <c r="AA32" s="3"/>
      <c r="AB32" s="3"/>
      <c r="AC32" s="3"/>
      <c r="AD32" s="3"/>
    </row>
    <row r="33" spans="2:24" ht="15.75" x14ac:dyDescent="0.2">
      <c r="B33" s="3"/>
      <c r="C33" s="3"/>
      <c r="D33" s="3" t="s">
        <v>46</v>
      </c>
      <c r="E33" s="3" t="s">
        <v>34</v>
      </c>
      <c r="F33" s="367">
        <v>115000</v>
      </c>
      <c r="G33" s="368" t="s">
        <v>41</v>
      </c>
      <c r="H33" s="9"/>
      <c r="I33" s="111"/>
      <c r="J33" s="3" t="s">
        <v>41</v>
      </c>
      <c r="K33" s="3"/>
      <c r="L33" s="3"/>
      <c r="N33" s="3"/>
      <c r="O33" s="3" t="str">
        <f>E33&amp;" "&amp;D33</f>
        <v>Diesel Transport nachgelagert</v>
      </c>
      <c r="P33" s="3"/>
      <c r="Q33" s="80">
        <f>IF(NOT(ISBLANK($I33)),$I33,$F33)*IF(NOT(ISBLANK('Eingabe EF'!$I18)),'Eingabe EF'!$I18,'Eingabe EF'!$G18)</f>
        <v>0</v>
      </c>
      <c r="R33" s="80">
        <f>IF(NOT(ISBLANK($I33)),$I33,$F33)*IF(NOT(ISBLANK('Eingabe EF'!$M18)),'Eingabe EF'!$M18,'Eingabe EF'!$K18)</f>
        <v>0</v>
      </c>
      <c r="S33" s="80">
        <f>IF(NOT(ISBLANK($I33)),$I33,$F33)*IF(NOT(ISBLANK('Eingabe EF'!$Q18)),'Eingabe EF'!$Q18,'Eingabe EF'!$O18)</f>
        <v>359.68659479999997</v>
      </c>
      <c r="T33" s="15"/>
      <c r="U33" s="80">
        <f>Q33+R33</f>
        <v>0</v>
      </c>
      <c r="V33" s="82">
        <f>SUM(Q33:S33)</f>
        <v>359.68659479999997</v>
      </c>
      <c r="W33" s="15" t="s">
        <v>162</v>
      </c>
      <c r="X33" s="3"/>
    </row>
    <row r="34" spans="2:24" x14ac:dyDescent="0.2">
      <c r="B34" s="3"/>
      <c r="C34" s="3"/>
      <c r="D34" s="3"/>
      <c r="E34" s="3"/>
      <c r="F34" s="368"/>
      <c r="G34" s="368"/>
      <c r="H34" s="3"/>
      <c r="I34" s="3"/>
      <c r="J34" s="3"/>
      <c r="K34" s="3"/>
      <c r="L34" s="3"/>
      <c r="N34" s="3"/>
      <c r="O34" s="3"/>
      <c r="P34" s="3"/>
      <c r="Q34" s="80"/>
      <c r="R34" s="80"/>
      <c r="S34" s="80"/>
      <c r="T34" s="15"/>
      <c r="U34" s="80"/>
      <c r="V34" s="82"/>
      <c r="W34" s="15"/>
      <c r="X34" s="3"/>
    </row>
    <row r="35" spans="2:24" ht="14.25" x14ac:dyDescent="0.2">
      <c r="B35" s="3"/>
      <c r="C35" s="3"/>
      <c r="D35" s="8" t="s">
        <v>68</v>
      </c>
      <c r="E35" s="3"/>
      <c r="F35" s="368"/>
      <c r="G35" s="368"/>
      <c r="H35" s="3"/>
      <c r="I35" s="3"/>
      <c r="J35" s="3"/>
      <c r="K35" s="3"/>
      <c r="L35" s="3"/>
      <c r="N35" s="3"/>
      <c r="O35" s="349" t="s">
        <v>67</v>
      </c>
      <c r="P35" s="120"/>
      <c r="Q35" s="350">
        <f>SUM(Q36:Q39)</f>
        <v>0</v>
      </c>
      <c r="R35" s="350">
        <f>SUM(R36:R39)</f>
        <v>0</v>
      </c>
      <c r="S35" s="350">
        <f>SUM(S36:S39)</f>
        <v>4548.5439999999999</v>
      </c>
      <c r="T35" s="368"/>
      <c r="U35" s="350">
        <f>Q35+R35</f>
        <v>0</v>
      </c>
      <c r="V35" s="374">
        <f>SUM(Q35:S35)</f>
        <v>4548.5439999999999</v>
      </c>
      <c r="W35" s="351" t="s">
        <v>163</v>
      </c>
      <c r="X35" s="3"/>
    </row>
    <row r="36" spans="2:24" ht="15.75" x14ac:dyDescent="0.2">
      <c r="B36" s="3"/>
      <c r="C36" s="3"/>
      <c r="D36" s="3" t="s">
        <v>47</v>
      </c>
      <c r="E36" s="3"/>
      <c r="F36" s="363">
        <v>4.5499999999999999E-2</v>
      </c>
      <c r="G36" s="368"/>
      <c r="H36" s="3"/>
      <c r="I36" s="122"/>
      <c r="J36" s="3"/>
      <c r="K36" s="3"/>
      <c r="L36" s="3"/>
      <c r="N36" s="3"/>
      <c r="O36" s="3" t="str">
        <f>D36</f>
        <v>Zement - CEM I</v>
      </c>
      <c r="P36" s="3"/>
      <c r="Q36" s="80">
        <f>IF(NOT(ISBLANK($I36)),$I36,$F36)*IF(NOT(ISBLANK('Eingabe EF'!$I21)),'Eingabe EF'!$I21,'Eingabe EF'!$G21)*IF(NOT(ISBLANK($I$12)),$I$12,$F$12)</f>
        <v>0</v>
      </c>
      <c r="R36" s="80">
        <f>IF(NOT(ISBLANK($I36)),$I36,$F36)*IF(NOT(ISBLANK('Eingabe EF'!$M21)),'Eingabe EF'!$M21,'Eingabe EF'!$K21)*IF(NOT(ISBLANK($I$12)),$I$12,$F$12)</f>
        <v>0</v>
      </c>
      <c r="S36" s="80">
        <f>IF(NOT(ISBLANK($I36)),$I36,$F36)*IF(NOT(ISBLANK('Eingabe EF'!$Q21)),'Eingabe EF'!$Q21,'Eingabe EF'!$O21)*IF(NOT(ISBLANK($I$12)),$I$12,$F$12)</f>
        <v>1210.3</v>
      </c>
      <c r="T36" s="15"/>
      <c r="U36" s="80">
        <f>Q36+R36</f>
        <v>0</v>
      </c>
      <c r="V36" s="82">
        <f>SUM(Q36:S36)</f>
        <v>1210.3</v>
      </c>
      <c r="W36" s="15" t="s">
        <v>162</v>
      </c>
      <c r="X36" s="3"/>
    </row>
    <row r="37" spans="2:24" ht="15.75" x14ac:dyDescent="0.2">
      <c r="B37" s="3"/>
      <c r="C37" s="3"/>
      <c r="D37" s="3" t="s">
        <v>49</v>
      </c>
      <c r="E37" s="3"/>
      <c r="F37" s="363">
        <v>0.10919999999999999</v>
      </c>
      <c r="G37" s="368"/>
      <c r="H37" s="3"/>
      <c r="I37" s="122"/>
      <c r="J37" s="3"/>
      <c r="K37" s="3"/>
      <c r="L37" s="3"/>
      <c r="N37" s="3"/>
      <c r="O37" s="3" t="str">
        <f>D37</f>
        <v>Zement - CEM II</v>
      </c>
      <c r="P37" s="3"/>
      <c r="Q37" s="80">
        <f>IF(NOT(ISBLANK($I37)),$I37,$F37)*IF(NOT(ISBLANK('Eingabe EF'!$I22)),'Eingabe EF'!$I22,'Eingabe EF'!$G22)*IF(NOT(ISBLANK($I$12)),$I$12,$F$12)</f>
        <v>0</v>
      </c>
      <c r="R37" s="80">
        <f>IF(NOT(ISBLANK($I37)),$I37,$F37)*IF(NOT(ISBLANK('Eingabe EF'!$M22)),'Eingabe EF'!$M22,'Eingabe EF'!$K22)*IF(NOT(ISBLANK($I$12)),$I$12,$F$12)</f>
        <v>0</v>
      </c>
      <c r="S37" s="80">
        <f>IF(NOT(ISBLANK($I37)),$I37,$F37)*IF(NOT(ISBLANK('Eingabe EF'!$Q22)),'Eingabe EF'!$Q22,'Eingabe EF'!$O22)*IF(NOT(ISBLANK($I$12)),$I$12,$F$12)</f>
        <v>2415.5039999999999</v>
      </c>
      <c r="T37" s="15"/>
      <c r="U37" s="80">
        <f>Q37+R37</f>
        <v>0</v>
      </c>
      <c r="V37" s="82">
        <f>SUM(Q37:S37)</f>
        <v>2415.5039999999999</v>
      </c>
      <c r="W37" s="15" t="s">
        <v>162</v>
      </c>
      <c r="X37" s="3"/>
    </row>
    <row r="38" spans="2:24" ht="15.75" x14ac:dyDescent="0.2">
      <c r="B38" s="3"/>
      <c r="C38" s="3"/>
      <c r="D38" s="3" t="s">
        <v>50</v>
      </c>
      <c r="E38" s="3"/>
      <c r="F38" s="363">
        <v>2.7299999999999998E-2</v>
      </c>
      <c r="G38" s="368"/>
      <c r="H38" s="3"/>
      <c r="I38" s="122"/>
      <c r="J38" s="3"/>
      <c r="K38" s="3"/>
      <c r="L38" s="3"/>
      <c r="N38" s="3"/>
      <c r="O38" s="3" t="str">
        <f>D38</f>
        <v>Weißzement</v>
      </c>
      <c r="P38" s="3"/>
      <c r="Q38" s="80">
        <f>IF(NOT(ISBLANK($I38)),$I38,$F38)*IF(NOT(ISBLANK('Eingabe EF'!$I23)),'Eingabe EF'!$I23,'Eingabe EF'!$G23)*IF(NOT(ISBLANK($I$12)),$I$12,$F$12)</f>
        <v>0</v>
      </c>
      <c r="R38" s="80">
        <f>IF(NOT(ISBLANK($I38)),$I38,$F38)*IF(NOT(ISBLANK('Eingabe EF'!$M23)),'Eingabe EF'!$M23,'Eingabe EF'!$K23)*IF(NOT(ISBLANK($I$12)),$I$12,$F$12)</f>
        <v>0</v>
      </c>
      <c r="S38" s="80">
        <f>IF(NOT(ISBLANK($I38)),$I38,$F38)*IF(NOT(ISBLANK('Eingabe EF'!$Q23)),'Eingabe EF'!$Q23,'Eingabe EF'!$O23)*IF(NOT(ISBLANK($I$12)),$I$12,$F$12)</f>
        <v>922.7399999999999</v>
      </c>
      <c r="T38" s="15"/>
      <c r="U38" s="80">
        <f>Q38+R38</f>
        <v>0</v>
      </c>
      <c r="V38" s="82">
        <f>SUM(Q38:S38)</f>
        <v>922.7399999999999</v>
      </c>
      <c r="W38" s="15" t="s">
        <v>162</v>
      </c>
      <c r="X38" s="3"/>
    </row>
    <row r="39" spans="2:24" ht="15.75" x14ac:dyDescent="0.2">
      <c r="B39" s="3"/>
      <c r="C39" s="3"/>
      <c r="D39" s="3" t="s">
        <v>161</v>
      </c>
      <c r="E39" s="3"/>
      <c r="F39" s="369">
        <v>0</v>
      </c>
      <c r="G39" s="368"/>
      <c r="H39" s="3"/>
      <c r="I39" s="122"/>
      <c r="J39" s="3"/>
      <c r="K39" s="121"/>
      <c r="L39" s="3"/>
      <c r="N39" s="3"/>
      <c r="O39" s="3" t="str">
        <f>D39</f>
        <v>Weitere Zementsorte</v>
      </c>
      <c r="P39" s="3"/>
      <c r="Q39" s="80">
        <f>IF(NOT(ISBLANK($I39)),$I39,$F39)*IF(NOT(ISBLANK('Eingabe EF'!$I24)),'Eingabe EF'!$I24,0)*IF(NOT(ISBLANK($I$12)),$I$12,$F$12)</f>
        <v>0</v>
      </c>
      <c r="R39" s="80">
        <f>IF(NOT(ISBLANK($I39)),$I39,$F39)*IF(NOT(ISBLANK('Eingabe EF'!$M24)),'Eingabe EF'!$M24,0)*IF(NOT(ISBLANK($I$12)),$I$12,$F$12)</f>
        <v>0</v>
      </c>
      <c r="S39" s="80">
        <f>IF(NOT(ISBLANK($I39)),$I39,$F39)*IF(NOT(ISBLANK('Eingabe EF'!$Q24)),'Eingabe EF'!$Q24,0)*IF(NOT(ISBLANK($I$12)),$I$12,$F$12)</f>
        <v>0</v>
      </c>
      <c r="T39" s="15"/>
      <c r="U39" s="80">
        <f>Q39+R39</f>
        <v>0</v>
      </c>
      <c r="V39" s="82">
        <f>SUM(Q39:S39)</f>
        <v>0</v>
      </c>
      <c r="W39" s="15" t="s">
        <v>162</v>
      </c>
      <c r="X39" s="3"/>
    </row>
    <row r="40" spans="2:24" x14ac:dyDescent="0.2">
      <c r="B40" s="3"/>
      <c r="C40" s="3"/>
      <c r="D40" s="3"/>
      <c r="E40" s="3"/>
      <c r="F40" s="363"/>
      <c r="G40" s="368"/>
      <c r="H40" s="3"/>
      <c r="I40" s="110"/>
      <c r="J40" s="3"/>
      <c r="K40" s="3"/>
      <c r="L40" s="3"/>
      <c r="N40" s="3"/>
      <c r="O40" s="3"/>
      <c r="P40" s="3"/>
      <c r="Q40" s="80"/>
      <c r="R40" s="80"/>
      <c r="S40" s="80"/>
      <c r="T40" s="15"/>
      <c r="U40" s="80"/>
      <c r="V40" s="82"/>
      <c r="W40" s="15"/>
      <c r="X40" s="3"/>
    </row>
    <row r="41" spans="2:24" ht="27" customHeight="1" x14ac:dyDescent="0.2">
      <c r="B41" s="3"/>
      <c r="C41" s="3"/>
      <c r="D41" s="8" t="s">
        <v>177</v>
      </c>
      <c r="E41" s="3"/>
      <c r="F41" s="363"/>
      <c r="G41" s="368"/>
      <c r="H41" s="3"/>
      <c r="I41" s="110"/>
      <c r="J41" s="3"/>
      <c r="K41" s="3"/>
      <c r="L41" s="3"/>
      <c r="N41" s="3"/>
      <c r="O41" s="382" t="str">
        <f>D41</f>
        <v>Gesteinskörnungen (Zuschlagsstoffe)</v>
      </c>
      <c r="P41" s="120"/>
      <c r="Q41" s="350">
        <f>SUM(Q42:Q44)</f>
        <v>0</v>
      </c>
      <c r="R41" s="350">
        <f t="shared" ref="R41:S41" si="5">SUM(R42:R44)</f>
        <v>0</v>
      </c>
      <c r="S41" s="350">
        <f t="shared" si="5"/>
        <v>129.59200000000001</v>
      </c>
      <c r="T41" s="368"/>
      <c r="U41" s="350">
        <f>Q41+R41</f>
        <v>0</v>
      </c>
      <c r="V41" s="374">
        <f>SUM(Q41:S41)</f>
        <v>129.59200000000001</v>
      </c>
      <c r="W41" s="351" t="s">
        <v>163</v>
      </c>
      <c r="X41" s="3"/>
    </row>
    <row r="42" spans="2:24" ht="15.75" x14ac:dyDescent="0.2">
      <c r="B42" s="3"/>
      <c r="C42" s="3"/>
      <c r="D42" s="3" t="s">
        <v>178</v>
      </c>
      <c r="E42" s="3"/>
      <c r="F42" s="363">
        <v>0.66800000000000004</v>
      </c>
      <c r="G42" s="368"/>
      <c r="H42" s="3"/>
      <c r="I42" s="122"/>
      <c r="J42" s="3"/>
      <c r="K42" s="3"/>
      <c r="L42" s="3"/>
      <c r="N42" s="3"/>
      <c r="O42" s="3" t="str">
        <f>D42</f>
        <v>Sand, Kies</v>
      </c>
      <c r="P42" s="3"/>
      <c r="Q42" s="80">
        <f>IF(NOT(ISBLANK($I42)),$I42,$F42)*IF(NOT(ISBLANK('Eingabe EF'!$I27)),'Eingabe EF'!$I27,'Eingabe EF'!$G27)*IF(NOT(ISBLANK($I$12)),$I$12,$F$12)</f>
        <v>0</v>
      </c>
      <c r="R42" s="80">
        <f>IF(NOT(ISBLANK($I42)),$I42,$F42)*IF(NOT(ISBLANK('Eingabe EF'!$M27)),'Eingabe EF'!$M27,'Eingabe EF'!$K27)*IF(NOT(ISBLANK($I$12)),$I$12,$F$12)</f>
        <v>0</v>
      </c>
      <c r="S42" s="80">
        <f>IF(NOT(ISBLANK($I42)),$I42,$F42)*IF(NOT(ISBLANK('Eingabe EF'!$Q27)),'Eingabe EF'!$Q27,'Eingabe EF'!$O27)*IF(NOT(ISBLANK($I$12)),$I$12,$F$12)</f>
        <v>129.59200000000001</v>
      </c>
      <c r="T42" s="15"/>
      <c r="U42" s="80">
        <f>Q42+R42</f>
        <v>0</v>
      </c>
      <c r="V42" s="82">
        <f>SUM(Q42:S42)</f>
        <v>129.59200000000001</v>
      </c>
      <c r="W42" s="15" t="s">
        <v>162</v>
      </c>
      <c r="X42" s="3"/>
    </row>
    <row r="43" spans="2:24" ht="15.75" x14ac:dyDescent="0.2">
      <c r="B43" s="3"/>
      <c r="C43" s="3"/>
      <c r="D43" s="3" t="s">
        <v>179</v>
      </c>
      <c r="E43" s="3"/>
      <c r="F43" s="363">
        <v>0</v>
      </c>
      <c r="G43" s="368"/>
      <c r="H43" s="3"/>
      <c r="I43" s="122"/>
      <c r="J43" s="3"/>
      <c r="K43" s="121"/>
      <c r="L43" s="3"/>
      <c r="N43" s="3"/>
      <c r="O43" s="3" t="str">
        <f>D43</f>
        <v>Brechsand, Splitt</v>
      </c>
      <c r="P43" s="3"/>
      <c r="Q43" s="80">
        <f>IF(NOT(ISBLANK($I43)),$I43,$F43)*IF(NOT(ISBLANK('Eingabe EF'!$I28)),'Eingabe EF'!$I28,0)*IF(NOT(ISBLANK($I$12)),$I$12,$F$12)</f>
        <v>0</v>
      </c>
      <c r="R43" s="80">
        <f>IF(NOT(ISBLANK($I43)),$I43,$F43)*IF(NOT(ISBLANK('Eingabe EF'!$M28)),'Eingabe EF'!$M28,0)*IF(NOT(ISBLANK($I$12)),$I$12,$F$12)</f>
        <v>0</v>
      </c>
      <c r="S43" s="80">
        <f>IF(NOT(ISBLANK($I43)),$I43,$F43)*IF(NOT(ISBLANK('Eingabe EF'!$Q28)),'Eingabe EF'!$Q28,0)*IF(NOT(ISBLANK($I$12)),$I$12,$F$12)</f>
        <v>0</v>
      </c>
      <c r="T43" s="15"/>
      <c r="U43" s="80">
        <f>Q43+R43</f>
        <v>0</v>
      </c>
      <c r="V43" s="82">
        <f t="shared" ref="V43:V44" si="6">SUM(Q43:S43)</f>
        <v>0</v>
      </c>
      <c r="W43" s="15" t="s">
        <v>162</v>
      </c>
      <c r="X43" s="3"/>
    </row>
    <row r="44" spans="2:24" ht="15.75" x14ac:dyDescent="0.2">
      <c r="B44" s="3"/>
      <c r="C44" s="3"/>
      <c r="D44" s="3" t="s">
        <v>180</v>
      </c>
      <c r="E44" s="3"/>
      <c r="F44" s="363">
        <v>0</v>
      </c>
      <c r="G44" s="368"/>
      <c r="H44" s="3"/>
      <c r="I44" s="122"/>
      <c r="J44" s="3"/>
      <c r="K44" s="121"/>
      <c r="L44" s="3"/>
      <c r="N44" s="3"/>
      <c r="O44" s="3" t="str">
        <f>D44</f>
        <v>RC-Material (Sand, Splitt)</v>
      </c>
      <c r="P44" s="3"/>
      <c r="Q44" s="80">
        <f>IF(NOT(ISBLANK($I44)),$I44,$F44)*IF(NOT(ISBLANK('Eingabe EF'!$I29)),'Eingabe EF'!$I29,0)*IF(NOT(ISBLANK($I$12)),$I$12,$F$12)</f>
        <v>0</v>
      </c>
      <c r="R44" s="80">
        <f>IF(NOT(ISBLANK($I44)),$I44,$F44)*IF(NOT(ISBLANK('Eingabe EF'!$M29)),'Eingabe EF'!$M29,0)*IF(NOT(ISBLANK($I$12)),$I$12,$F$12)</f>
        <v>0</v>
      </c>
      <c r="S44" s="80">
        <f>IF(NOT(ISBLANK($I44)),$I44,$F44)*IF(NOT(ISBLANK('Eingabe EF'!$Q29)),'Eingabe EF'!$Q29,0)*IF(NOT(ISBLANK($I$12)),$I$12,$F$12)</f>
        <v>0</v>
      </c>
      <c r="T44" s="15"/>
      <c r="U44" s="80">
        <f>Q44+R44</f>
        <v>0</v>
      </c>
      <c r="V44" s="82">
        <f t="shared" si="6"/>
        <v>0</v>
      </c>
      <c r="W44" s="15" t="s">
        <v>162</v>
      </c>
      <c r="X44" s="3"/>
    </row>
    <row r="45" spans="2:24" x14ac:dyDescent="0.2">
      <c r="B45" s="3"/>
      <c r="C45" s="3"/>
      <c r="D45" s="3"/>
      <c r="E45" s="3"/>
      <c r="F45" s="363"/>
      <c r="G45" s="368"/>
      <c r="H45" s="3"/>
      <c r="I45" s="110"/>
      <c r="J45" s="3"/>
      <c r="K45" s="3"/>
      <c r="L45" s="3"/>
      <c r="N45" s="3"/>
      <c r="O45" s="3"/>
      <c r="P45" s="3"/>
      <c r="Q45" s="80"/>
      <c r="R45" s="80"/>
      <c r="S45" s="80"/>
      <c r="T45" s="15"/>
      <c r="U45" s="80"/>
      <c r="V45" s="82"/>
      <c r="W45" s="15"/>
      <c r="X45" s="3"/>
    </row>
    <row r="46" spans="2:24" ht="14.25" x14ac:dyDescent="0.2">
      <c r="B46" s="3"/>
      <c r="C46" s="3"/>
      <c r="D46" s="3" t="s">
        <v>57</v>
      </c>
      <c r="E46" s="3"/>
      <c r="F46" s="363">
        <v>2E-3</v>
      </c>
      <c r="G46" s="368"/>
      <c r="H46" s="3"/>
      <c r="I46" s="122"/>
      <c r="J46" s="3"/>
      <c r="K46" s="3"/>
      <c r="L46" s="3"/>
      <c r="N46" s="3"/>
      <c r="O46" s="8" t="str">
        <f>D46</f>
        <v>Farben</v>
      </c>
      <c r="P46" s="8"/>
      <c r="Q46" s="373">
        <f>IF(NOT(ISBLANK($I46)),$I46,$F46)*IF(NOT(ISBLANK('Eingabe EF'!$I31)),'Eingabe EF'!$I31,'Eingabe EF'!$G31)*IF(NOT(ISBLANK($I$12)),$I$12,$F$12)</f>
        <v>0</v>
      </c>
      <c r="R46" s="373">
        <f>IF(NOT(ISBLANK($I46)),$I46,$F46)*IF(NOT(ISBLANK('Eingabe EF'!$M31)),'Eingabe EF'!$M31,'Eingabe EF'!$K31)*IF(NOT(ISBLANK($I$12)),$I$12,$F$12)</f>
        <v>0</v>
      </c>
      <c r="S46" s="373">
        <f>IF(NOT(ISBLANK($I46)),$I46,$F46)*IF(NOT(ISBLANK('Eingabe EF'!$Q31)),'Eingabe EF'!$Q31,'Eingabe EF'!$O31)*IF(NOT(ISBLANK($I$12)),$I$12,$F$12)</f>
        <v>208</v>
      </c>
      <c r="T46" s="79"/>
      <c r="U46" s="373">
        <f>Q46+R46</f>
        <v>0</v>
      </c>
      <c r="V46" s="375">
        <f>SUM(Q46:S46)</f>
        <v>208</v>
      </c>
      <c r="W46" s="79" t="s">
        <v>163</v>
      </c>
      <c r="X46" s="3"/>
    </row>
    <row r="47" spans="2:24" x14ac:dyDescent="0.2">
      <c r="B47" s="3"/>
      <c r="C47" s="3"/>
      <c r="D47" s="3"/>
      <c r="E47" s="3"/>
      <c r="F47" s="368"/>
      <c r="G47" s="368"/>
      <c r="H47" s="3"/>
      <c r="I47" s="3"/>
      <c r="J47" s="3"/>
      <c r="K47" s="3"/>
      <c r="L47" s="3"/>
      <c r="N47" s="3"/>
      <c r="O47" s="3"/>
      <c r="P47" s="3"/>
      <c r="Q47" s="80"/>
      <c r="R47" s="80"/>
      <c r="S47" s="80"/>
      <c r="T47" s="15"/>
      <c r="U47" s="80"/>
      <c r="V47" s="82"/>
      <c r="W47" s="15"/>
      <c r="X47" s="3"/>
    </row>
    <row r="48" spans="2:24" ht="14.25" x14ac:dyDescent="0.2">
      <c r="B48" s="3"/>
      <c r="C48" s="3"/>
      <c r="D48" s="8" t="s">
        <v>181</v>
      </c>
      <c r="E48" s="3"/>
      <c r="F48" s="368"/>
      <c r="G48" s="368"/>
      <c r="H48" s="3"/>
      <c r="I48" s="3"/>
      <c r="J48" s="3"/>
      <c r="K48" s="3"/>
      <c r="L48" s="3"/>
      <c r="N48" s="3"/>
      <c r="O48" s="349" t="str">
        <f>D48</f>
        <v>Zusatzstoffe (Füllstoffe)</v>
      </c>
      <c r="P48" s="120"/>
      <c r="Q48" s="350">
        <f>SUM(Q49:Q51)</f>
        <v>0</v>
      </c>
      <c r="R48" s="350">
        <f>SUM(R49:R51)</f>
        <v>0</v>
      </c>
      <c r="S48" s="350">
        <f>SUM(S49:S51)</f>
        <v>81.003999999999991</v>
      </c>
      <c r="T48" s="368"/>
      <c r="U48" s="350">
        <f>Q48+R48</f>
        <v>0</v>
      </c>
      <c r="V48" s="374">
        <f>SUM(Q48:S48)</f>
        <v>81.003999999999991</v>
      </c>
      <c r="W48" s="351" t="s">
        <v>163</v>
      </c>
      <c r="X48" s="3"/>
    </row>
    <row r="49" spans="2:24" ht="15.75" x14ac:dyDescent="0.2">
      <c r="B49" s="3"/>
      <c r="C49" s="3"/>
      <c r="D49" s="365" t="s">
        <v>59</v>
      </c>
      <c r="E49" s="3"/>
      <c r="F49" s="363">
        <v>0</v>
      </c>
      <c r="G49" s="368"/>
      <c r="H49" s="3"/>
      <c r="I49" s="122"/>
      <c r="J49" s="3"/>
      <c r="K49" s="3"/>
      <c r="L49" s="3"/>
      <c r="N49" s="3"/>
      <c r="O49" s="3" t="str">
        <f>D49</f>
        <v>Flugasche</v>
      </c>
      <c r="P49" s="3"/>
      <c r="Q49" s="80">
        <f>IF(NOT(ISBLANK($I49)),$I49,$F49)*IF(NOT(ISBLANK('Eingabe EF'!$I34)),'Eingabe EF'!$I34,'Eingabe EF'!$G34)*IF(NOT(ISBLANK($I$12)),$I$12,$F$12)</f>
        <v>0</v>
      </c>
      <c r="R49" s="80">
        <f>IF(NOT(ISBLANK($I49)),$I49,$F49)*IF(NOT(ISBLANK('Eingabe EF'!$M34)),'Eingabe EF'!$M34,'Eingabe EF'!$K34)*IF(NOT(ISBLANK($I$12)),$I$12,$F$12)</f>
        <v>0</v>
      </c>
      <c r="S49" s="80">
        <f>IF(NOT(ISBLANK($I49)),$I49,$F49)*IF(NOT(ISBLANK('Eingabe EF'!$Q34)),'Eingabe EF'!$Q34,'Eingabe EF'!$O34)*IF(NOT(ISBLANK($I$12)),$I$12,$F$12)</f>
        <v>0</v>
      </c>
      <c r="T49" s="15"/>
      <c r="U49" s="80">
        <f>Q49+R49</f>
        <v>0</v>
      </c>
      <c r="V49" s="82">
        <f>SUM(Q49:S49)</f>
        <v>0</v>
      </c>
      <c r="W49" s="15" t="s">
        <v>162</v>
      </c>
      <c r="X49" s="3"/>
    </row>
    <row r="50" spans="2:24" ht="15.75" x14ac:dyDescent="0.2">
      <c r="B50" s="3"/>
      <c r="C50" s="3"/>
      <c r="D50" s="365" t="s">
        <v>60</v>
      </c>
      <c r="E50" s="3"/>
      <c r="F50" s="363">
        <v>5.0000000000000001E-3</v>
      </c>
      <c r="G50" s="368"/>
      <c r="H50" s="3"/>
      <c r="I50" s="122"/>
      <c r="J50" s="3"/>
      <c r="K50" s="3"/>
      <c r="L50" s="3"/>
      <c r="N50" s="3"/>
      <c r="O50" s="3" t="str">
        <f>D50</f>
        <v>Quarzsteinmehl</v>
      </c>
      <c r="P50" s="3"/>
      <c r="Q50" s="80">
        <f>IF(NOT(ISBLANK($I50)),$I50,$F50)*IF(NOT(ISBLANK('Eingabe EF'!$I35)),'Eingabe EF'!$I35,'Eingabe EF'!$G35)*IF(NOT(ISBLANK($I$12)),$I$12,$F$12)</f>
        <v>0</v>
      </c>
      <c r="R50" s="80">
        <f>IF(NOT(ISBLANK($I50)),$I50,$F50)*IF(NOT(ISBLANK('Eingabe EF'!$M35)),'Eingabe EF'!$M35,'Eingabe EF'!$K35)*IF(NOT(ISBLANK($I$12)),$I$12,$F$12)</f>
        <v>0</v>
      </c>
      <c r="S50" s="80">
        <f>IF(NOT(ISBLANK($I50)),$I50,$F50)*IF(NOT(ISBLANK('Eingabe EF'!$Q35)),'Eingabe EF'!$Q35,'Eingabe EF'!$O35)*IF(NOT(ISBLANK($I$12)),$I$12,$F$12)</f>
        <v>8.6840000000000011</v>
      </c>
      <c r="T50" s="15"/>
      <c r="U50" s="80">
        <f>Q50+R50</f>
        <v>0</v>
      </c>
      <c r="V50" s="82">
        <f>SUM(Q50:S50)</f>
        <v>8.6840000000000011</v>
      </c>
      <c r="W50" s="15" t="s">
        <v>162</v>
      </c>
      <c r="X50" s="3"/>
    </row>
    <row r="51" spans="2:24" ht="15.75" x14ac:dyDescent="0.2">
      <c r="B51" s="3"/>
      <c r="C51" s="3"/>
      <c r="D51" s="365" t="s">
        <v>61</v>
      </c>
      <c r="E51" s="3"/>
      <c r="F51" s="363">
        <v>0.04</v>
      </c>
      <c r="G51" s="368"/>
      <c r="H51" s="3"/>
      <c r="I51" s="122"/>
      <c r="J51" s="3"/>
      <c r="K51" s="3"/>
      <c r="L51" s="3"/>
      <c r="N51" s="3"/>
      <c r="O51" s="3" t="str">
        <f>D51</f>
        <v>Kalksteinmehl</v>
      </c>
      <c r="P51" s="3"/>
      <c r="Q51" s="80">
        <f>IF(NOT(ISBLANK($I51)),$I51,$F51)*IF(NOT(ISBLANK('Eingabe EF'!$I36)),'Eingabe EF'!$I36,'Eingabe EF'!$G36)*IF(NOT(ISBLANK($I$12)),$I$12,$F$12)</f>
        <v>0</v>
      </c>
      <c r="R51" s="80">
        <f>IF(NOT(ISBLANK($I51)),$I51,$F51)*IF(NOT(ISBLANK('Eingabe EF'!$M36)),'Eingabe EF'!$M36,'Eingabe EF'!$K36)*IF(NOT(ISBLANK($I$12)),$I$12,$F$12)</f>
        <v>0</v>
      </c>
      <c r="S51" s="80">
        <f>IF(NOT(ISBLANK($I51)),$I51,$F51)*IF(NOT(ISBLANK('Eingabe EF'!$Q36)),'Eingabe EF'!$Q36,'Eingabe EF'!$O36)*IF(NOT(ISBLANK($I$12)),$I$12,$F$12)</f>
        <v>72.319999999999993</v>
      </c>
      <c r="T51" s="15"/>
      <c r="U51" s="80">
        <f>Q51+R51</f>
        <v>0</v>
      </c>
      <c r="V51" s="82">
        <f>SUM(Q51:S51)</f>
        <v>72.319999999999993</v>
      </c>
      <c r="W51" s="15" t="s">
        <v>162</v>
      </c>
      <c r="X51" s="3"/>
    </row>
    <row r="52" spans="2:24" x14ac:dyDescent="0.2">
      <c r="B52" s="3"/>
      <c r="C52" s="3"/>
      <c r="D52" s="3"/>
      <c r="E52" s="3"/>
      <c r="F52" s="368"/>
      <c r="G52" s="368"/>
      <c r="H52" s="3"/>
      <c r="I52" s="3"/>
      <c r="J52" s="3"/>
      <c r="K52" s="3"/>
      <c r="L52" s="3"/>
      <c r="N52" s="3"/>
      <c r="O52" s="3"/>
      <c r="P52" s="3"/>
      <c r="Q52" s="80"/>
      <c r="R52" s="80"/>
      <c r="S52" s="80"/>
      <c r="T52" s="15"/>
      <c r="U52" s="80"/>
      <c r="V52" s="82"/>
      <c r="W52" s="15"/>
      <c r="X52" s="3"/>
    </row>
    <row r="53" spans="2:24" ht="14.25" x14ac:dyDescent="0.2">
      <c r="B53" s="3"/>
      <c r="C53" s="3"/>
      <c r="D53" s="8" t="s">
        <v>51</v>
      </c>
      <c r="E53" s="3"/>
      <c r="F53" s="370">
        <v>2E-3</v>
      </c>
      <c r="G53" s="368"/>
      <c r="H53" s="3"/>
      <c r="I53" s="122"/>
      <c r="J53" s="3"/>
      <c r="K53" s="121"/>
      <c r="L53" s="3"/>
      <c r="N53" s="3"/>
      <c r="O53" s="349" t="s">
        <v>51</v>
      </c>
      <c r="P53" s="120"/>
      <c r="Q53" s="350">
        <f>SUM(Q54:Q57)</f>
        <v>0</v>
      </c>
      <c r="R53" s="350">
        <f>SUM(R54:R57)</f>
        <v>0</v>
      </c>
      <c r="S53" s="350">
        <f>SUM(S54:S57)</f>
        <v>148.44746134951595</v>
      </c>
      <c r="T53" s="368"/>
      <c r="U53" s="350">
        <f>Q53+R53</f>
        <v>0</v>
      </c>
      <c r="V53" s="374">
        <f>SUM(Q53:S53)</f>
        <v>148.44746134951595</v>
      </c>
      <c r="W53" s="351" t="s">
        <v>163</v>
      </c>
      <c r="X53" s="3"/>
    </row>
    <row r="54" spans="2:24" s="379" customFormat="1" ht="15.75" x14ac:dyDescent="0.2">
      <c r="B54" s="15"/>
      <c r="C54" s="15"/>
      <c r="D54" s="365" t="s">
        <v>473</v>
      </c>
      <c r="E54" s="15"/>
      <c r="F54" s="363">
        <v>0.39213986418147667</v>
      </c>
      <c r="G54" s="364" t="s">
        <v>53</v>
      </c>
      <c r="H54" s="15"/>
      <c r="I54" s="365"/>
      <c r="J54" s="14" t="s">
        <v>53</v>
      </c>
      <c r="K54" s="366"/>
      <c r="L54" s="15"/>
      <c r="N54" s="15"/>
      <c r="O54" s="14" t="str">
        <f>D54</f>
        <v>Plastifizierer</v>
      </c>
      <c r="P54" s="15"/>
      <c r="Q54" s="80">
        <f>IF(NOT(ISBLANK($I$53)),$I$53,$F$53)*IF(NOT(ISBLANK($I54)),$I54,$F54)*IF(NOT(ISBLANK('Eingabe EF'!$I39)),'Eingabe EF'!$I39,'Eingabe EF'!$G39)*IF(NOT(ISBLANK($I$12)),$I$12,$F$12)</f>
        <v>0</v>
      </c>
      <c r="R54" s="80">
        <f>IF(NOT(ISBLANK($I$53)),$I$53,$F$53)*IF(NOT(ISBLANK($I54)),$I54,$F54)*IF(NOT(ISBLANK('Eingabe EF'!$M39)),'Eingabe EF'!$M39,'Eingabe EF'!$K39)*IF(NOT(ISBLANK($I$12)),$I$12,$F$12)</f>
        <v>0</v>
      </c>
      <c r="S54" s="80">
        <f>IF(NOT(ISBLANK($I$53)),$I$53,$F$53)*IF(NOT(ISBLANK($I54)),$I54,$F54)*IF(NOT(ISBLANK('Eingabe EF'!$Q39)),'Eingabe EF'!$Q39,'Eingabe EF'!$O39)*IF(NOT(ISBLANK($I$12)),$I$12,$F$12)</f>
        <v>47.997919375812742</v>
      </c>
      <c r="T54" s="15"/>
      <c r="U54" s="80">
        <f>Q54+R54</f>
        <v>0</v>
      </c>
      <c r="V54" s="82">
        <f>SUM(Q54:S54)</f>
        <v>47.997919375812742</v>
      </c>
      <c r="W54" s="15" t="s">
        <v>162</v>
      </c>
      <c r="X54" s="15"/>
    </row>
    <row r="55" spans="2:24" s="379" customFormat="1" ht="15.75" x14ac:dyDescent="0.2">
      <c r="B55" s="15"/>
      <c r="C55" s="15"/>
      <c r="D55" s="365" t="s">
        <v>474</v>
      </c>
      <c r="E55" s="15"/>
      <c r="F55" s="363">
        <v>0.164571593700332</v>
      </c>
      <c r="G55" s="364" t="s">
        <v>53</v>
      </c>
      <c r="H55" s="15"/>
      <c r="I55" s="365"/>
      <c r="J55" s="14" t="s">
        <v>53</v>
      </c>
      <c r="K55" s="366"/>
      <c r="L55" s="15"/>
      <c r="N55" s="15"/>
      <c r="O55" s="14" t="str">
        <f t="shared" ref="O55:O57" si="7">D55</f>
        <v>Luftporenbildner</v>
      </c>
      <c r="P55" s="15"/>
      <c r="Q55" s="80">
        <f>IF(NOT(ISBLANK($I$53)),$I$53,$F$53)*IF(NOT(ISBLANK($I55)),$I55,$F55)*IF(NOT(ISBLANK('Eingabe EF'!$I40)),'Eingabe EF'!$I40,'Eingabe EF'!$G40)*IF(NOT(ISBLANK($I$12)),$I$12,$F$12)</f>
        <v>0</v>
      </c>
      <c r="R55" s="80">
        <f>IF(NOT(ISBLANK($I$53)),$I$53,$F$53)*IF(NOT(ISBLANK($I55)),$I55,$F55)*IF(NOT(ISBLANK('Eingabe EF'!$M40)),'Eingabe EF'!$M40,'Eingabe EF'!$K40)*IF(NOT(ISBLANK($I$12)),$I$12,$F$12)</f>
        <v>0</v>
      </c>
      <c r="S55" s="80">
        <f>IF(NOT(ISBLANK($I$53)),$I$53,$F$53)*IF(NOT(ISBLANK($I55)),$I55,$F55)*IF(NOT(ISBLANK('Eingabe EF'!$Q40)),'Eingabe EF'!$Q40,'Eingabe EF'!$O40)*IF(NOT(ISBLANK($I$12)),$I$12,$F$12)</f>
        <v>5.7797543707556596</v>
      </c>
      <c r="T55" s="15"/>
      <c r="U55" s="80">
        <f>Q55+R55</f>
        <v>0</v>
      </c>
      <c r="V55" s="82">
        <f>SUM(Q55:S55)</f>
        <v>5.7797543707556596</v>
      </c>
      <c r="W55" s="15" t="s">
        <v>162</v>
      </c>
      <c r="X55" s="15"/>
    </row>
    <row r="56" spans="2:24" s="379" customFormat="1" ht="15.75" x14ac:dyDescent="0.2">
      <c r="B56" s="15"/>
      <c r="C56" s="15"/>
      <c r="D56" s="365" t="s">
        <v>475</v>
      </c>
      <c r="E56" s="15"/>
      <c r="F56" s="363">
        <v>1.4448779078167896E-4</v>
      </c>
      <c r="G56" s="364" t="s">
        <v>53</v>
      </c>
      <c r="H56" s="15"/>
      <c r="I56" s="365"/>
      <c r="J56" s="14" t="s">
        <v>53</v>
      </c>
      <c r="K56" s="366"/>
      <c r="L56" s="15"/>
      <c r="N56" s="15"/>
      <c r="O56" s="14" t="str">
        <f t="shared" si="7"/>
        <v>Stabilisierer</v>
      </c>
      <c r="P56" s="15"/>
      <c r="Q56" s="80">
        <f>IF(NOT(ISBLANK($I$53)),$I$53,$F$53)*IF(NOT(ISBLANK($I56)),$I56,$F56)*IF(NOT(ISBLANK('Eingabe EF'!$I41)),'Eingabe EF'!$I41,'Eingabe EF'!$G41)*IF(NOT(ISBLANK($I$12)),$I$12,$F$12)</f>
        <v>0</v>
      </c>
      <c r="R56" s="80">
        <f>IF(NOT(ISBLANK($I$53)),$I$53,$F$53)*IF(NOT(ISBLANK($I56)),$I56,$F56)*IF(NOT(ISBLANK('Eingabe EF'!$M41)),'Eingabe EF'!$M41,'Eingabe EF'!$K41)*IF(NOT(ISBLANK($I$12)),$I$12,$F$12)</f>
        <v>0</v>
      </c>
      <c r="S56" s="80">
        <f>IF(NOT(ISBLANK($I$53)),$I$53,$F$53)*IF(NOT(ISBLANK($I56)),$I56,$F56)*IF(NOT(ISBLANK('Eingabe EF'!$Q41)),'Eingabe EF'!$Q41,'Eingabe EF'!$O41)*IF(NOT(ISBLANK($I$12)),$I$12,$F$12)</f>
        <v>1.4217598612917211E-2</v>
      </c>
      <c r="T56" s="15"/>
      <c r="U56" s="80">
        <f>Q56+R56</f>
        <v>0</v>
      </c>
      <c r="V56" s="82">
        <f>SUM(Q56:S56)</f>
        <v>1.4217598612917211E-2</v>
      </c>
      <c r="W56" s="15" t="s">
        <v>162</v>
      </c>
      <c r="X56" s="15"/>
    </row>
    <row r="57" spans="2:24" s="379" customFormat="1" ht="15.75" x14ac:dyDescent="0.2">
      <c r="B57" s="15"/>
      <c r="C57" s="15"/>
      <c r="D57" s="365" t="s">
        <v>476</v>
      </c>
      <c r="E57" s="15"/>
      <c r="F57" s="363">
        <v>0.44314405432740933</v>
      </c>
      <c r="G57" s="364" t="s">
        <v>53</v>
      </c>
      <c r="H57" s="15"/>
      <c r="I57" s="365"/>
      <c r="J57" s="14" t="s">
        <v>53</v>
      </c>
      <c r="K57" s="366"/>
      <c r="L57" s="15"/>
      <c r="N57" s="15"/>
      <c r="O57" s="14" t="str">
        <f t="shared" si="7"/>
        <v>Hydrophobierer</v>
      </c>
      <c r="P57" s="15"/>
      <c r="Q57" s="80">
        <f>IF(NOT(ISBLANK($I$53)),$I$53,$F$53)*IF(NOT(ISBLANK($I57)),$I57,$F57)*IF(NOT(ISBLANK('Eingabe EF'!$I42)),'Eingabe EF'!$I42,'Eingabe EF'!$G42)*IF(NOT(ISBLANK($I$12)),$I$12,$F$12)</f>
        <v>0</v>
      </c>
      <c r="R57" s="80">
        <f>IF(NOT(ISBLANK($I$53)),$I$53,$F$53)*IF(NOT(ISBLANK($I57)),$I57,$F57)*IF(NOT(ISBLANK('Eingabe EF'!$M42)),'Eingabe EF'!$M42,'Eingabe EF'!$K42)*IF(NOT(ISBLANK($I$12)),$I$12,$F$12)</f>
        <v>0</v>
      </c>
      <c r="S57" s="80">
        <f>IF(NOT(ISBLANK($I$53)),$I$53,$F$53)*IF(NOT(ISBLANK($I57)),$I57,$F57)*IF(NOT(ISBLANK('Eingabe EF'!$Q42)),'Eingabe EF'!$Q42,'Eingabe EF'!$O42)*IF(NOT(ISBLANK($I$12)),$I$12,$F$12)</f>
        <v>94.655570004334635</v>
      </c>
      <c r="T57" s="15"/>
      <c r="U57" s="80">
        <f>Q57+R57</f>
        <v>0</v>
      </c>
      <c r="V57" s="82">
        <f>SUM(Q57:S57)</f>
        <v>94.655570004334635</v>
      </c>
      <c r="W57" s="15" t="s">
        <v>162</v>
      </c>
      <c r="X57" s="15"/>
    </row>
    <row r="58" spans="2:24" s="379" customFormat="1" x14ac:dyDescent="0.2">
      <c r="B58" s="15"/>
      <c r="C58" s="15"/>
      <c r="D58" s="15"/>
      <c r="E58" s="15"/>
      <c r="F58" s="363"/>
      <c r="G58" s="368"/>
      <c r="H58" s="15"/>
      <c r="I58" s="380"/>
      <c r="J58" s="15"/>
      <c r="K58" s="15"/>
      <c r="L58" s="15"/>
      <c r="N58" s="15"/>
      <c r="O58" s="15"/>
      <c r="P58" s="15"/>
      <c r="Q58" s="80"/>
      <c r="R58" s="80"/>
      <c r="S58" s="80"/>
      <c r="T58" s="15"/>
      <c r="U58" s="80"/>
      <c r="V58" s="82"/>
      <c r="W58" s="15"/>
      <c r="X58" s="15"/>
    </row>
    <row r="59" spans="2:24" s="379" customFormat="1" ht="14.25" x14ac:dyDescent="0.2">
      <c r="B59" s="15"/>
      <c r="C59" s="15"/>
      <c r="D59" s="15" t="s">
        <v>110</v>
      </c>
      <c r="E59" s="15"/>
      <c r="F59" s="363">
        <v>0.1</v>
      </c>
      <c r="G59" s="368"/>
      <c r="H59" s="15"/>
      <c r="I59" s="365"/>
      <c r="J59" s="15"/>
      <c r="K59" s="15"/>
      <c r="L59" s="15"/>
      <c r="N59" s="15"/>
      <c r="O59" s="79" t="s">
        <v>203</v>
      </c>
      <c r="P59" s="79"/>
      <c r="Q59" s="373">
        <f>IF(NOT(ISBLANK($I59)),$I59,$F59)*IF(NOT(ISBLANK('Eingabe EF'!$I44)),'Eingabe EF'!$I44,'Eingabe EF'!$G44)*IF(NOT(ISBLANK($I$12)),$I$12,$F$12)</f>
        <v>0</v>
      </c>
      <c r="R59" s="373">
        <f>IF(NOT(ISBLANK($I59)),$I59,$F59)*IF(NOT(ISBLANK('Eingabe EF'!$M44)),'Eingabe EF'!$M44,0)*IF(NOT(ISBLANK($I$12)),$I$12,$F$12)</f>
        <v>0</v>
      </c>
      <c r="S59" s="373">
        <f>IF(NOT(ISBLANK($I59)),$I59,$F59)*IF(NOT(ISBLANK('Eingabe EF'!$Q44)),'Eingabe EF'!$Q44,0)*IF(NOT(ISBLANK($I$12)),$I$12,$F$12)</f>
        <v>0</v>
      </c>
      <c r="T59" s="79"/>
      <c r="U59" s="373">
        <f>Q59+R59</f>
        <v>0</v>
      </c>
      <c r="V59" s="375">
        <f>SUM(Q59:S59)</f>
        <v>0</v>
      </c>
      <c r="W59" s="79" t="s">
        <v>163</v>
      </c>
      <c r="X59" s="15"/>
    </row>
    <row r="60" spans="2:24" s="379" customFormat="1" ht="14.25" x14ac:dyDescent="0.2">
      <c r="B60" s="15"/>
      <c r="C60" s="15"/>
      <c r="D60" s="15" t="s">
        <v>64</v>
      </c>
      <c r="E60" s="15"/>
      <c r="F60" s="368">
        <v>2000</v>
      </c>
      <c r="G60" s="368" t="s">
        <v>65</v>
      </c>
      <c r="H60" s="15"/>
      <c r="I60" s="274"/>
      <c r="J60" s="15" t="s">
        <v>65</v>
      </c>
      <c r="K60" s="15"/>
      <c r="L60" s="15"/>
      <c r="N60" s="15"/>
      <c r="O60" s="79" t="s">
        <v>64</v>
      </c>
      <c r="P60" s="79"/>
      <c r="Q60" s="373">
        <f>IF(NOT(ISBLANK($I60)),$I60,$F60)*IF(NOT(ISBLANK('Eingabe EF'!$I49)),'Eingabe EF'!$I49,'Eingabe EF'!$G49)*IF(NOT(ISBLANK($I$12)),$I$12,$F$12)</f>
        <v>0</v>
      </c>
      <c r="R60" s="373">
        <f>IF(NOT(ISBLANK($I60)),$I60,$F60)*IF(NOT(ISBLANK('Eingabe EF'!$M45)),'Eingabe EF'!$M45,'Eingabe EF'!$K45)</f>
        <v>0</v>
      </c>
      <c r="S60" s="373">
        <f>IF(NOT(ISBLANK($I60)),$I60,$F60)*IF(NOT(ISBLANK('Eingabe EF'!$Q45)),'Eingabe EF'!$Q45,'Eingabe EF'!$O45)</f>
        <v>0.54400000000000004</v>
      </c>
      <c r="T60" s="79"/>
      <c r="U60" s="373">
        <f>Q60+R60</f>
        <v>0</v>
      </c>
      <c r="V60" s="375">
        <f>SUM(Q60:S60)</f>
        <v>0.54400000000000004</v>
      </c>
      <c r="W60" s="79" t="s">
        <v>163</v>
      </c>
      <c r="X60" s="15"/>
    </row>
    <row r="61" spans="2:24" x14ac:dyDescent="0.2">
      <c r="B61" s="3"/>
      <c r="C61" s="3"/>
      <c r="D61" s="3"/>
      <c r="E61" s="3"/>
      <c r="F61" s="368"/>
      <c r="G61" s="368"/>
      <c r="H61" s="3"/>
      <c r="I61" s="3"/>
      <c r="J61" s="3"/>
      <c r="K61" s="3"/>
      <c r="L61" s="3"/>
      <c r="N61" s="3"/>
      <c r="O61" s="3"/>
      <c r="P61" s="3"/>
      <c r="Q61" s="82"/>
      <c r="R61" s="82"/>
      <c r="S61" s="82"/>
      <c r="T61" s="15"/>
      <c r="U61" s="80"/>
      <c r="V61" s="82"/>
      <c r="W61" s="15"/>
      <c r="X61" s="3"/>
    </row>
    <row r="62" spans="2:24" ht="14.25" x14ac:dyDescent="0.2">
      <c r="B62" s="3"/>
      <c r="C62" s="3"/>
      <c r="D62" s="8" t="s">
        <v>182</v>
      </c>
      <c r="E62" s="3"/>
      <c r="F62" s="368"/>
      <c r="G62" s="368"/>
      <c r="H62" s="3"/>
      <c r="I62" s="3"/>
      <c r="J62" s="3"/>
      <c r="K62" s="3"/>
      <c r="L62" s="3"/>
      <c r="N62" s="3"/>
      <c r="O62" s="349" t="str">
        <f>D62</f>
        <v>Oberflächenschutzsysteme</v>
      </c>
      <c r="P62" s="120"/>
      <c r="Q62" s="350">
        <f>SUM(Q63:Q65)</f>
        <v>0</v>
      </c>
      <c r="R62" s="350">
        <f>SUM(R63:R65)</f>
        <v>0</v>
      </c>
      <c r="S62" s="350">
        <f>SUM(S63:S65)</f>
        <v>80.47999999999999</v>
      </c>
      <c r="T62" s="368"/>
      <c r="U62" s="350">
        <f>Q62+R62</f>
        <v>0</v>
      </c>
      <c r="V62" s="374">
        <f>SUM(Q62:S62)</f>
        <v>80.47999999999999</v>
      </c>
      <c r="W62" s="351" t="s">
        <v>163</v>
      </c>
      <c r="X62" s="3"/>
    </row>
    <row r="63" spans="2:24" ht="15.75" x14ac:dyDescent="0.2">
      <c r="B63" s="3"/>
      <c r="C63" s="3"/>
      <c r="D63" s="3" t="s">
        <v>183</v>
      </c>
      <c r="E63" s="3"/>
      <c r="F63" s="363">
        <v>0</v>
      </c>
      <c r="G63" s="368"/>
      <c r="H63" s="3"/>
      <c r="I63" s="122"/>
      <c r="J63" s="3"/>
      <c r="K63" s="121"/>
      <c r="L63" s="3"/>
      <c r="N63" s="3"/>
      <c r="O63" s="3" t="str">
        <f>D63</f>
        <v>Hydrophobierung</v>
      </c>
      <c r="P63" s="3"/>
      <c r="Q63" s="80">
        <f>IF(NOT(ISBLANK($I63)),$I63,$F63)*IF(NOT(ISBLANK('Eingabe EF'!$I48)),'Eingabe EF'!$I48,0)*IF(NOT(ISBLANK($I$12)),$I$12,$F$12)</f>
        <v>0</v>
      </c>
      <c r="R63" s="80">
        <f>IF(NOT(ISBLANK($I63)),$I63,$F63)*IF(NOT(ISBLANK('Eingabe EF'!$M48)),'Eingabe EF'!$M48,0)*IF(NOT(ISBLANK($I$12)),$I$12,$F$12)</f>
        <v>0</v>
      </c>
      <c r="S63" s="80">
        <f>IF(NOT(ISBLANK($I63)),$I63,$F63)*IF(NOT(ISBLANK('Eingabe EF'!$Q48)),'Eingabe EF'!$Q48,0)*IF(NOT(ISBLANK($I$12)),$I$12,$F$12)</f>
        <v>0</v>
      </c>
      <c r="T63" s="15"/>
      <c r="U63" s="80">
        <f>Q63+R63</f>
        <v>0</v>
      </c>
      <c r="V63" s="82">
        <f>SUM(Q63:S63)</f>
        <v>0</v>
      </c>
      <c r="W63" s="15" t="s">
        <v>162</v>
      </c>
      <c r="X63" s="3"/>
    </row>
    <row r="64" spans="2:24" ht="15.75" x14ac:dyDescent="0.2">
      <c r="B64" s="3"/>
      <c r="C64" s="3"/>
      <c r="D64" s="3" t="s">
        <v>62</v>
      </c>
      <c r="E64" s="3"/>
      <c r="F64" s="363">
        <v>1E-3</v>
      </c>
      <c r="G64" s="368"/>
      <c r="H64" s="3"/>
      <c r="I64" s="122"/>
      <c r="J64" s="3"/>
      <c r="K64" s="121"/>
      <c r="L64" s="3"/>
      <c r="N64" s="3"/>
      <c r="O64" s="3" t="str">
        <f>D64</f>
        <v>Imprägniermittel  (Aushärtung über Infrarot)</v>
      </c>
      <c r="P64" s="3"/>
      <c r="Q64" s="80">
        <f>IF(NOT(ISBLANK($I64)),$I64,$F64)*IF(NOT(ISBLANK('Eingabe EF'!$I49)),'Eingabe EF'!$I49,'Eingabe EF'!$G49)*IF(NOT(ISBLANK($I$12)),$I$12,$F$12)</f>
        <v>0</v>
      </c>
      <c r="R64" s="80">
        <f>IF(NOT(ISBLANK($I64)),$I64,$F64)*IF(NOT(ISBLANK('Eingabe EF'!$M49)),'Eingabe EF'!$M49,'Eingabe EF'!$K49)*IF(NOT(ISBLANK($I$12)),$I$12,$F$12)</f>
        <v>0</v>
      </c>
      <c r="S64" s="80">
        <f>IF(NOT(ISBLANK($I64)),$I64,$F64)*IF(NOT(ISBLANK('Eingabe EF'!$Q49)),'Eingabe EF'!$Q49,'Eingabe EF'!$O49)*IF(NOT(ISBLANK($I$12)),$I$12,$F$12)</f>
        <v>80.47999999999999</v>
      </c>
      <c r="T64" s="15"/>
      <c r="U64" s="80">
        <f>Q64+R64</f>
        <v>0</v>
      </c>
      <c r="V64" s="82">
        <f>SUM(Q64:S64)</f>
        <v>80.47999999999999</v>
      </c>
      <c r="W64" s="15" t="s">
        <v>162</v>
      </c>
      <c r="X64" s="3"/>
    </row>
    <row r="65" spans="2:24" ht="15.75" x14ac:dyDescent="0.2">
      <c r="B65" s="3"/>
      <c r="C65" s="3"/>
      <c r="D65" s="3" t="s">
        <v>184</v>
      </c>
      <c r="E65" s="3"/>
      <c r="F65" s="363">
        <v>0</v>
      </c>
      <c r="G65" s="368"/>
      <c r="H65" s="3"/>
      <c r="I65" s="122"/>
      <c r="J65" s="3"/>
      <c r="K65" s="121"/>
      <c r="L65" s="3"/>
      <c r="N65" s="3"/>
      <c r="O65" s="3" t="str">
        <f>D65</f>
        <v>Beschichtung</v>
      </c>
      <c r="P65" s="3"/>
      <c r="Q65" s="80">
        <f>IF(NOT(ISBLANK($I65)),$I65,$F65)*IF(NOT(ISBLANK('Eingabe EF'!$I50)),'Eingabe EF'!$I50,0)*IF(NOT(ISBLANK($I$12)),$I$12,$F$12)</f>
        <v>0</v>
      </c>
      <c r="R65" s="80">
        <f>IF(NOT(ISBLANK($I65)),$I65,$F65)*IF(NOT(ISBLANK('Eingabe EF'!$M50)),'Eingabe EF'!$M50,0)*IF(NOT(ISBLANK($I$12)),$I$12,$F$12)</f>
        <v>0</v>
      </c>
      <c r="S65" s="80">
        <f>IF(NOT(ISBLANK($I65)),$I65,$F65)*IF(NOT(ISBLANK('Eingabe EF'!$Q50)),'Eingabe EF'!$Q50,0)*IF(NOT(ISBLANK($I$12)),$I$12,$F$12)</f>
        <v>0</v>
      </c>
      <c r="T65" s="15"/>
      <c r="U65" s="80">
        <f>Q65+R65</f>
        <v>0</v>
      </c>
      <c r="V65" s="82">
        <f>SUM(Q65:S65)</f>
        <v>0</v>
      </c>
      <c r="W65" s="15" t="s">
        <v>162</v>
      </c>
      <c r="X65" s="3"/>
    </row>
    <row r="66" spans="2:24" x14ac:dyDescent="0.2">
      <c r="B66" s="3"/>
      <c r="C66" s="3"/>
      <c r="D66" s="3"/>
      <c r="E66" s="3"/>
      <c r="F66" s="368"/>
      <c r="G66" s="368"/>
      <c r="H66" s="3"/>
      <c r="I66" s="3"/>
      <c r="J66" s="3"/>
      <c r="K66" s="3"/>
      <c r="L66" s="3"/>
      <c r="N66" s="3"/>
      <c r="O66" s="3"/>
      <c r="P66" s="3"/>
      <c r="Q66" s="82"/>
      <c r="R66" s="82"/>
      <c r="S66" s="82"/>
      <c r="T66" s="15"/>
      <c r="U66" s="80"/>
      <c r="V66" s="82"/>
      <c r="W66" s="15"/>
      <c r="X66" s="3"/>
    </row>
    <row r="67" spans="2:24" ht="25.5" x14ac:dyDescent="0.2">
      <c r="B67" s="3"/>
      <c r="C67" s="3"/>
      <c r="D67" s="8" t="s">
        <v>185</v>
      </c>
      <c r="E67" s="3"/>
      <c r="F67" s="368"/>
      <c r="G67" s="368"/>
      <c r="H67" s="3"/>
      <c r="I67" s="3"/>
      <c r="J67" s="3"/>
      <c r="K67" s="3"/>
      <c r="L67" s="3"/>
      <c r="N67" s="3"/>
      <c r="O67" s="362" t="str">
        <f>D67</f>
        <v>Oberflächenbearbeitung (vor/nach Erhärtung)</v>
      </c>
      <c r="P67" s="120"/>
      <c r="Q67" s="350">
        <f>SUM(Q68:Q70)</f>
        <v>0</v>
      </c>
      <c r="R67" s="350">
        <f>SUM(R68:R70)</f>
        <v>0</v>
      </c>
      <c r="S67" s="350">
        <f>SUM(S68:S70)</f>
        <v>60</v>
      </c>
      <c r="T67" s="368"/>
      <c r="U67" s="350">
        <f>Q67+R67</f>
        <v>0</v>
      </c>
      <c r="V67" s="374">
        <f>SUM(Q67:S67)</f>
        <v>60</v>
      </c>
      <c r="W67" s="351" t="s">
        <v>163</v>
      </c>
      <c r="X67" s="3"/>
    </row>
    <row r="68" spans="2:24" ht="15.75" x14ac:dyDescent="0.2">
      <c r="B68" s="3"/>
      <c r="C68" s="3"/>
      <c r="D68" s="3" t="s">
        <v>66</v>
      </c>
      <c r="E68" s="3"/>
      <c r="F68" s="368">
        <v>40</v>
      </c>
      <c r="G68" s="368" t="s">
        <v>48</v>
      </c>
      <c r="H68" s="3"/>
      <c r="I68" s="111"/>
      <c r="J68" s="3" t="s">
        <v>48</v>
      </c>
      <c r="K68" s="3"/>
      <c r="L68" s="3"/>
      <c r="N68" s="3"/>
      <c r="O68" s="3" t="str">
        <f>D68</f>
        <v>Stahlkugeln (Strahlanlage)</v>
      </c>
      <c r="P68" s="3"/>
      <c r="Q68" s="80">
        <f>IF(NOT(ISBLANK($I68)),$I68,$F68)*IF(NOT(ISBLANK('Eingabe EF'!$I53)),'Eingabe EF'!$I53,'Eingabe EF'!$G53)</f>
        <v>0</v>
      </c>
      <c r="R68" s="80">
        <f>IF(NOT(ISBLANK($I68)),$I68,$F68)*IF(NOT(ISBLANK('Eingabe EF'!$M53)),'Eingabe EF'!$M53,'Eingabe EF'!$K53)</f>
        <v>0</v>
      </c>
      <c r="S68" s="80">
        <f>IF(NOT(ISBLANK($I68)),$I68,$F68)*IF(NOT(ISBLANK('Eingabe EF'!$Q53)),'Eingabe EF'!$Q53,'Eingabe EF'!$O53)</f>
        <v>60</v>
      </c>
      <c r="T68" s="15"/>
      <c r="U68" s="80">
        <f>Q68+R68</f>
        <v>0</v>
      </c>
      <c r="V68" s="82">
        <f>SUM(Q68:S68)</f>
        <v>60</v>
      </c>
      <c r="W68" s="15" t="s">
        <v>162</v>
      </c>
      <c r="X68" s="3"/>
    </row>
    <row r="69" spans="2:24" ht="15.75" x14ac:dyDescent="0.2">
      <c r="B69" s="3"/>
      <c r="C69" s="3"/>
      <c r="D69" s="3" t="s">
        <v>187</v>
      </c>
      <c r="E69" s="3"/>
      <c r="F69" s="368">
        <v>0</v>
      </c>
      <c r="G69" s="368" t="s">
        <v>48</v>
      </c>
      <c r="H69" s="3"/>
      <c r="I69" s="111"/>
      <c r="J69" s="3" t="s">
        <v>48</v>
      </c>
      <c r="K69" s="121"/>
      <c r="L69" s="3"/>
      <c r="N69" s="3"/>
      <c r="O69" s="3" t="str">
        <f>D69</f>
        <v>Weitere Materialen</v>
      </c>
      <c r="P69" s="3"/>
      <c r="Q69" s="80">
        <f>IF(NOT(ISBLANK($I69)),$I69,$F69)*IF(NOT(ISBLANK('Eingabe EF'!$I54)),'Eingabe EF'!$I54,0)</f>
        <v>0</v>
      </c>
      <c r="R69" s="80">
        <f>IF(NOT(ISBLANK($I69)),$I69,$F69)*IF(NOT(ISBLANK('Eingabe EF'!$M54)),'Eingabe EF'!$M54,0)</f>
        <v>0</v>
      </c>
      <c r="S69" s="80">
        <f>IF(NOT(ISBLANK($I69)),$I69,$F69)*IF(NOT(ISBLANK('Eingabe EF'!$Q54)),'Eingabe EF'!$Q54,0)</f>
        <v>0</v>
      </c>
      <c r="T69" s="15"/>
      <c r="U69" s="80">
        <f>Q69+R69</f>
        <v>0</v>
      </c>
      <c r="V69" s="82">
        <f>SUM(Q69:S69)</f>
        <v>0</v>
      </c>
      <c r="W69" s="15" t="s">
        <v>162</v>
      </c>
      <c r="X69" s="3"/>
    </row>
    <row r="70" spans="2:24" ht="15.75" x14ac:dyDescent="0.2">
      <c r="B70" s="3"/>
      <c r="C70" s="3"/>
      <c r="D70" s="3" t="s">
        <v>186</v>
      </c>
      <c r="E70" s="3"/>
      <c r="F70" s="368">
        <v>0</v>
      </c>
      <c r="G70" s="368" t="s">
        <v>48</v>
      </c>
      <c r="H70" s="3"/>
      <c r="I70" s="111"/>
      <c r="J70" s="3" t="s">
        <v>48</v>
      </c>
      <c r="K70" s="121"/>
      <c r="L70" s="3"/>
      <c r="N70" s="3"/>
      <c r="O70" s="3" t="str">
        <f>D70</f>
        <v>Oberflächenbearbeitungsarten</v>
      </c>
      <c r="P70" s="3"/>
      <c r="Q70" s="80">
        <f>IF(NOT(ISBLANK($I70)),$I70,$F70)*IF(NOT(ISBLANK('Eingabe EF'!$I55)),'Eingabe EF'!$I55,0)</f>
        <v>0</v>
      </c>
      <c r="R70" s="80">
        <f>IF(NOT(ISBLANK($I70)),$I70,$F70)*IF(NOT(ISBLANK('Eingabe EF'!$M55)),'Eingabe EF'!$M55,0)</f>
        <v>0</v>
      </c>
      <c r="S70" s="80">
        <f>IF(NOT(ISBLANK($I70)),$I70,$F70)*IF(NOT(ISBLANK('Eingabe EF'!$Q55)),'Eingabe EF'!$Q55,0)</f>
        <v>0</v>
      </c>
      <c r="T70" s="15"/>
      <c r="U70" s="80">
        <f>Q70+R70</f>
        <v>0</v>
      </c>
      <c r="V70" s="82">
        <f>SUM(Q70:S70)</f>
        <v>0</v>
      </c>
      <c r="W70" s="15" t="s">
        <v>162</v>
      </c>
      <c r="X70" s="3"/>
    </row>
    <row r="71" spans="2:24" x14ac:dyDescent="0.2">
      <c r="B71" s="3"/>
      <c r="C71" s="3"/>
      <c r="D71" s="3"/>
      <c r="E71" s="3"/>
      <c r="F71" s="368"/>
      <c r="G71" s="368"/>
      <c r="H71" s="3"/>
      <c r="I71" s="3"/>
      <c r="J71" s="3"/>
      <c r="K71" s="3"/>
      <c r="L71" s="3"/>
      <c r="N71" s="3"/>
      <c r="O71" s="3"/>
      <c r="P71" s="3"/>
      <c r="Q71" s="82"/>
      <c r="R71" s="82"/>
      <c r="S71" s="82"/>
      <c r="T71" s="15"/>
      <c r="U71" s="80"/>
      <c r="V71" s="82"/>
      <c r="W71" s="15"/>
      <c r="X71" s="3"/>
    </row>
    <row r="72" spans="2:24" ht="14.25" x14ac:dyDescent="0.2">
      <c r="B72" s="3"/>
      <c r="C72" s="3"/>
      <c r="D72" s="3" t="s">
        <v>63</v>
      </c>
      <c r="E72" s="3"/>
      <c r="F72" s="368">
        <v>80</v>
      </c>
      <c r="G72" s="368" t="s">
        <v>48</v>
      </c>
      <c r="H72" s="3"/>
      <c r="I72" s="111"/>
      <c r="J72" s="3" t="s">
        <v>48</v>
      </c>
      <c r="K72" s="3"/>
      <c r="L72" s="3"/>
      <c r="N72" s="3"/>
      <c r="O72" s="8" t="str">
        <f>D72</f>
        <v>Verpackungsmaterial</v>
      </c>
      <c r="P72" s="8"/>
      <c r="Q72" s="373">
        <f>IF(NOT(ISBLANK($I72)),$I72,$F72)*IF(NOT(ISBLANK('Eingabe EF'!$I57)),'Eingabe EF'!$I57,'Eingabe EF'!$G57)</f>
        <v>0</v>
      </c>
      <c r="R72" s="373">
        <f>IF(NOT(ISBLANK($I72)),$I72,$F72)*IF(NOT(ISBLANK('Eingabe EF'!$M57)),'Eingabe EF'!$M57,'Eingabe EF'!$K57)</f>
        <v>0</v>
      </c>
      <c r="S72" s="373">
        <f>IF(NOT(ISBLANK($I72)),$I72,$F72)*IF(NOT(ISBLANK('Eingabe EF'!$Q57)),'Eingabe EF'!$Q57,'Eingabe EF'!$O57)</f>
        <v>64.48</v>
      </c>
      <c r="T72" s="79"/>
      <c r="U72" s="373">
        <f>Q72+R72</f>
        <v>0</v>
      </c>
      <c r="V72" s="375">
        <f>SUM(Q72:S72)</f>
        <v>64.48</v>
      </c>
      <c r="W72" s="79" t="s">
        <v>163</v>
      </c>
      <c r="X72" s="3"/>
    </row>
    <row r="73" spans="2:24" x14ac:dyDescent="0.2">
      <c r="B73" s="3"/>
      <c r="C73" s="3"/>
      <c r="D73" s="3"/>
      <c r="E73" s="3"/>
      <c r="F73" s="3"/>
      <c r="G73" s="3"/>
      <c r="H73" s="3"/>
      <c r="I73" s="3"/>
      <c r="J73" s="3"/>
      <c r="K73" s="3"/>
      <c r="L73" s="3"/>
      <c r="N73" s="3"/>
      <c r="O73" s="3"/>
      <c r="P73" s="3"/>
      <c r="Q73" s="9"/>
      <c r="R73" s="9"/>
      <c r="S73" s="9"/>
      <c r="T73" s="3"/>
      <c r="U73" s="9"/>
      <c r="V73" s="9"/>
      <c r="W73" s="3"/>
      <c r="X73" s="3"/>
    </row>
    <row r="74" spans="2:24" ht="14.25" x14ac:dyDescent="0.25">
      <c r="B74" s="3"/>
      <c r="C74" s="3"/>
      <c r="D74" s="3"/>
      <c r="E74" s="3"/>
      <c r="F74" s="3"/>
      <c r="G74" s="3"/>
      <c r="H74" s="3"/>
      <c r="I74" s="353" t="str">
        <f>IF((I36+I37+I38+I39+I42+I43+I44++I49+I50+I51+I53+I59)&gt;0,IF((I36+I37+I38+I39+I42+I43+I44+I46+I49+I50+I51+I53+I59)=100%,"","Hinweis, falls Handeingabe vorgenommen wurde: Anteile der eingegebenen Verbrauchswerte der Rohstoffe (Zeile 36-59) ergeben nicht 100 %"),"")</f>
        <v/>
      </c>
      <c r="J74" s="3"/>
      <c r="K74" s="3"/>
      <c r="L74" s="3"/>
      <c r="N74" s="3"/>
      <c r="O74" s="354" t="s">
        <v>39</v>
      </c>
      <c r="P74" s="355"/>
      <c r="Q74" s="356">
        <f>SUM(Q16:Q73)-Q41-Q35-Q48-Q53-Q62-Q67-Q31</f>
        <v>94.932355060000006</v>
      </c>
      <c r="R74" s="356">
        <f>SUM(R16:R73)-R41-R35-R48-R53-R62-R67-R31</f>
        <v>171.9</v>
      </c>
      <c r="S74" s="356">
        <f>SUM(S16:S73)-S41-S35-S48-S53-S62-S67-S31</f>
        <v>5831.5296228095176</v>
      </c>
      <c r="T74" s="354"/>
      <c r="U74" s="356">
        <f>Q74+R74</f>
        <v>266.83235506</v>
      </c>
      <c r="V74" s="356">
        <f>SUM(Q74:S74)</f>
        <v>6098.3619778695174</v>
      </c>
      <c r="W74" s="354" t="s">
        <v>163</v>
      </c>
      <c r="X74" s="8"/>
    </row>
    <row r="75" spans="2:24" ht="15" thickBot="1" x14ac:dyDescent="0.3">
      <c r="B75" s="3"/>
      <c r="C75" s="3"/>
      <c r="D75" s="3"/>
      <c r="E75" s="3"/>
      <c r="F75" s="3"/>
      <c r="G75" s="3"/>
      <c r="H75" s="3"/>
      <c r="I75" s="357"/>
      <c r="J75" s="3"/>
      <c r="K75" s="3"/>
      <c r="L75" s="3"/>
      <c r="N75" s="3"/>
      <c r="O75" s="358"/>
      <c r="P75" s="358"/>
      <c r="Q75" s="359">
        <f>Q74/IF(NOT(ISBLANK($I$12)),$I$12,$F$12)</f>
        <v>2.3733088764999999E-3</v>
      </c>
      <c r="R75" s="359">
        <f>R74/IF(NOT(ISBLANK($I$12)),$I$12,$F$12)</f>
        <v>4.2975000000000001E-3</v>
      </c>
      <c r="S75" s="359">
        <f>S74/IF(NOT(ISBLANK($I$12)),$I$12,$F$12)</f>
        <v>0.14578824057023795</v>
      </c>
      <c r="T75" s="360"/>
      <c r="U75" s="359">
        <f>U74/IF(NOT(ISBLANK($I$12)),$I$12,$F$12)</f>
        <v>6.6708088764999996E-3</v>
      </c>
      <c r="V75" s="359">
        <f>V74/IF(NOT(ISBLANK($I$12)),$I$12,$F$12)</f>
        <v>0.15245904944673794</v>
      </c>
      <c r="W75" s="360" t="s">
        <v>164</v>
      </c>
      <c r="X75" s="8"/>
    </row>
    <row r="76" spans="2:24" ht="13.5" thickTop="1" x14ac:dyDescent="0.2">
      <c r="B76" s="3"/>
      <c r="C76" s="3"/>
      <c r="D76" s="3"/>
      <c r="E76" s="3"/>
      <c r="F76" s="3"/>
      <c r="G76" s="3"/>
      <c r="H76" s="3"/>
      <c r="I76" s="3"/>
      <c r="J76" s="3"/>
      <c r="K76" s="3"/>
      <c r="L76" s="3"/>
      <c r="N76" s="3"/>
      <c r="O76" s="3"/>
      <c r="P76" s="3"/>
      <c r="Q76" s="3"/>
      <c r="R76" s="3"/>
      <c r="S76" s="3"/>
      <c r="T76" s="3"/>
      <c r="U76" s="3"/>
      <c r="V76" s="3"/>
      <c r="W76" s="3"/>
      <c r="X76" s="3"/>
    </row>
    <row r="77" spans="2:24" ht="14.25" x14ac:dyDescent="0.2">
      <c r="B77" s="3"/>
      <c r="C77" s="34"/>
      <c r="D77" s="34" t="s">
        <v>450</v>
      </c>
      <c r="E77" s="34"/>
      <c r="F77" s="34"/>
      <c r="G77" s="34"/>
      <c r="H77" s="34"/>
      <c r="I77" s="34"/>
      <c r="J77" s="34"/>
      <c r="K77" s="3"/>
      <c r="L77" s="3"/>
      <c r="N77" s="3"/>
      <c r="O77" s="3"/>
      <c r="P77" s="3"/>
      <c r="Q77" s="3"/>
      <c r="R77" s="3"/>
      <c r="S77" s="3"/>
      <c r="T77" s="3"/>
      <c r="U77" s="3"/>
      <c r="V77" s="3"/>
      <c r="W77" s="3"/>
      <c r="X77" s="3"/>
    </row>
    <row r="78" spans="2:24" ht="14.25" x14ac:dyDescent="0.2">
      <c r="B78" s="3"/>
      <c r="C78" s="3"/>
      <c r="D78" s="3"/>
      <c r="E78" s="3"/>
      <c r="F78" s="3"/>
      <c r="G78" s="3"/>
      <c r="H78" s="3"/>
      <c r="I78" s="3"/>
      <c r="J78" s="3"/>
      <c r="K78" s="3"/>
      <c r="L78" s="3"/>
      <c r="N78" s="3"/>
      <c r="O78" s="3" t="s">
        <v>171</v>
      </c>
      <c r="P78" s="3"/>
      <c r="Q78" s="3"/>
      <c r="R78" s="3"/>
      <c r="S78" s="3"/>
      <c r="T78" s="3"/>
      <c r="U78" s="3"/>
      <c r="V78" s="3"/>
      <c r="W78" s="3"/>
      <c r="X78" s="3"/>
    </row>
    <row r="79" spans="2:24" x14ac:dyDescent="0.2">
      <c r="B79" s="3"/>
      <c r="C79" s="3"/>
      <c r="D79" s="3"/>
      <c r="E79" s="3"/>
      <c r="F79" s="3"/>
      <c r="G79" s="3"/>
      <c r="H79" s="3"/>
      <c r="I79" s="3"/>
      <c r="J79" s="3"/>
      <c r="K79" s="3"/>
      <c r="L79" s="3"/>
      <c r="N79" s="3"/>
      <c r="O79" s="3"/>
      <c r="P79" s="3"/>
      <c r="Q79" s="3"/>
      <c r="R79" s="3"/>
      <c r="S79" s="3"/>
      <c r="T79" s="3"/>
      <c r="U79" s="3"/>
      <c r="V79" s="3"/>
      <c r="W79" s="3"/>
      <c r="X79" s="3"/>
    </row>
    <row r="80" spans="2:24" x14ac:dyDescent="0.2">
      <c r="B80" s="3"/>
      <c r="C80" s="3"/>
      <c r="D80" s="3"/>
      <c r="E80" s="3"/>
      <c r="F80" s="3"/>
      <c r="G80" s="3"/>
      <c r="H80" s="3"/>
      <c r="I80" s="3"/>
      <c r="J80" s="3"/>
      <c r="K80" s="3"/>
      <c r="L80" s="3"/>
      <c r="N80" s="3"/>
      <c r="O80" s="3"/>
      <c r="P80" s="3"/>
      <c r="Q80" s="3"/>
      <c r="R80" s="3"/>
      <c r="S80" s="3"/>
      <c r="T80" s="3"/>
      <c r="U80" s="3"/>
      <c r="V80" s="3"/>
      <c r="W80" s="3"/>
      <c r="X80" s="3"/>
    </row>
    <row r="81" spans="4:11" hidden="1" outlineLevel="1" x14ac:dyDescent="0.2">
      <c r="D81" s="103" t="str">
        <f>IF($I$39&gt;0,"Bitte im Reiter 'Eingabe EF' einen Emissionsfaktor für die Zementsorte für 2020, 2025 und 2030 eintragen!","")</f>
        <v/>
      </c>
    </row>
    <row r="82" spans="4:11" hidden="1" outlineLevel="1" x14ac:dyDescent="0.2">
      <c r="D82" s="103" t="str">
        <f>IF($I$19&gt;0,"Bitte im Reiter 'Eingabe EF' entsprechende Emissionsfaktoren und im Reiter 'Eingabe Preise' entsprechenden Preis für den alternativen Ergieträger Härtekammer für 2020, 2025 und 2030 eintragen!","")</f>
        <v/>
      </c>
      <c r="G82" s="6" t="s">
        <v>451</v>
      </c>
      <c r="I82" s="361">
        <f>IF(NOT(ISBLANK($I36)),$I36,$F36)+IF(NOT(ISBLANK($I37)),$I37,$F37)+IF(NOT(ISBLANK($I38)),$I38,$F38)+IF(NOT(ISBLANK($I39)),$I39,$F39)+IF(NOT(ISBLANK($I42)),$I42,$F42)+IF(NOT(ISBLANK($I43)),$I43,$F43)+IF(NOT(ISBLANK($I44)),$I44,$F44)+IF(NOT(ISBLANK($I46)),$I46,$F46)+IF(NOT(ISBLANK($I49)),$I49,$F49)+IF(NOT(ISBLANK($I50)),$I50,$F50)+IF(NOT(ISBLANK($I51)),$I51,$F51)+IF(NOT(ISBLANK($I53)),$I53,$F53)+IF(NOT(ISBLANK($I59)),$I59,$F59)+IF(NOT(ISBLANK($I63)),$I63,$F63)+IF(NOT(ISBLANK($I64)),$I64,$F64)+IF(NOT(ISBLANK($I65)),$I65,$F65)</f>
        <v>1</v>
      </c>
      <c r="K82" s="6" t="str">
        <f>IF(OR(I82&lt;100%,I82&gt;100%),"Hinweis: Die Summe der Einsatzstoffe muss 100% ergeben.","")</f>
        <v/>
      </c>
    </row>
    <row r="83" spans="4:11" hidden="1" outlineLevel="1" x14ac:dyDescent="0.2">
      <c r="D83" s="103" t="str">
        <f>IF($I$26&gt;0,"Bitte im Reiter 'Eingabe EF' entsprechende Emissionsfaktoren und im Reiter 'Eingabe Preise' entsprechenden Preis für den alternativen Ergieträger fürs restliche Werk für 2020, 2025 und 2030 eintragen!","")</f>
        <v/>
      </c>
      <c r="G83" s="6" t="s">
        <v>452</v>
      </c>
      <c r="I83" s="361">
        <f>IF(NOT(ISBLANK($I54)),$I54,$F54)+IF(NOT(ISBLANK($I55)),$I55,$F55)+IF(NOT(ISBLANK($I56)),$I56,$F56)+IF(NOT(ISBLANK($I57)),$I57,$F57)</f>
        <v>0.99999999999999967</v>
      </c>
      <c r="K83" s="6" t="str">
        <f>IF(OR(I83&lt;100%,I83&gt;100%),"Hinweis: Die Summe der Zusatzmittel muss 100% ergeben.","")</f>
        <v/>
      </c>
    </row>
    <row r="84" spans="4:11" hidden="1" outlineLevel="1" x14ac:dyDescent="0.2">
      <c r="D84" s="103" t="str">
        <f>IF($I$43&gt;0,"Bitte im Reiter 'Eingabe EF' einen Emissionsfaktor für Brechsand, Splitt für 2020, 2025 und 2030 eintragen!","")</f>
        <v/>
      </c>
    </row>
    <row r="85" spans="4:11" hidden="1" outlineLevel="1" x14ac:dyDescent="0.2">
      <c r="D85" s="103" t="str">
        <f>IF($I$44&gt;0,"Bitte im Reiter 'Eingabe EF' einen Emissionsfaktor für RC-Material (Sand, Splitt) für 2020, 2025 und 2030 eintragen!","")</f>
        <v/>
      </c>
    </row>
    <row r="86" spans="4:11" hidden="1" outlineLevel="1" x14ac:dyDescent="0.2">
      <c r="D86" s="103" t="str">
        <f>IF($I$63&gt;0,"Bitte im Reiter 'Eingabe EF' einen Emissionsfaktor für Hydrophobierung für 2020, 2025 und 2030 eintragen!","")</f>
        <v/>
      </c>
    </row>
    <row r="87" spans="4:11" hidden="1" outlineLevel="1" x14ac:dyDescent="0.2">
      <c r="D87" s="103" t="str">
        <f>IF($I$65&gt;0,"Bitte im Reiter 'Eingabe EF' einen Emissionsfaktor für Beschichtung für 2020, 2025 und 2030 eintragen!","")</f>
        <v/>
      </c>
    </row>
    <row r="88" spans="4:11" hidden="1" outlineLevel="1" x14ac:dyDescent="0.2">
      <c r="D88" s="103" t="str">
        <f>IF($I$69&gt;0,"Bitte im Reiter 'Eingabe EF' einen Emissionsfaktor für 'weitere Materialen' für 2020, 2025 und 2030 eintragen!","")</f>
        <v/>
      </c>
    </row>
    <row r="89" spans="4:11" hidden="1" outlineLevel="1" x14ac:dyDescent="0.2">
      <c r="D89" s="103" t="str">
        <f>IF($I$70&gt;0,"Bitte im Reiter 'Eingabe EF' einen Emissionsfaktor für Oberflächenbearbeitungsarten für 2020, 2025 und 2030 eintragen!","")</f>
        <v/>
      </c>
    </row>
    <row r="90" spans="4:11" collapsed="1" x14ac:dyDescent="0.2"/>
  </sheetData>
  <sheetProtection algorithmName="SHA-512" hashValue="+6TO6DcBaugKrVtKxe4x62okAp8zvKHwwLSTns4GBIpfPmfFoMxbfpr7EJVJ0gUcRRKCL6CQhOXhhu2TcbpS+w==" saltValue="ArBOxtv22FaERL+sUy6Raw==" spinCount="100000" sheet="1" objects="1" scenarios="1" selectLockedCells="1"/>
  <mergeCells count="1">
    <mergeCell ref="F5:K5"/>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0285-D3A6-4863-BE85-8BA39F29FA35}">
  <sheetPr>
    <pageSetUpPr fitToPage="1"/>
  </sheetPr>
  <dimension ref="B2:R25"/>
  <sheetViews>
    <sheetView zoomScale="85" zoomScaleNormal="85" workbookViewId="0">
      <selection activeCell="G10" sqref="G10"/>
    </sheetView>
  </sheetViews>
  <sheetFormatPr baseColWidth="10" defaultColWidth="9" defaultRowHeight="12.75" x14ac:dyDescent="0.2"/>
  <cols>
    <col min="1" max="2" width="3.625" style="2" customWidth="1"/>
    <col min="3" max="3" width="30.375" style="2" bestFit="1" customWidth="1"/>
    <col min="4" max="4" width="9" style="2"/>
    <col min="5" max="5" width="14.125" style="2" customWidth="1"/>
    <col min="6" max="6" width="1.875" style="2" customWidth="1"/>
    <col min="7" max="7" width="14.75" style="2" customWidth="1"/>
    <col min="8" max="8" width="5.125" style="126" customWidth="1"/>
    <col min="9" max="9" width="14.75" style="2" customWidth="1"/>
    <col min="10" max="10" width="1.875" style="2" customWidth="1"/>
    <col min="11" max="11" width="14.75" style="2" customWidth="1"/>
    <col min="12" max="12" width="5.125" style="126" customWidth="1"/>
    <col min="13" max="13" width="14.75" style="2" customWidth="1"/>
    <col min="14" max="14" width="1.875" style="2" customWidth="1"/>
    <col min="15" max="15" width="14.75" style="2" customWidth="1"/>
    <col min="16" max="16" width="2.125" style="2" customWidth="1"/>
    <col min="17" max="17" width="9" style="2"/>
    <col min="18" max="18" width="2.5" style="2" customWidth="1"/>
    <col min="19" max="16384" width="9" style="2"/>
  </cols>
  <sheetData>
    <row r="2" spans="2:18" x14ac:dyDescent="0.2">
      <c r="B2" s="3"/>
      <c r="C2" s="3"/>
      <c r="D2" s="3"/>
      <c r="E2" s="3"/>
      <c r="F2" s="3"/>
      <c r="G2" s="3"/>
      <c r="H2" s="116"/>
      <c r="I2" s="3"/>
      <c r="J2" s="3"/>
      <c r="K2" s="3"/>
      <c r="L2" s="116"/>
      <c r="M2" s="3"/>
      <c r="N2" s="3"/>
      <c r="O2" s="3"/>
      <c r="P2" s="3"/>
      <c r="Q2" s="3"/>
      <c r="R2" s="3"/>
    </row>
    <row r="3" spans="2:18" ht="18" x14ac:dyDescent="0.2">
      <c r="B3" s="3"/>
      <c r="C3" s="385" t="s">
        <v>292</v>
      </c>
      <c r="D3" s="385"/>
      <c r="E3" s="385"/>
      <c r="F3" s="3"/>
      <c r="G3" s="3"/>
      <c r="H3" s="116"/>
      <c r="I3" s="3"/>
      <c r="J3" s="3"/>
      <c r="K3" s="3"/>
      <c r="L3" s="116"/>
      <c r="M3" s="3"/>
      <c r="N3" s="3"/>
      <c r="O3" s="3"/>
      <c r="P3" s="3"/>
      <c r="Q3" s="3"/>
      <c r="R3" s="3"/>
    </row>
    <row r="4" spans="2:18" x14ac:dyDescent="0.2">
      <c r="B4" s="3"/>
      <c r="C4" s="3"/>
      <c r="D4" s="3"/>
      <c r="E4" s="3"/>
      <c r="F4" s="3"/>
      <c r="G4" s="3"/>
      <c r="H4" s="116"/>
      <c r="I4" s="3"/>
      <c r="J4" s="3"/>
      <c r="K4" s="3"/>
      <c r="L4" s="116"/>
      <c r="M4" s="3"/>
      <c r="N4" s="3"/>
      <c r="O4" s="3"/>
      <c r="P4" s="3"/>
      <c r="Q4" s="3"/>
      <c r="R4" s="3"/>
    </row>
    <row r="5" spans="2:18" ht="70.5" customHeight="1" x14ac:dyDescent="0.2">
      <c r="B5" s="3"/>
      <c r="C5" s="386" t="s">
        <v>323</v>
      </c>
      <c r="D5" s="386"/>
      <c r="E5" s="386"/>
      <c r="F5" s="386"/>
      <c r="G5" s="386"/>
      <c r="H5" s="386"/>
      <c r="I5" s="386"/>
      <c r="J5" s="386"/>
      <c r="K5" s="386"/>
      <c r="L5" s="386"/>
      <c r="M5" s="386"/>
      <c r="N5" s="14"/>
      <c r="O5" s="14"/>
      <c r="P5" s="14"/>
      <c r="Q5" s="3"/>
      <c r="R5" s="3"/>
    </row>
    <row r="6" spans="2:18" x14ac:dyDescent="0.2">
      <c r="B6" s="3"/>
      <c r="C6" s="3"/>
      <c r="D6" s="3"/>
      <c r="E6" s="3"/>
      <c r="F6" s="3"/>
      <c r="G6" s="3"/>
      <c r="H6" s="116"/>
      <c r="I6" s="3"/>
      <c r="J6" s="3"/>
      <c r="K6" s="3"/>
      <c r="L6" s="116"/>
      <c r="M6" s="3"/>
      <c r="N6" s="3"/>
      <c r="O6" s="3"/>
      <c r="P6" s="3"/>
      <c r="Q6" s="3"/>
      <c r="R6" s="3"/>
    </row>
    <row r="7" spans="2:18" x14ac:dyDescent="0.2">
      <c r="B7" s="3"/>
      <c r="C7" s="3"/>
      <c r="D7" s="3"/>
      <c r="E7" s="3"/>
      <c r="F7" s="3"/>
      <c r="G7" s="3"/>
      <c r="H7" s="116"/>
      <c r="I7" s="3"/>
      <c r="J7" s="3"/>
      <c r="K7" s="3"/>
      <c r="L7" s="116"/>
      <c r="M7" s="3"/>
      <c r="N7" s="3"/>
      <c r="O7" s="3"/>
      <c r="P7" s="3"/>
      <c r="Q7" s="3"/>
      <c r="R7" s="3"/>
    </row>
    <row r="8" spans="2:18" ht="38.25" x14ac:dyDescent="0.2">
      <c r="B8" s="3"/>
      <c r="C8" s="8" t="s">
        <v>20</v>
      </c>
      <c r="D8" s="8" t="s">
        <v>21</v>
      </c>
      <c r="E8" s="123" t="s">
        <v>132</v>
      </c>
      <c r="F8" s="8"/>
      <c r="G8" s="123" t="s">
        <v>85</v>
      </c>
      <c r="H8" s="11"/>
      <c r="I8" s="123" t="s">
        <v>70</v>
      </c>
      <c r="J8" s="8"/>
      <c r="K8" s="123" t="s">
        <v>86</v>
      </c>
      <c r="L8" s="11"/>
      <c r="M8" s="123" t="s">
        <v>71</v>
      </c>
      <c r="N8" s="8"/>
      <c r="O8" s="123" t="s">
        <v>87</v>
      </c>
      <c r="P8" s="116"/>
      <c r="Q8" s="3"/>
      <c r="R8" s="3"/>
    </row>
    <row r="9" spans="2:18" ht="4.5" customHeight="1" x14ac:dyDescent="0.2">
      <c r="B9" s="3"/>
      <c r="C9" s="3"/>
      <c r="D9" s="3"/>
      <c r="E9" s="116"/>
      <c r="F9" s="3"/>
      <c r="G9" s="116"/>
      <c r="H9" s="118"/>
      <c r="I9" s="116"/>
      <c r="J9" s="3"/>
      <c r="K9" s="116"/>
      <c r="L9" s="118"/>
      <c r="M9" s="116"/>
      <c r="N9" s="3"/>
      <c r="O9" s="116"/>
      <c r="P9" s="116"/>
      <c r="Q9" s="3"/>
      <c r="R9" s="3"/>
    </row>
    <row r="10" spans="2:18" x14ac:dyDescent="0.2">
      <c r="B10" s="3"/>
      <c r="C10" s="3" t="s">
        <v>31</v>
      </c>
      <c r="D10" s="124" t="str">
        <f>'Default Preise'!K9</f>
        <v>€/MWh</v>
      </c>
      <c r="E10" s="124">
        <f>'Default Preise'!J9</f>
        <v>61</v>
      </c>
      <c r="F10" s="3"/>
      <c r="G10" s="127"/>
      <c r="H10" s="116"/>
      <c r="I10" s="124">
        <f>$E10</f>
        <v>61</v>
      </c>
      <c r="J10" s="3"/>
      <c r="K10" s="127"/>
      <c r="L10" s="116"/>
      <c r="M10" s="124">
        <f>$E10</f>
        <v>61</v>
      </c>
      <c r="N10" s="3"/>
      <c r="O10" s="127"/>
      <c r="P10" s="116"/>
      <c r="Q10" s="3"/>
      <c r="R10" s="3"/>
    </row>
    <row r="11" spans="2:18" x14ac:dyDescent="0.2">
      <c r="B11" s="3"/>
      <c r="C11" s="3" t="s">
        <v>32</v>
      </c>
      <c r="D11" s="124" t="str">
        <f>'Default Preise'!K10</f>
        <v>€/MWh</v>
      </c>
      <c r="E11" s="124">
        <f>'Default Preise'!J10</f>
        <v>46</v>
      </c>
      <c r="F11" s="3"/>
      <c r="G11" s="127"/>
      <c r="H11" s="116"/>
      <c r="I11" s="124">
        <f t="shared" ref="I11:I15" si="0">$E11</f>
        <v>46</v>
      </c>
      <c r="J11" s="3"/>
      <c r="K11" s="127"/>
      <c r="L11" s="116"/>
      <c r="M11" s="124">
        <f t="shared" ref="M11:M15" si="1">$E11</f>
        <v>46</v>
      </c>
      <c r="N11" s="3"/>
      <c r="O11" s="127"/>
      <c r="P11" s="116"/>
      <c r="Q11" s="3"/>
      <c r="R11" s="3"/>
    </row>
    <row r="12" spans="2:18" x14ac:dyDescent="0.2">
      <c r="B12" s="3"/>
      <c r="C12" s="3" t="s">
        <v>33</v>
      </c>
      <c r="D12" s="124" t="str">
        <f>'Default Preise'!K11</f>
        <v>€/MWh</v>
      </c>
      <c r="E12" s="124">
        <f>'Default Preise'!J11</f>
        <v>172</v>
      </c>
      <c r="F12" s="3"/>
      <c r="G12" s="127"/>
      <c r="H12" s="116"/>
      <c r="I12" s="124">
        <f t="shared" si="0"/>
        <v>172</v>
      </c>
      <c r="J12" s="3"/>
      <c r="K12" s="127"/>
      <c r="L12" s="116"/>
      <c r="M12" s="124">
        <f t="shared" si="1"/>
        <v>172</v>
      </c>
      <c r="N12" s="3"/>
      <c r="O12" s="127"/>
      <c r="P12" s="116"/>
      <c r="Q12" s="3"/>
      <c r="R12" s="3"/>
    </row>
    <row r="13" spans="2:18" x14ac:dyDescent="0.2">
      <c r="B13" s="3"/>
      <c r="C13" s="3" t="s">
        <v>122</v>
      </c>
      <c r="D13" s="124" t="s">
        <v>96</v>
      </c>
      <c r="E13" s="124">
        <f>'Default Preise'!J13</f>
        <v>40</v>
      </c>
      <c r="F13" s="3"/>
      <c r="G13" s="127"/>
      <c r="H13" s="116"/>
      <c r="I13" s="124">
        <f>E13</f>
        <v>40</v>
      </c>
      <c r="J13" s="3"/>
      <c r="K13" s="127"/>
      <c r="L13" s="116"/>
      <c r="M13" s="124">
        <f>E13</f>
        <v>40</v>
      </c>
      <c r="N13" s="3"/>
      <c r="O13" s="127"/>
      <c r="P13" s="116"/>
      <c r="Q13" s="3"/>
      <c r="R13" s="3"/>
    </row>
    <row r="14" spans="2:18" x14ac:dyDescent="0.2">
      <c r="B14" s="3"/>
      <c r="C14" s="3" t="s">
        <v>34</v>
      </c>
      <c r="D14" s="124" t="str">
        <f>'Default Preise'!K14</f>
        <v>€/l</v>
      </c>
      <c r="E14" s="124">
        <f>'Default Preise'!J14</f>
        <v>1.1240000000000001</v>
      </c>
      <c r="F14" s="3"/>
      <c r="G14" s="127"/>
      <c r="H14" s="116"/>
      <c r="I14" s="124">
        <f>E14</f>
        <v>1.1240000000000001</v>
      </c>
      <c r="J14" s="3"/>
      <c r="K14" s="127"/>
      <c r="L14" s="116"/>
      <c r="M14" s="124">
        <f>I14</f>
        <v>1.1240000000000001</v>
      </c>
      <c r="N14" s="3"/>
      <c r="O14" s="127"/>
      <c r="P14" s="116"/>
      <c r="Q14" s="3"/>
      <c r="R14" s="3"/>
    </row>
    <row r="15" spans="2:18" x14ac:dyDescent="0.2">
      <c r="B15" s="3"/>
      <c r="C15" s="3" t="s">
        <v>72</v>
      </c>
      <c r="D15" s="124" t="str">
        <f>'Default Preise'!K12</f>
        <v>€/MWh</v>
      </c>
      <c r="E15" s="124">
        <f>'Default Preise'!J12</f>
        <v>174.5</v>
      </c>
      <c r="F15" s="3"/>
      <c r="G15" s="127"/>
      <c r="H15" s="116"/>
      <c r="I15" s="124">
        <f t="shared" si="0"/>
        <v>174.5</v>
      </c>
      <c r="J15" s="3"/>
      <c r="K15" s="127"/>
      <c r="L15" s="116"/>
      <c r="M15" s="124">
        <f t="shared" si="1"/>
        <v>174.5</v>
      </c>
      <c r="N15" s="3"/>
      <c r="O15" s="127"/>
      <c r="P15" s="116"/>
      <c r="Q15" s="3"/>
      <c r="R15" s="3"/>
    </row>
    <row r="16" spans="2:18" x14ac:dyDescent="0.2">
      <c r="B16" s="3"/>
      <c r="C16" s="127" t="s">
        <v>126</v>
      </c>
      <c r="D16" s="124" t="s">
        <v>96</v>
      </c>
      <c r="E16" s="125" t="s">
        <v>118</v>
      </c>
      <c r="F16" s="3"/>
      <c r="G16" s="127"/>
      <c r="H16" s="116"/>
      <c r="I16" s="125" t="s">
        <v>118</v>
      </c>
      <c r="J16" s="3"/>
      <c r="K16" s="127"/>
      <c r="L16" s="116"/>
      <c r="M16" s="125" t="s">
        <v>118</v>
      </c>
      <c r="N16" s="3"/>
      <c r="O16" s="127"/>
      <c r="P16" s="116"/>
      <c r="Q16" s="3"/>
      <c r="R16" s="3"/>
    </row>
    <row r="17" spans="2:18" x14ac:dyDescent="0.2">
      <c r="B17" s="3"/>
      <c r="C17" s="127" t="s">
        <v>149</v>
      </c>
      <c r="D17" s="124" t="s">
        <v>96</v>
      </c>
      <c r="E17" s="125" t="s">
        <v>118</v>
      </c>
      <c r="F17" s="3"/>
      <c r="G17" s="127"/>
      <c r="H17" s="116"/>
      <c r="I17" s="125" t="s">
        <v>118</v>
      </c>
      <c r="J17" s="3"/>
      <c r="K17" s="127"/>
      <c r="L17" s="116"/>
      <c r="M17" s="125" t="s">
        <v>118</v>
      </c>
      <c r="N17" s="3"/>
      <c r="O17" s="127"/>
      <c r="P17" s="116"/>
      <c r="Q17" s="3"/>
      <c r="R17" s="3"/>
    </row>
    <row r="18" spans="2:18" x14ac:dyDescent="0.2">
      <c r="B18" s="3"/>
      <c r="C18" s="3"/>
      <c r="D18" s="3"/>
      <c r="E18" s="3"/>
      <c r="F18" s="3"/>
      <c r="G18" s="3"/>
      <c r="H18" s="116"/>
      <c r="I18" s="3"/>
      <c r="J18" s="3"/>
      <c r="K18" s="3"/>
      <c r="L18" s="116"/>
      <c r="M18" s="3"/>
      <c r="N18" s="3"/>
      <c r="O18" s="3"/>
      <c r="P18" s="116"/>
      <c r="Q18" s="3"/>
      <c r="R18" s="3"/>
    </row>
    <row r="19" spans="2:18" x14ac:dyDescent="0.2">
      <c r="B19" s="3"/>
      <c r="C19" s="3"/>
      <c r="D19" s="3"/>
      <c r="E19" s="3"/>
      <c r="F19" s="3"/>
      <c r="G19" s="3"/>
      <c r="H19" s="116"/>
      <c r="I19" s="3"/>
      <c r="J19" s="3"/>
      <c r="K19" s="3"/>
      <c r="L19" s="116"/>
      <c r="M19" s="3"/>
      <c r="N19" s="3"/>
      <c r="O19" s="3"/>
      <c r="P19" s="116"/>
      <c r="Q19" s="3"/>
      <c r="R19" s="3"/>
    </row>
    <row r="20" spans="2:18" ht="14.25" x14ac:dyDescent="0.25">
      <c r="B20" s="3"/>
      <c r="C20" s="8" t="s">
        <v>136</v>
      </c>
      <c r="D20" s="3"/>
      <c r="E20" s="3"/>
      <c r="F20" s="3"/>
      <c r="G20" s="3"/>
      <c r="H20" s="116"/>
      <c r="I20" s="3"/>
      <c r="J20" s="3"/>
      <c r="K20" s="3"/>
      <c r="L20" s="116"/>
      <c r="M20" s="3"/>
      <c r="N20" s="3"/>
      <c r="O20" s="3"/>
      <c r="P20" s="116"/>
      <c r="Q20" s="3"/>
      <c r="R20" s="3"/>
    </row>
    <row r="21" spans="2:18" ht="15.75" x14ac:dyDescent="0.3">
      <c r="B21" s="3"/>
      <c r="C21" s="3" t="s">
        <v>27</v>
      </c>
      <c r="D21" s="3" t="s">
        <v>293</v>
      </c>
      <c r="E21" s="3">
        <f>'Default Preise'!J18</f>
        <v>25</v>
      </c>
      <c r="F21" s="3"/>
      <c r="G21" s="127"/>
      <c r="H21" s="116"/>
      <c r="I21" s="3">
        <f>'Default Preise'!J19</f>
        <v>45</v>
      </c>
      <c r="J21" s="3"/>
      <c r="K21" s="127"/>
      <c r="L21" s="116"/>
      <c r="M21" s="3">
        <f>'Default Preise'!J20</f>
        <v>80</v>
      </c>
      <c r="N21" s="3"/>
      <c r="O21" s="127"/>
      <c r="P21" s="116"/>
      <c r="Q21" s="3"/>
      <c r="R21" s="3"/>
    </row>
    <row r="22" spans="2:18" ht="15.75" x14ac:dyDescent="0.3">
      <c r="B22" s="3"/>
      <c r="C22" s="3" t="s">
        <v>28</v>
      </c>
      <c r="D22" s="3" t="s">
        <v>293</v>
      </c>
      <c r="E22" s="3">
        <f>E21</f>
        <v>25</v>
      </c>
      <c r="F22" s="3"/>
      <c r="G22" s="127"/>
      <c r="H22" s="116"/>
      <c r="I22" s="3">
        <f>'Default Preise'!J19</f>
        <v>45</v>
      </c>
      <c r="J22" s="3"/>
      <c r="K22" s="127"/>
      <c r="L22" s="116"/>
      <c r="M22" s="3">
        <f>'Default Preise'!J20</f>
        <v>80</v>
      </c>
      <c r="N22" s="3"/>
      <c r="O22" s="127"/>
      <c r="P22" s="116"/>
      <c r="Q22" s="3"/>
      <c r="R22" s="3"/>
    </row>
    <row r="23" spans="2:18" ht="15.75" x14ac:dyDescent="0.3">
      <c r="B23" s="3"/>
      <c r="C23" s="3" t="s">
        <v>29</v>
      </c>
      <c r="D23" s="3" t="s">
        <v>293</v>
      </c>
      <c r="E23" s="3">
        <f>E22</f>
        <v>25</v>
      </c>
      <c r="F23" s="3"/>
      <c r="G23" s="127"/>
      <c r="H23" s="116"/>
      <c r="I23" s="3">
        <f>'Default Preise'!J19</f>
        <v>45</v>
      </c>
      <c r="J23" s="3"/>
      <c r="K23" s="127"/>
      <c r="L23" s="116"/>
      <c r="M23" s="3">
        <f>'Default Preise'!J20</f>
        <v>80</v>
      </c>
      <c r="N23" s="3"/>
      <c r="O23" s="127"/>
      <c r="P23" s="116"/>
      <c r="Q23" s="3"/>
      <c r="R23" s="3"/>
    </row>
    <row r="24" spans="2:18" x14ac:dyDescent="0.2">
      <c r="B24" s="3"/>
      <c r="C24" s="3"/>
      <c r="D24" s="3"/>
      <c r="E24" s="3"/>
      <c r="F24" s="3"/>
      <c r="G24" s="3"/>
      <c r="H24" s="116"/>
      <c r="I24" s="3"/>
      <c r="J24" s="3"/>
      <c r="K24" s="3"/>
      <c r="L24" s="116"/>
      <c r="M24" s="3"/>
      <c r="N24" s="3"/>
      <c r="O24" s="3"/>
      <c r="P24" s="116"/>
      <c r="Q24" s="3"/>
      <c r="R24" s="3"/>
    </row>
    <row r="25" spans="2:18" x14ac:dyDescent="0.2">
      <c r="B25" s="3"/>
      <c r="C25" s="3"/>
      <c r="D25" s="3"/>
      <c r="E25" s="3"/>
      <c r="F25" s="3"/>
      <c r="G25" s="3"/>
      <c r="H25" s="116"/>
      <c r="I25" s="3"/>
      <c r="J25" s="3"/>
      <c r="K25" s="3"/>
      <c r="L25" s="116"/>
      <c r="M25" s="3"/>
      <c r="N25" s="3"/>
      <c r="O25" s="3"/>
      <c r="P25" s="3"/>
      <c r="Q25" s="3"/>
      <c r="R25" s="3"/>
    </row>
  </sheetData>
  <sheetProtection algorithmName="SHA-512" hashValue="C4x5pRkkJ1QO8mznSIBupRn6CWmRTcrc1+XS2E8Udzasx4zKQM7zDyV06MmpyiK2Ao1YkItPUA3crNkOfui9LQ==" saltValue="jrEIVMdwEPg0HnTu4T8uag==" spinCount="100000" sheet="1" objects="1" scenarios="1" selectLockedCells="1"/>
  <mergeCells count="2">
    <mergeCell ref="C3:E3"/>
    <mergeCell ref="C5:M5"/>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4CB-C7A1-49E8-A50E-A363A234FC74}">
  <sheetPr>
    <pageSetUpPr fitToPage="1"/>
  </sheetPr>
  <dimension ref="A2:O34"/>
  <sheetViews>
    <sheetView zoomScale="85" zoomScaleNormal="85" workbookViewId="0"/>
  </sheetViews>
  <sheetFormatPr baseColWidth="10" defaultColWidth="9" defaultRowHeight="12.75" x14ac:dyDescent="0.2"/>
  <cols>
    <col min="1" max="1" width="3.625" style="2" customWidth="1"/>
    <col min="2" max="2" width="4.125" style="2" customWidth="1"/>
    <col min="3" max="3" width="26.875" style="2" customWidth="1"/>
    <col min="4" max="4" width="30.375" style="2" bestFit="1" customWidth="1"/>
    <col min="5" max="5" width="18.625" style="2" bestFit="1" customWidth="1"/>
    <col min="6" max="6" width="9.375" style="2"/>
    <col min="7" max="8" width="9" style="2"/>
    <col min="9" max="9" width="9.875" style="166" customWidth="1"/>
    <col min="10" max="10" width="14.5" style="2" customWidth="1"/>
    <col min="11" max="11" width="8.375" style="2" customWidth="1"/>
    <col min="12" max="12" width="86.375" style="2" customWidth="1"/>
    <col min="13" max="13" width="5.875" style="2" customWidth="1"/>
    <col min="14" max="16384" width="9" style="2"/>
  </cols>
  <sheetData>
    <row r="2" spans="1:15" x14ac:dyDescent="0.2">
      <c r="A2" s="128"/>
      <c r="B2" s="129"/>
      <c r="C2" s="130"/>
      <c r="D2" s="130"/>
      <c r="E2" s="129"/>
      <c r="F2" s="129"/>
      <c r="G2" s="129"/>
      <c r="H2" s="129"/>
      <c r="I2" s="131"/>
      <c r="J2" s="129"/>
      <c r="K2" s="129"/>
      <c r="L2" s="129"/>
      <c r="M2" s="129"/>
      <c r="N2" s="128"/>
      <c r="O2" s="128"/>
    </row>
    <row r="3" spans="1:15" ht="18" x14ac:dyDescent="0.2">
      <c r="A3" s="128"/>
      <c r="B3" s="129"/>
      <c r="C3" s="385" t="s">
        <v>294</v>
      </c>
      <c r="D3" s="385"/>
      <c r="E3" s="129"/>
      <c r="F3" s="129"/>
      <c r="G3" s="129"/>
      <c r="H3" s="129"/>
      <c r="I3" s="131"/>
      <c r="J3" s="129"/>
      <c r="K3" s="129"/>
      <c r="L3" s="129"/>
      <c r="M3" s="129"/>
      <c r="N3" s="128"/>
      <c r="O3" s="128"/>
    </row>
    <row r="4" spans="1:15" ht="18" x14ac:dyDescent="0.2">
      <c r="A4" s="128"/>
      <c r="B4" s="129"/>
      <c r="C4" s="130"/>
      <c r="D4" s="132"/>
      <c r="E4" s="129"/>
      <c r="F4" s="129"/>
      <c r="G4" s="129"/>
      <c r="H4" s="129"/>
      <c r="I4" s="131"/>
      <c r="J4" s="129"/>
      <c r="K4" s="129"/>
      <c r="L4" s="129"/>
      <c r="M4" s="129"/>
      <c r="N4" s="128"/>
      <c r="O4" s="128"/>
    </row>
    <row r="5" spans="1:15" ht="32.25" customHeight="1" x14ac:dyDescent="0.2">
      <c r="A5" s="128"/>
      <c r="B5" s="129"/>
      <c r="C5" s="390" t="s">
        <v>195</v>
      </c>
      <c r="D5" s="390"/>
      <c r="E5" s="390"/>
      <c r="F5" s="390"/>
      <c r="G5" s="390"/>
      <c r="H5" s="390"/>
      <c r="I5" s="390"/>
      <c r="J5" s="390"/>
      <c r="K5" s="390"/>
      <c r="L5" s="129"/>
      <c r="M5" s="129"/>
      <c r="N5" s="128"/>
      <c r="O5" s="128"/>
    </row>
    <row r="6" spans="1:15" x14ac:dyDescent="0.2">
      <c r="A6" s="133"/>
      <c r="B6" s="8"/>
      <c r="C6" s="8"/>
      <c r="D6" s="8"/>
      <c r="E6" s="8"/>
      <c r="F6" s="8"/>
      <c r="G6" s="8"/>
      <c r="H6" s="8"/>
      <c r="I6" s="13"/>
      <c r="J6" s="8"/>
      <c r="K6" s="8"/>
      <c r="L6" s="8"/>
      <c r="M6" s="8"/>
      <c r="N6" s="133"/>
      <c r="O6" s="133"/>
    </row>
    <row r="7" spans="1:15" x14ac:dyDescent="0.2">
      <c r="A7" s="133"/>
      <c r="B7" s="8"/>
      <c r="C7" s="8"/>
      <c r="D7" s="8"/>
      <c r="E7" s="8"/>
      <c r="F7" s="13" t="s">
        <v>94</v>
      </c>
      <c r="G7" s="13"/>
      <c r="H7" s="13"/>
      <c r="I7" s="13"/>
      <c r="J7" s="387"/>
      <c r="K7" s="387"/>
      <c r="L7" s="8"/>
      <c r="M7" s="8"/>
      <c r="N7" s="133"/>
      <c r="O7" s="133"/>
    </row>
    <row r="8" spans="1:15" x14ac:dyDescent="0.2">
      <c r="A8" s="133"/>
      <c r="B8" s="8"/>
      <c r="C8" s="59" t="s">
        <v>20</v>
      </c>
      <c r="D8" s="59" t="s">
        <v>22</v>
      </c>
      <c r="E8" s="59" t="s">
        <v>21</v>
      </c>
      <c r="F8" s="60">
        <v>2020</v>
      </c>
      <c r="G8" s="60">
        <v>2021</v>
      </c>
      <c r="H8" s="60">
        <v>2022</v>
      </c>
      <c r="I8" s="60">
        <v>2025</v>
      </c>
      <c r="J8" s="388" t="s">
        <v>95</v>
      </c>
      <c r="K8" s="388"/>
      <c r="L8" s="59" t="s">
        <v>23</v>
      </c>
      <c r="M8" s="8"/>
      <c r="N8" s="133"/>
      <c r="O8" s="133"/>
    </row>
    <row r="9" spans="1:15" x14ac:dyDescent="0.2">
      <c r="B9" s="3"/>
      <c r="C9" s="134" t="s">
        <v>31</v>
      </c>
      <c r="D9" s="135" t="s">
        <v>360</v>
      </c>
      <c r="E9" s="135" t="s">
        <v>96</v>
      </c>
      <c r="F9" s="136">
        <v>60.6</v>
      </c>
      <c r="G9" s="136"/>
      <c r="H9" s="136"/>
      <c r="I9" s="136"/>
      <c r="J9" s="137">
        <f>ROUND(F9,0)</f>
        <v>61</v>
      </c>
      <c r="K9" s="138" t="s">
        <v>96</v>
      </c>
      <c r="L9" s="14" t="s">
        <v>302</v>
      </c>
      <c r="M9" s="3"/>
    </row>
    <row r="10" spans="1:15" x14ac:dyDescent="0.2">
      <c r="B10" s="3"/>
      <c r="C10" s="79" t="s">
        <v>32</v>
      </c>
      <c r="D10" s="139" t="s">
        <v>363</v>
      </c>
      <c r="E10" s="139" t="s">
        <v>128</v>
      </c>
      <c r="F10" s="140">
        <v>45</v>
      </c>
      <c r="G10" s="140"/>
      <c r="H10" s="140"/>
      <c r="I10" s="140"/>
      <c r="J10" s="141">
        <f>ROUND(F10/100/9.8/1000*10^6,0)</f>
        <v>46</v>
      </c>
      <c r="K10" s="142" t="s">
        <v>96</v>
      </c>
      <c r="L10" s="14" t="s">
        <v>196</v>
      </c>
      <c r="M10" s="3"/>
    </row>
    <row r="11" spans="1:15" ht="28.5" x14ac:dyDescent="0.2">
      <c r="B11" s="3"/>
      <c r="C11" s="134" t="s">
        <v>33</v>
      </c>
      <c r="D11" s="135" t="s">
        <v>361</v>
      </c>
      <c r="E11" s="135" t="s">
        <v>96</v>
      </c>
      <c r="F11" s="136">
        <v>172</v>
      </c>
      <c r="G11" s="136"/>
      <c r="H11" s="136"/>
      <c r="I11" s="136"/>
      <c r="J11" s="143">
        <f>F11</f>
        <v>172</v>
      </c>
      <c r="K11" s="137" t="s">
        <v>96</v>
      </c>
      <c r="L11" s="14" t="s">
        <v>303</v>
      </c>
      <c r="M11" s="3"/>
    </row>
    <row r="12" spans="1:15" x14ac:dyDescent="0.2">
      <c r="B12" s="3"/>
      <c r="C12" s="79" t="s">
        <v>102</v>
      </c>
      <c r="D12" s="139" t="s">
        <v>295</v>
      </c>
      <c r="E12" s="139" t="s">
        <v>96</v>
      </c>
      <c r="F12" s="140">
        <v>2.5</v>
      </c>
      <c r="G12" s="140"/>
      <c r="H12" s="140"/>
      <c r="I12" s="140"/>
      <c r="J12" s="144">
        <f>J11+F12</f>
        <v>174.5</v>
      </c>
      <c r="K12" s="145" t="s">
        <v>96</v>
      </c>
      <c r="L12" s="14" t="s">
        <v>355</v>
      </c>
      <c r="M12" s="118"/>
    </row>
    <row r="13" spans="1:15" x14ac:dyDescent="0.2">
      <c r="B13" s="3"/>
      <c r="C13" s="134" t="s">
        <v>122</v>
      </c>
      <c r="D13" s="135" t="s">
        <v>364</v>
      </c>
      <c r="E13" s="135" t="s">
        <v>170</v>
      </c>
      <c r="F13" s="136">
        <v>56.03</v>
      </c>
      <c r="G13" s="136"/>
      <c r="H13" s="136"/>
      <c r="I13" s="136"/>
      <c r="J13" s="146">
        <f>ROUND(F13*7.111/10,0)</f>
        <v>40</v>
      </c>
      <c r="K13" s="137" t="s">
        <v>96</v>
      </c>
      <c r="L13" s="14" t="s">
        <v>354</v>
      </c>
      <c r="M13" s="3"/>
    </row>
    <row r="14" spans="1:15" x14ac:dyDescent="0.2">
      <c r="B14" s="3"/>
      <c r="C14" s="79" t="s">
        <v>34</v>
      </c>
      <c r="D14" s="139" t="s">
        <v>362</v>
      </c>
      <c r="E14" s="139" t="s">
        <v>128</v>
      </c>
      <c r="F14" s="140">
        <v>112.4</v>
      </c>
      <c r="G14" s="140"/>
      <c r="H14" s="140"/>
      <c r="I14" s="140"/>
      <c r="J14" s="147">
        <f>F14/100</f>
        <v>1.1240000000000001</v>
      </c>
      <c r="K14" s="145" t="s">
        <v>120</v>
      </c>
      <c r="L14" s="14" t="s">
        <v>129</v>
      </c>
      <c r="M14" s="3"/>
    </row>
    <row r="15" spans="1:15" ht="15.75" x14ac:dyDescent="0.2">
      <c r="B15" s="3"/>
      <c r="C15" s="134" t="s">
        <v>136</v>
      </c>
      <c r="D15" s="135" t="s">
        <v>304</v>
      </c>
      <c r="E15" s="135" t="s">
        <v>296</v>
      </c>
      <c r="F15" s="136">
        <v>24.45</v>
      </c>
      <c r="G15" s="136"/>
      <c r="H15" s="136"/>
      <c r="I15" s="136"/>
      <c r="J15" s="148"/>
      <c r="K15" s="148"/>
      <c r="L15" s="14" t="s">
        <v>298</v>
      </c>
      <c r="M15" s="3"/>
    </row>
    <row r="16" spans="1:15" ht="15.75" x14ac:dyDescent="0.2">
      <c r="B16" s="3"/>
      <c r="C16" s="134"/>
      <c r="D16" s="135" t="s">
        <v>305</v>
      </c>
      <c r="E16" s="135" t="s">
        <v>296</v>
      </c>
      <c r="F16" s="136"/>
      <c r="G16" s="136">
        <v>52.68</v>
      </c>
      <c r="H16" s="136"/>
      <c r="I16" s="136"/>
      <c r="J16" s="148"/>
      <c r="K16" s="148"/>
      <c r="L16" s="14" t="s">
        <v>299</v>
      </c>
      <c r="M16" s="3"/>
    </row>
    <row r="17" spans="2:15" ht="15.75" x14ac:dyDescent="0.2">
      <c r="B17" s="3"/>
      <c r="C17" s="134"/>
      <c r="D17" s="135" t="s">
        <v>306</v>
      </c>
      <c r="E17" s="135" t="s">
        <v>296</v>
      </c>
      <c r="F17" s="136"/>
      <c r="G17" s="136"/>
      <c r="H17" s="136">
        <v>81.069999999999993</v>
      </c>
      <c r="I17" s="136"/>
      <c r="J17" s="148"/>
      <c r="K17" s="148"/>
      <c r="L17" s="14" t="s">
        <v>300</v>
      </c>
      <c r="M17" s="3"/>
    </row>
    <row r="18" spans="2:15" ht="15.75" x14ac:dyDescent="0.2">
      <c r="B18" s="3"/>
      <c r="C18" s="134"/>
      <c r="D18" s="135" t="s">
        <v>371</v>
      </c>
      <c r="E18" s="135" t="s">
        <v>296</v>
      </c>
      <c r="F18" s="136">
        <v>0</v>
      </c>
      <c r="G18" s="136">
        <v>25</v>
      </c>
      <c r="H18" s="136">
        <v>30</v>
      </c>
      <c r="I18" s="136">
        <v>45</v>
      </c>
      <c r="J18" s="148">
        <f>ROUNDUP(F15,0)</f>
        <v>25</v>
      </c>
      <c r="K18" s="148" t="s">
        <v>297</v>
      </c>
      <c r="L18" s="14" t="s">
        <v>81</v>
      </c>
      <c r="M18" s="124"/>
      <c r="N18" s="149"/>
      <c r="O18" s="149"/>
    </row>
    <row r="19" spans="2:15" ht="14.25" x14ac:dyDescent="0.2">
      <c r="B19" s="3"/>
      <c r="C19" s="134"/>
      <c r="D19" s="150"/>
      <c r="E19" s="150"/>
      <c r="F19" s="151"/>
      <c r="G19" s="151"/>
      <c r="H19" s="151"/>
      <c r="I19" s="151"/>
      <c r="J19" s="148">
        <f>I18</f>
        <v>45</v>
      </c>
      <c r="K19" s="148" t="s">
        <v>297</v>
      </c>
      <c r="L19" s="14" t="s">
        <v>104</v>
      </c>
      <c r="M19" s="124"/>
      <c r="N19" s="149"/>
      <c r="O19" s="149"/>
    </row>
    <row r="20" spans="2:15" ht="14.25" x14ac:dyDescent="0.2">
      <c r="B20" s="3"/>
      <c r="C20" s="134"/>
      <c r="D20" s="45"/>
      <c r="E20" s="45"/>
      <c r="F20" s="152"/>
      <c r="G20" s="152"/>
      <c r="H20" s="152"/>
      <c r="I20" s="153"/>
      <c r="J20" s="143">
        <f>ROUNDDOWN(H17,-1)</f>
        <v>80</v>
      </c>
      <c r="K20" s="148" t="s">
        <v>297</v>
      </c>
      <c r="L20" s="14" t="s">
        <v>103</v>
      </c>
      <c r="M20" s="124"/>
      <c r="N20" s="149"/>
      <c r="O20" s="149"/>
    </row>
    <row r="21" spans="2:15" x14ac:dyDescent="0.2">
      <c r="B21" s="3"/>
      <c r="C21" s="154"/>
      <c r="D21" s="154"/>
      <c r="E21" s="154"/>
      <c r="F21" s="154"/>
      <c r="G21" s="154"/>
      <c r="H21" s="154"/>
      <c r="I21" s="155"/>
      <c r="J21" s="156"/>
      <c r="K21" s="156"/>
      <c r="L21" s="14"/>
      <c r="M21" s="3"/>
    </row>
    <row r="22" spans="2:15" x14ac:dyDescent="0.2">
      <c r="B22" s="3"/>
      <c r="C22" s="79"/>
      <c r="D22" s="15"/>
      <c r="E22" s="15"/>
      <c r="F22" s="15"/>
      <c r="G22" s="15"/>
      <c r="H22" s="15"/>
      <c r="I22" s="157"/>
      <c r="J22" s="15"/>
      <c r="K22" s="15"/>
      <c r="L22" s="14"/>
      <c r="M22" s="3"/>
    </row>
    <row r="23" spans="2:15" x14ac:dyDescent="0.2">
      <c r="B23" s="3"/>
      <c r="C23" s="79"/>
      <c r="D23" s="79"/>
      <c r="E23" s="79"/>
      <c r="F23" s="79"/>
      <c r="G23" s="79"/>
      <c r="H23" s="79"/>
      <c r="I23" s="79"/>
      <c r="J23" s="79"/>
      <c r="K23" s="79"/>
      <c r="L23" s="14"/>
      <c r="M23" s="3"/>
    </row>
    <row r="24" spans="2:15" x14ac:dyDescent="0.2">
      <c r="B24" s="3"/>
      <c r="C24" s="119" t="s">
        <v>24</v>
      </c>
      <c r="D24" s="119" t="s">
        <v>22</v>
      </c>
      <c r="E24" s="119" t="s">
        <v>21</v>
      </c>
      <c r="F24" s="158"/>
      <c r="G24" s="158"/>
      <c r="H24" s="158"/>
      <c r="I24" s="48"/>
      <c r="J24" s="389" t="s">
        <v>95</v>
      </c>
      <c r="K24" s="389"/>
      <c r="L24" s="59" t="s">
        <v>23</v>
      </c>
      <c r="M24" s="3"/>
    </row>
    <row r="25" spans="2:15" x14ac:dyDescent="0.2">
      <c r="B25" s="3"/>
      <c r="C25" s="79" t="s">
        <v>26</v>
      </c>
      <c r="D25" s="159" t="s">
        <v>97</v>
      </c>
      <c r="E25" s="15" t="s">
        <v>99</v>
      </c>
      <c r="F25" s="15">
        <v>5</v>
      </c>
      <c r="G25" s="15"/>
      <c r="H25" s="15"/>
      <c r="I25" s="160"/>
      <c r="J25" s="161"/>
      <c r="K25" s="161"/>
      <c r="L25" s="14"/>
      <c r="M25" s="3"/>
    </row>
    <row r="26" spans="2:15" x14ac:dyDescent="0.2">
      <c r="B26" s="3"/>
      <c r="C26" s="158"/>
      <c r="D26" s="162" t="s">
        <v>100</v>
      </c>
      <c r="E26" s="158" t="s">
        <v>99</v>
      </c>
      <c r="F26" s="158">
        <v>10</v>
      </c>
      <c r="G26" s="158"/>
      <c r="H26" s="158"/>
      <c r="I26" s="163"/>
      <c r="J26" s="164">
        <v>8</v>
      </c>
      <c r="K26" s="164" t="s">
        <v>99</v>
      </c>
      <c r="L26" s="14" t="s">
        <v>101</v>
      </c>
      <c r="M26" s="3"/>
    </row>
    <row r="27" spans="2:15" x14ac:dyDescent="0.2">
      <c r="B27" s="3"/>
      <c r="C27" s="15"/>
      <c r="D27" s="15"/>
      <c r="E27" s="15"/>
      <c r="F27" s="15"/>
      <c r="G27" s="15"/>
      <c r="H27" s="15"/>
      <c r="I27" s="160"/>
      <c r="J27" s="161"/>
      <c r="K27" s="161"/>
      <c r="L27" s="15"/>
      <c r="M27" s="3"/>
    </row>
    <row r="28" spans="2:15" x14ac:dyDescent="0.2">
      <c r="B28" s="3"/>
      <c r="C28" s="165"/>
      <c r="D28" s="3"/>
      <c r="E28" s="3"/>
      <c r="F28" s="3"/>
      <c r="G28" s="3"/>
      <c r="H28" s="3"/>
      <c r="I28" s="165"/>
      <c r="J28" s="3"/>
      <c r="K28" s="3"/>
      <c r="L28" s="3"/>
      <c r="M28" s="3"/>
    </row>
    <row r="29" spans="2:15" x14ac:dyDescent="0.2">
      <c r="B29" s="3"/>
      <c r="C29" s="165"/>
      <c r="D29" s="3"/>
      <c r="E29" s="3"/>
      <c r="F29" s="3"/>
      <c r="G29" s="3"/>
      <c r="H29" s="3"/>
      <c r="I29" s="165"/>
      <c r="J29" s="3"/>
      <c r="K29" s="3"/>
      <c r="L29" s="3"/>
      <c r="M29" s="3"/>
    </row>
    <row r="30" spans="2:15" x14ac:dyDescent="0.2">
      <c r="B30" s="3"/>
      <c r="C30" s="165"/>
      <c r="D30" s="3"/>
      <c r="E30" s="3"/>
      <c r="F30" s="3"/>
      <c r="G30" s="3"/>
      <c r="H30" s="3"/>
      <c r="I30" s="165"/>
      <c r="J30" s="3"/>
      <c r="K30" s="3"/>
      <c r="L30" s="3"/>
      <c r="M30" s="3"/>
    </row>
    <row r="31" spans="2:15" x14ac:dyDescent="0.2">
      <c r="B31" s="3"/>
      <c r="C31" s="165"/>
      <c r="D31" s="3"/>
      <c r="E31" s="3"/>
      <c r="F31" s="3"/>
      <c r="G31" s="3"/>
      <c r="H31" s="3"/>
      <c r="I31" s="165"/>
      <c r="J31" s="3"/>
      <c r="K31" s="3"/>
      <c r="L31" s="3"/>
      <c r="M31" s="3"/>
    </row>
    <row r="32" spans="2:15" x14ac:dyDescent="0.2">
      <c r="B32" s="3"/>
      <c r="C32" s="165"/>
      <c r="D32" s="3"/>
      <c r="E32" s="3"/>
      <c r="F32" s="3"/>
      <c r="G32" s="3"/>
      <c r="H32" s="3"/>
      <c r="I32" s="165"/>
      <c r="J32" s="3"/>
      <c r="K32" s="3"/>
      <c r="L32" s="3"/>
      <c r="M32" s="3"/>
    </row>
    <row r="33" spans="2:13" x14ac:dyDescent="0.2">
      <c r="B33" s="3"/>
      <c r="C33" s="165"/>
      <c r="D33" s="3"/>
      <c r="E33" s="3"/>
      <c r="F33" s="3"/>
      <c r="G33" s="3"/>
      <c r="H33" s="3"/>
      <c r="I33" s="165"/>
      <c r="J33" s="3"/>
      <c r="K33" s="3"/>
      <c r="L33" s="3"/>
      <c r="M33" s="3"/>
    </row>
    <row r="34" spans="2:13" x14ac:dyDescent="0.2">
      <c r="B34" s="3"/>
      <c r="C34" s="165"/>
      <c r="D34" s="3"/>
      <c r="E34" s="3"/>
      <c r="F34" s="3"/>
      <c r="G34" s="3"/>
      <c r="H34" s="3"/>
      <c r="I34" s="165"/>
      <c r="J34" s="3"/>
      <c r="K34" s="3"/>
      <c r="L34" s="3"/>
      <c r="M34" s="3"/>
    </row>
  </sheetData>
  <sheetProtection algorithmName="SHA-512" hashValue="SyvsJr8Wqvr8mT3r4mDXTt/u/AtsLCtw1G8qBk+4nNgpAfH8Wyb41E7KwXTNC9PnDWJ2/VQNaudF6aXb40fyYg==" saltValue="kWTfXBEoGK6SOcmCHsSq8g==" spinCount="100000" sheet="1" objects="1" scenarios="1" selectLockedCells="1" selectUnlockedCells="1"/>
  <mergeCells count="5">
    <mergeCell ref="C3:D3"/>
    <mergeCell ref="J7:K7"/>
    <mergeCell ref="J8:K8"/>
    <mergeCell ref="J24:K24"/>
    <mergeCell ref="C5:K5"/>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CDA7-F2C8-4068-B1D1-BEEFE1AF72BE}">
  <sheetPr>
    <pageSetUpPr fitToPage="1"/>
  </sheetPr>
  <dimension ref="B2:BB171"/>
  <sheetViews>
    <sheetView zoomScale="90" zoomScaleNormal="90" workbookViewId="0">
      <selection activeCell="I9" sqref="I9"/>
    </sheetView>
  </sheetViews>
  <sheetFormatPr baseColWidth="10" defaultColWidth="9" defaultRowHeight="14.25" x14ac:dyDescent="0.2"/>
  <cols>
    <col min="1" max="1" width="3.25" style="2" customWidth="1"/>
    <col min="2" max="3" width="3.375" style="167" customWidth="1"/>
    <col min="4" max="4" width="44.375" style="167" customWidth="1"/>
    <col min="5" max="5" width="16.75" style="167" customWidth="1"/>
    <col min="6" max="6" width="2.5" style="167" customWidth="1"/>
    <col min="7" max="7" width="10.875" style="167" customWidth="1"/>
    <col min="8" max="8" width="2.5" style="167" customWidth="1"/>
    <col min="9" max="9" width="12.125" style="167" bestFit="1" customWidth="1"/>
    <col min="10" max="10" width="2.5" style="167" customWidth="1"/>
    <col min="11" max="11" width="12.375" style="167" customWidth="1"/>
    <col min="12" max="12" width="2.5" style="167" customWidth="1"/>
    <col min="13" max="13" width="12.125" style="167" bestFit="1" customWidth="1"/>
    <col min="14" max="14" width="2.5" style="167" customWidth="1"/>
    <col min="15" max="15" width="11" style="167"/>
    <col min="16" max="16" width="2.5" style="167" customWidth="1"/>
    <col min="17" max="17" width="12.125" style="167" bestFit="1" customWidth="1"/>
    <col min="18" max="18" width="2.5" style="167" customWidth="1"/>
    <col min="19" max="19" width="5.125" style="2" customWidth="1"/>
    <col min="20" max="21" width="3.375" style="167" customWidth="1"/>
    <col min="22" max="22" width="44.375" style="167" customWidth="1"/>
    <col min="23" max="23" width="16.75" style="167" customWidth="1"/>
    <col min="24" max="24" width="2.5" style="167" customWidth="1"/>
    <col min="25" max="25" width="10.875" style="167" customWidth="1"/>
    <col min="26" max="26" width="2.5" style="167" customWidth="1"/>
    <col min="27" max="27" width="12.125" style="167" bestFit="1" customWidth="1"/>
    <col min="28" max="28" width="2.5" style="167" customWidth="1"/>
    <col min="29" max="29" width="12.375" style="167" customWidth="1"/>
    <col min="30" max="30" width="2.5" style="167" customWidth="1"/>
    <col min="31" max="31" width="12.125" style="167" bestFit="1" customWidth="1"/>
    <col min="32" max="32" width="2.5" style="167" customWidth="1"/>
    <col min="33" max="33" width="9" style="167"/>
    <col min="34" max="34" width="2.5" style="167" customWidth="1"/>
    <col min="35" max="35" width="12.125" style="167" bestFit="1" customWidth="1"/>
    <col min="36" max="36" width="2.5" style="167" customWidth="1"/>
    <col min="37" max="37" width="5.125" style="2" customWidth="1"/>
    <col min="38" max="39" width="3.375" style="167" customWidth="1"/>
    <col min="40" max="40" width="44.375" style="167" customWidth="1"/>
    <col min="41" max="41" width="16.75" style="167" customWidth="1"/>
    <col min="42" max="42" width="2.5" style="167" customWidth="1"/>
    <col min="43" max="43" width="10.875" style="167" customWidth="1"/>
    <col min="44" max="44" width="2.5" style="167" customWidth="1"/>
    <col min="45" max="45" width="12.125" style="167" bestFit="1" customWidth="1"/>
    <col min="46" max="46" width="2.5" style="167" customWidth="1"/>
    <col min="47" max="47" width="12.375" style="167" customWidth="1"/>
    <col min="48" max="48" width="2.5" style="167" customWidth="1"/>
    <col min="49" max="49" width="12.125" style="167" bestFit="1" customWidth="1"/>
    <col min="50" max="50" width="2.5" style="167" customWidth="1"/>
    <col min="51" max="51" width="9" style="167"/>
    <col min="52" max="52" width="2.5" style="167" customWidth="1"/>
    <col min="53" max="53" width="12.125" style="167" bestFit="1" customWidth="1"/>
    <col min="54" max="54" width="2.5" style="167" customWidth="1"/>
    <col min="55" max="16384" width="9" style="2"/>
  </cols>
  <sheetData>
    <row r="2" spans="2:54" ht="23.25" x14ac:dyDescent="0.35">
      <c r="V2" s="168"/>
      <c r="AN2" s="168"/>
    </row>
    <row r="3" spans="2:54" ht="21.75" customHeight="1" x14ac:dyDescent="0.45">
      <c r="B3" s="169"/>
      <c r="C3" s="169"/>
      <c r="D3" s="170"/>
      <c r="E3" s="171"/>
      <c r="F3" s="169"/>
      <c r="G3" s="169"/>
      <c r="H3" s="169"/>
      <c r="I3" s="169"/>
      <c r="J3" s="169"/>
      <c r="K3" s="169"/>
      <c r="L3" s="169"/>
      <c r="M3" s="169"/>
      <c r="N3" s="169"/>
      <c r="O3" s="169"/>
      <c r="P3" s="169"/>
      <c r="Q3" s="169"/>
      <c r="R3" s="169"/>
      <c r="T3" s="169"/>
      <c r="U3" s="169"/>
      <c r="V3" s="170"/>
      <c r="W3" s="171"/>
      <c r="X3" s="169"/>
      <c r="Y3" s="169"/>
      <c r="Z3" s="169"/>
      <c r="AA3" s="169"/>
      <c r="AB3" s="169"/>
      <c r="AC3" s="169"/>
      <c r="AD3" s="169"/>
      <c r="AE3" s="169"/>
      <c r="AF3" s="169"/>
      <c r="AG3" s="169"/>
      <c r="AH3" s="169"/>
      <c r="AI3" s="169"/>
      <c r="AJ3" s="169"/>
      <c r="AL3" s="169"/>
      <c r="AM3" s="169"/>
      <c r="AN3" s="170"/>
      <c r="AO3" s="171"/>
      <c r="AP3" s="169"/>
      <c r="AQ3" s="169"/>
      <c r="AR3" s="169"/>
      <c r="AS3" s="169"/>
      <c r="AT3" s="169"/>
      <c r="AU3" s="169"/>
      <c r="AV3" s="169"/>
      <c r="AW3" s="169"/>
      <c r="AX3" s="169"/>
      <c r="AY3" s="169"/>
      <c r="AZ3" s="169"/>
      <c r="BA3" s="169"/>
      <c r="BB3" s="169"/>
    </row>
    <row r="4" spans="2:54" ht="33" x14ac:dyDescent="0.45">
      <c r="B4" s="169"/>
      <c r="C4" s="169"/>
      <c r="D4" s="172" t="s">
        <v>81</v>
      </c>
      <c r="E4" s="171"/>
      <c r="F4" s="171"/>
      <c r="G4" s="171"/>
      <c r="H4" s="171"/>
      <c r="I4" s="171"/>
      <c r="J4" s="171"/>
      <c r="K4" s="171"/>
      <c r="L4" s="171"/>
      <c r="M4" s="171"/>
      <c r="N4" s="171"/>
      <c r="O4" s="171"/>
      <c r="P4" s="171"/>
      <c r="Q4" s="171"/>
      <c r="R4" s="171"/>
      <c r="T4" s="169"/>
      <c r="U4" s="172" t="s">
        <v>91</v>
      </c>
      <c r="V4" s="172"/>
      <c r="W4" s="171"/>
      <c r="X4" s="171"/>
      <c r="Y4" s="171"/>
      <c r="Z4" s="171"/>
      <c r="AA4" s="171"/>
      <c r="AB4" s="171"/>
      <c r="AC4" s="171"/>
      <c r="AD4" s="171"/>
      <c r="AE4" s="171"/>
      <c r="AF4" s="171"/>
      <c r="AG4" s="171"/>
      <c r="AH4" s="171"/>
      <c r="AI4" s="171"/>
      <c r="AJ4" s="171"/>
      <c r="AL4" s="169"/>
      <c r="AM4" s="172" t="s">
        <v>92</v>
      </c>
      <c r="AN4" s="170"/>
      <c r="AO4" s="171"/>
      <c r="AP4" s="171"/>
      <c r="AQ4" s="171"/>
      <c r="AR4" s="171"/>
      <c r="AS4" s="171"/>
      <c r="AT4" s="171"/>
      <c r="AU4" s="171"/>
      <c r="AV4" s="171"/>
      <c r="AW4" s="171"/>
      <c r="AX4" s="171"/>
      <c r="AY4" s="171"/>
      <c r="AZ4" s="171"/>
      <c r="BA4" s="171"/>
      <c r="BB4" s="171"/>
    </row>
    <row r="5" spans="2:54" ht="18" x14ac:dyDescent="0.2">
      <c r="B5" s="173"/>
      <c r="C5" s="173"/>
      <c r="D5" s="174" t="s">
        <v>35</v>
      </c>
      <c r="E5" s="175"/>
      <c r="F5" s="173"/>
      <c r="G5" s="176" t="s">
        <v>93</v>
      </c>
      <c r="H5" s="176"/>
      <c r="I5" s="176"/>
      <c r="J5" s="176"/>
      <c r="K5" s="176"/>
      <c r="L5" s="176"/>
      <c r="M5" s="176"/>
      <c r="N5" s="176"/>
      <c r="O5" s="176"/>
      <c r="P5" s="176"/>
      <c r="Q5" s="176"/>
      <c r="R5" s="173"/>
      <c r="T5" s="173"/>
      <c r="U5" s="173"/>
      <c r="V5" s="174" t="s">
        <v>35</v>
      </c>
      <c r="W5" s="175"/>
      <c r="X5" s="173"/>
      <c r="Y5" s="176" t="s">
        <v>93</v>
      </c>
      <c r="Z5" s="176"/>
      <c r="AA5" s="176"/>
      <c r="AB5" s="176"/>
      <c r="AC5" s="176"/>
      <c r="AD5" s="176"/>
      <c r="AE5" s="176"/>
      <c r="AF5" s="176"/>
      <c r="AG5" s="176"/>
      <c r="AH5" s="176"/>
      <c r="AI5" s="176"/>
      <c r="AJ5" s="173"/>
      <c r="AL5" s="173"/>
      <c r="AM5" s="173"/>
      <c r="AN5" s="174" t="s">
        <v>35</v>
      </c>
      <c r="AO5" s="175"/>
      <c r="AP5" s="173"/>
      <c r="AQ5" s="176" t="s">
        <v>93</v>
      </c>
      <c r="AR5" s="176"/>
      <c r="AS5" s="176"/>
      <c r="AT5" s="176"/>
      <c r="AU5" s="176"/>
      <c r="AV5" s="176"/>
      <c r="AW5" s="176"/>
      <c r="AX5" s="176"/>
      <c r="AY5" s="176"/>
      <c r="AZ5" s="176"/>
      <c r="BA5" s="176"/>
      <c r="BB5" s="173"/>
    </row>
    <row r="6" spans="2:54" ht="18" x14ac:dyDescent="0.2">
      <c r="B6" s="173"/>
      <c r="C6" s="173"/>
      <c r="D6" s="174"/>
      <c r="E6" s="175"/>
      <c r="F6" s="173"/>
      <c r="G6" s="391" t="s">
        <v>27</v>
      </c>
      <c r="H6" s="391"/>
      <c r="I6" s="391"/>
      <c r="J6" s="3"/>
      <c r="K6" s="392" t="s">
        <v>28</v>
      </c>
      <c r="L6" s="392"/>
      <c r="M6" s="392"/>
      <c r="N6" s="3"/>
      <c r="O6" s="391" t="s">
        <v>29</v>
      </c>
      <c r="P6" s="391"/>
      <c r="Q6" s="391"/>
      <c r="R6" s="173"/>
      <c r="T6" s="173"/>
      <c r="U6" s="173"/>
      <c r="V6" s="174"/>
      <c r="W6" s="175"/>
      <c r="X6" s="173"/>
      <c r="Y6" s="391" t="s">
        <v>27</v>
      </c>
      <c r="Z6" s="391"/>
      <c r="AA6" s="391"/>
      <c r="AB6" s="3"/>
      <c r="AC6" s="392" t="s">
        <v>28</v>
      </c>
      <c r="AD6" s="392"/>
      <c r="AE6" s="392"/>
      <c r="AF6" s="3"/>
      <c r="AG6" s="391" t="s">
        <v>29</v>
      </c>
      <c r="AH6" s="391"/>
      <c r="AI6" s="391"/>
      <c r="AJ6" s="173"/>
      <c r="AL6" s="173"/>
      <c r="AM6" s="173"/>
      <c r="AN6" s="174"/>
      <c r="AO6" s="175"/>
      <c r="AP6" s="173"/>
      <c r="AQ6" s="391" t="s">
        <v>27</v>
      </c>
      <c r="AR6" s="391"/>
      <c r="AS6" s="391"/>
      <c r="AT6" s="3"/>
      <c r="AU6" s="392" t="s">
        <v>28</v>
      </c>
      <c r="AV6" s="392"/>
      <c r="AW6" s="392"/>
      <c r="AX6" s="3"/>
      <c r="AY6" s="391" t="s">
        <v>29</v>
      </c>
      <c r="AZ6" s="391"/>
      <c r="BA6" s="391"/>
      <c r="BB6" s="173"/>
    </row>
    <row r="7" spans="2:54" ht="25.5" x14ac:dyDescent="0.2">
      <c r="B7" s="177"/>
      <c r="C7" s="177"/>
      <c r="D7" s="178" t="s">
        <v>37</v>
      </c>
      <c r="E7" s="178" t="s">
        <v>38</v>
      </c>
      <c r="F7" s="3"/>
      <c r="G7" s="173" t="s">
        <v>80</v>
      </c>
      <c r="H7" s="173"/>
      <c r="I7" s="173" t="s">
        <v>77</v>
      </c>
      <c r="J7" s="173"/>
      <c r="K7" s="173" t="s">
        <v>80</v>
      </c>
      <c r="L7" s="173"/>
      <c r="M7" s="173" t="s">
        <v>77</v>
      </c>
      <c r="N7" s="173"/>
      <c r="O7" s="173" t="s">
        <v>80</v>
      </c>
      <c r="P7" s="173"/>
      <c r="Q7" s="173" t="s">
        <v>77</v>
      </c>
      <c r="R7" s="3"/>
      <c r="T7" s="177"/>
      <c r="U7" s="177"/>
      <c r="V7" s="178" t="s">
        <v>37</v>
      </c>
      <c r="W7" s="178" t="s">
        <v>38</v>
      </c>
      <c r="X7" s="3"/>
      <c r="Y7" s="173" t="s">
        <v>80</v>
      </c>
      <c r="Z7" s="173"/>
      <c r="AA7" s="173" t="s">
        <v>77</v>
      </c>
      <c r="AB7" s="173"/>
      <c r="AC7" s="173" t="s">
        <v>80</v>
      </c>
      <c r="AD7" s="173"/>
      <c r="AE7" s="173" t="s">
        <v>77</v>
      </c>
      <c r="AF7" s="173"/>
      <c r="AG7" s="173" t="s">
        <v>80</v>
      </c>
      <c r="AH7" s="173"/>
      <c r="AI7" s="173" t="s">
        <v>77</v>
      </c>
      <c r="AJ7" s="3"/>
      <c r="AL7" s="177"/>
      <c r="AM7" s="177"/>
      <c r="AN7" s="178" t="s">
        <v>37</v>
      </c>
      <c r="AO7" s="178" t="s">
        <v>38</v>
      </c>
      <c r="AP7" s="3"/>
      <c r="AQ7" s="173" t="s">
        <v>80</v>
      </c>
      <c r="AR7" s="173"/>
      <c r="AS7" s="173" t="s">
        <v>77</v>
      </c>
      <c r="AT7" s="173"/>
      <c r="AU7" s="173" t="s">
        <v>80</v>
      </c>
      <c r="AV7" s="173"/>
      <c r="AW7" s="173" t="s">
        <v>77</v>
      </c>
      <c r="AX7" s="173"/>
      <c r="AY7" s="173" t="s">
        <v>80</v>
      </c>
      <c r="AZ7" s="173"/>
      <c r="BA7" s="173" t="s">
        <v>77</v>
      </c>
      <c r="BB7" s="3"/>
    </row>
    <row r="8" spans="2:54" ht="12.75" x14ac:dyDescent="0.2">
      <c r="B8" s="179"/>
      <c r="C8" s="179" t="s">
        <v>90</v>
      </c>
      <c r="D8" s="178"/>
      <c r="E8" s="178"/>
      <c r="F8" s="3"/>
      <c r="G8" s="173"/>
      <c r="H8" s="173"/>
      <c r="I8" s="173"/>
      <c r="J8" s="173"/>
      <c r="K8" s="173"/>
      <c r="L8" s="173"/>
      <c r="M8" s="173"/>
      <c r="N8" s="173"/>
      <c r="O8" s="173"/>
      <c r="P8" s="173"/>
      <c r="Q8" s="173"/>
      <c r="R8" s="3"/>
      <c r="T8" s="177"/>
      <c r="U8" s="179" t="str">
        <f>C8</f>
        <v>Energieträger Betrieb</v>
      </c>
      <c r="V8" s="178"/>
      <c r="W8" s="178"/>
      <c r="X8" s="3"/>
      <c r="Y8" s="173"/>
      <c r="Z8" s="173"/>
      <c r="AA8" s="173"/>
      <c r="AB8" s="173"/>
      <c r="AC8" s="173"/>
      <c r="AD8" s="173"/>
      <c r="AE8" s="173"/>
      <c r="AF8" s="173"/>
      <c r="AG8" s="173"/>
      <c r="AH8" s="173"/>
      <c r="AI8" s="173"/>
      <c r="AJ8" s="3"/>
      <c r="AL8" s="177"/>
      <c r="AM8" s="179" t="str">
        <f>U8</f>
        <v>Energieträger Betrieb</v>
      </c>
      <c r="AN8" s="178"/>
      <c r="AO8" s="178"/>
      <c r="AP8" s="3"/>
      <c r="AQ8" s="173"/>
      <c r="AR8" s="173"/>
      <c r="AS8" s="173"/>
      <c r="AT8" s="173"/>
      <c r="AU8" s="173"/>
      <c r="AV8" s="173"/>
      <c r="AW8" s="173"/>
      <c r="AX8" s="173"/>
      <c r="AY8" s="173"/>
      <c r="AZ8" s="173"/>
      <c r="BA8" s="173"/>
      <c r="BB8" s="3"/>
    </row>
    <row r="9" spans="2:54" ht="15.75" x14ac:dyDescent="0.3">
      <c r="B9" s="180"/>
      <c r="C9" s="180"/>
      <c r="D9" s="3" t="str">
        <f>'Referenz Plattenwerk'!E16</f>
        <v>Erdgas</v>
      </c>
      <c r="E9" s="3" t="s">
        <v>325</v>
      </c>
      <c r="F9" s="3"/>
      <c r="G9" s="180">
        <f>'Default EF'!G7</f>
        <v>1.8316E-4</v>
      </c>
      <c r="H9" s="3"/>
      <c r="I9" s="208"/>
      <c r="J9" s="3"/>
      <c r="K9" s="180"/>
      <c r="L9" s="3"/>
      <c r="M9" s="180"/>
      <c r="N9" s="3"/>
      <c r="O9" s="180">
        <f>'Default EF'!O7</f>
        <v>3.1350000000000003E-5</v>
      </c>
      <c r="P9" s="3"/>
      <c r="Q9" s="208"/>
      <c r="R9" s="3"/>
      <c r="T9" s="180"/>
      <c r="U9" s="180"/>
      <c r="V9" s="3" t="str">
        <f>D9</f>
        <v>Erdgas</v>
      </c>
      <c r="W9" s="3" t="s">
        <v>325</v>
      </c>
      <c r="X9" s="3"/>
      <c r="Y9" s="180">
        <f>'Default EF'!H7</f>
        <v>1.8316E-4</v>
      </c>
      <c r="Z9" s="3"/>
      <c r="AA9" s="208"/>
      <c r="AB9" s="3"/>
      <c r="AC9" s="180"/>
      <c r="AD9" s="3"/>
      <c r="AE9" s="180"/>
      <c r="AF9" s="3"/>
      <c r="AG9" s="181">
        <f>'Default EF'!P7</f>
        <v>3.1350000000000003E-5</v>
      </c>
      <c r="AH9" s="3"/>
      <c r="AI9" s="208"/>
      <c r="AJ9" s="3"/>
      <c r="AL9" s="180"/>
      <c r="AM9" s="180"/>
      <c r="AN9" s="3" t="str">
        <f>V9</f>
        <v>Erdgas</v>
      </c>
      <c r="AO9" s="3" t="s">
        <v>325</v>
      </c>
      <c r="AP9" s="3"/>
      <c r="AQ9" s="180">
        <f>'Default EF'!I7</f>
        <v>1.8316E-4</v>
      </c>
      <c r="AR9" s="3"/>
      <c r="AS9" s="208"/>
      <c r="AT9" s="3"/>
      <c r="AU9" s="180"/>
      <c r="AV9" s="3"/>
      <c r="AW9" s="180"/>
      <c r="AX9" s="3"/>
      <c r="AY9" s="181">
        <f>'Default EF'!Q7</f>
        <v>3.1350000000000003E-5</v>
      </c>
      <c r="AZ9" s="3"/>
      <c r="BA9" s="208"/>
      <c r="BB9" s="3"/>
    </row>
    <row r="10" spans="2:54" ht="12.75" x14ac:dyDescent="0.2">
      <c r="B10" s="180"/>
      <c r="C10" s="180"/>
      <c r="D10" s="3" t="str">
        <f>'Referenz Plattenwerk'!E17</f>
        <v>Heizöl</v>
      </c>
      <c r="E10" s="3" t="s">
        <v>42</v>
      </c>
      <c r="F10" s="3"/>
      <c r="G10" s="180">
        <f>'Default EF'!G8</f>
        <v>2.6676E-4</v>
      </c>
      <c r="H10" s="3"/>
      <c r="I10" s="208"/>
      <c r="J10" s="3"/>
      <c r="K10" s="180"/>
      <c r="L10" s="3"/>
      <c r="M10" s="180"/>
      <c r="N10" s="3"/>
      <c r="O10" s="180">
        <f>'Default EF'!O8</f>
        <v>3.9576000000000002E-5</v>
      </c>
      <c r="P10" s="3"/>
      <c r="Q10" s="208"/>
      <c r="R10" s="3"/>
      <c r="T10" s="180"/>
      <c r="U10" s="180"/>
      <c r="V10" s="3" t="str">
        <f t="shared" ref="V10:V57" si="0">D10</f>
        <v>Heizöl</v>
      </c>
      <c r="W10" s="3" t="str">
        <f t="shared" ref="W10:W14" si="1">E10</f>
        <v>kWh</v>
      </c>
      <c r="X10" s="3"/>
      <c r="Y10" s="180">
        <f>'Default EF'!H8</f>
        <v>2.6676E-4</v>
      </c>
      <c r="Z10" s="3"/>
      <c r="AA10" s="208"/>
      <c r="AB10" s="3"/>
      <c r="AC10" s="180"/>
      <c r="AD10" s="3"/>
      <c r="AE10" s="180"/>
      <c r="AF10" s="3"/>
      <c r="AG10" s="181">
        <f>'Default EF'!P8</f>
        <v>3.9576000000000002E-5</v>
      </c>
      <c r="AH10" s="3"/>
      <c r="AI10" s="208"/>
      <c r="AJ10" s="3"/>
      <c r="AL10" s="180"/>
      <c r="AM10" s="180"/>
      <c r="AN10" s="3" t="str">
        <f t="shared" ref="AN10:AN14" si="2">V10</f>
        <v>Heizöl</v>
      </c>
      <c r="AO10" s="3" t="str">
        <f t="shared" ref="AO10:AO14" si="3">W10</f>
        <v>kWh</v>
      </c>
      <c r="AP10" s="3"/>
      <c r="AQ10" s="180">
        <f>'Default EF'!I8</f>
        <v>2.6676E-4</v>
      </c>
      <c r="AR10" s="3"/>
      <c r="AS10" s="208"/>
      <c r="AT10" s="3"/>
      <c r="AU10" s="180"/>
      <c r="AV10" s="3"/>
      <c r="AW10" s="180"/>
      <c r="AX10" s="3"/>
      <c r="AY10" s="181">
        <f>'Default EF'!Q8</f>
        <v>3.9576000000000002E-5</v>
      </c>
      <c r="AZ10" s="3"/>
      <c r="BA10" s="208"/>
      <c r="BB10" s="3"/>
    </row>
    <row r="11" spans="2:54" ht="12.75" x14ac:dyDescent="0.2">
      <c r="B11" s="180"/>
      <c r="C11" s="180"/>
      <c r="D11" s="3" t="s">
        <v>44</v>
      </c>
      <c r="E11" s="3" t="s">
        <v>42</v>
      </c>
      <c r="F11" s="3"/>
      <c r="G11" s="180"/>
      <c r="H11" s="180"/>
      <c r="I11" s="180"/>
      <c r="J11" s="180"/>
      <c r="K11" s="180">
        <f>'Default EF'!K9</f>
        <v>3.8200000000000002E-4</v>
      </c>
      <c r="L11" s="3"/>
      <c r="M11" s="208"/>
      <c r="N11" s="3"/>
      <c r="O11" s="180">
        <f>'Default EF'!O9</f>
        <v>5.5999999999999999E-5</v>
      </c>
      <c r="P11" s="3"/>
      <c r="Q11" s="208"/>
      <c r="R11" s="3"/>
      <c r="T11" s="180"/>
      <c r="U11" s="180"/>
      <c r="V11" s="3" t="s">
        <v>135</v>
      </c>
      <c r="W11" s="3" t="str">
        <f t="shared" si="1"/>
        <v>kWh</v>
      </c>
      <c r="X11" s="3"/>
      <c r="Y11" s="180"/>
      <c r="Z11" s="180"/>
      <c r="AA11" s="180"/>
      <c r="AB11" s="180"/>
      <c r="AC11" s="180">
        <f>'Default EF'!L9</f>
        <v>2.7753877130825199E-4</v>
      </c>
      <c r="AD11" s="3"/>
      <c r="AE11" s="208"/>
      <c r="AF11" s="3"/>
      <c r="AG11" s="181">
        <f>'Default EF'!P9</f>
        <v>4.0686312024246369E-5</v>
      </c>
      <c r="AH11" s="3"/>
      <c r="AI11" s="208"/>
      <c r="AJ11" s="3"/>
      <c r="AL11" s="180"/>
      <c r="AM11" s="180"/>
      <c r="AN11" s="3" t="str">
        <f t="shared" si="2"/>
        <v>Strommix Dtld (bis 2045 klimaneutral)</v>
      </c>
      <c r="AO11" s="3" t="str">
        <f t="shared" si="3"/>
        <v>kWh</v>
      </c>
      <c r="AP11" s="3"/>
      <c r="AQ11" s="180"/>
      <c r="AR11" s="180"/>
      <c r="AS11" s="180"/>
      <c r="AT11" s="180"/>
      <c r="AU11" s="180">
        <f>'Default EF'!M9</f>
        <v>1.3678345521357901E-4</v>
      </c>
      <c r="AV11" s="3"/>
      <c r="AW11" s="208"/>
      <c r="AX11" s="3"/>
      <c r="AY11" s="181">
        <f>'Default EF'!Q9</f>
        <v>2.0052024848063938E-5</v>
      </c>
      <c r="AZ11" s="3"/>
      <c r="BA11" s="208"/>
      <c r="BB11" s="3"/>
    </row>
    <row r="12" spans="2:54" ht="12.75" x14ac:dyDescent="0.2">
      <c r="B12" s="180"/>
      <c r="C12" s="180"/>
      <c r="D12" s="3" t="s">
        <v>123</v>
      </c>
      <c r="E12" s="3" t="s">
        <v>42</v>
      </c>
      <c r="F12" s="3"/>
      <c r="G12" s="181" t="str">
        <f>'Default EF'!G10</f>
        <v>k.A.</v>
      </c>
      <c r="H12" s="3"/>
      <c r="I12" s="208"/>
      <c r="J12" s="3"/>
      <c r="K12" s="181" t="str">
        <f>'Default EF'!K10</f>
        <v>k.A.</v>
      </c>
      <c r="L12" s="3"/>
      <c r="M12" s="208"/>
      <c r="N12" s="3"/>
      <c r="O12" s="181" t="str">
        <f>'Default EF'!O10</f>
        <v>k.A.</v>
      </c>
      <c r="P12" s="3"/>
      <c r="Q12" s="208"/>
      <c r="R12" s="3"/>
      <c r="T12" s="180"/>
      <c r="U12" s="180"/>
      <c r="V12" s="3" t="str">
        <f t="shared" si="0"/>
        <v>Alternative Energieträger Härtekammer</v>
      </c>
      <c r="W12" s="3" t="str">
        <f t="shared" si="1"/>
        <v>kWh</v>
      </c>
      <c r="X12" s="3"/>
      <c r="Y12" s="181" t="str">
        <f>'Default EF'!H10</f>
        <v>k.A.</v>
      </c>
      <c r="Z12" s="3"/>
      <c r="AA12" s="208"/>
      <c r="AB12" s="3"/>
      <c r="AC12" s="181" t="str">
        <f>'Default EF'!L10</f>
        <v>k.A.</v>
      </c>
      <c r="AD12" s="3"/>
      <c r="AE12" s="208"/>
      <c r="AF12" s="3"/>
      <c r="AG12" s="181" t="str">
        <f>'Default EF'!P10</f>
        <v>k.A.</v>
      </c>
      <c r="AH12" s="3"/>
      <c r="AI12" s="208"/>
      <c r="AJ12" s="3"/>
      <c r="AL12" s="180"/>
      <c r="AM12" s="180"/>
      <c r="AN12" s="3" t="str">
        <f t="shared" si="2"/>
        <v>Alternative Energieträger Härtekammer</v>
      </c>
      <c r="AO12" s="3" t="str">
        <f t="shared" si="3"/>
        <v>kWh</v>
      </c>
      <c r="AP12" s="3"/>
      <c r="AQ12" s="181" t="str">
        <f>'Default EF'!I10</f>
        <v>k.A.</v>
      </c>
      <c r="AR12" s="3"/>
      <c r="AS12" s="208"/>
      <c r="AT12" s="3"/>
      <c r="AU12" s="181" t="str">
        <f>'Default EF'!M10</f>
        <v>k.A.</v>
      </c>
      <c r="AV12" s="3"/>
      <c r="AW12" s="208"/>
      <c r="AX12" s="3"/>
      <c r="AY12" s="181" t="str">
        <f>'Default EF'!Q10</f>
        <v>k.A.</v>
      </c>
      <c r="AZ12" s="3"/>
      <c r="BA12" s="208"/>
      <c r="BB12" s="3"/>
    </row>
    <row r="13" spans="2:54" ht="12.75" x14ac:dyDescent="0.2">
      <c r="B13" s="180"/>
      <c r="C13" s="180"/>
      <c r="D13" s="182" t="s">
        <v>122</v>
      </c>
      <c r="E13" s="3" t="s">
        <v>42</v>
      </c>
      <c r="F13" s="3"/>
      <c r="G13" s="180">
        <f>'Default EF'!G11</f>
        <v>2.3030999999999998E-4</v>
      </c>
      <c r="H13" s="3"/>
      <c r="I13" s="208"/>
      <c r="J13" s="3"/>
      <c r="K13" s="180"/>
      <c r="L13" s="3"/>
      <c r="M13" s="180"/>
      <c r="N13" s="3"/>
      <c r="O13" s="180">
        <f>'Default EF'!O11</f>
        <v>2.7189999999999999E-5</v>
      </c>
      <c r="P13" s="3"/>
      <c r="Q13" s="208"/>
      <c r="R13" s="3"/>
      <c r="T13" s="180"/>
      <c r="U13" s="180"/>
      <c r="V13" s="3" t="str">
        <f t="shared" si="0"/>
        <v>Flüssiggas</v>
      </c>
      <c r="W13" s="3" t="str">
        <f t="shared" si="1"/>
        <v>kWh</v>
      </c>
      <c r="X13" s="3"/>
      <c r="Y13" s="180">
        <f>'Default EF'!H11</f>
        <v>2.3030999999999998E-4</v>
      </c>
      <c r="Z13" s="3"/>
      <c r="AA13" s="208"/>
      <c r="AB13" s="3"/>
      <c r="AC13" s="180"/>
      <c r="AD13" s="3"/>
      <c r="AE13" s="180"/>
      <c r="AF13" s="3"/>
      <c r="AG13" s="181">
        <f>'Default EF'!P11</f>
        <v>2.7189999999999999E-5</v>
      </c>
      <c r="AH13" s="3"/>
      <c r="AI13" s="208"/>
      <c r="AJ13" s="3"/>
      <c r="AL13" s="180"/>
      <c r="AM13" s="180"/>
      <c r="AN13" s="3" t="str">
        <f t="shared" si="2"/>
        <v>Flüssiggas</v>
      </c>
      <c r="AO13" s="3" t="str">
        <f t="shared" si="3"/>
        <v>kWh</v>
      </c>
      <c r="AP13" s="3"/>
      <c r="AQ13" s="180">
        <f>'Default EF'!I11</f>
        <v>2.3030999999999998E-4</v>
      </c>
      <c r="AR13" s="3"/>
      <c r="AS13" s="208"/>
      <c r="AT13" s="3"/>
      <c r="AU13" s="180"/>
      <c r="AV13" s="3"/>
      <c r="AW13" s="180"/>
      <c r="AX13" s="3"/>
      <c r="AY13" s="181">
        <f>'Default EF'!Q11</f>
        <v>2.7189999999999999E-5</v>
      </c>
      <c r="AZ13" s="3"/>
      <c r="BA13" s="208"/>
      <c r="BB13" s="3"/>
    </row>
    <row r="14" spans="2:54" ht="12.75" x14ac:dyDescent="0.2">
      <c r="B14" s="180"/>
      <c r="C14" s="180"/>
      <c r="D14" s="3" t="s">
        <v>466</v>
      </c>
      <c r="E14" s="3" t="s">
        <v>42</v>
      </c>
      <c r="F14" s="3"/>
      <c r="G14" s="181" t="str">
        <f>'Default EF'!G12</f>
        <v>k.A.</v>
      </c>
      <c r="H14" s="3"/>
      <c r="I14" s="208"/>
      <c r="J14" s="3"/>
      <c r="K14" s="181" t="str">
        <f>'Default EF'!K12</f>
        <v>k.A.</v>
      </c>
      <c r="L14" s="3"/>
      <c r="M14" s="208"/>
      <c r="N14" s="3"/>
      <c r="O14" s="181" t="str">
        <f>'Default EF'!O12</f>
        <v>k.A.</v>
      </c>
      <c r="P14" s="3"/>
      <c r="Q14" s="208"/>
      <c r="R14" s="3"/>
      <c r="T14" s="180"/>
      <c r="U14" s="180"/>
      <c r="V14" s="3" t="str">
        <f>D14</f>
        <v>Alternative Energieträger restliches Werk</v>
      </c>
      <c r="W14" s="3" t="str">
        <f t="shared" si="1"/>
        <v>kWh</v>
      </c>
      <c r="X14" s="3"/>
      <c r="Y14" s="181" t="str">
        <f>'Default EF'!H12</f>
        <v>k.A.</v>
      </c>
      <c r="Z14" s="3"/>
      <c r="AA14" s="208"/>
      <c r="AB14" s="3"/>
      <c r="AC14" s="181" t="str">
        <f>'Default EF'!L12</f>
        <v>k.A.</v>
      </c>
      <c r="AD14" s="3"/>
      <c r="AE14" s="208"/>
      <c r="AF14" s="3"/>
      <c r="AG14" s="181" t="str">
        <f>'Default EF'!P12</f>
        <v>k.A.</v>
      </c>
      <c r="AH14" s="3"/>
      <c r="AI14" s="208"/>
      <c r="AJ14" s="3"/>
      <c r="AL14" s="180"/>
      <c r="AM14" s="180"/>
      <c r="AN14" s="3" t="str">
        <f t="shared" si="2"/>
        <v>Alternative Energieträger restliches Werk</v>
      </c>
      <c r="AO14" s="3" t="str">
        <f t="shared" si="3"/>
        <v>kWh</v>
      </c>
      <c r="AP14" s="3"/>
      <c r="AQ14" s="181" t="str">
        <f>'Default EF'!I12</f>
        <v>k.A.</v>
      </c>
      <c r="AR14" s="3"/>
      <c r="AS14" s="208"/>
      <c r="AT14" s="3"/>
      <c r="AU14" s="181" t="str">
        <f>'Default EF'!M12</f>
        <v>k.A.</v>
      </c>
      <c r="AV14" s="3"/>
      <c r="AW14" s="208"/>
      <c r="AX14" s="3"/>
      <c r="AY14" s="181" t="str">
        <f>'Default EF'!Q12</f>
        <v>k.A.</v>
      </c>
      <c r="AZ14" s="3"/>
      <c r="BA14" s="208"/>
      <c r="BB14" s="3"/>
    </row>
    <row r="15" spans="2:54" ht="12.75" x14ac:dyDescent="0.2">
      <c r="B15" s="180"/>
      <c r="C15" s="180"/>
      <c r="D15" s="182" t="s">
        <v>34</v>
      </c>
      <c r="E15" s="3" t="s">
        <v>41</v>
      </c>
      <c r="F15" s="3"/>
      <c r="G15" s="180">
        <f>'Default EF'!G13</f>
        <v>2.6580855599999996E-3</v>
      </c>
      <c r="H15" s="3"/>
      <c r="I15" s="208"/>
      <c r="J15" s="3"/>
      <c r="K15" s="180"/>
      <c r="L15" s="3"/>
      <c r="M15" s="180"/>
      <c r="N15" s="3"/>
      <c r="O15" s="180">
        <f>'Default EF'!O13</f>
        <v>4.6962396000000008E-4</v>
      </c>
      <c r="P15" s="3"/>
      <c r="Q15" s="208"/>
      <c r="R15" s="3"/>
      <c r="T15" s="180"/>
      <c r="U15" s="180"/>
      <c r="V15" s="3" t="str">
        <f t="shared" si="0"/>
        <v>Diesel</v>
      </c>
      <c r="W15" s="3" t="str">
        <f>E15</f>
        <v>Liter</v>
      </c>
      <c r="X15" s="3"/>
      <c r="Y15" s="180">
        <f>'Default EF'!H13</f>
        <v>2.6580855599999996E-3</v>
      </c>
      <c r="Z15" s="3"/>
      <c r="AA15" s="208"/>
      <c r="AB15" s="3"/>
      <c r="AC15" s="180"/>
      <c r="AD15" s="3"/>
      <c r="AE15" s="180"/>
      <c r="AF15" s="3"/>
      <c r="AG15" s="181">
        <f>'Default EF'!P13</f>
        <v>4.6962396000000008E-4</v>
      </c>
      <c r="AH15" s="3"/>
      <c r="AI15" s="208"/>
      <c r="AJ15" s="3"/>
      <c r="AL15" s="180"/>
      <c r="AM15" s="180"/>
      <c r="AN15" s="3" t="str">
        <f>V15</f>
        <v>Diesel</v>
      </c>
      <c r="AO15" s="3" t="str">
        <f>W15</f>
        <v>Liter</v>
      </c>
      <c r="AP15" s="3"/>
      <c r="AQ15" s="180">
        <f>'Default EF'!I13</f>
        <v>2.6580855599999996E-3</v>
      </c>
      <c r="AR15" s="3"/>
      <c r="AS15" s="208"/>
      <c r="AT15" s="3"/>
      <c r="AU15" s="180"/>
      <c r="AV15" s="3"/>
      <c r="AW15" s="180"/>
      <c r="AX15" s="3"/>
      <c r="AY15" s="181">
        <f>'Default EF'!Q13</f>
        <v>4.6962396000000008E-4</v>
      </c>
      <c r="AZ15" s="3"/>
      <c r="BA15" s="208"/>
      <c r="BB15" s="3"/>
    </row>
    <row r="16" spans="2:54" ht="12.75" x14ac:dyDescent="0.2">
      <c r="B16" s="180"/>
      <c r="C16" s="183"/>
      <c r="D16" s="182"/>
      <c r="E16" s="3"/>
      <c r="F16" s="3"/>
      <c r="G16" s="180"/>
      <c r="H16" s="180"/>
      <c r="I16" s="180"/>
      <c r="J16" s="180"/>
      <c r="K16" s="180"/>
      <c r="L16" s="3"/>
      <c r="M16" s="180"/>
      <c r="N16" s="3"/>
      <c r="O16" s="180"/>
      <c r="P16" s="180"/>
      <c r="Q16" s="180"/>
      <c r="R16" s="3"/>
      <c r="T16" s="180"/>
      <c r="U16" s="180"/>
      <c r="V16" s="3"/>
      <c r="W16" s="182"/>
      <c r="X16" s="182"/>
      <c r="Y16" s="182"/>
      <c r="Z16" s="182"/>
      <c r="AA16" s="182"/>
      <c r="AB16" s="182"/>
      <c r="AC16" s="182"/>
      <c r="AD16" s="182"/>
      <c r="AE16" s="182"/>
      <c r="AF16" s="182"/>
      <c r="AG16" s="184"/>
      <c r="AH16" s="182"/>
      <c r="AI16" s="180"/>
      <c r="AJ16" s="3"/>
      <c r="AL16" s="180"/>
      <c r="AM16" s="180"/>
      <c r="AN16" s="182"/>
      <c r="AO16" s="182"/>
      <c r="AP16" s="182"/>
      <c r="AQ16" s="182"/>
      <c r="AR16" s="182"/>
      <c r="AS16" s="182"/>
      <c r="AT16" s="182"/>
      <c r="AU16" s="182"/>
      <c r="AV16" s="182"/>
      <c r="AW16" s="182"/>
      <c r="AX16" s="182"/>
      <c r="AY16" s="184"/>
      <c r="AZ16" s="182"/>
      <c r="BA16" s="180"/>
      <c r="BB16" s="3"/>
    </row>
    <row r="17" spans="2:54" ht="12.75" x14ac:dyDescent="0.2">
      <c r="B17" s="180"/>
      <c r="C17" s="180"/>
      <c r="D17" s="182" t="s">
        <v>45</v>
      </c>
      <c r="E17" s="3" t="s">
        <v>41</v>
      </c>
      <c r="F17" s="3"/>
      <c r="G17" s="180"/>
      <c r="H17" s="3"/>
      <c r="I17" s="180"/>
      <c r="J17" s="3"/>
      <c r="K17" s="180"/>
      <c r="L17" s="3"/>
      <c r="M17" s="180"/>
      <c r="N17" s="3"/>
      <c r="O17" s="180">
        <f>'Default EF'!O15</f>
        <v>3.1277095199999999E-3</v>
      </c>
      <c r="P17" s="3"/>
      <c r="Q17" s="208"/>
      <c r="R17" s="3"/>
      <c r="T17" s="180"/>
      <c r="U17" s="180"/>
      <c r="V17" s="3" t="str">
        <f t="shared" si="0"/>
        <v>Transport vorgelagert</v>
      </c>
      <c r="W17" s="3" t="str">
        <f t="shared" ref="W17:W18" si="4">E17</f>
        <v>Liter</v>
      </c>
      <c r="X17" s="3"/>
      <c r="Y17" s="180"/>
      <c r="Z17" s="3"/>
      <c r="AA17" s="180"/>
      <c r="AB17" s="3"/>
      <c r="AC17" s="180"/>
      <c r="AD17" s="3"/>
      <c r="AE17" s="180"/>
      <c r="AF17" s="3"/>
      <c r="AG17" s="181">
        <f>'Default EF'!P15</f>
        <v>3.1277095199999999E-3</v>
      </c>
      <c r="AH17" s="3"/>
      <c r="AI17" s="208"/>
      <c r="AJ17" s="3"/>
      <c r="AL17" s="180"/>
      <c r="AM17" s="180"/>
      <c r="AN17" s="3" t="str">
        <f t="shared" ref="AN17:AN18" si="5">V17</f>
        <v>Transport vorgelagert</v>
      </c>
      <c r="AO17" s="3" t="str">
        <f t="shared" ref="AO17:AO18" si="6">W17</f>
        <v>Liter</v>
      </c>
      <c r="AP17" s="3"/>
      <c r="AQ17" s="180"/>
      <c r="AR17" s="3"/>
      <c r="AS17" s="180"/>
      <c r="AT17" s="3"/>
      <c r="AU17" s="180"/>
      <c r="AV17" s="3"/>
      <c r="AW17" s="180"/>
      <c r="AX17" s="3"/>
      <c r="AY17" s="181">
        <f>'Default EF'!Q15</f>
        <v>3.1277095199999999E-3</v>
      </c>
      <c r="AZ17" s="3"/>
      <c r="BA17" s="208"/>
      <c r="BB17" s="3"/>
    </row>
    <row r="18" spans="2:54" ht="12.75" x14ac:dyDescent="0.2">
      <c r="B18" s="180"/>
      <c r="C18" s="180"/>
      <c r="D18" s="182" t="s">
        <v>46</v>
      </c>
      <c r="E18" s="3" t="s">
        <v>41</v>
      </c>
      <c r="F18" s="3"/>
      <c r="G18" s="180"/>
      <c r="H18" s="3"/>
      <c r="I18" s="180"/>
      <c r="J18" s="3"/>
      <c r="K18" s="180"/>
      <c r="L18" s="3"/>
      <c r="M18" s="180"/>
      <c r="N18" s="3"/>
      <c r="O18" s="180">
        <f>'Default EF'!O16</f>
        <v>3.1277095199999999E-3</v>
      </c>
      <c r="P18" s="3"/>
      <c r="Q18" s="208"/>
      <c r="R18" s="3"/>
      <c r="T18" s="180"/>
      <c r="U18" s="180"/>
      <c r="V18" s="3" t="str">
        <f t="shared" si="0"/>
        <v>Transport nachgelagert</v>
      </c>
      <c r="W18" s="3" t="str">
        <f t="shared" si="4"/>
        <v>Liter</v>
      </c>
      <c r="X18" s="3"/>
      <c r="Y18" s="180"/>
      <c r="Z18" s="3"/>
      <c r="AA18" s="180"/>
      <c r="AB18" s="3"/>
      <c r="AC18" s="180"/>
      <c r="AD18" s="3"/>
      <c r="AE18" s="180"/>
      <c r="AF18" s="3"/>
      <c r="AG18" s="181">
        <f>'Default EF'!P16</f>
        <v>3.1277095199999999E-3</v>
      </c>
      <c r="AH18" s="3"/>
      <c r="AI18" s="208"/>
      <c r="AJ18" s="3"/>
      <c r="AL18" s="180"/>
      <c r="AM18" s="180"/>
      <c r="AN18" s="3" t="str">
        <f t="shared" si="5"/>
        <v>Transport nachgelagert</v>
      </c>
      <c r="AO18" s="3" t="str">
        <f t="shared" si="6"/>
        <v>Liter</v>
      </c>
      <c r="AP18" s="3"/>
      <c r="AQ18" s="180"/>
      <c r="AR18" s="3"/>
      <c r="AS18" s="180"/>
      <c r="AT18" s="3"/>
      <c r="AU18" s="180"/>
      <c r="AV18" s="3"/>
      <c r="AW18" s="180"/>
      <c r="AX18" s="3"/>
      <c r="AY18" s="181">
        <f>'Default EF'!Q16</f>
        <v>3.1277095199999999E-3</v>
      </c>
      <c r="AZ18" s="3"/>
      <c r="BA18" s="208"/>
      <c r="BB18" s="3"/>
    </row>
    <row r="19" spans="2:54" ht="12.75" x14ac:dyDescent="0.2">
      <c r="B19" s="180"/>
      <c r="C19" s="180"/>
      <c r="D19" s="3"/>
      <c r="E19" s="3"/>
      <c r="F19" s="3"/>
      <c r="G19" s="180"/>
      <c r="H19" s="3"/>
      <c r="I19" s="180"/>
      <c r="J19" s="3"/>
      <c r="K19" s="180"/>
      <c r="L19" s="3"/>
      <c r="M19" s="180"/>
      <c r="N19" s="3"/>
      <c r="O19" s="180"/>
      <c r="P19" s="3"/>
      <c r="Q19" s="180"/>
      <c r="R19" s="3"/>
      <c r="T19" s="180"/>
      <c r="U19" s="180"/>
      <c r="V19" s="3"/>
      <c r="W19" s="3"/>
      <c r="X19" s="3"/>
      <c r="Y19" s="180"/>
      <c r="Z19" s="3"/>
      <c r="AA19" s="180"/>
      <c r="AB19" s="3"/>
      <c r="AC19" s="180"/>
      <c r="AD19" s="3"/>
      <c r="AE19" s="180"/>
      <c r="AF19" s="3"/>
      <c r="AG19" s="181"/>
      <c r="AH19" s="3"/>
      <c r="AI19" s="180"/>
      <c r="AJ19" s="3"/>
      <c r="AL19" s="180"/>
      <c r="AM19" s="180"/>
      <c r="AN19" s="3"/>
      <c r="AO19" s="3"/>
      <c r="AP19" s="3"/>
      <c r="AQ19" s="180"/>
      <c r="AR19" s="3"/>
      <c r="AS19" s="180"/>
      <c r="AT19" s="3"/>
      <c r="AU19" s="180"/>
      <c r="AV19" s="3"/>
      <c r="AW19" s="180"/>
      <c r="AX19" s="3"/>
      <c r="AY19" s="181"/>
      <c r="AZ19" s="3"/>
      <c r="BA19" s="180"/>
      <c r="BB19" s="3"/>
    </row>
    <row r="20" spans="2:54" x14ac:dyDescent="0.2">
      <c r="B20" s="8"/>
      <c r="C20" s="8" t="s">
        <v>447</v>
      </c>
      <c r="D20" s="8"/>
      <c r="E20" s="3"/>
      <c r="F20" s="3"/>
      <c r="G20" s="180"/>
      <c r="H20" s="3"/>
      <c r="I20" s="180"/>
      <c r="J20" s="3"/>
      <c r="K20" s="180"/>
      <c r="L20" s="3"/>
      <c r="M20" s="180"/>
      <c r="N20" s="3"/>
      <c r="O20" s="180"/>
      <c r="P20" s="3"/>
      <c r="Q20" s="180"/>
      <c r="R20" s="3"/>
      <c r="T20" s="180"/>
      <c r="U20" s="8" t="s">
        <v>68</v>
      </c>
      <c r="V20" s="3"/>
      <c r="W20" s="3"/>
      <c r="X20" s="3"/>
      <c r="Y20" s="180"/>
      <c r="Z20" s="3"/>
      <c r="AA20" s="180"/>
      <c r="AB20" s="3"/>
      <c r="AC20" s="180"/>
      <c r="AD20" s="3"/>
      <c r="AE20" s="180"/>
      <c r="AF20" s="3"/>
      <c r="AG20" s="181"/>
      <c r="AH20" s="3"/>
      <c r="AI20" s="180"/>
      <c r="AJ20" s="3"/>
      <c r="AL20" s="180"/>
      <c r="AM20" s="179" t="str">
        <f>U20</f>
        <v>Zement</v>
      </c>
      <c r="AN20" s="8"/>
      <c r="AO20" s="3"/>
      <c r="AP20" s="3"/>
      <c r="AQ20" s="180"/>
      <c r="AR20" s="3"/>
      <c r="AS20" s="180"/>
      <c r="AT20" s="3"/>
      <c r="AU20" s="180"/>
      <c r="AV20" s="3"/>
      <c r="AW20" s="180"/>
      <c r="AX20" s="3"/>
      <c r="AY20" s="181"/>
      <c r="AZ20" s="3"/>
      <c r="BA20" s="180"/>
      <c r="BB20" s="3"/>
    </row>
    <row r="21" spans="2:54" ht="12.75" x14ac:dyDescent="0.2">
      <c r="B21" s="180"/>
      <c r="C21" s="180"/>
      <c r="D21" s="3" t="str">
        <f>'Referenz Plattenwerk'!D36</f>
        <v>Zement - CEM I</v>
      </c>
      <c r="E21" s="3" t="s">
        <v>48</v>
      </c>
      <c r="F21" s="3"/>
      <c r="G21" s="180"/>
      <c r="H21" s="3"/>
      <c r="I21" s="180"/>
      <c r="J21" s="3"/>
      <c r="K21" s="180"/>
      <c r="L21" s="3"/>
      <c r="M21" s="180"/>
      <c r="N21" s="3"/>
      <c r="O21" s="180">
        <f>'Default EF'!O19</f>
        <v>0.66500000000000004</v>
      </c>
      <c r="P21" s="3"/>
      <c r="Q21" s="208"/>
      <c r="R21" s="3"/>
      <c r="T21" s="180"/>
      <c r="U21" s="180"/>
      <c r="V21" s="3" t="str">
        <f t="shared" si="0"/>
        <v>Zement - CEM I</v>
      </c>
      <c r="W21" s="3" t="str">
        <f t="shared" ref="W21:W24" si="7">E21</f>
        <v>t</v>
      </c>
      <c r="X21" s="3"/>
      <c r="Y21" s="180"/>
      <c r="Z21" s="3"/>
      <c r="AA21" s="180"/>
      <c r="AB21" s="3"/>
      <c r="AC21" s="180"/>
      <c r="AD21" s="3"/>
      <c r="AE21" s="180"/>
      <c r="AF21" s="3"/>
      <c r="AG21" s="181">
        <f>'Default EF'!P19</f>
        <v>0.66500000000000004</v>
      </c>
      <c r="AH21" s="3"/>
      <c r="AI21" s="208"/>
      <c r="AJ21" s="3"/>
      <c r="AL21" s="180"/>
      <c r="AM21" s="180"/>
      <c r="AN21" s="3" t="str">
        <f t="shared" ref="AN21:AN24" si="8">V21</f>
        <v>Zement - CEM I</v>
      </c>
      <c r="AO21" s="3" t="str">
        <f t="shared" ref="AO21:AO24" si="9">W21</f>
        <v>t</v>
      </c>
      <c r="AP21" s="3"/>
      <c r="AQ21" s="180"/>
      <c r="AR21" s="3"/>
      <c r="AS21" s="180"/>
      <c r="AT21" s="3"/>
      <c r="AU21" s="180"/>
      <c r="AV21" s="3"/>
      <c r="AW21" s="180"/>
      <c r="AX21" s="3"/>
      <c r="AY21" s="181">
        <f>'Default EF'!Q19</f>
        <v>0.66500000000000004</v>
      </c>
      <c r="AZ21" s="3"/>
      <c r="BA21" s="208"/>
      <c r="BB21" s="3"/>
    </row>
    <row r="22" spans="2:54" ht="12.75" x14ac:dyDescent="0.2">
      <c r="B22" s="180"/>
      <c r="C22" s="180"/>
      <c r="D22" s="3" t="str">
        <f>'Referenz Plattenwerk'!D37</f>
        <v>Zement - CEM II</v>
      </c>
      <c r="E22" s="3" t="s">
        <v>48</v>
      </c>
      <c r="F22" s="3"/>
      <c r="G22" s="180"/>
      <c r="H22" s="3"/>
      <c r="I22" s="180"/>
      <c r="J22" s="3"/>
      <c r="K22" s="180"/>
      <c r="L22" s="3"/>
      <c r="M22" s="180"/>
      <c r="N22" s="3"/>
      <c r="O22" s="180">
        <f>'Default EF'!O20</f>
        <v>0.55300000000000005</v>
      </c>
      <c r="P22" s="3"/>
      <c r="Q22" s="208"/>
      <c r="R22" s="3"/>
      <c r="T22" s="180"/>
      <c r="U22" s="180"/>
      <c r="V22" s="3" t="str">
        <f t="shared" si="0"/>
        <v>Zement - CEM II</v>
      </c>
      <c r="W22" s="3" t="str">
        <f t="shared" si="7"/>
        <v>t</v>
      </c>
      <c r="X22" s="3"/>
      <c r="Y22" s="180"/>
      <c r="Z22" s="3"/>
      <c r="AA22" s="180"/>
      <c r="AB22" s="3"/>
      <c r="AC22" s="180"/>
      <c r="AD22" s="3"/>
      <c r="AE22" s="180"/>
      <c r="AF22" s="3"/>
      <c r="AG22" s="181">
        <f>'Default EF'!P20</f>
        <v>0.55300000000000005</v>
      </c>
      <c r="AH22" s="3"/>
      <c r="AI22" s="208"/>
      <c r="AJ22" s="3"/>
      <c r="AL22" s="180"/>
      <c r="AM22" s="180"/>
      <c r="AN22" s="3" t="str">
        <f t="shared" si="8"/>
        <v>Zement - CEM II</v>
      </c>
      <c r="AO22" s="3" t="str">
        <f t="shared" si="9"/>
        <v>t</v>
      </c>
      <c r="AP22" s="3"/>
      <c r="AQ22" s="180"/>
      <c r="AR22" s="3"/>
      <c r="AS22" s="180"/>
      <c r="AT22" s="3"/>
      <c r="AU22" s="180"/>
      <c r="AV22" s="3"/>
      <c r="AW22" s="180"/>
      <c r="AX22" s="3"/>
      <c r="AY22" s="181">
        <f>'Default EF'!Q20</f>
        <v>0.55300000000000005</v>
      </c>
      <c r="AZ22" s="3"/>
      <c r="BA22" s="208"/>
      <c r="BB22" s="3"/>
    </row>
    <row r="23" spans="2:54" ht="12.75" x14ac:dyDescent="0.2">
      <c r="B23" s="180"/>
      <c r="C23" s="180"/>
      <c r="D23" s="3" t="str">
        <f>'Referenz Plattenwerk'!D38</f>
        <v>Weißzement</v>
      </c>
      <c r="E23" s="3" t="s">
        <v>48</v>
      </c>
      <c r="F23" s="3"/>
      <c r="G23" s="180"/>
      <c r="H23" s="3"/>
      <c r="I23" s="180"/>
      <c r="J23" s="3"/>
      <c r="K23" s="180"/>
      <c r="L23" s="3"/>
      <c r="M23" s="180"/>
      <c r="N23" s="3"/>
      <c r="O23" s="180">
        <f>'Default EF'!O21</f>
        <v>0.84499999999999997</v>
      </c>
      <c r="P23" s="3"/>
      <c r="Q23" s="208"/>
      <c r="R23" s="3"/>
      <c r="T23" s="180"/>
      <c r="U23" s="180"/>
      <c r="V23" s="3" t="str">
        <f t="shared" si="0"/>
        <v>Weißzement</v>
      </c>
      <c r="W23" s="3" t="str">
        <f t="shared" si="7"/>
        <v>t</v>
      </c>
      <c r="X23" s="3"/>
      <c r="Y23" s="180"/>
      <c r="Z23" s="3"/>
      <c r="AA23" s="180"/>
      <c r="AB23" s="3"/>
      <c r="AC23" s="180"/>
      <c r="AD23" s="3"/>
      <c r="AE23" s="180"/>
      <c r="AF23" s="3"/>
      <c r="AG23" s="181">
        <f>'Default EF'!P21</f>
        <v>0.84499999999999997</v>
      </c>
      <c r="AH23" s="3"/>
      <c r="AI23" s="208"/>
      <c r="AJ23" s="3"/>
      <c r="AL23" s="180"/>
      <c r="AM23" s="180"/>
      <c r="AN23" s="3" t="str">
        <f t="shared" si="8"/>
        <v>Weißzement</v>
      </c>
      <c r="AO23" s="3" t="str">
        <f t="shared" si="9"/>
        <v>t</v>
      </c>
      <c r="AP23" s="3"/>
      <c r="AQ23" s="180"/>
      <c r="AR23" s="3"/>
      <c r="AS23" s="180"/>
      <c r="AT23" s="3"/>
      <c r="AU23" s="180"/>
      <c r="AV23" s="3"/>
      <c r="AW23" s="180"/>
      <c r="AX23" s="3"/>
      <c r="AY23" s="181">
        <f>'Default EF'!Q21</f>
        <v>0.84499999999999997</v>
      </c>
      <c r="AZ23" s="3"/>
      <c r="BA23" s="208"/>
      <c r="BB23" s="3"/>
    </row>
    <row r="24" spans="2:54" ht="12.75" x14ac:dyDescent="0.2">
      <c r="B24" s="180"/>
      <c r="C24" s="180"/>
      <c r="D24" s="3" t="str">
        <f>'Referenz Plattenwerk'!D39</f>
        <v>Weitere Zementsorte</v>
      </c>
      <c r="E24" s="3" t="s">
        <v>48</v>
      </c>
      <c r="F24" s="3"/>
      <c r="G24" s="180"/>
      <c r="H24" s="3"/>
      <c r="I24" s="180"/>
      <c r="J24" s="3"/>
      <c r="K24" s="180"/>
      <c r="L24" s="3"/>
      <c r="M24" s="180"/>
      <c r="N24" s="3"/>
      <c r="O24" s="181" t="str">
        <f>'Default EF'!O22</f>
        <v>k.A.</v>
      </c>
      <c r="P24" s="3"/>
      <c r="Q24" s="208"/>
      <c r="R24" s="3"/>
      <c r="T24" s="180"/>
      <c r="U24" s="180"/>
      <c r="V24" s="3" t="str">
        <f t="shared" si="0"/>
        <v>Weitere Zementsorte</v>
      </c>
      <c r="W24" s="3" t="str">
        <f t="shared" si="7"/>
        <v>t</v>
      </c>
      <c r="X24" s="3"/>
      <c r="Y24" s="180"/>
      <c r="Z24" s="3"/>
      <c r="AA24" s="180"/>
      <c r="AB24" s="3"/>
      <c r="AC24" s="180"/>
      <c r="AD24" s="3"/>
      <c r="AE24" s="180"/>
      <c r="AF24" s="3"/>
      <c r="AG24" s="181" t="str">
        <f>'Default EF'!P22</f>
        <v>k.A.</v>
      </c>
      <c r="AH24" s="3"/>
      <c r="AI24" s="208"/>
      <c r="AJ24" s="3"/>
      <c r="AL24" s="180"/>
      <c r="AM24" s="180"/>
      <c r="AN24" s="3" t="str">
        <f t="shared" si="8"/>
        <v>Weitere Zementsorte</v>
      </c>
      <c r="AO24" s="3" t="str">
        <f t="shared" si="9"/>
        <v>t</v>
      </c>
      <c r="AP24" s="3"/>
      <c r="AQ24" s="180"/>
      <c r="AR24" s="3"/>
      <c r="AS24" s="180"/>
      <c r="AT24" s="3"/>
      <c r="AU24" s="180"/>
      <c r="AV24" s="3"/>
      <c r="AW24" s="180"/>
      <c r="AX24" s="3"/>
      <c r="AY24" s="181" t="str">
        <f>'Default EF'!Q22</f>
        <v>k.A.</v>
      </c>
      <c r="AZ24" s="3"/>
      <c r="BA24" s="208"/>
      <c r="BB24" s="3"/>
    </row>
    <row r="25" spans="2:54" ht="12.75" x14ac:dyDescent="0.2">
      <c r="B25" s="180"/>
      <c r="C25" s="180"/>
      <c r="D25" s="3"/>
      <c r="E25" s="3"/>
      <c r="F25" s="3"/>
      <c r="G25" s="180"/>
      <c r="H25" s="3"/>
      <c r="I25" s="180"/>
      <c r="J25" s="3"/>
      <c r="K25" s="180"/>
      <c r="L25" s="3"/>
      <c r="M25" s="180"/>
      <c r="N25" s="3"/>
      <c r="O25" s="185"/>
      <c r="P25" s="3"/>
      <c r="Q25" s="185"/>
      <c r="R25" s="3"/>
      <c r="T25" s="180"/>
      <c r="U25" s="180"/>
      <c r="V25" s="3"/>
      <c r="W25" s="3"/>
      <c r="X25" s="3"/>
      <c r="Y25" s="180"/>
      <c r="Z25" s="3"/>
      <c r="AA25" s="180"/>
      <c r="AB25" s="3"/>
      <c r="AC25" s="180"/>
      <c r="AD25" s="3"/>
      <c r="AE25" s="180"/>
      <c r="AF25" s="3"/>
      <c r="AG25" s="185"/>
      <c r="AH25" s="3"/>
      <c r="AI25" s="185"/>
      <c r="AJ25" s="3"/>
      <c r="AL25" s="180"/>
      <c r="AM25" s="180"/>
      <c r="AN25" s="3"/>
      <c r="AO25" s="3"/>
      <c r="AP25" s="3"/>
      <c r="AQ25" s="180"/>
      <c r="AR25" s="3"/>
      <c r="AS25" s="180"/>
      <c r="AT25" s="3"/>
      <c r="AU25" s="180"/>
      <c r="AV25" s="3"/>
      <c r="AW25" s="180"/>
      <c r="AX25" s="3"/>
      <c r="AY25" s="185"/>
      <c r="AZ25" s="3"/>
      <c r="BA25" s="185"/>
      <c r="BB25" s="3"/>
    </row>
    <row r="26" spans="2:54" ht="12.75" x14ac:dyDescent="0.2">
      <c r="B26" s="180"/>
      <c r="C26" s="8" t="str">
        <f>'Referenz Plattenwerk'!D41</f>
        <v>Gesteinskörnungen (Zuschlagsstoffe)</v>
      </c>
      <c r="D26" s="3"/>
      <c r="E26" s="3"/>
      <c r="F26" s="3"/>
      <c r="G26" s="180"/>
      <c r="H26" s="3"/>
      <c r="I26" s="180"/>
      <c r="J26" s="3"/>
      <c r="K26" s="180"/>
      <c r="L26" s="3"/>
      <c r="M26" s="180"/>
      <c r="N26" s="3"/>
      <c r="O26" s="185"/>
      <c r="P26" s="3"/>
      <c r="Q26" s="185"/>
      <c r="R26" s="3"/>
      <c r="T26" s="180"/>
      <c r="U26" s="183" t="str">
        <f>C26</f>
        <v>Gesteinskörnungen (Zuschlagsstoffe)</v>
      </c>
      <c r="V26" s="3"/>
      <c r="W26" s="3"/>
      <c r="X26" s="3"/>
      <c r="Y26" s="180"/>
      <c r="Z26" s="3"/>
      <c r="AA26" s="180"/>
      <c r="AB26" s="3"/>
      <c r="AC26" s="180"/>
      <c r="AD26" s="3"/>
      <c r="AE26" s="180"/>
      <c r="AF26" s="3"/>
      <c r="AG26" s="185"/>
      <c r="AH26" s="3"/>
      <c r="AI26" s="185"/>
      <c r="AJ26" s="3"/>
      <c r="AL26" s="180"/>
      <c r="AM26" s="179" t="str">
        <f>U26</f>
        <v>Gesteinskörnungen (Zuschlagsstoffe)</v>
      </c>
      <c r="AN26" s="3"/>
      <c r="AO26" s="3"/>
      <c r="AP26" s="3"/>
      <c r="AQ26" s="180"/>
      <c r="AR26" s="3"/>
      <c r="AS26" s="180"/>
      <c r="AT26" s="3"/>
      <c r="AU26" s="180"/>
      <c r="AV26" s="3"/>
      <c r="AW26" s="180"/>
      <c r="AX26" s="3"/>
      <c r="AY26" s="185"/>
      <c r="AZ26" s="3"/>
      <c r="BA26" s="185"/>
      <c r="BB26" s="3"/>
    </row>
    <row r="27" spans="2:54" ht="12.75" x14ac:dyDescent="0.2">
      <c r="B27" s="180"/>
      <c r="C27" s="180"/>
      <c r="D27" s="3" t="str">
        <f>'Referenz Plattenwerk'!D42</f>
        <v>Sand, Kies</v>
      </c>
      <c r="E27" s="3" t="s">
        <v>48</v>
      </c>
      <c r="F27" s="3"/>
      <c r="G27" s="180"/>
      <c r="H27" s="3"/>
      <c r="I27" s="180"/>
      <c r="J27" s="3"/>
      <c r="K27" s="180"/>
      <c r="L27" s="3"/>
      <c r="M27" s="180"/>
      <c r="N27" s="3"/>
      <c r="O27" s="180">
        <f>'Default EF'!O25</f>
        <v>4.8500000000000001E-3</v>
      </c>
      <c r="P27" s="3"/>
      <c r="Q27" s="208"/>
      <c r="R27" s="3"/>
      <c r="T27" s="180"/>
      <c r="U27" s="180"/>
      <c r="V27" s="3" t="str">
        <f t="shared" si="0"/>
        <v>Sand, Kies</v>
      </c>
      <c r="W27" s="3" t="str">
        <f>E27</f>
        <v>t</v>
      </c>
      <c r="X27" s="3"/>
      <c r="Y27" s="180"/>
      <c r="Z27" s="3"/>
      <c r="AA27" s="180"/>
      <c r="AB27" s="3"/>
      <c r="AC27" s="180"/>
      <c r="AD27" s="3"/>
      <c r="AE27" s="180"/>
      <c r="AF27" s="3"/>
      <c r="AG27" s="181">
        <f>'Default EF'!P25</f>
        <v>4.8500000000000001E-3</v>
      </c>
      <c r="AH27" s="3"/>
      <c r="AI27" s="208"/>
      <c r="AJ27" s="3"/>
      <c r="AL27" s="180"/>
      <c r="AM27" s="180"/>
      <c r="AN27" s="3" t="str">
        <f t="shared" ref="AN27:AN29" si="10">V27</f>
        <v>Sand, Kies</v>
      </c>
      <c r="AO27" s="3" t="str">
        <f t="shared" ref="AO27:AO29" si="11">W27</f>
        <v>t</v>
      </c>
      <c r="AP27" s="3"/>
      <c r="AQ27" s="180"/>
      <c r="AR27" s="3"/>
      <c r="AS27" s="180"/>
      <c r="AT27" s="3"/>
      <c r="AU27" s="180"/>
      <c r="AV27" s="3"/>
      <c r="AW27" s="180"/>
      <c r="AX27" s="3"/>
      <c r="AY27" s="181">
        <f>'Default EF'!Q25</f>
        <v>4.8500000000000001E-3</v>
      </c>
      <c r="AZ27" s="3"/>
      <c r="BA27" s="208"/>
      <c r="BB27" s="3"/>
    </row>
    <row r="28" spans="2:54" ht="12.75" x14ac:dyDescent="0.2">
      <c r="B28" s="180"/>
      <c r="C28" s="180"/>
      <c r="D28" s="3" t="str">
        <f>'Referenz Plattenwerk'!D43</f>
        <v>Brechsand, Splitt</v>
      </c>
      <c r="E28" s="3" t="s">
        <v>48</v>
      </c>
      <c r="F28" s="3"/>
      <c r="G28" s="180"/>
      <c r="H28" s="3"/>
      <c r="I28" s="180"/>
      <c r="J28" s="3"/>
      <c r="K28" s="180"/>
      <c r="L28" s="3"/>
      <c r="M28" s="180"/>
      <c r="N28" s="3"/>
      <c r="O28" s="181" t="str">
        <f>'Default EF'!O26</f>
        <v>k.A.</v>
      </c>
      <c r="P28" s="3"/>
      <c r="Q28" s="208"/>
      <c r="R28" s="3"/>
      <c r="T28" s="180"/>
      <c r="U28" s="180"/>
      <c r="V28" s="3" t="str">
        <f t="shared" si="0"/>
        <v>Brechsand, Splitt</v>
      </c>
      <c r="W28" s="3" t="str">
        <f>E28</f>
        <v>t</v>
      </c>
      <c r="X28" s="3"/>
      <c r="Y28" s="180"/>
      <c r="Z28" s="3"/>
      <c r="AA28" s="180"/>
      <c r="AB28" s="3"/>
      <c r="AC28" s="180"/>
      <c r="AD28" s="3"/>
      <c r="AE28" s="180"/>
      <c r="AF28" s="3"/>
      <c r="AG28" s="181" t="str">
        <f>'Default EF'!P26</f>
        <v>k.A.</v>
      </c>
      <c r="AH28" s="3"/>
      <c r="AI28" s="208"/>
      <c r="AJ28" s="3"/>
      <c r="AL28" s="180"/>
      <c r="AM28" s="180"/>
      <c r="AN28" s="3" t="str">
        <f t="shared" si="10"/>
        <v>Brechsand, Splitt</v>
      </c>
      <c r="AO28" s="3" t="str">
        <f t="shared" si="11"/>
        <v>t</v>
      </c>
      <c r="AP28" s="3"/>
      <c r="AQ28" s="180"/>
      <c r="AR28" s="3"/>
      <c r="AS28" s="180"/>
      <c r="AT28" s="3"/>
      <c r="AU28" s="180"/>
      <c r="AV28" s="3"/>
      <c r="AW28" s="180"/>
      <c r="AX28" s="3"/>
      <c r="AY28" s="181" t="str">
        <f>'Default EF'!Q26</f>
        <v>k.A.</v>
      </c>
      <c r="AZ28" s="3"/>
      <c r="BA28" s="208"/>
      <c r="BB28" s="3"/>
    </row>
    <row r="29" spans="2:54" ht="12.75" x14ac:dyDescent="0.2">
      <c r="B29" s="180"/>
      <c r="C29" s="180"/>
      <c r="D29" s="3" t="str">
        <f>'Referenz Plattenwerk'!D44</f>
        <v>RC-Material (Sand, Splitt)</v>
      </c>
      <c r="E29" s="3" t="s">
        <v>48</v>
      </c>
      <c r="F29" s="3"/>
      <c r="G29" s="180"/>
      <c r="H29" s="3"/>
      <c r="I29" s="180"/>
      <c r="J29" s="3"/>
      <c r="K29" s="180"/>
      <c r="L29" s="3"/>
      <c r="M29" s="180"/>
      <c r="N29" s="3"/>
      <c r="O29" s="181" t="str">
        <f>'Default EF'!O27</f>
        <v>k.A.</v>
      </c>
      <c r="P29" s="3"/>
      <c r="Q29" s="208"/>
      <c r="R29" s="3"/>
      <c r="T29" s="180"/>
      <c r="U29" s="180"/>
      <c r="V29" s="3" t="str">
        <f t="shared" si="0"/>
        <v>RC-Material (Sand, Splitt)</v>
      </c>
      <c r="W29" s="3" t="str">
        <f>E29</f>
        <v>t</v>
      </c>
      <c r="X29" s="3"/>
      <c r="Y29" s="180"/>
      <c r="Z29" s="3"/>
      <c r="AA29" s="180"/>
      <c r="AB29" s="3"/>
      <c r="AC29" s="180"/>
      <c r="AD29" s="3"/>
      <c r="AE29" s="180"/>
      <c r="AF29" s="3"/>
      <c r="AG29" s="181" t="str">
        <f>'Default EF'!P27</f>
        <v>k.A.</v>
      </c>
      <c r="AH29" s="3"/>
      <c r="AI29" s="208"/>
      <c r="AJ29" s="3"/>
      <c r="AL29" s="180"/>
      <c r="AM29" s="180"/>
      <c r="AN29" s="3" t="str">
        <f t="shared" si="10"/>
        <v>RC-Material (Sand, Splitt)</v>
      </c>
      <c r="AO29" s="3" t="str">
        <f t="shared" si="11"/>
        <v>t</v>
      </c>
      <c r="AP29" s="3"/>
      <c r="AQ29" s="180"/>
      <c r="AR29" s="3"/>
      <c r="AS29" s="180"/>
      <c r="AT29" s="3"/>
      <c r="AU29" s="180"/>
      <c r="AV29" s="3"/>
      <c r="AW29" s="180"/>
      <c r="AX29" s="3"/>
      <c r="AY29" s="181" t="str">
        <f>'Default EF'!Q27</f>
        <v>k.A.</v>
      </c>
      <c r="AZ29" s="3"/>
      <c r="BA29" s="208"/>
      <c r="BB29" s="3"/>
    </row>
    <row r="30" spans="2:54" ht="12.75" x14ac:dyDescent="0.2">
      <c r="B30" s="180"/>
      <c r="C30" s="180"/>
      <c r="D30" s="3"/>
      <c r="E30" s="3"/>
      <c r="F30" s="3"/>
      <c r="G30" s="180"/>
      <c r="H30" s="3"/>
      <c r="I30" s="180"/>
      <c r="J30" s="3"/>
      <c r="K30" s="180"/>
      <c r="L30" s="3"/>
      <c r="M30" s="180"/>
      <c r="N30" s="3"/>
      <c r="O30" s="185"/>
      <c r="P30" s="3"/>
      <c r="Q30" s="185"/>
      <c r="R30" s="3"/>
      <c r="T30" s="180"/>
      <c r="U30" s="180"/>
      <c r="V30" s="3"/>
      <c r="W30" s="3"/>
      <c r="X30" s="3"/>
      <c r="Y30" s="180"/>
      <c r="Z30" s="3"/>
      <c r="AA30" s="180"/>
      <c r="AB30" s="3"/>
      <c r="AC30" s="180"/>
      <c r="AD30" s="3"/>
      <c r="AE30" s="180"/>
      <c r="AF30" s="3"/>
      <c r="AG30" s="185"/>
      <c r="AH30" s="3"/>
      <c r="AI30" s="185"/>
      <c r="AJ30" s="3"/>
      <c r="AL30" s="180"/>
      <c r="AM30" s="180"/>
      <c r="AN30" s="3"/>
      <c r="AO30" s="3"/>
      <c r="AP30" s="3"/>
      <c r="AQ30" s="180"/>
      <c r="AR30" s="3"/>
      <c r="AS30" s="180"/>
      <c r="AT30" s="3"/>
      <c r="AU30" s="180"/>
      <c r="AV30" s="3"/>
      <c r="AW30" s="180"/>
      <c r="AX30" s="3"/>
      <c r="AY30" s="185"/>
      <c r="AZ30" s="3"/>
      <c r="BA30" s="185"/>
      <c r="BB30" s="3"/>
    </row>
    <row r="31" spans="2:54" ht="12.75" x14ac:dyDescent="0.2">
      <c r="B31" s="180"/>
      <c r="C31" s="180"/>
      <c r="D31" s="3" t="str">
        <f>'Referenz Plattenwerk'!D46</f>
        <v>Farben</v>
      </c>
      <c r="E31" s="3" t="s">
        <v>48</v>
      </c>
      <c r="F31" s="3"/>
      <c r="G31" s="180"/>
      <c r="H31" s="3"/>
      <c r="I31" s="180"/>
      <c r="J31" s="3"/>
      <c r="K31" s="180"/>
      <c r="L31" s="3"/>
      <c r="M31" s="180"/>
      <c r="N31" s="3"/>
      <c r="O31" s="180">
        <f>'Default EF'!O29</f>
        <v>2.5999999999999996</v>
      </c>
      <c r="P31" s="3"/>
      <c r="Q31" s="208"/>
      <c r="R31" s="3"/>
      <c r="T31" s="180"/>
      <c r="U31" s="180"/>
      <c r="V31" s="3" t="str">
        <f t="shared" si="0"/>
        <v>Farben</v>
      </c>
      <c r="W31" s="3" t="str">
        <f>E31</f>
        <v>t</v>
      </c>
      <c r="X31" s="3"/>
      <c r="Y31" s="180"/>
      <c r="Z31" s="3"/>
      <c r="AA31" s="180"/>
      <c r="AB31" s="3"/>
      <c r="AC31" s="180"/>
      <c r="AD31" s="3"/>
      <c r="AE31" s="180"/>
      <c r="AF31" s="3"/>
      <c r="AG31" s="181">
        <f>'Default EF'!P29</f>
        <v>2.5999999999999996</v>
      </c>
      <c r="AH31" s="3"/>
      <c r="AI31" s="208"/>
      <c r="AJ31" s="3"/>
      <c r="AL31" s="180"/>
      <c r="AM31" s="180"/>
      <c r="AN31" s="3" t="str">
        <f>V31</f>
        <v>Farben</v>
      </c>
      <c r="AO31" s="3" t="str">
        <f>W31</f>
        <v>t</v>
      </c>
      <c r="AP31" s="3"/>
      <c r="AQ31" s="180"/>
      <c r="AR31" s="3"/>
      <c r="AS31" s="180"/>
      <c r="AT31" s="3"/>
      <c r="AU31" s="180"/>
      <c r="AV31" s="3"/>
      <c r="AW31" s="180"/>
      <c r="AX31" s="3"/>
      <c r="AY31" s="181">
        <f>'Default EF'!Q29</f>
        <v>2.5999999999999996</v>
      </c>
      <c r="AZ31" s="3"/>
      <c r="BA31" s="208"/>
      <c r="BB31" s="3"/>
    </row>
    <row r="32" spans="2:54" ht="12.75" x14ac:dyDescent="0.2">
      <c r="B32" s="180"/>
      <c r="C32" s="180"/>
      <c r="D32" s="3"/>
      <c r="E32" s="3"/>
      <c r="F32" s="3"/>
      <c r="G32" s="180"/>
      <c r="H32" s="3"/>
      <c r="I32" s="180"/>
      <c r="J32" s="3"/>
      <c r="K32" s="180"/>
      <c r="L32" s="3"/>
      <c r="M32" s="180"/>
      <c r="N32" s="3"/>
      <c r="O32" s="185"/>
      <c r="P32" s="3"/>
      <c r="Q32" s="185"/>
      <c r="R32" s="3"/>
      <c r="T32" s="180"/>
      <c r="U32" s="180"/>
      <c r="V32" s="3"/>
      <c r="W32" s="3"/>
      <c r="X32" s="3"/>
      <c r="Y32" s="180"/>
      <c r="Z32" s="3"/>
      <c r="AA32" s="180"/>
      <c r="AB32" s="3"/>
      <c r="AC32" s="180"/>
      <c r="AD32" s="3"/>
      <c r="AE32" s="180"/>
      <c r="AF32" s="3"/>
      <c r="AG32" s="185"/>
      <c r="AH32" s="3"/>
      <c r="AI32" s="185"/>
      <c r="AJ32" s="3"/>
      <c r="AL32" s="180"/>
      <c r="AM32" s="180"/>
      <c r="AN32" s="3"/>
      <c r="AO32" s="3"/>
      <c r="AP32" s="3"/>
      <c r="AQ32" s="180"/>
      <c r="AR32" s="3"/>
      <c r="AS32" s="180"/>
      <c r="AT32" s="3"/>
      <c r="AU32" s="180"/>
      <c r="AV32" s="3"/>
      <c r="AW32" s="180"/>
      <c r="AX32" s="3"/>
      <c r="AY32" s="185"/>
      <c r="AZ32" s="3"/>
      <c r="BA32" s="185"/>
      <c r="BB32" s="3"/>
    </row>
    <row r="33" spans="2:54" ht="12.75" x14ac:dyDescent="0.2">
      <c r="B33" s="180"/>
      <c r="C33" s="8" t="str">
        <f>'Referenz Plattenwerk'!D48</f>
        <v>Zusatzstoffe (Füllstoffe)</v>
      </c>
      <c r="D33" s="3"/>
      <c r="E33" s="3"/>
      <c r="F33" s="3"/>
      <c r="G33" s="180"/>
      <c r="H33" s="3"/>
      <c r="I33" s="180"/>
      <c r="J33" s="3"/>
      <c r="K33" s="180"/>
      <c r="L33" s="3"/>
      <c r="M33" s="180"/>
      <c r="N33" s="3"/>
      <c r="O33" s="185"/>
      <c r="P33" s="3"/>
      <c r="Q33" s="185"/>
      <c r="R33" s="3"/>
      <c r="T33" s="180"/>
      <c r="U33" s="183" t="str">
        <f>C33</f>
        <v>Zusatzstoffe (Füllstoffe)</v>
      </c>
      <c r="V33" s="3"/>
      <c r="W33" s="3"/>
      <c r="X33" s="3"/>
      <c r="Y33" s="180"/>
      <c r="Z33" s="3"/>
      <c r="AA33" s="180"/>
      <c r="AB33" s="3"/>
      <c r="AC33" s="180"/>
      <c r="AD33" s="3"/>
      <c r="AE33" s="180"/>
      <c r="AF33" s="3"/>
      <c r="AG33" s="185"/>
      <c r="AH33" s="3"/>
      <c r="AI33" s="185"/>
      <c r="AJ33" s="3"/>
      <c r="AL33" s="180"/>
      <c r="AM33" s="179" t="str">
        <f>U33</f>
        <v>Zusatzstoffe (Füllstoffe)</v>
      </c>
      <c r="AN33" s="3"/>
      <c r="AO33" s="3"/>
      <c r="AP33" s="3"/>
      <c r="AQ33" s="180"/>
      <c r="AR33" s="3"/>
      <c r="AS33" s="180"/>
      <c r="AT33" s="3"/>
      <c r="AU33" s="180"/>
      <c r="AV33" s="3"/>
      <c r="AW33" s="180"/>
      <c r="AX33" s="3"/>
      <c r="AY33" s="185"/>
      <c r="AZ33" s="3"/>
      <c r="BA33" s="185"/>
      <c r="BB33" s="3"/>
    </row>
    <row r="34" spans="2:54" ht="12.75" x14ac:dyDescent="0.2">
      <c r="B34" s="180"/>
      <c r="C34" s="180"/>
      <c r="D34" s="3" t="str">
        <f>'Referenz Plattenwerk'!D49</f>
        <v>Flugasche</v>
      </c>
      <c r="E34" s="3" t="s">
        <v>48</v>
      </c>
      <c r="F34" s="3"/>
      <c r="G34" s="180"/>
      <c r="H34" s="3"/>
      <c r="I34" s="180"/>
      <c r="J34" s="3"/>
      <c r="K34" s="180"/>
      <c r="L34" s="3"/>
      <c r="M34" s="180"/>
      <c r="N34" s="3"/>
      <c r="O34" s="180">
        <f>'Default EF'!O32</f>
        <v>0.19800000000000001</v>
      </c>
      <c r="P34" s="3"/>
      <c r="Q34" s="208"/>
      <c r="R34" s="3"/>
      <c r="T34" s="180"/>
      <c r="U34" s="180"/>
      <c r="V34" s="3" t="str">
        <f t="shared" si="0"/>
        <v>Flugasche</v>
      </c>
      <c r="W34" s="3" t="str">
        <f t="shared" ref="W34:W36" si="12">E34</f>
        <v>t</v>
      </c>
      <c r="X34" s="3"/>
      <c r="Y34" s="180"/>
      <c r="Z34" s="3"/>
      <c r="AA34" s="180"/>
      <c r="AB34" s="3"/>
      <c r="AC34" s="180"/>
      <c r="AD34" s="3"/>
      <c r="AE34" s="180"/>
      <c r="AF34" s="3"/>
      <c r="AG34" s="181">
        <f>'Default EF'!P32</f>
        <v>0.19800000000000001</v>
      </c>
      <c r="AH34" s="3"/>
      <c r="AI34" s="208"/>
      <c r="AJ34" s="3"/>
      <c r="AL34" s="180"/>
      <c r="AM34" s="180"/>
      <c r="AN34" s="3" t="str">
        <f t="shared" ref="AN34:AN36" si="13">V34</f>
        <v>Flugasche</v>
      </c>
      <c r="AO34" s="3" t="str">
        <f t="shared" ref="AO34:AO36" si="14">W34</f>
        <v>t</v>
      </c>
      <c r="AP34" s="3"/>
      <c r="AQ34" s="180"/>
      <c r="AR34" s="3"/>
      <c r="AS34" s="180"/>
      <c r="AT34" s="3"/>
      <c r="AU34" s="180"/>
      <c r="AV34" s="3"/>
      <c r="AW34" s="180"/>
      <c r="AX34" s="3"/>
      <c r="AY34" s="181">
        <f>'Default EF'!Q32</f>
        <v>0.19800000000000001</v>
      </c>
      <c r="AZ34" s="3"/>
      <c r="BA34" s="208"/>
      <c r="BB34" s="3"/>
    </row>
    <row r="35" spans="2:54" ht="12.75" x14ac:dyDescent="0.2">
      <c r="B35" s="180"/>
      <c r="C35" s="180"/>
      <c r="D35" s="3" t="str">
        <f>'Referenz Plattenwerk'!D50</f>
        <v>Quarzsteinmehl</v>
      </c>
      <c r="E35" s="3" t="s">
        <v>48</v>
      </c>
      <c r="F35" s="3"/>
      <c r="G35" s="180"/>
      <c r="H35" s="3"/>
      <c r="I35" s="180"/>
      <c r="J35" s="3"/>
      <c r="K35" s="180"/>
      <c r="L35" s="3"/>
      <c r="M35" s="180"/>
      <c r="N35" s="3"/>
      <c r="O35" s="180">
        <f>'Default EF'!O33</f>
        <v>4.342E-2</v>
      </c>
      <c r="P35" s="3"/>
      <c r="Q35" s="208"/>
      <c r="R35" s="3"/>
      <c r="T35" s="180"/>
      <c r="U35" s="180"/>
      <c r="V35" s="3" t="str">
        <f t="shared" si="0"/>
        <v>Quarzsteinmehl</v>
      </c>
      <c r="W35" s="3" t="str">
        <f t="shared" si="12"/>
        <v>t</v>
      </c>
      <c r="X35" s="3"/>
      <c r="Y35" s="180"/>
      <c r="Z35" s="3"/>
      <c r="AA35" s="180"/>
      <c r="AB35" s="3"/>
      <c r="AC35" s="180"/>
      <c r="AD35" s="3"/>
      <c r="AE35" s="180"/>
      <c r="AF35" s="3"/>
      <c r="AG35" s="181">
        <f>'Default EF'!P33</f>
        <v>4.342E-2</v>
      </c>
      <c r="AH35" s="3"/>
      <c r="AI35" s="208"/>
      <c r="AJ35" s="3"/>
      <c r="AL35" s="180"/>
      <c r="AM35" s="180"/>
      <c r="AN35" s="3" t="str">
        <f t="shared" si="13"/>
        <v>Quarzsteinmehl</v>
      </c>
      <c r="AO35" s="3" t="str">
        <f t="shared" si="14"/>
        <v>t</v>
      </c>
      <c r="AP35" s="3"/>
      <c r="AQ35" s="180"/>
      <c r="AR35" s="3"/>
      <c r="AS35" s="180"/>
      <c r="AT35" s="3"/>
      <c r="AU35" s="180"/>
      <c r="AV35" s="3"/>
      <c r="AW35" s="180"/>
      <c r="AX35" s="3"/>
      <c r="AY35" s="181">
        <f>'Default EF'!Q33</f>
        <v>4.342E-2</v>
      </c>
      <c r="AZ35" s="3"/>
      <c r="BA35" s="208"/>
      <c r="BB35" s="3"/>
    </row>
    <row r="36" spans="2:54" ht="12.75" x14ac:dyDescent="0.2">
      <c r="B36" s="180"/>
      <c r="C36" s="180"/>
      <c r="D36" s="3" t="str">
        <f>'Referenz Plattenwerk'!D51</f>
        <v>Kalksteinmehl</v>
      </c>
      <c r="E36" s="3" t="s">
        <v>48</v>
      </c>
      <c r="F36" s="3"/>
      <c r="G36" s="180"/>
      <c r="H36" s="3"/>
      <c r="I36" s="180"/>
      <c r="J36" s="3"/>
      <c r="K36" s="180"/>
      <c r="L36" s="3"/>
      <c r="M36" s="180"/>
      <c r="N36" s="3"/>
      <c r="O36" s="180">
        <f>'Default EF'!O34</f>
        <v>4.5199999999999997E-2</v>
      </c>
      <c r="P36" s="3"/>
      <c r="Q36" s="208"/>
      <c r="R36" s="3"/>
      <c r="T36" s="180"/>
      <c r="U36" s="180"/>
      <c r="V36" s="3" t="str">
        <f t="shared" si="0"/>
        <v>Kalksteinmehl</v>
      </c>
      <c r="W36" s="3" t="str">
        <f t="shared" si="12"/>
        <v>t</v>
      </c>
      <c r="X36" s="3"/>
      <c r="Y36" s="180"/>
      <c r="Z36" s="3"/>
      <c r="AA36" s="180"/>
      <c r="AB36" s="3"/>
      <c r="AC36" s="180"/>
      <c r="AD36" s="3"/>
      <c r="AE36" s="180"/>
      <c r="AF36" s="3"/>
      <c r="AG36" s="181">
        <f>'Default EF'!P34</f>
        <v>4.5199999999999997E-2</v>
      </c>
      <c r="AH36" s="3"/>
      <c r="AI36" s="208"/>
      <c r="AJ36" s="3"/>
      <c r="AL36" s="180"/>
      <c r="AM36" s="180"/>
      <c r="AN36" s="3" t="str">
        <f t="shared" si="13"/>
        <v>Kalksteinmehl</v>
      </c>
      <c r="AO36" s="3" t="str">
        <f t="shared" si="14"/>
        <v>t</v>
      </c>
      <c r="AP36" s="3"/>
      <c r="AQ36" s="180"/>
      <c r="AR36" s="3"/>
      <c r="AS36" s="180"/>
      <c r="AT36" s="3"/>
      <c r="AU36" s="180"/>
      <c r="AV36" s="3"/>
      <c r="AW36" s="180"/>
      <c r="AX36" s="3"/>
      <c r="AY36" s="181">
        <f>'Default EF'!Q34</f>
        <v>4.5199999999999997E-2</v>
      </c>
      <c r="AZ36" s="3"/>
      <c r="BA36" s="208"/>
      <c r="BB36" s="3"/>
    </row>
    <row r="37" spans="2:54" ht="12.75" x14ac:dyDescent="0.2">
      <c r="B37" s="180"/>
      <c r="C37" s="180"/>
      <c r="D37" s="3"/>
      <c r="E37" s="3"/>
      <c r="F37" s="3"/>
      <c r="G37" s="180"/>
      <c r="H37" s="3"/>
      <c r="I37" s="180"/>
      <c r="J37" s="3"/>
      <c r="K37" s="180"/>
      <c r="L37" s="3"/>
      <c r="M37" s="180"/>
      <c r="N37" s="3"/>
      <c r="O37" s="185"/>
      <c r="P37" s="3"/>
      <c r="Q37" s="185"/>
      <c r="R37" s="3"/>
      <c r="T37" s="180"/>
      <c r="U37" s="180"/>
      <c r="V37" s="3"/>
      <c r="W37" s="3"/>
      <c r="X37" s="3"/>
      <c r="Y37" s="180"/>
      <c r="Z37" s="3"/>
      <c r="AA37" s="180"/>
      <c r="AB37" s="3"/>
      <c r="AC37" s="180"/>
      <c r="AD37" s="3"/>
      <c r="AE37" s="180"/>
      <c r="AF37" s="3"/>
      <c r="AG37" s="185"/>
      <c r="AH37" s="3"/>
      <c r="AI37" s="185"/>
      <c r="AJ37" s="3"/>
      <c r="AL37" s="180"/>
      <c r="AM37" s="180"/>
      <c r="AN37" s="3"/>
      <c r="AO37" s="3"/>
      <c r="AP37" s="3"/>
      <c r="AQ37" s="180"/>
      <c r="AR37" s="3"/>
      <c r="AS37" s="180"/>
      <c r="AT37" s="3"/>
      <c r="AU37" s="180"/>
      <c r="AV37" s="3"/>
      <c r="AW37" s="180"/>
      <c r="AX37" s="3"/>
      <c r="AY37" s="185"/>
      <c r="AZ37" s="3"/>
      <c r="BA37" s="185"/>
      <c r="BB37" s="3"/>
    </row>
    <row r="38" spans="2:54" ht="12.75" x14ac:dyDescent="0.2">
      <c r="B38" s="8"/>
      <c r="C38" s="8" t="str">
        <f>'Referenz Plattenwerk'!D53</f>
        <v>Zusatzmittel</v>
      </c>
      <c r="D38" s="8"/>
      <c r="E38" s="3"/>
      <c r="F38" s="3"/>
      <c r="G38" s="180"/>
      <c r="H38" s="3"/>
      <c r="I38" s="180"/>
      <c r="J38" s="3"/>
      <c r="K38" s="180"/>
      <c r="L38" s="3"/>
      <c r="M38" s="180"/>
      <c r="N38" s="3"/>
      <c r="O38" s="186"/>
      <c r="P38" s="3"/>
      <c r="Q38" s="186"/>
      <c r="R38" s="3"/>
      <c r="T38" s="187"/>
      <c r="U38" s="8" t="s">
        <v>51</v>
      </c>
      <c r="V38" s="3"/>
      <c r="W38" s="3"/>
      <c r="X38" s="3"/>
      <c r="Y38" s="180"/>
      <c r="Z38" s="3"/>
      <c r="AA38" s="180"/>
      <c r="AB38" s="3"/>
      <c r="AC38" s="180"/>
      <c r="AD38" s="3"/>
      <c r="AE38" s="180"/>
      <c r="AF38" s="3"/>
      <c r="AG38" s="188"/>
      <c r="AH38" s="3"/>
      <c r="AI38" s="186"/>
      <c r="AJ38" s="3"/>
      <c r="AL38" s="187"/>
      <c r="AM38" s="8" t="s">
        <v>51</v>
      </c>
      <c r="AN38" s="8"/>
      <c r="AO38" s="3"/>
      <c r="AP38" s="3"/>
      <c r="AQ38" s="180"/>
      <c r="AR38" s="3"/>
      <c r="AS38" s="180"/>
      <c r="AT38" s="3"/>
      <c r="AU38" s="180"/>
      <c r="AV38" s="3"/>
      <c r="AW38" s="180"/>
      <c r="AX38" s="3"/>
      <c r="AY38" s="188"/>
      <c r="AZ38" s="3"/>
      <c r="BA38" s="186"/>
      <c r="BB38" s="3"/>
    </row>
    <row r="39" spans="2:54" s="190" customFormat="1" ht="12.75" x14ac:dyDescent="0.2">
      <c r="B39" s="189"/>
      <c r="C39" s="189"/>
      <c r="D39" s="3" t="str">
        <f>'Referenz Plattenwerk'!D54</f>
        <v>Plastifizierer</v>
      </c>
      <c r="E39" s="63"/>
      <c r="F39" s="63"/>
      <c r="G39" s="189"/>
      <c r="H39" s="63"/>
      <c r="I39" s="189"/>
      <c r="J39" s="63"/>
      <c r="K39" s="189"/>
      <c r="L39" s="63"/>
      <c r="M39" s="189"/>
      <c r="N39" s="63"/>
      <c r="O39" s="63">
        <f>'Default EF'!O37</f>
        <v>1.53</v>
      </c>
      <c r="P39" s="63"/>
      <c r="Q39" s="209"/>
      <c r="R39" s="63"/>
      <c r="T39" s="189"/>
      <c r="U39" s="189"/>
      <c r="V39" s="3" t="str">
        <f t="shared" si="0"/>
        <v>Plastifizierer</v>
      </c>
      <c r="W39" s="63"/>
      <c r="X39" s="63"/>
      <c r="Y39" s="189"/>
      <c r="Z39" s="63"/>
      <c r="AA39" s="189"/>
      <c r="AB39" s="63"/>
      <c r="AC39" s="189"/>
      <c r="AD39" s="63"/>
      <c r="AE39" s="189"/>
      <c r="AF39" s="63"/>
      <c r="AG39" s="191">
        <f>'Default EF'!P37</f>
        <v>1.53</v>
      </c>
      <c r="AH39" s="63"/>
      <c r="AI39" s="209"/>
      <c r="AJ39" s="63"/>
      <c r="AL39" s="189"/>
      <c r="AM39" s="189"/>
      <c r="AN39" s="3" t="str">
        <f t="shared" ref="AN39:AN42" si="15">V39</f>
        <v>Plastifizierer</v>
      </c>
      <c r="AO39" s="3"/>
      <c r="AP39" s="63"/>
      <c r="AQ39" s="189"/>
      <c r="AR39" s="63"/>
      <c r="AS39" s="189"/>
      <c r="AT39" s="63"/>
      <c r="AU39" s="189"/>
      <c r="AV39" s="63"/>
      <c r="AW39" s="189"/>
      <c r="AX39" s="63"/>
      <c r="AY39" s="191">
        <f>'Default EF'!Q37</f>
        <v>1.53</v>
      </c>
      <c r="AZ39" s="63"/>
      <c r="BA39" s="209"/>
      <c r="BB39" s="63"/>
    </row>
    <row r="40" spans="2:54" s="190" customFormat="1" ht="12.75" x14ac:dyDescent="0.2">
      <c r="B40" s="189"/>
      <c r="C40" s="189"/>
      <c r="D40" s="3" t="str">
        <f>'Referenz Plattenwerk'!D55</f>
        <v>Luftporenbildner</v>
      </c>
      <c r="E40" s="63"/>
      <c r="F40" s="63"/>
      <c r="G40" s="189"/>
      <c r="H40" s="63"/>
      <c r="I40" s="189"/>
      <c r="J40" s="63"/>
      <c r="K40" s="189"/>
      <c r="L40" s="63"/>
      <c r="M40" s="189"/>
      <c r="N40" s="63"/>
      <c r="O40" s="63">
        <f>'Default EF'!O38</f>
        <v>0.439</v>
      </c>
      <c r="P40" s="63"/>
      <c r="Q40" s="209"/>
      <c r="R40" s="63"/>
      <c r="T40" s="189"/>
      <c r="U40" s="189"/>
      <c r="V40" s="3" t="str">
        <f t="shared" si="0"/>
        <v>Luftporenbildner</v>
      </c>
      <c r="W40" s="63"/>
      <c r="X40" s="63"/>
      <c r="Y40" s="189"/>
      <c r="Z40" s="63"/>
      <c r="AA40" s="189"/>
      <c r="AB40" s="63"/>
      <c r="AC40" s="189"/>
      <c r="AD40" s="63"/>
      <c r="AE40" s="189"/>
      <c r="AF40" s="63"/>
      <c r="AG40" s="191">
        <f>'Default EF'!P38</f>
        <v>0.439</v>
      </c>
      <c r="AH40" s="63"/>
      <c r="AI40" s="209"/>
      <c r="AJ40" s="63"/>
      <c r="AL40" s="189"/>
      <c r="AM40" s="189"/>
      <c r="AN40" s="3" t="str">
        <f t="shared" si="15"/>
        <v>Luftporenbildner</v>
      </c>
      <c r="AO40" s="3"/>
      <c r="AP40" s="63"/>
      <c r="AQ40" s="189"/>
      <c r="AR40" s="63"/>
      <c r="AS40" s="189"/>
      <c r="AT40" s="63"/>
      <c r="AU40" s="189"/>
      <c r="AV40" s="63"/>
      <c r="AW40" s="189"/>
      <c r="AX40" s="63"/>
      <c r="AY40" s="191">
        <f>'Default EF'!Q38</f>
        <v>0.439</v>
      </c>
      <c r="AZ40" s="63"/>
      <c r="BA40" s="209"/>
      <c r="BB40" s="63"/>
    </row>
    <row r="41" spans="2:54" s="190" customFormat="1" ht="12.75" x14ac:dyDescent="0.2">
      <c r="B41" s="189"/>
      <c r="C41" s="189"/>
      <c r="D41" s="3" t="str">
        <f>'Referenz Plattenwerk'!D56</f>
        <v>Stabilisierer</v>
      </c>
      <c r="E41" s="63"/>
      <c r="F41" s="63"/>
      <c r="G41" s="189"/>
      <c r="H41" s="63"/>
      <c r="I41" s="189"/>
      <c r="J41" s="63"/>
      <c r="K41" s="189"/>
      <c r="L41" s="63"/>
      <c r="M41" s="189"/>
      <c r="N41" s="63"/>
      <c r="O41" s="63">
        <f>'Default EF'!O39</f>
        <v>1.23</v>
      </c>
      <c r="P41" s="63"/>
      <c r="Q41" s="209"/>
      <c r="R41" s="63"/>
      <c r="T41" s="189"/>
      <c r="U41" s="189"/>
      <c r="V41" s="3" t="str">
        <f t="shared" si="0"/>
        <v>Stabilisierer</v>
      </c>
      <c r="W41" s="63"/>
      <c r="X41" s="63"/>
      <c r="Y41" s="189"/>
      <c r="Z41" s="63"/>
      <c r="AA41" s="189"/>
      <c r="AB41" s="63"/>
      <c r="AC41" s="189"/>
      <c r="AD41" s="63"/>
      <c r="AE41" s="189"/>
      <c r="AF41" s="63"/>
      <c r="AG41" s="191">
        <f>'Default EF'!P39</f>
        <v>1.23</v>
      </c>
      <c r="AH41" s="63"/>
      <c r="AI41" s="209"/>
      <c r="AJ41" s="63"/>
      <c r="AL41" s="189"/>
      <c r="AM41" s="189"/>
      <c r="AN41" s="3" t="str">
        <f t="shared" si="15"/>
        <v>Stabilisierer</v>
      </c>
      <c r="AO41" s="3"/>
      <c r="AP41" s="63"/>
      <c r="AQ41" s="189"/>
      <c r="AR41" s="63"/>
      <c r="AS41" s="189"/>
      <c r="AT41" s="63"/>
      <c r="AU41" s="189"/>
      <c r="AV41" s="63"/>
      <c r="AW41" s="189"/>
      <c r="AX41" s="63"/>
      <c r="AY41" s="191">
        <f>'Default EF'!Q39</f>
        <v>1.23</v>
      </c>
      <c r="AZ41" s="63"/>
      <c r="BA41" s="209"/>
      <c r="BB41" s="63"/>
    </row>
    <row r="42" spans="2:54" s="190" customFormat="1" ht="12.75" x14ac:dyDescent="0.2">
      <c r="B42" s="189"/>
      <c r="C42" s="189"/>
      <c r="D42" s="3" t="str">
        <f>'Referenz Plattenwerk'!D57</f>
        <v>Hydrophobierer</v>
      </c>
      <c r="E42" s="63"/>
      <c r="F42" s="63"/>
      <c r="G42" s="189"/>
      <c r="H42" s="63"/>
      <c r="I42" s="189"/>
      <c r="J42" s="63"/>
      <c r="K42" s="189"/>
      <c r="L42" s="63"/>
      <c r="M42" s="189"/>
      <c r="N42" s="63"/>
      <c r="O42" s="63">
        <f>'Default EF'!O40</f>
        <v>2.67</v>
      </c>
      <c r="P42" s="63"/>
      <c r="Q42" s="209"/>
      <c r="R42" s="63"/>
      <c r="T42" s="189"/>
      <c r="U42" s="189"/>
      <c r="V42" s="3" t="str">
        <f t="shared" si="0"/>
        <v>Hydrophobierer</v>
      </c>
      <c r="W42" s="63"/>
      <c r="X42" s="63"/>
      <c r="Y42" s="189"/>
      <c r="Z42" s="63"/>
      <c r="AA42" s="189"/>
      <c r="AB42" s="63"/>
      <c r="AC42" s="189"/>
      <c r="AD42" s="63"/>
      <c r="AE42" s="189"/>
      <c r="AF42" s="63"/>
      <c r="AG42" s="191">
        <f>'Default EF'!P40</f>
        <v>2.67</v>
      </c>
      <c r="AH42" s="63"/>
      <c r="AI42" s="209"/>
      <c r="AJ42" s="63"/>
      <c r="AL42" s="189"/>
      <c r="AM42" s="189"/>
      <c r="AN42" s="3" t="str">
        <f t="shared" si="15"/>
        <v>Hydrophobierer</v>
      </c>
      <c r="AO42" s="3"/>
      <c r="AP42" s="63"/>
      <c r="AQ42" s="189"/>
      <c r="AR42" s="63"/>
      <c r="AS42" s="189"/>
      <c r="AT42" s="63"/>
      <c r="AU42" s="189"/>
      <c r="AV42" s="63"/>
      <c r="AW42" s="189"/>
      <c r="AX42" s="63"/>
      <c r="AY42" s="191">
        <f>'Default EF'!Q40</f>
        <v>2.67</v>
      </c>
      <c r="AZ42" s="63"/>
      <c r="BA42" s="209"/>
      <c r="BB42" s="63"/>
    </row>
    <row r="43" spans="2:54" ht="12.75" x14ac:dyDescent="0.2">
      <c r="B43" s="187"/>
      <c r="C43" s="187"/>
      <c r="D43" s="186"/>
      <c r="E43" s="186"/>
      <c r="F43" s="3"/>
      <c r="G43" s="187"/>
      <c r="H43" s="3"/>
      <c r="I43" s="187"/>
      <c r="J43" s="3"/>
      <c r="K43" s="187"/>
      <c r="L43" s="3"/>
      <c r="M43" s="187"/>
      <c r="N43" s="3"/>
      <c r="O43" s="186"/>
      <c r="P43" s="3"/>
      <c r="Q43" s="186"/>
      <c r="R43" s="3"/>
      <c r="T43" s="187"/>
      <c r="U43" s="187"/>
      <c r="V43" s="3"/>
      <c r="W43" s="186"/>
      <c r="X43" s="3"/>
      <c r="Y43" s="187"/>
      <c r="Z43" s="3"/>
      <c r="AA43" s="187"/>
      <c r="AB43" s="3"/>
      <c r="AC43" s="187"/>
      <c r="AD43" s="3"/>
      <c r="AE43" s="187"/>
      <c r="AF43" s="3"/>
      <c r="AG43" s="188"/>
      <c r="AH43" s="3"/>
      <c r="AI43" s="186"/>
      <c r="AJ43" s="3"/>
      <c r="AL43" s="187"/>
      <c r="AM43" s="187"/>
      <c r="AN43" s="186"/>
      <c r="AO43" s="186"/>
      <c r="AP43" s="3"/>
      <c r="AQ43" s="187"/>
      <c r="AR43" s="3"/>
      <c r="AS43" s="187"/>
      <c r="AT43" s="3"/>
      <c r="AU43" s="187"/>
      <c r="AV43" s="3"/>
      <c r="AW43" s="187"/>
      <c r="AX43" s="3"/>
      <c r="AY43" s="188"/>
      <c r="AZ43" s="3"/>
      <c r="BA43" s="186"/>
      <c r="BB43" s="3"/>
    </row>
    <row r="44" spans="2:54" x14ac:dyDescent="0.2">
      <c r="B44" s="180"/>
      <c r="C44" s="180"/>
      <c r="D44" s="3" t="s">
        <v>446</v>
      </c>
      <c r="E44" s="3" t="s">
        <v>48</v>
      </c>
      <c r="F44" s="3"/>
      <c r="G44" s="180"/>
      <c r="H44" s="3"/>
      <c r="I44" s="180"/>
      <c r="J44" s="3"/>
      <c r="K44" s="180"/>
      <c r="L44" s="3"/>
      <c r="M44" s="180"/>
      <c r="N44" s="3"/>
      <c r="O44" s="181">
        <f>'Default EF'!O42</f>
        <v>0</v>
      </c>
      <c r="P44" s="3"/>
      <c r="Q44" s="208"/>
      <c r="R44" s="3"/>
      <c r="T44" s="180"/>
      <c r="U44" s="180"/>
      <c r="V44" s="3" t="s">
        <v>110</v>
      </c>
      <c r="W44" s="3" t="str">
        <f t="shared" ref="W44:W45" si="16">E44</f>
        <v>t</v>
      </c>
      <c r="X44" s="3"/>
      <c r="Y44" s="180"/>
      <c r="Z44" s="3"/>
      <c r="AA44" s="180"/>
      <c r="AB44" s="3"/>
      <c r="AC44" s="180"/>
      <c r="AD44" s="3"/>
      <c r="AE44" s="180"/>
      <c r="AF44" s="3"/>
      <c r="AG44" s="181">
        <f>'Default EF'!P42</f>
        <v>0</v>
      </c>
      <c r="AH44" s="3"/>
      <c r="AI44" s="208"/>
      <c r="AJ44" s="3"/>
      <c r="AL44" s="180"/>
      <c r="AM44" s="180"/>
      <c r="AN44" s="3" t="str">
        <f t="shared" ref="AN44:AN45" si="17">V44</f>
        <v>Wasser</v>
      </c>
      <c r="AO44" s="3" t="str">
        <f t="shared" ref="AO44:AO45" si="18">W44</f>
        <v>t</v>
      </c>
      <c r="AP44" s="3"/>
      <c r="AQ44" s="180"/>
      <c r="AR44" s="3"/>
      <c r="AS44" s="180"/>
      <c r="AT44" s="3"/>
      <c r="AU44" s="180"/>
      <c r="AV44" s="3"/>
      <c r="AW44" s="180"/>
      <c r="AX44" s="3"/>
      <c r="AY44" s="181">
        <f>'Default EF'!Q42</f>
        <v>0</v>
      </c>
      <c r="AZ44" s="3"/>
      <c r="BA44" s="208"/>
      <c r="BB44" s="3"/>
    </row>
    <row r="45" spans="2:54" ht="12.75" x14ac:dyDescent="0.2">
      <c r="B45" s="180"/>
      <c r="C45" s="180"/>
      <c r="D45" s="3" t="str">
        <f>'Referenz Plattenwerk'!D60</f>
        <v>Abwasser</v>
      </c>
      <c r="E45" s="3" t="s">
        <v>65</v>
      </c>
      <c r="F45" s="3"/>
      <c r="G45" s="180"/>
      <c r="H45" s="3"/>
      <c r="I45" s="180"/>
      <c r="J45" s="3"/>
      <c r="K45" s="180"/>
      <c r="L45" s="3"/>
      <c r="M45" s="180"/>
      <c r="N45" s="3"/>
      <c r="O45" s="180">
        <f>'Default EF'!O43</f>
        <v>2.72E-4</v>
      </c>
      <c r="P45" s="3"/>
      <c r="Q45" s="208"/>
      <c r="R45" s="3"/>
      <c r="T45" s="180"/>
      <c r="U45" s="180"/>
      <c r="V45" s="3" t="str">
        <f t="shared" si="0"/>
        <v>Abwasser</v>
      </c>
      <c r="W45" s="3" t="str">
        <f t="shared" si="16"/>
        <v>cbm</v>
      </c>
      <c r="X45" s="3"/>
      <c r="Y45" s="180"/>
      <c r="Z45" s="3"/>
      <c r="AA45" s="180"/>
      <c r="AB45" s="3"/>
      <c r="AC45" s="180"/>
      <c r="AD45" s="3"/>
      <c r="AE45" s="180"/>
      <c r="AF45" s="3"/>
      <c r="AG45" s="181">
        <f>'Default EF'!P43</f>
        <v>2.72E-4</v>
      </c>
      <c r="AH45" s="3"/>
      <c r="AI45" s="208"/>
      <c r="AJ45" s="3"/>
      <c r="AL45" s="180"/>
      <c r="AM45" s="180"/>
      <c r="AN45" s="3" t="str">
        <f t="shared" si="17"/>
        <v>Abwasser</v>
      </c>
      <c r="AO45" s="3" t="str">
        <f t="shared" si="18"/>
        <v>cbm</v>
      </c>
      <c r="AP45" s="3"/>
      <c r="AQ45" s="180"/>
      <c r="AR45" s="3"/>
      <c r="AS45" s="180"/>
      <c r="AT45" s="3"/>
      <c r="AU45" s="180"/>
      <c r="AV45" s="3"/>
      <c r="AW45" s="180"/>
      <c r="AX45" s="3"/>
      <c r="AY45" s="181">
        <f>'Default EF'!Q43</f>
        <v>2.72E-4</v>
      </c>
      <c r="AZ45" s="3"/>
      <c r="BA45" s="208"/>
      <c r="BB45" s="3"/>
    </row>
    <row r="46" spans="2:54" ht="12.75" x14ac:dyDescent="0.2">
      <c r="B46" s="8"/>
      <c r="C46" s="8"/>
      <c r="D46" s="3"/>
      <c r="E46" s="3"/>
      <c r="F46" s="3"/>
      <c r="G46" s="180"/>
      <c r="H46" s="3"/>
      <c r="I46" s="180"/>
      <c r="J46" s="3"/>
      <c r="K46" s="180"/>
      <c r="L46" s="3"/>
      <c r="M46" s="180"/>
      <c r="N46" s="3"/>
      <c r="O46" s="180"/>
      <c r="P46" s="3"/>
      <c r="Q46" s="3"/>
      <c r="R46" s="3"/>
      <c r="T46" s="180"/>
      <c r="U46" s="8"/>
      <c r="V46" s="3"/>
      <c r="W46" s="3"/>
      <c r="X46" s="3"/>
      <c r="Y46" s="180"/>
      <c r="Z46" s="3"/>
      <c r="AA46" s="180"/>
      <c r="AB46" s="3"/>
      <c r="AC46" s="180"/>
      <c r="AD46" s="3"/>
      <c r="AE46" s="180"/>
      <c r="AF46" s="3"/>
      <c r="AG46" s="181"/>
      <c r="AH46" s="3"/>
      <c r="AI46" s="3"/>
      <c r="AJ46" s="3"/>
      <c r="AL46" s="180"/>
      <c r="AM46" s="8"/>
      <c r="AN46" s="3"/>
      <c r="AO46" s="3"/>
      <c r="AP46" s="3"/>
      <c r="AQ46" s="180"/>
      <c r="AR46" s="3"/>
      <c r="AS46" s="180"/>
      <c r="AT46" s="3"/>
      <c r="AU46" s="180"/>
      <c r="AV46" s="3"/>
      <c r="AW46" s="180"/>
      <c r="AX46" s="3"/>
      <c r="AY46" s="181"/>
      <c r="AZ46" s="3"/>
      <c r="BA46" s="3"/>
      <c r="BB46" s="3"/>
    </row>
    <row r="47" spans="2:54" ht="12.75" x14ac:dyDescent="0.2">
      <c r="B47" s="8"/>
      <c r="C47" s="8" t="str">
        <f>'Referenz Plattenwerk'!D62</f>
        <v>Oberflächenschutzsysteme</v>
      </c>
      <c r="D47" s="3"/>
      <c r="E47" s="3"/>
      <c r="F47" s="3"/>
      <c r="G47" s="180"/>
      <c r="H47" s="3"/>
      <c r="I47" s="180"/>
      <c r="J47" s="3"/>
      <c r="K47" s="180"/>
      <c r="L47" s="3"/>
      <c r="M47" s="180"/>
      <c r="N47" s="3"/>
      <c r="O47" s="180"/>
      <c r="P47" s="3"/>
      <c r="Q47" s="3"/>
      <c r="R47" s="3"/>
      <c r="T47" s="180"/>
      <c r="U47" s="183" t="str">
        <f>C47</f>
        <v>Oberflächenschutzsysteme</v>
      </c>
      <c r="V47" s="3"/>
      <c r="W47" s="3"/>
      <c r="X47" s="3"/>
      <c r="Y47" s="180"/>
      <c r="Z47" s="3"/>
      <c r="AA47" s="180"/>
      <c r="AB47" s="3"/>
      <c r="AC47" s="180"/>
      <c r="AD47" s="3"/>
      <c r="AE47" s="180"/>
      <c r="AF47" s="3"/>
      <c r="AG47" s="181"/>
      <c r="AH47" s="3"/>
      <c r="AI47" s="3"/>
      <c r="AJ47" s="3"/>
      <c r="AL47" s="180"/>
      <c r="AM47" s="179" t="str">
        <f>U47</f>
        <v>Oberflächenschutzsysteme</v>
      </c>
      <c r="AN47" s="3"/>
      <c r="AO47" s="3"/>
      <c r="AP47" s="3"/>
      <c r="AQ47" s="180"/>
      <c r="AR47" s="3"/>
      <c r="AS47" s="180"/>
      <c r="AT47" s="3"/>
      <c r="AU47" s="180"/>
      <c r="AV47" s="3"/>
      <c r="AW47" s="180"/>
      <c r="AX47" s="3"/>
      <c r="AY47" s="181"/>
      <c r="AZ47" s="3"/>
      <c r="BA47" s="3"/>
      <c r="BB47" s="3"/>
    </row>
    <row r="48" spans="2:54" ht="12.75" x14ac:dyDescent="0.2">
      <c r="B48" s="8"/>
      <c r="C48" s="8"/>
      <c r="D48" s="3" t="str">
        <f>'Referenz Plattenwerk'!D63</f>
        <v>Hydrophobierung</v>
      </c>
      <c r="E48" s="3" t="s">
        <v>48</v>
      </c>
      <c r="F48" s="3"/>
      <c r="G48" s="180"/>
      <c r="H48" s="3"/>
      <c r="I48" s="180"/>
      <c r="J48" s="3"/>
      <c r="K48" s="180"/>
      <c r="L48" s="3"/>
      <c r="M48" s="180"/>
      <c r="N48" s="3"/>
      <c r="O48" s="181" t="str">
        <f>'Default EF'!O46</f>
        <v>k.A.</v>
      </c>
      <c r="P48" s="3"/>
      <c r="Q48" s="208"/>
      <c r="R48" s="3"/>
      <c r="T48" s="180"/>
      <c r="U48" s="8"/>
      <c r="V48" s="3" t="str">
        <f t="shared" si="0"/>
        <v>Hydrophobierung</v>
      </c>
      <c r="W48" s="3" t="str">
        <f t="shared" ref="W48:W49" si="19">E48</f>
        <v>t</v>
      </c>
      <c r="X48" s="3"/>
      <c r="Y48" s="180"/>
      <c r="Z48" s="3"/>
      <c r="AA48" s="180"/>
      <c r="AB48" s="3"/>
      <c r="AC48" s="180"/>
      <c r="AD48" s="3"/>
      <c r="AE48" s="180"/>
      <c r="AF48" s="3"/>
      <c r="AG48" s="181" t="str">
        <f>'Default EF'!P46</f>
        <v>k.A.</v>
      </c>
      <c r="AH48" s="3"/>
      <c r="AI48" s="208"/>
      <c r="AJ48" s="3"/>
      <c r="AL48" s="180"/>
      <c r="AM48" s="8"/>
      <c r="AN48" s="3" t="str">
        <f t="shared" ref="AN48:AN50" si="20">V48</f>
        <v>Hydrophobierung</v>
      </c>
      <c r="AO48" s="3" t="str">
        <f t="shared" ref="AO48:AO50" si="21">W48</f>
        <v>t</v>
      </c>
      <c r="AP48" s="3"/>
      <c r="AQ48" s="180"/>
      <c r="AR48" s="3"/>
      <c r="AS48" s="180"/>
      <c r="AT48" s="3"/>
      <c r="AU48" s="180"/>
      <c r="AV48" s="3"/>
      <c r="AW48" s="180"/>
      <c r="AX48" s="3"/>
      <c r="AY48" s="181" t="str">
        <f>'Default EF'!Q46</f>
        <v>k.A.</v>
      </c>
      <c r="AZ48" s="3"/>
      <c r="BA48" s="208"/>
      <c r="BB48" s="3"/>
    </row>
    <row r="49" spans="2:54" ht="12.75" x14ac:dyDescent="0.2">
      <c r="B49" s="180"/>
      <c r="C49" s="180"/>
      <c r="D49" s="3" t="str">
        <f>'Referenz Plattenwerk'!D64</f>
        <v>Imprägniermittel  (Aushärtung über Infrarot)</v>
      </c>
      <c r="E49" s="3" t="s">
        <v>48</v>
      </c>
      <c r="F49" s="3"/>
      <c r="G49" s="180"/>
      <c r="H49" s="3"/>
      <c r="I49" s="180"/>
      <c r="J49" s="3"/>
      <c r="K49" s="180"/>
      <c r="L49" s="3"/>
      <c r="M49" s="180"/>
      <c r="N49" s="3"/>
      <c r="O49" s="180">
        <f>'Default EF'!O47</f>
        <v>2.012</v>
      </c>
      <c r="P49" s="3"/>
      <c r="Q49" s="208"/>
      <c r="R49" s="3"/>
      <c r="T49" s="180"/>
      <c r="U49" s="180"/>
      <c r="V49" s="3" t="str">
        <f t="shared" si="0"/>
        <v>Imprägniermittel  (Aushärtung über Infrarot)</v>
      </c>
      <c r="W49" s="3" t="str">
        <f t="shared" si="19"/>
        <v>t</v>
      </c>
      <c r="X49" s="3"/>
      <c r="Y49" s="180"/>
      <c r="Z49" s="3"/>
      <c r="AA49" s="180"/>
      <c r="AB49" s="3"/>
      <c r="AC49" s="180"/>
      <c r="AD49" s="3"/>
      <c r="AE49" s="180"/>
      <c r="AF49" s="3"/>
      <c r="AG49" s="181">
        <f>'Default EF'!P47</f>
        <v>2.012</v>
      </c>
      <c r="AH49" s="3"/>
      <c r="AI49" s="208"/>
      <c r="AJ49" s="3"/>
      <c r="AL49" s="180"/>
      <c r="AM49" s="180"/>
      <c r="AN49" s="3" t="str">
        <f t="shared" si="20"/>
        <v>Imprägniermittel  (Aushärtung über Infrarot)</v>
      </c>
      <c r="AO49" s="3" t="str">
        <f t="shared" si="21"/>
        <v>t</v>
      </c>
      <c r="AP49" s="3"/>
      <c r="AQ49" s="180"/>
      <c r="AR49" s="3"/>
      <c r="AS49" s="180"/>
      <c r="AT49" s="3"/>
      <c r="AU49" s="180"/>
      <c r="AV49" s="3"/>
      <c r="AW49" s="180"/>
      <c r="AX49" s="3"/>
      <c r="AY49" s="181">
        <f>'Default EF'!Q47</f>
        <v>2.012</v>
      </c>
      <c r="AZ49" s="3"/>
      <c r="BA49" s="208"/>
      <c r="BB49" s="3"/>
    </row>
    <row r="50" spans="2:54" ht="12.75" x14ac:dyDescent="0.2">
      <c r="B50" s="8"/>
      <c r="C50" s="8"/>
      <c r="D50" s="3" t="str">
        <f>'Referenz Plattenwerk'!D65</f>
        <v>Beschichtung</v>
      </c>
      <c r="E50" s="3" t="s">
        <v>48</v>
      </c>
      <c r="F50" s="3"/>
      <c r="G50" s="180"/>
      <c r="H50" s="3"/>
      <c r="I50" s="180"/>
      <c r="J50" s="3"/>
      <c r="K50" s="180"/>
      <c r="L50" s="3"/>
      <c r="M50" s="180"/>
      <c r="N50" s="3"/>
      <c r="O50" s="181" t="str">
        <f>'Default EF'!O48</f>
        <v>k.A.</v>
      </c>
      <c r="P50" s="3"/>
      <c r="Q50" s="208"/>
      <c r="R50" s="3"/>
      <c r="T50" s="180"/>
      <c r="U50" s="8"/>
      <c r="V50" s="3" t="str">
        <f t="shared" si="0"/>
        <v>Beschichtung</v>
      </c>
      <c r="W50" s="3" t="str">
        <f>E50</f>
        <v>t</v>
      </c>
      <c r="X50" s="3"/>
      <c r="Y50" s="180"/>
      <c r="Z50" s="3"/>
      <c r="AA50" s="180"/>
      <c r="AB50" s="3"/>
      <c r="AC50" s="180"/>
      <c r="AD50" s="3"/>
      <c r="AE50" s="180"/>
      <c r="AF50" s="3"/>
      <c r="AG50" s="181" t="str">
        <f>'Default EF'!P48</f>
        <v>k.A.</v>
      </c>
      <c r="AH50" s="3"/>
      <c r="AI50" s="208"/>
      <c r="AJ50" s="3"/>
      <c r="AL50" s="180"/>
      <c r="AM50" s="8"/>
      <c r="AN50" s="3" t="str">
        <f t="shared" si="20"/>
        <v>Beschichtung</v>
      </c>
      <c r="AO50" s="3" t="str">
        <f t="shared" si="21"/>
        <v>t</v>
      </c>
      <c r="AP50" s="3"/>
      <c r="AQ50" s="180"/>
      <c r="AR50" s="3"/>
      <c r="AS50" s="180"/>
      <c r="AT50" s="3"/>
      <c r="AU50" s="180"/>
      <c r="AV50" s="3"/>
      <c r="AW50" s="180"/>
      <c r="AX50" s="3"/>
      <c r="AY50" s="181" t="str">
        <f>'Default EF'!Q48</f>
        <v>k.A.</v>
      </c>
      <c r="AZ50" s="3"/>
      <c r="BA50" s="208"/>
      <c r="BB50" s="3"/>
    </row>
    <row r="51" spans="2:54" ht="12.75" x14ac:dyDescent="0.2">
      <c r="B51" s="8"/>
      <c r="C51" s="8"/>
      <c r="D51" s="3"/>
      <c r="E51" s="3"/>
      <c r="F51" s="3"/>
      <c r="G51" s="180"/>
      <c r="H51" s="3"/>
      <c r="I51" s="180"/>
      <c r="J51" s="3"/>
      <c r="K51" s="180"/>
      <c r="L51" s="3"/>
      <c r="M51" s="180"/>
      <c r="N51" s="3"/>
      <c r="O51" s="180"/>
      <c r="P51" s="3"/>
      <c r="Q51" s="3"/>
      <c r="R51" s="3"/>
      <c r="T51" s="180"/>
      <c r="U51" s="8"/>
      <c r="V51" s="3"/>
      <c r="W51" s="3"/>
      <c r="X51" s="3"/>
      <c r="Y51" s="180"/>
      <c r="Z51" s="3"/>
      <c r="AA51" s="180"/>
      <c r="AB51" s="3"/>
      <c r="AC51" s="180"/>
      <c r="AD51" s="3"/>
      <c r="AE51" s="180"/>
      <c r="AF51" s="3"/>
      <c r="AG51" s="181"/>
      <c r="AH51" s="3"/>
      <c r="AI51" s="3"/>
      <c r="AJ51" s="3"/>
      <c r="AL51" s="180"/>
      <c r="AM51" s="8"/>
      <c r="AN51" s="3"/>
      <c r="AO51" s="3"/>
      <c r="AP51" s="3"/>
      <c r="AQ51" s="180"/>
      <c r="AR51" s="3"/>
      <c r="AS51" s="180"/>
      <c r="AT51" s="3"/>
      <c r="AU51" s="180"/>
      <c r="AV51" s="3"/>
      <c r="AW51" s="180"/>
      <c r="AX51" s="3"/>
      <c r="AY51" s="181"/>
      <c r="AZ51" s="3"/>
      <c r="BA51" s="3"/>
      <c r="BB51" s="3"/>
    </row>
    <row r="52" spans="2:54" ht="12.75" x14ac:dyDescent="0.2">
      <c r="B52" s="8"/>
      <c r="C52" s="8" t="str">
        <f>'Referenz Plattenwerk'!D67</f>
        <v>Oberflächenbearbeitung (vor/nach Erhärtung)</v>
      </c>
      <c r="D52" s="3"/>
      <c r="E52" s="3"/>
      <c r="F52" s="3"/>
      <c r="G52" s="180"/>
      <c r="H52" s="3"/>
      <c r="I52" s="180"/>
      <c r="J52" s="3"/>
      <c r="K52" s="180"/>
      <c r="L52" s="3"/>
      <c r="M52" s="180"/>
      <c r="N52" s="3"/>
      <c r="O52" s="180"/>
      <c r="P52" s="3"/>
      <c r="Q52" s="3"/>
      <c r="R52" s="3"/>
      <c r="T52" s="180"/>
      <c r="U52" s="183" t="str">
        <f>C52</f>
        <v>Oberflächenbearbeitung (vor/nach Erhärtung)</v>
      </c>
      <c r="V52" s="3"/>
      <c r="W52" s="3"/>
      <c r="X52" s="3"/>
      <c r="Y52" s="180"/>
      <c r="Z52" s="3"/>
      <c r="AA52" s="180"/>
      <c r="AB52" s="3"/>
      <c r="AC52" s="180"/>
      <c r="AD52" s="3"/>
      <c r="AE52" s="180"/>
      <c r="AF52" s="3"/>
      <c r="AG52" s="181"/>
      <c r="AH52" s="3"/>
      <c r="AI52" s="3"/>
      <c r="AJ52" s="3"/>
      <c r="AL52" s="180"/>
      <c r="AM52" s="179" t="str">
        <f>U52</f>
        <v>Oberflächenbearbeitung (vor/nach Erhärtung)</v>
      </c>
      <c r="AN52" s="3"/>
      <c r="AO52" s="3"/>
      <c r="AP52" s="3"/>
      <c r="AQ52" s="180"/>
      <c r="AR52" s="3"/>
      <c r="AS52" s="180"/>
      <c r="AT52" s="3"/>
      <c r="AU52" s="180"/>
      <c r="AV52" s="3"/>
      <c r="AW52" s="180"/>
      <c r="AX52" s="3"/>
      <c r="AY52" s="181"/>
      <c r="AZ52" s="3"/>
      <c r="BA52" s="3"/>
      <c r="BB52" s="3"/>
    </row>
    <row r="53" spans="2:54" ht="12.75" x14ac:dyDescent="0.2">
      <c r="B53" s="180"/>
      <c r="C53" s="180"/>
      <c r="D53" s="3" t="str">
        <f>'Referenz Plattenwerk'!D68</f>
        <v>Stahlkugeln (Strahlanlage)</v>
      </c>
      <c r="E53" s="3" t="s">
        <v>48</v>
      </c>
      <c r="F53" s="3"/>
      <c r="G53" s="180"/>
      <c r="H53" s="3"/>
      <c r="I53" s="180"/>
      <c r="J53" s="3"/>
      <c r="K53" s="180"/>
      <c r="L53" s="3"/>
      <c r="M53" s="180"/>
      <c r="N53" s="3"/>
      <c r="O53" s="180">
        <f>'Default EF'!O51</f>
        <v>1.5</v>
      </c>
      <c r="P53" s="3"/>
      <c r="Q53" s="208"/>
      <c r="R53" s="3"/>
      <c r="T53" s="180"/>
      <c r="U53" s="180"/>
      <c r="V53" s="3" t="str">
        <f t="shared" si="0"/>
        <v>Stahlkugeln (Strahlanlage)</v>
      </c>
      <c r="W53" s="3" t="str">
        <f t="shared" ref="W53:W57" si="22">E53</f>
        <v>t</v>
      </c>
      <c r="X53" s="3"/>
      <c r="Y53" s="180"/>
      <c r="Z53" s="3"/>
      <c r="AA53" s="180"/>
      <c r="AB53" s="3"/>
      <c r="AC53" s="180"/>
      <c r="AD53" s="3"/>
      <c r="AE53" s="180"/>
      <c r="AF53" s="3"/>
      <c r="AG53" s="181">
        <f>'Default EF'!P51</f>
        <v>1.5</v>
      </c>
      <c r="AH53" s="3"/>
      <c r="AI53" s="208"/>
      <c r="AJ53" s="3"/>
      <c r="AL53" s="180"/>
      <c r="AM53" s="180"/>
      <c r="AN53" s="3" t="str">
        <f t="shared" ref="AN53:AN55" si="23">V53</f>
        <v>Stahlkugeln (Strahlanlage)</v>
      </c>
      <c r="AO53" s="3" t="str">
        <f t="shared" ref="AO53:AO55" si="24">W53</f>
        <v>t</v>
      </c>
      <c r="AP53" s="3"/>
      <c r="AQ53" s="180"/>
      <c r="AR53" s="3"/>
      <c r="AS53" s="180"/>
      <c r="AT53" s="3"/>
      <c r="AU53" s="180"/>
      <c r="AV53" s="3"/>
      <c r="AW53" s="180"/>
      <c r="AX53" s="3"/>
      <c r="AY53" s="181">
        <f>'Default EF'!Q51</f>
        <v>1.5</v>
      </c>
      <c r="AZ53" s="3"/>
      <c r="BA53" s="208"/>
      <c r="BB53" s="3"/>
    </row>
    <row r="54" spans="2:54" ht="12.75" x14ac:dyDescent="0.2">
      <c r="B54" s="180"/>
      <c r="C54" s="180"/>
      <c r="D54" s="3" t="str">
        <f>'Referenz Plattenwerk'!D69</f>
        <v>Weitere Materialen</v>
      </c>
      <c r="E54" s="3" t="s">
        <v>48</v>
      </c>
      <c r="F54" s="3"/>
      <c r="G54" s="180"/>
      <c r="H54" s="3"/>
      <c r="I54" s="180"/>
      <c r="J54" s="3"/>
      <c r="K54" s="180"/>
      <c r="L54" s="3"/>
      <c r="M54" s="180"/>
      <c r="N54" s="3"/>
      <c r="O54" s="181" t="str">
        <f>'Default EF'!O52</f>
        <v>k.A.</v>
      </c>
      <c r="P54" s="3"/>
      <c r="Q54" s="208"/>
      <c r="R54" s="3"/>
      <c r="T54" s="180"/>
      <c r="U54" s="180"/>
      <c r="V54" s="3" t="str">
        <f t="shared" si="0"/>
        <v>Weitere Materialen</v>
      </c>
      <c r="W54" s="3" t="str">
        <f t="shared" si="22"/>
        <v>t</v>
      </c>
      <c r="X54" s="3"/>
      <c r="Y54" s="180"/>
      <c r="Z54" s="3"/>
      <c r="AA54" s="180"/>
      <c r="AB54" s="3"/>
      <c r="AC54" s="180"/>
      <c r="AD54" s="3"/>
      <c r="AE54" s="180"/>
      <c r="AF54" s="3"/>
      <c r="AG54" s="181" t="str">
        <f>'Default EF'!P52</f>
        <v>k.A.</v>
      </c>
      <c r="AH54" s="3"/>
      <c r="AI54" s="208"/>
      <c r="AJ54" s="3"/>
      <c r="AL54" s="180"/>
      <c r="AM54" s="180"/>
      <c r="AN54" s="3" t="str">
        <f t="shared" si="23"/>
        <v>Weitere Materialen</v>
      </c>
      <c r="AO54" s="3" t="str">
        <f t="shared" si="24"/>
        <v>t</v>
      </c>
      <c r="AP54" s="3"/>
      <c r="AQ54" s="180"/>
      <c r="AR54" s="3"/>
      <c r="AS54" s="180"/>
      <c r="AT54" s="3"/>
      <c r="AU54" s="180"/>
      <c r="AV54" s="3"/>
      <c r="AW54" s="180"/>
      <c r="AX54" s="3"/>
      <c r="AY54" s="181" t="str">
        <f>'Default EF'!Q52</f>
        <v>k.A.</v>
      </c>
      <c r="AZ54" s="3"/>
      <c r="BA54" s="208"/>
      <c r="BB54" s="3"/>
    </row>
    <row r="55" spans="2:54" ht="12.75" x14ac:dyDescent="0.2">
      <c r="B55" s="180"/>
      <c r="C55" s="180"/>
      <c r="D55" s="3" t="str">
        <f>'Referenz Plattenwerk'!D70</f>
        <v>Oberflächenbearbeitungsarten</v>
      </c>
      <c r="E55" s="3" t="s">
        <v>48</v>
      </c>
      <c r="F55" s="3"/>
      <c r="G55" s="180"/>
      <c r="H55" s="3"/>
      <c r="I55" s="180"/>
      <c r="J55" s="3"/>
      <c r="K55" s="180"/>
      <c r="L55" s="3"/>
      <c r="M55" s="180"/>
      <c r="N55" s="3"/>
      <c r="O55" s="181" t="str">
        <f>'Default EF'!O53</f>
        <v>k.A.</v>
      </c>
      <c r="P55" s="3"/>
      <c r="Q55" s="208"/>
      <c r="R55" s="3"/>
      <c r="T55" s="180"/>
      <c r="U55" s="180"/>
      <c r="V55" s="3" t="str">
        <f t="shared" si="0"/>
        <v>Oberflächenbearbeitungsarten</v>
      </c>
      <c r="W55" s="3" t="str">
        <f t="shared" si="22"/>
        <v>t</v>
      </c>
      <c r="X55" s="3"/>
      <c r="Y55" s="180"/>
      <c r="Z55" s="3"/>
      <c r="AA55" s="180"/>
      <c r="AB55" s="3"/>
      <c r="AC55" s="180"/>
      <c r="AD55" s="3"/>
      <c r="AE55" s="180"/>
      <c r="AF55" s="3"/>
      <c r="AG55" s="181" t="str">
        <f>'Default EF'!P53</f>
        <v>k.A.</v>
      </c>
      <c r="AH55" s="3"/>
      <c r="AI55" s="208"/>
      <c r="AJ55" s="3"/>
      <c r="AL55" s="180"/>
      <c r="AM55" s="180"/>
      <c r="AN55" s="3" t="str">
        <f t="shared" si="23"/>
        <v>Oberflächenbearbeitungsarten</v>
      </c>
      <c r="AO55" s="3" t="str">
        <f t="shared" si="24"/>
        <v>t</v>
      </c>
      <c r="AP55" s="3"/>
      <c r="AQ55" s="180"/>
      <c r="AR55" s="3"/>
      <c r="AS55" s="180"/>
      <c r="AT55" s="3"/>
      <c r="AU55" s="180"/>
      <c r="AV55" s="3"/>
      <c r="AW55" s="180"/>
      <c r="AX55" s="3"/>
      <c r="AY55" s="181" t="str">
        <f>'Default EF'!Q53</f>
        <v>k.A.</v>
      </c>
      <c r="AZ55" s="3"/>
      <c r="BA55" s="208"/>
      <c r="BB55" s="3"/>
    </row>
    <row r="56" spans="2:54" ht="12.75" x14ac:dyDescent="0.2">
      <c r="B56" s="180"/>
      <c r="C56" s="180"/>
      <c r="D56" s="3"/>
      <c r="E56" s="3"/>
      <c r="F56" s="3"/>
      <c r="G56" s="180"/>
      <c r="H56" s="3"/>
      <c r="I56" s="180"/>
      <c r="J56" s="3"/>
      <c r="K56" s="180"/>
      <c r="L56" s="3"/>
      <c r="M56" s="180"/>
      <c r="N56" s="3"/>
      <c r="O56" s="180"/>
      <c r="P56" s="180"/>
      <c r="Q56" s="180"/>
      <c r="R56" s="180"/>
      <c r="T56" s="180"/>
      <c r="U56" s="180"/>
      <c r="V56" s="3"/>
      <c r="W56" s="3"/>
      <c r="X56" s="3"/>
      <c r="Y56" s="180"/>
      <c r="Z56" s="3"/>
      <c r="AA56" s="180"/>
      <c r="AB56" s="3"/>
      <c r="AC56" s="180"/>
      <c r="AD56" s="3"/>
      <c r="AE56" s="180"/>
      <c r="AF56" s="3"/>
      <c r="AG56" s="181"/>
      <c r="AH56" s="3"/>
      <c r="AI56" s="180"/>
      <c r="AJ56" s="3"/>
      <c r="AL56" s="180"/>
      <c r="AM56" s="180"/>
      <c r="AN56" s="3"/>
      <c r="AO56" s="3"/>
      <c r="AP56" s="3"/>
      <c r="AQ56" s="180"/>
      <c r="AR56" s="3"/>
      <c r="AS56" s="180"/>
      <c r="AT56" s="3"/>
      <c r="AU56" s="180"/>
      <c r="AV56" s="3"/>
      <c r="AW56" s="180"/>
      <c r="AX56" s="3"/>
      <c r="AY56" s="181"/>
      <c r="AZ56" s="3"/>
      <c r="BA56" s="180"/>
      <c r="BB56" s="3"/>
    </row>
    <row r="57" spans="2:54" ht="12.75" x14ac:dyDescent="0.2">
      <c r="B57" s="180"/>
      <c r="C57" s="180"/>
      <c r="D57" s="3" t="str">
        <f>'Referenz Plattenwerk'!D72</f>
        <v>Verpackungsmaterial</v>
      </c>
      <c r="E57" s="3" t="s">
        <v>48</v>
      </c>
      <c r="F57" s="3"/>
      <c r="G57" s="180"/>
      <c r="H57" s="3"/>
      <c r="I57" s="180"/>
      <c r="J57" s="3"/>
      <c r="K57" s="180"/>
      <c r="L57" s="3"/>
      <c r="M57" s="180"/>
      <c r="N57" s="3"/>
      <c r="O57" s="180">
        <f>'Default EF'!O55</f>
        <v>0.80600000000000005</v>
      </c>
      <c r="P57" s="3"/>
      <c r="Q57" s="208"/>
      <c r="R57" s="3"/>
      <c r="T57" s="180"/>
      <c r="U57" s="180"/>
      <c r="V57" s="3" t="str">
        <f t="shared" si="0"/>
        <v>Verpackungsmaterial</v>
      </c>
      <c r="W57" s="3" t="str">
        <f t="shared" si="22"/>
        <v>t</v>
      </c>
      <c r="X57" s="3"/>
      <c r="Y57" s="180"/>
      <c r="Z57" s="3"/>
      <c r="AA57" s="180"/>
      <c r="AB57" s="3"/>
      <c r="AC57" s="180"/>
      <c r="AD57" s="3"/>
      <c r="AE57" s="180"/>
      <c r="AF57" s="3"/>
      <c r="AG57" s="181">
        <f>'Default EF'!P55</f>
        <v>0.80600000000000005</v>
      </c>
      <c r="AH57" s="3"/>
      <c r="AI57" s="208"/>
      <c r="AJ57" s="3"/>
      <c r="AL57" s="180"/>
      <c r="AM57" s="180"/>
      <c r="AN57" s="3" t="str">
        <f>V57</f>
        <v>Verpackungsmaterial</v>
      </c>
      <c r="AO57" s="3" t="str">
        <f>W57</f>
        <v>t</v>
      </c>
      <c r="AP57" s="3"/>
      <c r="AQ57" s="180"/>
      <c r="AR57" s="3"/>
      <c r="AS57" s="180"/>
      <c r="AT57" s="3"/>
      <c r="AU57" s="180"/>
      <c r="AV57" s="3"/>
      <c r="AW57" s="180"/>
      <c r="AX57" s="3"/>
      <c r="AY57" s="181">
        <f>'Default EF'!Q55</f>
        <v>0.80600000000000005</v>
      </c>
      <c r="AZ57" s="3"/>
      <c r="BA57" s="208"/>
      <c r="BB57" s="3"/>
    </row>
    <row r="58" spans="2:54" ht="12.75" x14ac:dyDescent="0.2">
      <c r="B58" s="180"/>
      <c r="C58" s="180"/>
      <c r="D58" s="180"/>
      <c r="E58" s="180"/>
      <c r="F58" s="180"/>
      <c r="G58" s="180"/>
      <c r="H58" s="180"/>
      <c r="I58" s="180"/>
      <c r="J58" s="180"/>
      <c r="K58" s="180"/>
      <c r="L58" s="180"/>
      <c r="M58" s="180"/>
      <c r="N58" s="180"/>
      <c r="O58" s="180"/>
      <c r="P58" s="180"/>
      <c r="Q58" s="180"/>
      <c r="R58" s="3"/>
      <c r="T58" s="180"/>
      <c r="U58" s="180"/>
      <c r="V58" s="180"/>
      <c r="W58" s="180"/>
      <c r="X58" s="180"/>
      <c r="Y58" s="180"/>
      <c r="Z58" s="180"/>
      <c r="AA58" s="180"/>
      <c r="AB58" s="180"/>
      <c r="AC58" s="180"/>
      <c r="AD58" s="180"/>
      <c r="AE58" s="180"/>
      <c r="AF58" s="180"/>
      <c r="AG58" s="181"/>
      <c r="AH58" s="180"/>
      <c r="AI58" s="180"/>
      <c r="AJ58" s="3"/>
      <c r="AL58" s="180"/>
      <c r="AM58" s="180"/>
      <c r="AN58" s="180"/>
      <c r="AO58" s="180"/>
      <c r="AP58" s="180"/>
      <c r="AQ58" s="180"/>
      <c r="AR58" s="180"/>
      <c r="AS58" s="180"/>
      <c r="AT58" s="180"/>
      <c r="AU58" s="180"/>
      <c r="AV58" s="180"/>
      <c r="AW58" s="180"/>
      <c r="AX58" s="180"/>
      <c r="AY58" s="181"/>
      <c r="AZ58" s="180"/>
      <c r="BA58" s="180"/>
      <c r="BB58" s="180"/>
    </row>
    <row r="59" spans="2:54" x14ac:dyDescent="0.2">
      <c r="B59" s="180"/>
      <c r="C59" s="180"/>
      <c r="D59" s="180"/>
      <c r="E59" s="180"/>
      <c r="F59" s="180"/>
      <c r="G59" s="180"/>
      <c r="H59" s="180"/>
      <c r="I59" s="180"/>
      <c r="J59" s="180"/>
      <c r="K59" s="180"/>
      <c r="L59" s="180"/>
      <c r="M59" s="180"/>
      <c r="N59" s="180"/>
      <c r="O59" s="180"/>
      <c r="P59" s="180"/>
      <c r="Q59" s="180"/>
      <c r="R59" s="3"/>
      <c r="T59" s="7"/>
      <c r="U59" s="183" t="s">
        <v>102</v>
      </c>
      <c r="V59" s="7"/>
      <c r="W59" s="7"/>
      <c r="X59" s="7"/>
      <c r="Y59" s="7"/>
      <c r="Z59" s="7"/>
      <c r="AA59" s="7"/>
      <c r="AB59" s="7"/>
      <c r="AC59" s="7"/>
      <c r="AD59" s="7"/>
      <c r="AE59" s="7"/>
      <c r="AF59" s="7"/>
      <c r="AG59" s="192"/>
      <c r="AH59" s="7"/>
      <c r="AI59" s="7"/>
      <c r="AJ59" s="7"/>
      <c r="AL59" s="7"/>
      <c r="AM59" s="179" t="str">
        <f>U59</f>
        <v>Grünstrom</v>
      </c>
      <c r="AN59" s="7"/>
      <c r="AO59" s="7"/>
      <c r="AP59" s="7"/>
      <c r="AQ59" s="7"/>
      <c r="AR59" s="7"/>
      <c r="AS59" s="7"/>
      <c r="AT59" s="7"/>
      <c r="AU59" s="7"/>
      <c r="AV59" s="7"/>
      <c r="AW59" s="7"/>
      <c r="AX59" s="7"/>
      <c r="AY59" s="192"/>
      <c r="AZ59" s="7"/>
      <c r="BA59" s="7"/>
      <c r="BB59" s="7"/>
    </row>
    <row r="60" spans="2:54" x14ac:dyDescent="0.2">
      <c r="B60" s="193"/>
      <c r="C60" s="193"/>
      <c r="D60" s="193"/>
      <c r="E60" s="193"/>
      <c r="F60" s="193"/>
      <c r="G60" s="193"/>
      <c r="H60" s="193"/>
      <c r="I60" s="193"/>
      <c r="J60" s="193"/>
      <c r="K60" s="193"/>
      <c r="L60" s="193"/>
      <c r="M60" s="193"/>
      <c r="N60" s="193"/>
      <c r="O60" s="193"/>
      <c r="P60" s="193"/>
      <c r="Q60" s="193"/>
      <c r="R60" s="34"/>
      <c r="T60" s="7"/>
      <c r="U60" s="7"/>
      <c r="V60" s="3" t="s">
        <v>241</v>
      </c>
      <c r="W60" s="7"/>
      <c r="X60" s="7"/>
      <c r="Y60" s="7"/>
      <c r="Z60" s="7"/>
      <c r="AA60" s="7"/>
      <c r="AB60" s="7"/>
      <c r="AC60" s="180">
        <f>'Default EF'!L58</f>
        <v>0</v>
      </c>
      <c r="AD60" s="3"/>
      <c r="AE60" s="208"/>
      <c r="AF60" s="3"/>
      <c r="AG60" s="181">
        <f>'Default EF'!P58</f>
        <v>4.0790000000000001E-5</v>
      </c>
      <c r="AH60" s="3"/>
      <c r="AI60" s="208"/>
      <c r="AJ60" s="7"/>
      <c r="AL60" s="7"/>
      <c r="AM60" s="7"/>
      <c r="AN60" s="3" t="str">
        <f t="shared" ref="AN60:AN63" si="25">V60</f>
        <v>Grünstrommix</v>
      </c>
      <c r="AO60" s="7"/>
      <c r="AP60" s="7"/>
      <c r="AQ60" s="7"/>
      <c r="AR60" s="7"/>
      <c r="AS60" s="7"/>
      <c r="AT60" s="7"/>
      <c r="AU60" s="180">
        <f>'Default EF'!M58</f>
        <v>0</v>
      </c>
      <c r="AV60" s="3"/>
      <c r="AW60" s="208"/>
      <c r="AX60" s="3"/>
      <c r="AY60" s="181">
        <f>'Default EF'!Q58</f>
        <v>4.0790000000000001E-5</v>
      </c>
      <c r="AZ60" s="3"/>
      <c r="BA60" s="208"/>
      <c r="BB60" s="7"/>
    </row>
    <row r="61" spans="2:54" x14ac:dyDescent="0.2">
      <c r="B61" s="7"/>
      <c r="C61" s="7"/>
      <c r="D61" s="3" t="s">
        <v>448</v>
      </c>
      <c r="E61" s="7"/>
      <c r="F61" s="7"/>
      <c r="G61" s="7"/>
      <c r="H61" s="7"/>
      <c r="I61" s="7"/>
      <c r="J61" s="7"/>
      <c r="K61" s="7"/>
      <c r="L61" s="7"/>
      <c r="M61" s="7"/>
      <c r="N61" s="7"/>
      <c r="O61" s="7"/>
      <c r="P61" s="7"/>
      <c r="Q61" s="7"/>
      <c r="R61" s="7"/>
      <c r="T61" s="7"/>
      <c r="U61" s="7"/>
      <c r="V61" s="3" t="s">
        <v>108</v>
      </c>
      <c r="W61" s="7"/>
      <c r="X61" s="7"/>
      <c r="Y61" s="7"/>
      <c r="Z61" s="7"/>
      <c r="AA61" s="7"/>
      <c r="AB61" s="7"/>
      <c r="AC61" s="180">
        <f>'Default EF'!L59</f>
        <v>0</v>
      </c>
      <c r="AD61" s="3"/>
      <c r="AE61" s="208"/>
      <c r="AF61" s="3"/>
      <c r="AG61" s="181">
        <f>'Default EF'!P59</f>
        <v>5.5713999999999995E-5</v>
      </c>
      <c r="AH61" s="3"/>
      <c r="AI61" s="208"/>
      <c r="AJ61" s="7"/>
      <c r="AL61" s="7"/>
      <c r="AM61" s="7"/>
      <c r="AN61" s="3" t="str">
        <f t="shared" si="25"/>
        <v>PV</v>
      </c>
      <c r="AO61" s="7"/>
      <c r="AP61" s="7"/>
      <c r="AQ61" s="7"/>
      <c r="AR61" s="7"/>
      <c r="AS61" s="7"/>
      <c r="AT61" s="7"/>
      <c r="AU61" s="180">
        <f>'Default EF'!M59</f>
        <v>0</v>
      </c>
      <c r="AV61" s="3"/>
      <c r="AW61" s="208"/>
      <c r="AX61" s="3"/>
      <c r="AY61" s="181">
        <f>'Default EF'!Q59</f>
        <v>5.5713999999999995E-5</v>
      </c>
      <c r="AZ61" s="3"/>
      <c r="BA61" s="208"/>
      <c r="BB61" s="7"/>
    </row>
    <row r="62" spans="2:54" x14ac:dyDescent="0.2">
      <c r="B62" s="7"/>
      <c r="C62" s="7"/>
      <c r="D62" s="3" t="s">
        <v>417</v>
      </c>
      <c r="E62" s="7"/>
      <c r="F62" s="7"/>
      <c r="G62" s="7"/>
      <c r="H62" s="7"/>
      <c r="I62" s="7"/>
      <c r="J62" s="7"/>
      <c r="K62" s="7"/>
      <c r="L62" s="7"/>
      <c r="M62" s="7"/>
      <c r="N62" s="7"/>
      <c r="O62" s="7"/>
      <c r="P62" s="7"/>
      <c r="Q62" s="7"/>
      <c r="R62" s="7"/>
      <c r="T62" s="7"/>
      <c r="U62" s="7"/>
      <c r="V62" s="3" t="s">
        <v>109</v>
      </c>
      <c r="W62" s="7"/>
      <c r="X62" s="7"/>
      <c r="Y62" s="7"/>
      <c r="Z62" s="7"/>
      <c r="AA62" s="7"/>
      <c r="AB62" s="7"/>
      <c r="AC62" s="180">
        <f>'Default EF'!L60</f>
        <v>0</v>
      </c>
      <c r="AD62" s="3"/>
      <c r="AE62" s="208"/>
      <c r="AF62" s="3"/>
      <c r="AG62" s="181">
        <f>'Default EF'!P60</f>
        <v>1.5335600000000003E-5</v>
      </c>
      <c r="AH62" s="3"/>
      <c r="AI62" s="208"/>
      <c r="AJ62" s="7"/>
      <c r="AL62" s="7"/>
      <c r="AM62" s="7"/>
      <c r="AN62" s="3" t="str">
        <f t="shared" si="25"/>
        <v>Wind</v>
      </c>
      <c r="AO62" s="7"/>
      <c r="AP62" s="7"/>
      <c r="AQ62" s="7"/>
      <c r="AR62" s="7"/>
      <c r="AS62" s="7"/>
      <c r="AT62" s="7"/>
      <c r="AU62" s="180">
        <f>'Default EF'!M60</f>
        <v>0</v>
      </c>
      <c r="AV62" s="3"/>
      <c r="AW62" s="208"/>
      <c r="AX62" s="3"/>
      <c r="AY62" s="181">
        <f>'Default EF'!Q60</f>
        <v>1.5335600000000003E-5</v>
      </c>
      <c r="AZ62" s="3"/>
      <c r="BA62" s="208"/>
      <c r="BB62" s="7"/>
    </row>
    <row r="63" spans="2:54" x14ac:dyDescent="0.2">
      <c r="B63" s="7"/>
      <c r="C63" s="7"/>
      <c r="D63" s="7"/>
      <c r="E63" s="7"/>
      <c r="F63" s="7"/>
      <c r="G63" s="7"/>
      <c r="H63" s="7"/>
      <c r="I63" s="7"/>
      <c r="J63" s="7"/>
      <c r="K63" s="7"/>
      <c r="L63" s="7"/>
      <c r="M63" s="7"/>
      <c r="N63" s="7"/>
      <c r="O63" s="7"/>
      <c r="P63" s="7"/>
      <c r="Q63" s="7"/>
      <c r="R63" s="7"/>
      <c r="T63" s="7"/>
      <c r="U63" s="7"/>
      <c r="V63" s="3" t="s">
        <v>110</v>
      </c>
      <c r="W63" s="7"/>
      <c r="X63" s="7"/>
      <c r="Y63" s="7"/>
      <c r="Z63" s="7"/>
      <c r="AA63" s="7"/>
      <c r="AB63" s="7"/>
      <c r="AC63" s="180">
        <f>'Default EF'!L61</f>
        <v>0</v>
      </c>
      <c r="AD63" s="3"/>
      <c r="AE63" s="208"/>
      <c r="AF63" s="3"/>
      <c r="AG63" s="181">
        <f>'Default EF'!P61</f>
        <v>2.65E-6</v>
      </c>
      <c r="AH63" s="3"/>
      <c r="AI63" s="208"/>
      <c r="AJ63" s="7"/>
      <c r="AL63" s="7"/>
      <c r="AM63" s="7"/>
      <c r="AN63" s="3" t="str">
        <f t="shared" si="25"/>
        <v>Wasser</v>
      </c>
      <c r="AO63" s="7"/>
      <c r="AP63" s="7"/>
      <c r="AQ63" s="7"/>
      <c r="AR63" s="7"/>
      <c r="AS63" s="7"/>
      <c r="AT63" s="7"/>
      <c r="AU63" s="180">
        <f>'Default EF'!M61</f>
        <v>0</v>
      </c>
      <c r="AV63" s="3"/>
      <c r="AW63" s="208"/>
      <c r="AX63" s="3"/>
      <c r="AY63" s="181">
        <f>'Default EF'!Q61</f>
        <v>2.65E-6</v>
      </c>
      <c r="AZ63" s="3"/>
      <c r="BA63" s="208"/>
      <c r="BB63" s="7"/>
    </row>
    <row r="64" spans="2:54" x14ac:dyDescent="0.2">
      <c r="T64" s="7"/>
      <c r="U64" s="7"/>
      <c r="V64" s="7"/>
      <c r="W64" s="7"/>
      <c r="X64" s="7"/>
      <c r="Y64" s="7"/>
      <c r="Z64" s="7"/>
      <c r="AA64" s="7"/>
      <c r="AB64" s="7"/>
      <c r="AC64" s="7"/>
      <c r="AD64" s="7"/>
      <c r="AE64" s="7"/>
      <c r="AF64" s="7"/>
      <c r="AG64" s="7"/>
      <c r="AH64" s="7"/>
      <c r="AI64" s="7"/>
      <c r="AJ64" s="7"/>
      <c r="AL64" s="7"/>
      <c r="AM64" s="7"/>
      <c r="AN64" s="7"/>
      <c r="AO64" s="7"/>
      <c r="AP64" s="7"/>
      <c r="AQ64" s="7"/>
      <c r="AR64" s="7"/>
      <c r="AS64" s="7"/>
      <c r="AT64" s="7"/>
      <c r="AU64" s="7"/>
      <c r="AV64" s="7"/>
      <c r="AW64" s="7"/>
      <c r="AX64" s="7"/>
      <c r="AY64" s="7"/>
      <c r="AZ64" s="7"/>
      <c r="BA64" s="7"/>
      <c r="BB64" s="7"/>
    </row>
    <row r="65" spans="20:54" x14ac:dyDescent="0.2">
      <c r="T65" s="7"/>
      <c r="U65" s="7"/>
      <c r="V65" s="7"/>
      <c r="W65" s="7"/>
      <c r="X65" s="7"/>
      <c r="Y65" s="7"/>
      <c r="Z65" s="7"/>
      <c r="AA65" s="7"/>
      <c r="AB65" s="7"/>
      <c r="AC65" s="7"/>
      <c r="AD65" s="7"/>
      <c r="AE65" s="7"/>
      <c r="AF65" s="7"/>
      <c r="AG65" s="7"/>
      <c r="AH65" s="7"/>
      <c r="AI65" s="7"/>
      <c r="AJ65" s="7"/>
      <c r="AL65" s="7"/>
      <c r="AM65" s="7"/>
      <c r="AN65" s="7"/>
      <c r="AO65" s="7"/>
      <c r="AP65" s="7"/>
      <c r="AQ65" s="7"/>
      <c r="AR65" s="7"/>
      <c r="AS65" s="7"/>
      <c r="AT65" s="7"/>
      <c r="AU65" s="7"/>
      <c r="AV65" s="7"/>
      <c r="AW65" s="7"/>
      <c r="AX65" s="7"/>
      <c r="AY65" s="7"/>
      <c r="AZ65" s="7"/>
      <c r="BA65" s="7"/>
      <c r="BB65" s="7"/>
    </row>
    <row r="99" spans="2:18" ht="15" x14ac:dyDescent="0.25">
      <c r="B99" s="194"/>
      <c r="C99" s="194"/>
      <c r="D99" s="195"/>
      <c r="E99" s="195"/>
      <c r="F99" s="196"/>
      <c r="H99" s="196"/>
      <c r="I99" s="194"/>
      <c r="J99" s="196"/>
      <c r="K99" s="196"/>
      <c r="L99" s="196"/>
      <c r="M99" s="196"/>
      <c r="N99" s="196"/>
      <c r="O99" s="194"/>
      <c r="P99" s="196"/>
      <c r="Q99" s="194"/>
      <c r="R99" s="196"/>
    </row>
    <row r="100" spans="2:18" x14ac:dyDescent="0.2">
      <c r="B100" s="197"/>
      <c r="C100" s="197"/>
      <c r="E100" s="198"/>
      <c r="F100" s="197"/>
      <c r="G100" s="197"/>
      <c r="H100" s="197"/>
      <c r="I100" s="197"/>
      <c r="J100" s="197"/>
      <c r="K100" s="197"/>
      <c r="L100" s="197"/>
      <c r="M100" s="197"/>
      <c r="N100" s="197"/>
      <c r="O100" s="197"/>
      <c r="P100" s="197"/>
      <c r="Q100" s="197"/>
      <c r="R100" s="197"/>
    </row>
    <row r="139" spans="2:54" x14ac:dyDescent="0.2">
      <c r="B139" s="199"/>
      <c r="C139" s="199"/>
      <c r="F139" s="199"/>
      <c r="G139" s="199"/>
      <c r="H139" s="199"/>
      <c r="I139" s="199"/>
      <c r="J139" s="199"/>
      <c r="K139" s="199"/>
      <c r="L139" s="199"/>
      <c r="M139" s="199"/>
      <c r="N139" s="199"/>
      <c r="O139" s="199"/>
      <c r="P139" s="199"/>
      <c r="Q139" s="199"/>
      <c r="R139" s="199"/>
      <c r="T139" s="199"/>
      <c r="U139" s="199"/>
      <c r="X139" s="199"/>
      <c r="Y139" s="199"/>
      <c r="Z139" s="199"/>
      <c r="AA139" s="199"/>
      <c r="AB139" s="199"/>
      <c r="AC139" s="199"/>
      <c r="AD139" s="199"/>
      <c r="AE139" s="199"/>
      <c r="AF139" s="199"/>
      <c r="AG139" s="199"/>
      <c r="AH139" s="199"/>
      <c r="AI139" s="199"/>
      <c r="AJ139" s="199"/>
      <c r="AL139" s="199"/>
      <c r="AM139" s="199"/>
      <c r="AP139" s="199"/>
      <c r="AQ139" s="199"/>
      <c r="AR139" s="199"/>
      <c r="AS139" s="199"/>
      <c r="AT139" s="199"/>
      <c r="AU139" s="199"/>
      <c r="AV139" s="199"/>
      <c r="AW139" s="199"/>
      <c r="AX139" s="199"/>
      <c r="AY139" s="199"/>
      <c r="AZ139" s="199"/>
      <c r="BA139" s="199"/>
      <c r="BB139" s="199"/>
    </row>
    <row r="140" spans="2:54" x14ac:dyDescent="0.2">
      <c r="B140" s="199"/>
      <c r="C140" s="199"/>
      <c r="F140" s="200"/>
      <c r="G140" s="199"/>
      <c r="H140" s="200"/>
      <c r="I140" s="199"/>
      <c r="J140" s="200"/>
      <c r="K140" s="200"/>
      <c r="L140" s="200"/>
      <c r="M140" s="200"/>
      <c r="N140" s="200"/>
      <c r="O140" s="201"/>
      <c r="P140" s="200"/>
      <c r="Q140" s="201"/>
      <c r="R140" s="200"/>
      <c r="T140" s="199"/>
      <c r="U140" s="199"/>
      <c r="X140" s="200"/>
      <c r="Y140" s="199"/>
      <c r="Z140" s="200"/>
      <c r="AA140" s="199"/>
      <c r="AB140" s="200"/>
      <c r="AC140" s="200"/>
      <c r="AD140" s="200"/>
      <c r="AE140" s="200"/>
      <c r="AF140" s="200"/>
      <c r="AG140" s="201"/>
      <c r="AH140" s="200"/>
      <c r="AI140" s="201"/>
      <c r="AJ140" s="200"/>
      <c r="AL140" s="199"/>
      <c r="AM140" s="199"/>
      <c r="AP140" s="200"/>
      <c r="AQ140" s="199"/>
      <c r="AR140" s="200"/>
      <c r="AS140" s="199"/>
      <c r="AT140" s="200"/>
      <c r="AU140" s="200"/>
      <c r="AV140" s="200"/>
      <c r="AW140" s="200"/>
      <c r="AX140" s="200"/>
      <c r="AY140" s="201"/>
      <c r="AZ140" s="200"/>
      <c r="BA140" s="201"/>
      <c r="BB140" s="200"/>
    </row>
    <row r="141" spans="2:54" x14ac:dyDescent="0.2">
      <c r="B141" s="202"/>
      <c r="C141" s="202"/>
      <c r="D141" s="203"/>
      <c r="E141" s="203"/>
      <c r="F141" s="204"/>
      <c r="G141" s="202"/>
      <c r="H141" s="204"/>
      <c r="I141" s="202"/>
      <c r="J141" s="204"/>
      <c r="K141" s="204"/>
      <c r="L141" s="204"/>
      <c r="M141" s="204"/>
      <c r="N141" s="204"/>
      <c r="O141" s="202"/>
      <c r="P141" s="204"/>
      <c r="Q141" s="202"/>
      <c r="R141" s="204"/>
      <c r="T141" s="202"/>
      <c r="U141" s="202"/>
      <c r="V141" s="203"/>
      <c r="W141" s="203"/>
      <c r="X141" s="204"/>
      <c r="Y141" s="202"/>
      <c r="Z141" s="204"/>
      <c r="AA141" s="202"/>
      <c r="AB141" s="204"/>
      <c r="AC141" s="204"/>
      <c r="AD141" s="204"/>
      <c r="AE141" s="204"/>
      <c r="AF141" s="204"/>
      <c r="AG141" s="202"/>
      <c r="AH141" s="204"/>
      <c r="AI141" s="202"/>
      <c r="AJ141" s="204"/>
      <c r="AL141" s="202"/>
      <c r="AM141" s="202"/>
      <c r="AN141" s="203"/>
      <c r="AO141" s="203"/>
      <c r="AP141" s="204"/>
      <c r="AQ141" s="202"/>
      <c r="AR141" s="204"/>
      <c r="AS141" s="202"/>
      <c r="AT141" s="204"/>
      <c r="AU141" s="204"/>
      <c r="AV141" s="204"/>
      <c r="AW141" s="204"/>
      <c r="AX141" s="204"/>
      <c r="AY141" s="202"/>
      <c r="AZ141" s="204"/>
      <c r="BA141" s="202"/>
      <c r="BB141" s="204"/>
    </row>
    <row r="142" spans="2:54" x14ac:dyDescent="0.2">
      <c r="B142" s="202"/>
      <c r="C142" s="202"/>
      <c r="D142" s="203"/>
      <c r="E142" s="203"/>
      <c r="F142" s="204"/>
      <c r="G142" s="202"/>
      <c r="H142" s="204"/>
      <c r="I142" s="202"/>
      <c r="J142" s="204"/>
      <c r="K142" s="204"/>
      <c r="L142" s="204"/>
      <c r="M142" s="204"/>
      <c r="N142" s="204"/>
      <c r="O142" s="202"/>
      <c r="P142" s="204"/>
      <c r="Q142" s="202"/>
      <c r="R142" s="204"/>
      <c r="T142" s="202"/>
      <c r="U142" s="202"/>
      <c r="V142" s="203"/>
      <c r="W142" s="203"/>
      <c r="X142" s="204"/>
      <c r="Y142" s="202"/>
      <c r="Z142" s="204"/>
      <c r="AA142" s="202"/>
      <c r="AB142" s="204"/>
      <c r="AC142" s="204"/>
      <c r="AD142" s="204"/>
      <c r="AE142" s="204"/>
      <c r="AF142" s="204"/>
      <c r="AG142" s="202"/>
      <c r="AH142" s="204"/>
      <c r="AI142" s="202"/>
      <c r="AJ142" s="204"/>
      <c r="AL142" s="202"/>
      <c r="AM142" s="202"/>
      <c r="AN142" s="203"/>
      <c r="AO142" s="203"/>
      <c r="AP142" s="204"/>
      <c r="AQ142" s="202"/>
      <c r="AR142" s="204"/>
      <c r="AS142" s="202"/>
      <c r="AT142" s="204"/>
      <c r="AU142" s="204"/>
      <c r="AV142" s="204"/>
      <c r="AW142" s="204"/>
      <c r="AX142" s="204"/>
      <c r="AY142" s="202"/>
      <c r="AZ142" s="204"/>
      <c r="BA142" s="202"/>
      <c r="BB142" s="204"/>
    </row>
    <row r="143" spans="2:54" x14ac:dyDescent="0.2">
      <c r="B143" s="199"/>
      <c r="C143" s="199"/>
      <c r="F143" s="200"/>
      <c r="G143" s="199"/>
      <c r="H143" s="200"/>
      <c r="I143" s="199"/>
      <c r="J143" s="200"/>
      <c r="K143" s="200"/>
      <c r="L143" s="200"/>
      <c r="M143" s="200"/>
      <c r="N143" s="200"/>
      <c r="O143" s="201"/>
      <c r="P143" s="200"/>
      <c r="Q143" s="201"/>
      <c r="R143" s="200"/>
      <c r="T143" s="199"/>
      <c r="U143" s="199"/>
      <c r="X143" s="200"/>
      <c r="Y143" s="199"/>
      <c r="Z143" s="200"/>
      <c r="AA143" s="199"/>
      <c r="AB143" s="200"/>
      <c r="AC143" s="200"/>
      <c r="AD143" s="200"/>
      <c r="AE143" s="200"/>
      <c r="AF143" s="200"/>
      <c r="AG143" s="201"/>
      <c r="AH143" s="200"/>
      <c r="AI143" s="201"/>
      <c r="AJ143" s="200"/>
      <c r="AL143" s="199"/>
      <c r="AM143" s="199"/>
      <c r="AP143" s="200"/>
      <c r="AQ143" s="199"/>
      <c r="AR143" s="200"/>
      <c r="AS143" s="199"/>
      <c r="AT143" s="200"/>
      <c r="AU143" s="200"/>
      <c r="AV143" s="200"/>
      <c r="AW143" s="200"/>
      <c r="AX143" s="200"/>
      <c r="AY143" s="201"/>
      <c r="AZ143" s="200"/>
      <c r="BA143" s="201"/>
      <c r="BB143" s="200"/>
    </row>
    <row r="144" spans="2:54" x14ac:dyDescent="0.2">
      <c r="B144" s="199"/>
      <c r="C144" s="199"/>
      <c r="F144" s="199"/>
      <c r="G144" s="199"/>
      <c r="H144" s="199"/>
      <c r="I144" s="199"/>
      <c r="J144" s="199"/>
      <c r="K144" s="199"/>
      <c r="L144" s="199"/>
      <c r="M144" s="199"/>
      <c r="N144" s="199"/>
      <c r="O144" s="199"/>
      <c r="P144" s="199"/>
      <c r="Q144" s="199"/>
      <c r="R144" s="199"/>
      <c r="T144" s="199"/>
      <c r="U144" s="199"/>
      <c r="X144" s="199"/>
      <c r="Y144" s="199"/>
      <c r="Z144" s="199"/>
      <c r="AA144" s="199"/>
      <c r="AB144" s="199"/>
      <c r="AC144" s="199"/>
      <c r="AD144" s="199"/>
      <c r="AE144" s="199"/>
      <c r="AF144" s="199"/>
      <c r="AG144" s="199"/>
      <c r="AH144" s="199"/>
      <c r="AI144" s="199"/>
      <c r="AJ144" s="199"/>
      <c r="AL144" s="199"/>
      <c r="AM144" s="199"/>
      <c r="AP144" s="199"/>
      <c r="AQ144" s="199"/>
      <c r="AR144" s="199"/>
      <c r="AS144" s="199"/>
      <c r="AT144" s="199"/>
      <c r="AU144" s="199"/>
      <c r="AV144" s="199"/>
      <c r="AW144" s="199"/>
      <c r="AX144" s="199"/>
      <c r="AY144" s="199"/>
      <c r="AZ144" s="199"/>
      <c r="BA144" s="199"/>
      <c r="BB144" s="199"/>
    </row>
    <row r="149" spans="2:54" x14ac:dyDescent="0.2">
      <c r="B149" s="199"/>
      <c r="C149" s="199"/>
      <c r="F149" s="199"/>
      <c r="G149" s="199"/>
      <c r="H149" s="199"/>
      <c r="I149" s="199"/>
      <c r="J149" s="199"/>
      <c r="K149" s="199"/>
      <c r="L149" s="199"/>
      <c r="M149" s="199"/>
      <c r="N149" s="199"/>
      <c r="O149" s="199"/>
      <c r="P149" s="199"/>
      <c r="Q149" s="199"/>
      <c r="R149" s="199"/>
      <c r="T149" s="199"/>
      <c r="U149" s="199"/>
      <c r="X149" s="199"/>
      <c r="Y149" s="199"/>
      <c r="Z149" s="199"/>
      <c r="AA149" s="199"/>
      <c r="AB149" s="199"/>
      <c r="AC149" s="199"/>
      <c r="AD149" s="199"/>
      <c r="AE149" s="199"/>
      <c r="AF149" s="199"/>
      <c r="AG149" s="199"/>
      <c r="AH149" s="199"/>
      <c r="AI149" s="199"/>
      <c r="AJ149" s="199"/>
      <c r="AL149" s="199"/>
      <c r="AM149" s="199"/>
      <c r="AP149" s="199"/>
      <c r="AQ149" s="199"/>
      <c r="AR149" s="199"/>
      <c r="AS149" s="199"/>
      <c r="AT149" s="199"/>
      <c r="AU149" s="199"/>
      <c r="AV149" s="199"/>
      <c r="AW149" s="199"/>
      <c r="AX149" s="199"/>
      <c r="AY149" s="199"/>
      <c r="AZ149" s="199"/>
      <c r="BA149" s="199"/>
      <c r="BB149" s="199"/>
    </row>
    <row r="150" spans="2:54" x14ac:dyDescent="0.2">
      <c r="B150" s="199"/>
      <c r="C150" s="199"/>
      <c r="F150" s="199"/>
      <c r="G150" s="199"/>
      <c r="H150" s="199"/>
      <c r="I150" s="199"/>
      <c r="J150" s="199"/>
      <c r="K150" s="199"/>
      <c r="L150" s="199"/>
      <c r="M150" s="199"/>
      <c r="N150" s="199"/>
      <c r="O150" s="199"/>
      <c r="P150" s="199"/>
      <c r="Q150" s="199"/>
      <c r="R150" s="199"/>
      <c r="T150" s="199"/>
      <c r="U150" s="199"/>
      <c r="X150" s="199"/>
      <c r="Y150" s="199"/>
      <c r="Z150" s="199"/>
      <c r="AA150" s="199"/>
      <c r="AB150" s="199"/>
      <c r="AC150" s="199"/>
      <c r="AD150" s="199"/>
      <c r="AE150" s="199"/>
      <c r="AF150" s="199"/>
      <c r="AG150" s="199"/>
      <c r="AH150" s="199"/>
      <c r="AI150" s="199"/>
      <c r="AJ150" s="199"/>
      <c r="AL150" s="199"/>
      <c r="AM150" s="199"/>
      <c r="AP150" s="199"/>
      <c r="AQ150" s="199"/>
      <c r="AR150" s="199"/>
      <c r="AS150" s="199"/>
      <c r="AT150" s="199"/>
      <c r="AU150" s="199"/>
      <c r="AV150" s="199"/>
      <c r="AW150" s="199"/>
      <c r="AX150" s="199"/>
      <c r="AY150" s="199"/>
      <c r="AZ150" s="199"/>
      <c r="BA150" s="199"/>
      <c r="BB150" s="199"/>
    </row>
    <row r="151" spans="2:54" x14ac:dyDescent="0.2">
      <c r="B151" s="199"/>
      <c r="C151" s="199"/>
      <c r="F151" s="199"/>
      <c r="G151" s="199"/>
      <c r="H151" s="199"/>
      <c r="I151" s="199"/>
      <c r="J151" s="199"/>
      <c r="K151" s="199"/>
      <c r="L151" s="199"/>
      <c r="M151" s="199"/>
      <c r="N151" s="199"/>
      <c r="O151" s="199"/>
      <c r="P151" s="199"/>
      <c r="Q151" s="199"/>
      <c r="R151" s="199"/>
      <c r="T151" s="199"/>
      <c r="U151" s="199"/>
      <c r="X151" s="199"/>
      <c r="Y151" s="199"/>
      <c r="Z151" s="199"/>
      <c r="AA151" s="199"/>
      <c r="AB151" s="199"/>
      <c r="AC151" s="199"/>
      <c r="AD151" s="199"/>
      <c r="AE151" s="199"/>
      <c r="AF151" s="199"/>
      <c r="AG151" s="199"/>
      <c r="AH151" s="199"/>
      <c r="AI151" s="199"/>
      <c r="AJ151" s="199"/>
      <c r="AL151" s="199"/>
      <c r="AM151" s="199"/>
      <c r="AP151" s="199"/>
      <c r="AQ151" s="199"/>
      <c r="AR151" s="199"/>
      <c r="AS151" s="199"/>
      <c r="AT151" s="199"/>
      <c r="AU151" s="199"/>
      <c r="AV151" s="199"/>
      <c r="AW151" s="199"/>
      <c r="AX151" s="199"/>
      <c r="AY151" s="199"/>
      <c r="AZ151" s="199"/>
      <c r="BA151" s="199"/>
      <c r="BB151" s="199"/>
    </row>
    <row r="152" spans="2:54" x14ac:dyDescent="0.2">
      <c r="B152" s="199"/>
      <c r="C152" s="199"/>
      <c r="F152" s="199"/>
      <c r="G152" s="199"/>
      <c r="H152" s="199"/>
      <c r="I152" s="199"/>
      <c r="J152" s="199"/>
      <c r="K152" s="199"/>
      <c r="L152" s="199"/>
      <c r="M152" s="199"/>
      <c r="N152" s="199"/>
      <c r="O152" s="199"/>
      <c r="P152" s="199"/>
      <c r="Q152" s="199"/>
      <c r="R152" s="199"/>
      <c r="T152" s="199"/>
      <c r="U152" s="199"/>
      <c r="X152" s="199"/>
      <c r="Y152" s="199"/>
      <c r="Z152" s="199"/>
      <c r="AA152" s="199"/>
      <c r="AB152" s="199"/>
      <c r="AC152" s="199"/>
      <c r="AD152" s="199"/>
      <c r="AE152" s="199"/>
      <c r="AF152" s="199"/>
      <c r="AG152" s="199"/>
      <c r="AH152" s="199"/>
      <c r="AI152" s="199"/>
      <c r="AJ152" s="199"/>
      <c r="AL152" s="199"/>
      <c r="AM152" s="199"/>
      <c r="AP152" s="199"/>
      <c r="AQ152" s="199"/>
      <c r="AR152" s="199"/>
      <c r="AS152" s="199"/>
      <c r="AT152" s="199"/>
      <c r="AU152" s="199"/>
      <c r="AV152" s="199"/>
      <c r="AW152" s="199"/>
      <c r="AX152" s="199"/>
      <c r="AY152" s="199"/>
      <c r="AZ152" s="199"/>
      <c r="BA152" s="199"/>
      <c r="BB152" s="199"/>
    </row>
    <row r="153" spans="2:54" x14ac:dyDescent="0.2">
      <c r="B153" s="199"/>
      <c r="C153" s="199"/>
      <c r="F153" s="199"/>
      <c r="G153" s="199"/>
      <c r="H153" s="199"/>
      <c r="I153" s="199"/>
      <c r="J153" s="199"/>
      <c r="K153" s="199"/>
      <c r="L153" s="199"/>
      <c r="M153" s="199"/>
      <c r="N153" s="199"/>
      <c r="O153" s="199"/>
      <c r="P153" s="199"/>
      <c r="Q153" s="199"/>
      <c r="R153" s="199"/>
      <c r="T153" s="199"/>
      <c r="U153" s="199"/>
      <c r="X153" s="199"/>
      <c r="Y153" s="199"/>
      <c r="Z153" s="199"/>
      <c r="AA153" s="199"/>
      <c r="AB153" s="199"/>
      <c r="AC153" s="199"/>
      <c r="AD153" s="199"/>
      <c r="AE153" s="199"/>
      <c r="AF153" s="199"/>
      <c r="AG153" s="199"/>
      <c r="AH153" s="199"/>
      <c r="AI153" s="199"/>
      <c r="AJ153" s="199"/>
      <c r="AL153" s="199"/>
      <c r="AM153" s="199"/>
      <c r="AP153" s="199"/>
      <c r="AQ153" s="199"/>
      <c r="AR153" s="199"/>
      <c r="AS153" s="199"/>
      <c r="AT153" s="199"/>
      <c r="AU153" s="199"/>
      <c r="AV153" s="199"/>
      <c r="AW153" s="199"/>
      <c r="AX153" s="199"/>
      <c r="AY153" s="199"/>
      <c r="AZ153" s="199"/>
      <c r="BA153" s="199"/>
      <c r="BB153" s="199"/>
    </row>
    <row r="154" spans="2:54" x14ac:dyDescent="0.2">
      <c r="B154" s="199"/>
      <c r="C154" s="199"/>
      <c r="F154" s="199"/>
      <c r="G154" s="199"/>
      <c r="H154" s="199"/>
      <c r="I154" s="199"/>
      <c r="J154" s="199"/>
      <c r="K154" s="199"/>
      <c r="L154" s="199"/>
      <c r="M154" s="199"/>
      <c r="N154" s="199"/>
      <c r="O154" s="199"/>
      <c r="P154" s="199"/>
      <c r="Q154" s="199"/>
      <c r="R154" s="199"/>
      <c r="T154" s="199"/>
      <c r="U154" s="199"/>
      <c r="X154" s="199"/>
      <c r="Y154" s="199"/>
      <c r="Z154" s="199"/>
      <c r="AA154" s="199"/>
      <c r="AB154" s="199"/>
      <c r="AC154" s="199"/>
      <c r="AD154" s="199"/>
      <c r="AE154" s="199"/>
      <c r="AF154" s="199"/>
      <c r="AG154" s="199"/>
      <c r="AH154" s="199"/>
      <c r="AI154" s="199"/>
      <c r="AJ154" s="199"/>
      <c r="AL154" s="199"/>
      <c r="AM154" s="199"/>
      <c r="AP154" s="199"/>
      <c r="AQ154" s="199"/>
      <c r="AR154" s="199"/>
      <c r="AS154" s="199"/>
      <c r="AT154" s="199"/>
      <c r="AU154" s="199"/>
      <c r="AV154" s="199"/>
      <c r="AW154" s="199"/>
      <c r="AX154" s="199"/>
      <c r="AY154" s="199"/>
      <c r="AZ154" s="199"/>
      <c r="BA154" s="199"/>
      <c r="BB154" s="199"/>
    </row>
    <row r="155" spans="2:54" x14ac:dyDescent="0.2">
      <c r="B155" s="199"/>
      <c r="C155" s="199"/>
      <c r="F155" s="199"/>
      <c r="G155" s="199"/>
      <c r="H155" s="199"/>
      <c r="I155" s="199"/>
      <c r="J155" s="199"/>
      <c r="K155" s="199"/>
      <c r="L155" s="199"/>
      <c r="M155" s="199"/>
      <c r="N155" s="199"/>
      <c r="O155" s="199"/>
      <c r="P155" s="199"/>
      <c r="Q155" s="199"/>
      <c r="R155" s="199"/>
      <c r="T155" s="199"/>
      <c r="U155" s="199"/>
      <c r="X155" s="199"/>
      <c r="Y155" s="199"/>
      <c r="Z155" s="199"/>
      <c r="AA155" s="199"/>
      <c r="AB155" s="199"/>
      <c r="AC155" s="199"/>
      <c r="AD155" s="199"/>
      <c r="AE155" s="199"/>
      <c r="AF155" s="199"/>
      <c r="AG155" s="199"/>
      <c r="AH155" s="199"/>
      <c r="AI155" s="199"/>
      <c r="AJ155" s="199"/>
      <c r="AL155" s="199"/>
      <c r="AM155" s="199"/>
      <c r="AP155" s="199"/>
      <c r="AQ155" s="199"/>
      <c r="AR155" s="199"/>
      <c r="AS155" s="199"/>
      <c r="AT155" s="199"/>
      <c r="AU155" s="199"/>
      <c r="AV155" s="199"/>
      <c r="AW155" s="199"/>
      <c r="AX155" s="199"/>
      <c r="AY155" s="199"/>
      <c r="AZ155" s="199"/>
      <c r="BA155" s="199"/>
      <c r="BB155" s="199"/>
    </row>
    <row r="156" spans="2:54" x14ac:dyDescent="0.2">
      <c r="B156" s="199"/>
      <c r="C156" s="199"/>
      <c r="F156" s="199"/>
      <c r="G156" s="199"/>
      <c r="H156" s="199"/>
      <c r="I156" s="199"/>
      <c r="J156" s="199"/>
      <c r="K156" s="199"/>
      <c r="L156" s="199"/>
      <c r="M156" s="199"/>
      <c r="N156" s="199"/>
      <c r="O156" s="199"/>
      <c r="P156" s="199"/>
      <c r="Q156" s="199"/>
      <c r="R156" s="199"/>
      <c r="T156" s="199"/>
      <c r="U156" s="199"/>
      <c r="X156" s="199"/>
      <c r="Y156" s="199"/>
      <c r="Z156" s="199"/>
      <c r="AA156" s="199"/>
      <c r="AB156" s="199"/>
      <c r="AC156" s="199"/>
      <c r="AD156" s="199"/>
      <c r="AE156" s="199"/>
      <c r="AF156" s="199"/>
      <c r="AG156" s="199"/>
      <c r="AH156" s="199"/>
      <c r="AI156" s="199"/>
      <c r="AJ156" s="199"/>
      <c r="AL156" s="199"/>
      <c r="AM156" s="199"/>
      <c r="AP156" s="199"/>
      <c r="AQ156" s="199"/>
      <c r="AR156" s="199"/>
      <c r="AS156" s="199"/>
      <c r="AT156" s="199"/>
      <c r="AU156" s="199"/>
      <c r="AV156" s="199"/>
      <c r="AW156" s="199"/>
      <c r="AX156" s="199"/>
      <c r="AY156" s="199"/>
      <c r="AZ156" s="199"/>
      <c r="BA156" s="199"/>
      <c r="BB156" s="199"/>
    </row>
    <row r="157" spans="2:54" x14ac:dyDescent="0.2">
      <c r="B157" s="199"/>
      <c r="C157" s="199"/>
      <c r="F157" s="199"/>
      <c r="G157" s="199"/>
      <c r="H157" s="199"/>
      <c r="I157" s="199"/>
      <c r="J157" s="199"/>
      <c r="K157" s="199"/>
      <c r="L157" s="199"/>
      <c r="M157" s="199"/>
      <c r="N157" s="199"/>
      <c r="O157" s="199"/>
      <c r="P157" s="199"/>
      <c r="Q157" s="199"/>
      <c r="R157" s="199"/>
      <c r="T157" s="199"/>
      <c r="U157" s="199"/>
      <c r="X157" s="199"/>
      <c r="Y157" s="199"/>
      <c r="Z157" s="199"/>
      <c r="AA157" s="199"/>
      <c r="AB157" s="199"/>
      <c r="AC157" s="199"/>
      <c r="AD157" s="199"/>
      <c r="AE157" s="199"/>
      <c r="AF157" s="199"/>
      <c r="AG157" s="199"/>
      <c r="AH157" s="199"/>
      <c r="AI157" s="199"/>
      <c r="AJ157" s="199"/>
      <c r="AL157" s="199"/>
      <c r="AM157" s="199"/>
      <c r="AP157" s="199"/>
      <c r="AQ157" s="199"/>
      <c r="AR157" s="199"/>
      <c r="AS157" s="199"/>
      <c r="AT157" s="199"/>
      <c r="AU157" s="199"/>
      <c r="AV157" s="199"/>
      <c r="AW157" s="199"/>
      <c r="AX157" s="199"/>
      <c r="AY157" s="199"/>
      <c r="AZ157" s="199"/>
      <c r="BA157" s="199"/>
      <c r="BB157" s="199"/>
    </row>
    <row r="158" spans="2:54" x14ac:dyDescent="0.2">
      <c r="B158" s="199"/>
      <c r="C158" s="199"/>
      <c r="F158" s="199"/>
      <c r="G158" s="199"/>
      <c r="H158" s="199"/>
      <c r="I158" s="199"/>
      <c r="J158" s="199"/>
      <c r="K158" s="199"/>
      <c r="L158" s="199"/>
      <c r="M158" s="199"/>
      <c r="N158" s="199"/>
      <c r="O158" s="199"/>
      <c r="P158" s="199"/>
      <c r="Q158" s="199"/>
      <c r="R158" s="199"/>
      <c r="T158" s="199"/>
      <c r="U158" s="199"/>
      <c r="X158" s="199"/>
      <c r="Y158" s="199"/>
      <c r="Z158" s="199"/>
      <c r="AA158" s="199"/>
      <c r="AB158" s="199"/>
      <c r="AC158" s="199"/>
      <c r="AD158" s="199"/>
      <c r="AE158" s="199"/>
      <c r="AF158" s="199"/>
      <c r="AG158" s="199"/>
      <c r="AH158" s="199"/>
      <c r="AI158" s="199"/>
      <c r="AJ158" s="199"/>
      <c r="AL158" s="199"/>
      <c r="AM158" s="199"/>
      <c r="AP158" s="199"/>
      <c r="AQ158" s="199"/>
      <c r="AR158" s="199"/>
      <c r="AS158" s="199"/>
      <c r="AT158" s="199"/>
      <c r="AU158" s="199"/>
      <c r="AV158" s="199"/>
      <c r="AW158" s="199"/>
      <c r="AX158" s="199"/>
      <c r="AY158" s="199"/>
      <c r="AZ158" s="199"/>
      <c r="BA158" s="199"/>
      <c r="BB158" s="199"/>
    </row>
    <row r="159" spans="2:54" x14ac:dyDescent="0.2">
      <c r="B159" s="199"/>
      <c r="C159" s="199"/>
      <c r="F159" s="199"/>
      <c r="G159" s="199"/>
      <c r="H159" s="199"/>
      <c r="I159" s="199"/>
      <c r="J159" s="199"/>
      <c r="K159" s="199"/>
      <c r="L159" s="199"/>
      <c r="M159" s="199"/>
      <c r="N159" s="199"/>
      <c r="O159" s="199"/>
      <c r="P159" s="199"/>
      <c r="Q159" s="199"/>
      <c r="R159" s="199"/>
      <c r="T159" s="199"/>
      <c r="U159" s="199"/>
      <c r="X159" s="199"/>
      <c r="Y159" s="199"/>
      <c r="Z159" s="199"/>
      <c r="AA159" s="199"/>
      <c r="AB159" s="199"/>
      <c r="AC159" s="199"/>
      <c r="AD159" s="199"/>
      <c r="AE159" s="199"/>
      <c r="AF159" s="199"/>
      <c r="AG159" s="199"/>
      <c r="AH159" s="199"/>
      <c r="AI159" s="199"/>
      <c r="AJ159" s="199"/>
      <c r="AL159" s="199"/>
      <c r="AM159" s="199"/>
      <c r="AP159" s="199"/>
      <c r="AQ159" s="199"/>
      <c r="AR159" s="199"/>
      <c r="AS159" s="199"/>
      <c r="AT159" s="199"/>
      <c r="AU159" s="199"/>
      <c r="AV159" s="199"/>
      <c r="AW159" s="199"/>
      <c r="AX159" s="199"/>
      <c r="AY159" s="199"/>
      <c r="AZ159" s="199"/>
      <c r="BA159" s="199"/>
      <c r="BB159" s="199"/>
    </row>
    <row r="160" spans="2:54" x14ac:dyDescent="0.2">
      <c r="B160" s="199"/>
      <c r="C160" s="199"/>
      <c r="F160" s="199"/>
      <c r="G160" s="199"/>
      <c r="H160" s="199"/>
      <c r="I160" s="199"/>
      <c r="J160" s="199"/>
      <c r="K160" s="199"/>
      <c r="L160" s="199"/>
      <c r="M160" s="199"/>
      <c r="N160" s="199"/>
      <c r="O160" s="199"/>
      <c r="P160" s="199"/>
      <c r="Q160" s="199"/>
      <c r="R160" s="199"/>
      <c r="T160" s="199"/>
      <c r="U160" s="199"/>
      <c r="X160" s="199"/>
      <c r="Y160" s="199"/>
      <c r="Z160" s="199"/>
      <c r="AA160" s="199"/>
      <c r="AB160" s="199"/>
      <c r="AC160" s="199"/>
      <c r="AD160" s="199"/>
      <c r="AE160" s="199"/>
      <c r="AF160" s="199"/>
      <c r="AG160" s="199"/>
      <c r="AH160" s="199"/>
      <c r="AI160" s="199"/>
      <c r="AJ160" s="199"/>
      <c r="AL160" s="199"/>
      <c r="AM160" s="199"/>
      <c r="AP160" s="199"/>
      <c r="AQ160" s="199"/>
      <c r="AR160" s="199"/>
      <c r="AS160" s="199"/>
      <c r="AT160" s="199"/>
      <c r="AU160" s="199"/>
      <c r="AV160" s="199"/>
      <c r="AW160" s="199"/>
      <c r="AX160" s="199"/>
      <c r="AY160" s="199"/>
      <c r="AZ160" s="199"/>
      <c r="BA160" s="199"/>
      <c r="BB160" s="199"/>
    </row>
    <row r="161" spans="2:54" x14ac:dyDescent="0.2">
      <c r="B161" s="199"/>
      <c r="C161" s="199"/>
      <c r="F161" s="199"/>
      <c r="G161" s="199"/>
      <c r="H161" s="199"/>
      <c r="I161" s="199"/>
      <c r="J161" s="199"/>
      <c r="K161" s="199"/>
      <c r="L161" s="199"/>
      <c r="M161" s="199"/>
      <c r="N161" s="199"/>
      <c r="O161" s="199"/>
      <c r="P161" s="199"/>
      <c r="Q161" s="199"/>
      <c r="R161" s="199"/>
      <c r="T161" s="199"/>
      <c r="U161" s="199"/>
      <c r="X161" s="199"/>
      <c r="Y161" s="199"/>
      <c r="Z161" s="199"/>
      <c r="AA161" s="199"/>
      <c r="AB161" s="199"/>
      <c r="AC161" s="199"/>
      <c r="AD161" s="199"/>
      <c r="AE161" s="199"/>
      <c r="AF161" s="199"/>
      <c r="AG161" s="199"/>
      <c r="AH161" s="199"/>
      <c r="AI161" s="199"/>
      <c r="AJ161" s="199"/>
      <c r="AL161" s="199"/>
      <c r="AM161" s="199"/>
      <c r="AP161" s="199"/>
      <c r="AQ161" s="199"/>
      <c r="AR161" s="199"/>
      <c r="AS161" s="199"/>
      <c r="AT161" s="199"/>
      <c r="AU161" s="199"/>
      <c r="AV161" s="199"/>
      <c r="AW161" s="199"/>
      <c r="AX161" s="199"/>
      <c r="AY161" s="199"/>
      <c r="AZ161" s="199"/>
      <c r="BA161" s="199"/>
      <c r="BB161" s="199"/>
    </row>
    <row r="162" spans="2:54" x14ac:dyDescent="0.2">
      <c r="B162" s="199"/>
      <c r="C162" s="199"/>
      <c r="F162" s="199"/>
      <c r="G162" s="199"/>
      <c r="H162" s="199"/>
      <c r="I162" s="199"/>
      <c r="J162" s="199"/>
      <c r="K162" s="199"/>
      <c r="L162" s="199"/>
      <c r="M162" s="199"/>
      <c r="N162" s="199"/>
      <c r="O162" s="199"/>
      <c r="P162" s="199"/>
      <c r="Q162" s="199"/>
      <c r="R162" s="199"/>
      <c r="T162" s="199"/>
      <c r="U162" s="199"/>
      <c r="X162" s="199"/>
      <c r="Y162" s="199"/>
      <c r="Z162" s="199"/>
      <c r="AA162" s="199"/>
      <c r="AB162" s="199"/>
      <c r="AC162" s="199"/>
      <c r="AD162" s="199"/>
      <c r="AE162" s="199"/>
      <c r="AF162" s="199"/>
      <c r="AG162" s="199"/>
      <c r="AH162" s="199"/>
      <c r="AI162" s="199"/>
      <c r="AJ162" s="199"/>
      <c r="AL162" s="199"/>
      <c r="AM162" s="199"/>
      <c r="AP162" s="199"/>
      <c r="AQ162" s="199"/>
      <c r="AR162" s="199"/>
      <c r="AS162" s="199"/>
      <c r="AT162" s="199"/>
      <c r="AU162" s="199"/>
      <c r="AV162" s="199"/>
      <c r="AW162" s="199"/>
      <c r="AX162" s="199"/>
      <c r="AY162" s="199"/>
      <c r="AZ162" s="199"/>
      <c r="BA162" s="199"/>
      <c r="BB162" s="199"/>
    </row>
    <row r="163" spans="2:54" x14ac:dyDescent="0.2">
      <c r="B163" s="199"/>
      <c r="C163" s="199"/>
      <c r="D163" s="133"/>
      <c r="F163" s="199"/>
      <c r="G163" s="199"/>
      <c r="H163" s="199"/>
      <c r="I163" s="199"/>
      <c r="J163" s="199"/>
      <c r="K163" s="199"/>
      <c r="L163" s="199"/>
      <c r="M163" s="199"/>
      <c r="N163" s="199"/>
      <c r="O163" s="2"/>
      <c r="P163" s="199"/>
      <c r="Q163" s="2"/>
      <c r="R163" s="199"/>
      <c r="T163" s="199"/>
      <c r="U163" s="199"/>
      <c r="V163" s="133"/>
      <c r="X163" s="199"/>
      <c r="Y163" s="199"/>
      <c r="Z163" s="199"/>
      <c r="AA163" s="199"/>
      <c r="AB163" s="199"/>
      <c r="AC163" s="199"/>
      <c r="AD163" s="199"/>
      <c r="AE163" s="199"/>
      <c r="AF163" s="199"/>
      <c r="AG163" s="2"/>
      <c r="AH163" s="199"/>
      <c r="AI163" s="2"/>
      <c r="AJ163" s="199"/>
      <c r="AL163" s="199"/>
      <c r="AM163" s="199"/>
      <c r="AN163" s="133"/>
      <c r="AP163" s="199"/>
      <c r="AQ163" s="199"/>
      <c r="AR163" s="199"/>
      <c r="AS163" s="199"/>
      <c r="AT163" s="199"/>
      <c r="AU163" s="199"/>
      <c r="AV163" s="199"/>
      <c r="AW163" s="199"/>
      <c r="AX163" s="199"/>
      <c r="AY163" s="2"/>
      <c r="AZ163" s="199"/>
      <c r="BA163" s="2"/>
      <c r="BB163" s="199"/>
    </row>
    <row r="164" spans="2:54" x14ac:dyDescent="0.2">
      <c r="D164" s="205"/>
      <c r="E164" s="2"/>
      <c r="O164" s="2"/>
      <c r="Q164" s="2"/>
      <c r="V164" s="205"/>
      <c r="W164" s="2"/>
      <c r="AG164" s="2"/>
      <c r="AI164" s="2"/>
      <c r="AN164" s="205"/>
      <c r="AO164" s="2"/>
      <c r="AY164" s="2"/>
      <c r="BA164" s="2"/>
    </row>
    <row r="165" spans="2:54" x14ac:dyDescent="0.2">
      <c r="D165" s="205"/>
      <c r="E165" s="206"/>
      <c r="O165" s="2"/>
      <c r="Q165" s="2"/>
      <c r="V165" s="205"/>
      <c r="W165" s="206"/>
      <c r="AG165" s="2"/>
      <c r="AI165" s="2"/>
      <c r="AN165" s="205"/>
      <c r="AO165" s="206"/>
      <c r="AY165" s="2"/>
      <c r="BA165" s="2"/>
    </row>
    <row r="166" spans="2:54" x14ac:dyDescent="0.2">
      <c r="D166" s="205"/>
      <c r="E166" s="207"/>
      <c r="V166" s="205"/>
      <c r="W166" s="207"/>
      <c r="AN166" s="205"/>
      <c r="AO166" s="207"/>
    </row>
    <row r="167" spans="2:54" x14ac:dyDescent="0.2">
      <c r="D167" s="205"/>
      <c r="E167" s="206"/>
      <c r="O167" s="2"/>
      <c r="Q167" s="2"/>
      <c r="V167" s="205"/>
      <c r="W167" s="206"/>
      <c r="AG167" s="2"/>
      <c r="AI167" s="2"/>
      <c r="AN167" s="205"/>
      <c r="AO167" s="206"/>
      <c r="AY167" s="2"/>
      <c r="BA167" s="2"/>
    </row>
    <row r="168" spans="2:54" x14ac:dyDescent="0.2">
      <c r="D168" s="206"/>
      <c r="E168" s="206"/>
      <c r="O168" s="2"/>
      <c r="Q168" s="2"/>
      <c r="V168" s="206"/>
      <c r="W168" s="206"/>
      <c r="AG168" s="2"/>
      <c r="AI168" s="2"/>
      <c r="AN168" s="206"/>
      <c r="AO168" s="206"/>
      <c r="AY168" s="2"/>
      <c r="BA168" s="2"/>
    </row>
    <row r="169" spans="2:54" x14ac:dyDescent="0.2">
      <c r="D169" s="206"/>
      <c r="V169" s="206"/>
      <c r="AN169" s="206"/>
    </row>
    <row r="170" spans="2:54" x14ac:dyDescent="0.2">
      <c r="E170" s="206"/>
      <c r="W170" s="206"/>
      <c r="AO170" s="206"/>
    </row>
    <row r="171" spans="2:54" x14ac:dyDescent="0.2">
      <c r="E171" s="206"/>
      <c r="W171" s="206"/>
      <c r="AO171" s="206"/>
    </row>
  </sheetData>
  <sheetProtection algorithmName="SHA-512" hashValue="fkF5aHmfXmdwY9lkOo5Hre5LH5XlKlFS/Qc6psYZgmkZSJ/IkEPFBpGDy6dgJdFkswzszFVABO5j37EluAi6tg==" saltValue="KdvHikABior5JYd2LRxqog==" spinCount="100000" sheet="1" selectLockedCells="1"/>
  <mergeCells count="9">
    <mergeCell ref="AG6:AI6"/>
    <mergeCell ref="AQ6:AS6"/>
    <mergeCell ref="AU6:AW6"/>
    <mergeCell ref="AY6:BA6"/>
    <mergeCell ref="G6:I6"/>
    <mergeCell ref="K6:M6"/>
    <mergeCell ref="O6:Q6"/>
    <mergeCell ref="Y6:AA6"/>
    <mergeCell ref="AC6:AE6"/>
  </mergeCells>
  <phoneticPr fontId="22" type="noConversion"/>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CED2-B574-4BBC-B604-3CE3D075FC55}">
  <sheetPr>
    <pageSetUpPr fitToPage="1"/>
  </sheetPr>
  <dimension ref="B3:AC68"/>
  <sheetViews>
    <sheetView zoomScale="90" zoomScaleNormal="90" workbookViewId="0">
      <selection activeCell="O26" sqref="O26"/>
    </sheetView>
  </sheetViews>
  <sheetFormatPr baseColWidth="10" defaultColWidth="9" defaultRowHeight="12.75" x14ac:dyDescent="0.2"/>
  <cols>
    <col min="1" max="1" width="4" style="2" customWidth="1"/>
    <col min="2" max="3" width="9" style="2"/>
    <col min="4" max="4" width="19.625" style="2" customWidth="1"/>
    <col min="5" max="5" width="17.5" style="2" customWidth="1"/>
    <col min="6" max="18" width="9" style="2" customWidth="1"/>
    <col min="19" max="19" width="18.375" style="2" bestFit="1" customWidth="1"/>
    <col min="20" max="20" width="10.5" style="2" customWidth="1"/>
    <col min="21" max="21" width="29.125" style="2" bestFit="1" customWidth="1"/>
    <col min="22" max="22" width="12.75" style="2" bestFit="1" customWidth="1"/>
    <col min="23" max="23" width="10.625" style="2" bestFit="1" customWidth="1"/>
    <col min="24" max="24" width="29.125" style="2" bestFit="1" customWidth="1"/>
    <col min="25" max="25" width="12.75" style="2" bestFit="1" customWidth="1"/>
    <col min="26" max="26" width="10.625" style="2" bestFit="1" customWidth="1"/>
    <col min="27" max="27" width="29.125" style="2" bestFit="1" customWidth="1"/>
    <col min="28" max="28" width="21.875" style="2" bestFit="1" customWidth="1"/>
    <col min="29" max="16384" width="9" style="2"/>
  </cols>
  <sheetData>
    <row r="3" spans="2:29" ht="18" x14ac:dyDescent="0.25">
      <c r="B3" s="173"/>
      <c r="C3" s="173"/>
      <c r="D3" s="174" t="s">
        <v>35</v>
      </c>
      <c r="E3" s="175"/>
      <c r="F3" s="173"/>
      <c r="G3" s="176" t="s">
        <v>93</v>
      </c>
      <c r="H3" s="176"/>
      <c r="I3" s="176"/>
      <c r="J3" s="176"/>
      <c r="K3" s="176"/>
      <c r="L3" s="176"/>
      <c r="M3" s="176"/>
      <c r="N3" s="176"/>
      <c r="O3" s="176"/>
      <c r="P3" s="176"/>
      <c r="Q3" s="176"/>
      <c r="R3" s="176"/>
      <c r="S3" s="210" t="s">
        <v>36</v>
      </c>
      <c r="T3" s="3"/>
      <c r="U3" s="3"/>
      <c r="V3" s="3"/>
      <c r="W3" s="3"/>
      <c r="X3" s="3"/>
      <c r="Y3" s="3"/>
      <c r="Z3" s="3"/>
      <c r="AA3" s="3"/>
      <c r="AB3" s="3"/>
      <c r="AC3" s="3"/>
    </row>
    <row r="4" spans="2:29" ht="18" x14ac:dyDescent="0.2">
      <c r="B4" s="173"/>
      <c r="C4" s="173"/>
      <c r="D4" s="174"/>
      <c r="E4" s="175"/>
      <c r="F4" s="173"/>
      <c r="G4" s="391" t="s">
        <v>27</v>
      </c>
      <c r="H4" s="391"/>
      <c r="I4" s="391"/>
      <c r="J4" s="3"/>
      <c r="K4" s="392" t="s">
        <v>28</v>
      </c>
      <c r="L4" s="392"/>
      <c r="M4" s="392"/>
      <c r="N4" s="3"/>
      <c r="O4" s="391" t="s">
        <v>29</v>
      </c>
      <c r="P4" s="391"/>
      <c r="Q4" s="391"/>
      <c r="R4" s="177"/>
      <c r="S4" s="393">
        <v>2020</v>
      </c>
      <c r="T4" s="394"/>
      <c r="U4" s="395"/>
      <c r="V4" s="393">
        <v>2025</v>
      </c>
      <c r="W4" s="394"/>
      <c r="X4" s="395"/>
      <c r="Y4" s="393">
        <v>2030</v>
      </c>
      <c r="Z4" s="394"/>
      <c r="AA4" s="395"/>
      <c r="AB4" s="211" t="s">
        <v>23</v>
      </c>
      <c r="AC4" s="3"/>
    </row>
    <row r="5" spans="2:29" ht="25.5" x14ac:dyDescent="0.2">
      <c r="B5" s="177"/>
      <c r="C5" s="177"/>
      <c r="D5" s="178" t="s">
        <v>37</v>
      </c>
      <c r="E5" s="178" t="s">
        <v>38</v>
      </c>
      <c r="F5" s="3"/>
      <c r="G5" s="212">
        <v>2020</v>
      </c>
      <c r="H5" s="173">
        <v>2025</v>
      </c>
      <c r="I5" s="213">
        <v>2030</v>
      </c>
      <c r="J5" s="173"/>
      <c r="K5" s="212">
        <v>2020</v>
      </c>
      <c r="L5" s="173">
        <v>2025</v>
      </c>
      <c r="M5" s="213">
        <v>2030</v>
      </c>
      <c r="N5" s="173"/>
      <c r="O5" s="212">
        <v>2020</v>
      </c>
      <c r="P5" s="173">
        <v>2025</v>
      </c>
      <c r="Q5" s="213">
        <v>2030</v>
      </c>
      <c r="R5" s="173"/>
      <c r="S5" s="214" t="s">
        <v>27</v>
      </c>
      <c r="T5" s="215" t="s">
        <v>28</v>
      </c>
      <c r="U5" s="216" t="s">
        <v>29</v>
      </c>
      <c r="V5" s="214" t="s">
        <v>27</v>
      </c>
      <c r="W5" s="215" t="s">
        <v>28</v>
      </c>
      <c r="X5" s="216" t="s">
        <v>29</v>
      </c>
      <c r="Y5" s="214" t="s">
        <v>27</v>
      </c>
      <c r="Z5" s="215" t="s">
        <v>28</v>
      </c>
      <c r="AA5" s="216" t="s">
        <v>29</v>
      </c>
      <c r="AB5" s="217"/>
      <c r="AC5" s="3"/>
    </row>
    <row r="6" spans="2:29" x14ac:dyDescent="0.2">
      <c r="B6" s="179"/>
      <c r="C6" s="179" t="s">
        <v>90</v>
      </c>
      <c r="D6" s="178"/>
      <c r="E6" s="178"/>
      <c r="F6" s="3"/>
      <c r="G6" s="218"/>
      <c r="H6" s="219"/>
      <c r="I6" s="220"/>
      <c r="J6" s="219"/>
      <c r="K6" s="218"/>
      <c r="L6" s="219"/>
      <c r="M6" s="220"/>
      <c r="N6" s="219"/>
      <c r="O6" s="218"/>
      <c r="P6" s="219"/>
      <c r="Q6" s="220"/>
      <c r="R6" s="173"/>
      <c r="S6" s="221"/>
      <c r="T6" s="34"/>
      <c r="U6" s="222"/>
      <c r="V6" s="221"/>
      <c r="W6" s="34"/>
      <c r="X6" s="222"/>
      <c r="Y6" s="223"/>
      <c r="Z6" s="3"/>
      <c r="AA6" s="224"/>
      <c r="AB6" s="225"/>
      <c r="AC6" s="3"/>
    </row>
    <row r="7" spans="2:29" x14ac:dyDescent="0.2">
      <c r="B7" s="180"/>
      <c r="C7" s="180"/>
      <c r="D7" s="3" t="s">
        <v>31</v>
      </c>
      <c r="E7" s="3" t="s">
        <v>40</v>
      </c>
      <c r="F7" s="3"/>
      <c r="G7" s="226">
        <v>1.8316E-4</v>
      </c>
      <c r="H7" s="227">
        <f>G7</f>
        <v>1.8316E-4</v>
      </c>
      <c r="I7" s="228">
        <f>G7</f>
        <v>1.8316E-4</v>
      </c>
      <c r="J7" s="229"/>
      <c r="K7" s="230" t="s">
        <v>118</v>
      </c>
      <c r="L7" s="231" t="s">
        <v>118</v>
      </c>
      <c r="M7" s="232" t="s">
        <v>118</v>
      </c>
      <c r="N7" s="229"/>
      <c r="O7" s="226">
        <v>3.1350000000000003E-5</v>
      </c>
      <c r="P7" s="227">
        <f t="shared" ref="P7:P55" si="0">O7</f>
        <v>3.1350000000000003E-5</v>
      </c>
      <c r="Q7" s="228">
        <f>O7</f>
        <v>3.1350000000000003E-5</v>
      </c>
      <c r="R7" s="173"/>
      <c r="S7" s="223" t="s">
        <v>399</v>
      </c>
      <c r="T7" s="233"/>
      <c r="U7" s="224" t="s">
        <v>400</v>
      </c>
      <c r="V7" s="223" t="str">
        <f>S7</f>
        <v>DEFRA (2021 a)</v>
      </c>
      <c r="W7" s="233"/>
      <c r="X7" s="224" t="str">
        <f>U7</f>
        <v>DEFRA (2021 b)</v>
      </c>
      <c r="Y7" s="223" t="str">
        <f>V7</f>
        <v>DEFRA (2021 a)</v>
      </c>
      <c r="Z7" s="233"/>
      <c r="AA7" s="224" t="str">
        <f>X7</f>
        <v>DEFRA (2021 b)</v>
      </c>
      <c r="AB7" s="225"/>
      <c r="AC7" s="3"/>
    </row>
    <row r="8" spans="2:29" x14ac:dyDescent="0.2">
      <c r="B8" s="180"/>
      <c r="C8" s="180"/>
      <c r="D8" s="3" t="s">
        <v>32</v>
      </c>
      <c r="E8" s="3" t="s">
        <v>42</v>
      </c>
      <c r="F8" s="3"/>
      <c r="G8" s="226">
        <v>2.6676E-4</v>
      </c>
      <c r="H8" s="227">
        <f>G8</f>
        <v>2.6676E-4</v>
      </c>
      <c r="I8" s="228">
        <f>G8</f>
        <v>2.6676E-4</v>
      </c>
      <c r="J8" s="229"/>
      <c r="K8" s="230" t="s">
        <v>118</v>
      </c>
      <c r="L8" s="231" t="s">
        <v>118</v>
      </c>
      <c r="M8" s="232" t="s">
        <v>118</v>
      </c>
      <c r="N8" s="229"/>
      <c r="O8" s="226">
        <v>3.9576000000000002E-5</v>
      </c>
      <c r="P8" s="227">
        <f t="shared" si="0"/>
        <v>3.9576000000000002E-5</v>
      </c>
      <c r="Q8" s="228">
        <f t="shared" ref="Q8:Q55" si="1">O8</f>
        <v>3.9576000000000002E-5</v>
      </c>
      <c r="R8" s="173"/>
      <c r="S8" s="223" t="s">
        <v>395</v>
      </c>
      <c r="T8" s="233"/>
      <c r="U8" s="224" t="s">
        <v>396</v>
      </c>
      <c r="V8" s="223" t="str">
        <f>S8</f>
        <v>DEHSt (2022)</v>
      </c>
      <c r="W8" s="233"/>
      <c r="X8" s="224" t="str">
        <f>U8</f>
        <v>GEMIS 5.0</v>
      </c>
      <c r="Y8" s="223" t="str">
        <f>V8</f>
        <v>DEHSt (2022)</v>
      </c>
      <c r="Z8" s="233"/>
      <c r="AA8" s="224" t="str">
        <f>X8</f>
        <v>GEMIS 5.0</v>
      </c>
      <c r="AB8" s="225"/>
      <c r="AC8" s="3"/>
    </row>
    <row r="9" spans="2:29" x14ac:dyDescent="0.2">
      <c r="B9" s="180"/>
      <c r="C9" s="180"/>
      <c r="D9" s="3" t="s">
        <v>44</v>
      </c>
      <c r="E9" s="3" t="s">
        <v>42</v>
      </c>
      <c r="F9" s="3"/>
      <c r="G9" s="230" t="s">
        <v>118</v>
      </c>
      <c r="H9" s="231" t="s">
        <v>118</v>
      </c>
      <c r="I9" s="232" t="s">
        <v>118</v>
      </c>
      <c r="J9" s="227"/>
      <c r="K9" s="226">
        <v>3.8200000000000002E-4</v>
      </c>
      <c r="L9" s="227">
        <f>0.277538771308252/1000</f>
        <v>2.7753877130825199E-4</v>
      </c>
      <c r="M9" s="228">
        <f>0.136783455213579/1000</f>
        <v>1.3678345521357901E-4</v>
      </c>
      <c r="N9" s="229"/>
      <c r="O9" s="226">
        <v>5.5999999999999999E-5</v>
      </c>
      <c r="P9" s="227">
        <f>O9*L68</f>
        <v>4.0686312024246369E-5</v>
      </c>
      <c r="Q9" s="228">
        <f>O9*M68</f>
        <v>2.0052024848063938E-5</v>
      </c>
      <c r="R9" s="173"/>
      <c r="S9" s="223"/>
      <c r="T9" s="3" t="s">
        <v>397</v>
      </c>
      <c r="U9" s="224" t="s">
        <v>397</v>
      </c>
      <c r="V9" s="223"/>
      <c r="W9" s="3" t="s">
        <v>419</v>
      </c>
      <c r="X9" s="224" t="s">
        <v>419</v>
      </c>
      <c r="Y9" s="223"/>
      <c r="Z9" s="3" t="str">
        <f>W9</f>
        <v>Agora (2022)</v>
      </c>
      <c r="AA9" s="224" t="str">
        <f>X9</f>
        <v>Agora (2022)</v>
      </c>
      <c r="AB9" s="225"/>
      <c r="AC9" s="3"/>
    </row>
    <row r="10" spans="2:29" x14ac:dyDescent="0.2">
      <c r="B10" s="180"/>
      <c r="C10" s="180"/>
      <c r="D10" s="3" t="s">
        <v>123</v>
      </c>
      <c r="E10" s="3" t="s">
        <v>42</v>
      </c>
      <c r="F10" s="3"/>
      <c r="G10" s="230" t="s">
        <v>188</v>
      </c>
      <c r="H10" s="231" t="s">
        <v>188</v>
      </c>
      <c r="I10" s="232" t="s">
        <v>188</v>
      </c>
      <c r="J10" s="227"/>
      <c r="K10" s="226" t="s">
        <v>188</v>
      </c>
      <c r="L10" s="227" t="s">
        <v>188</v>
      </c>
      <c r="M10" s="228" t="s">
        <v>188</v>
      </c>
      <c r="N10" s="229"/>
      <c r="O10" s="226" t="s">
        <v>188</v>
      </c>
      <c r="P10" s="227" t="s">
        <v>188</v>
      </c>
      <c r="Q10" s="228" t="s">
        <v>188</v>
      </c>
      <c r="R10" s="173"/>
      <c r="S10" s="223"/>
      <c r="T10" s="3"/>
      <c r="U10" s="224"/>
      <c r="V10" s="223"/>
      <c r="W10" s="3"/>
      <c r="X10" s="224"/>
      <c r="Y10" s="223"/>
      <c r="Z10" s="3"/>
      <c r="AA10" s="224"/>
      <c r="AB10" s="225"/>
      <c r="AC10" s="3"/>
    </row>
    <row r="11" spans="2:29" x14ac:dyDescent="0.2">
      <c r="B11" s="180"/>
      <c r="C11" s="180"/>
      <c r="D11" s="182" t="s">
        <v>122</v>
      </c>
      <c r="E11" s="3" t="s">
        <v>43</v>
      </c>
      <c r="F11" s="3"/>
      <c r="G11" s="226">
        <v>2.3030999999999998E-4</v>
      </c>
      <c r="H11" s="227">
        <f>G11</f>
        <v>2.3030999999999998E-4</v>
      </c>
      <c r="I11" s="228">
        <f>G11</f>
        <v>2.3030999999999998E-4</v>
      </c>
      <c r="J11" s="227"/>
      <c r="K11" s="230" t="s">
        <v>118</v>
      </c>
      <c r="L11" s="231" t="s">
        <v>118</v>
      </c>
      <c r="M11" s="232" t="s">
        <v>118</v>
      </c>
      <c r="N11" s="229"/>
      <c r="O11" s="226">
        <v>2.7189999999999999E-5</v>
      </c>
      <c r="P11" s="227">
        <f>O11</f>
        <v>2.7189999999999999E-5</v>
      </c>
      <c r="Q11" s="228">
        <f>O11</f>
        <v>2.7189999999999999E-5</v>
      </c>
      <c r="R11" s="173"/>
      <c r="S11" s="223" t="s">
        <v>401</v>
      </c>
      <c r="T11" s="233"/>
      <c r="U11" s="224" t="s">
        <v>402</v>
      </c>
      <c r="V11" s="223" t="str">
        <f>S11</f>
        <v>DEFRA (2021 c)</v>
      </c>
      <c r="W11" s="233"/>
      <c r="X11" s="224" t="str">
        <f>U11</f>
        <v>DEFRA (2021 d)</v>
      </c>
      <c r="Y11" s="223" t="str">
        <f>V11</f>
        <v>DEFRA (2021 c)</v>
      </c>
      <c r="Z11" s="233"/>
      <c r="AA11" s="224" t="str">
        <f>X11</f>
        <v>DEFRA (2021 d)</v>
      </c>
      <c r="AB11" s="225"/>
      <c r="AC11" s="3"/>
    </row>
    <row r="12" spans="2:29" x14ac:dyDescent="0.2">
      <c r="B12" s="180"/>
      <c r="C12" s="180"/>
      <c r="D12" s="3" t="s">
        <v>124</v>
      </c>
      <c r="E12" s="3" t="s">
        <v>42</v>
      </c>
      <c r="F12" s="3"/>
      <c r="G12" s="226" t="s">
        <v>188</v>
      </c>
      <c r="H12" s="227" t="s">
        <v>188</v>
      </c>
      <c r="I12" s="228" t="s">
        <v>188</v>
      </c>
      <c r="J12" s="227"/>
      <c r="K12" s="230" t="s">
        <v>188</v>
      </c>
      <c r="L12" s="231" t="s">
        <v>188</v>
      </c>
      <c r="M12" s="232" t="s">
        <v>188</v>
      </c>
      <c r="N12" s="229"/>
      <c r="O12" s="226" t="s">
        <v>188</v>
      </c>
      <c r="P12" s="227" t="s">
        <v>188</v>
      </c>
      <c r="Q12" s="228" t="s">
        <v>188</v>
      </c>
      <c r="R12" s="173"/>
      <c r="S12" s="223"/>
      <c r="T12" s="233"/>
      <c r="U12" s="224"/>
      <c r="V12" s="223"/>
      <c r="W12" s="233"/>
      <c r="X12" s="224"/>
      <c r="Y12" s="223"/>
      <c r="Z12" s="233"/>
      <c r="AA12" s="224"/>
      <c r="AB12" s="225"/>
      <c r="AC12" s="3"/>
    </row>
    <row r="13" spans="2:29" x14ac:dyDescent="0.2">
      <c r="B13" s="180"/>
      <c r="C13" s="180"/>
      <c r="D13" s="182" t="s">
        <v>34</v>
      </c>
      <c r="E13" s="3" t="s">
        <v>41</v>
      </c>
      <c r="F13" s="3"/>
      <c r="G13" s="226">
        <v>2.6580855599999996E-3</v>
      </c>
      <c r="H13" s="227">
        <f>G13</f>
        <v>2.6580855599999996E-3</v>
      </c>
      <c r="I13" s="228">
        <f>G13</f>
        <v>2.6580855599999996E-3</v>
      </c>
      <c r="J13" s="229"/>
      <c r="K13" s="230" t="s">
        <v>118</v>
      </c>
      <c r="L13" s="231" t="s">
        <v>118</v>
      </c>
      <c r="M13" s="232" t="s">
        <v>118</v>
      </c>
      <c r="N13" s="229"/>
      <c r="O13" s="226">
        <v>4.6962396000000008E-4</v>
      </c>
      <c r="P13" s="227">
        <f t="shared" si="0"/>
        <v>4.6962396000000008E-4</v>
      </c>
      <c r="Q13" s="228">
        <f t="shared" si="1"/>
        <v>4.6962396000000008E-4</v>
      </c>
      <c r="R13" s="173"/>
      <c r="S13" s="223" t="s">
        <v>395</v>
      </c>
      <c r="T13" s="233"/>
      <c r="U13" s="224" t="s">
        <v>404</v>
      </c>
      <c r="V13" s="223" t="str">
        <f>S13</f>
        <v>DEHSt (2022)</v>
      </c>
      <c r="W13" s="233"/>
      <c r="X13" s="224" t="str">
        <f>U13</f>
        <v>GEMIS (2019)</v>
      </c>
      <c r="Y13" s="223" t="str">
        <f>V13</f>
        <v>DEHSt (2022)</v>
      </c>
      <c r="Z13" s="233"/>
      <c r="AA13" s="224" t="str">
        <f>X13</f>
        <v>GEMIS (2019)</v>
      </c>
      <c r="AB13" s="225"/>
      <c r="AC13" s="3"/>
    </row>
    <row r="14" spans="2:29" x14ac:dyDescent="0.2">
      <c r="B14" s="180"/>
      <c r="C14" s="180"/>
      <c r="D14" s="182"/>
      <c r="E14" s="3"/>
      <c r="F14" s="3"/>
      <c r="G14" s="226"/>
      <c r="H14" s="229"/>
      <c r="I14" s="220"/>
      <c r="J14" s="229"/>
      <c r="K14" s="230"/>
      <c r="L14" s="231"/>
      <c r="M14" s="232"/>
      <c r="N14" s="229"/>
      <c r="O14" s="226"/>
      <c r="P14" s="227"/>
      <c r="Q14" s="228"/>
      <c r="R14" s="173"/>
      <c r="S14" s="223"/>
      <c r="T14" s="3"/>
      <c r="U14" s="224"/>
      <c r="V14" s="223"/>
      <c r="W14" s="3"/>
      <c r="X14" s="224"/>
      <c r="Y14" s="223"/>
      <c r="Z14" s="3"/>
      <c r="AA14" s="224"/>
      <c r="AB14" s="225"/>
      <c r="AC14" s="3"/>
    </row>
    <row r="15" spans="2:29" x14ac:dyDescent="0.2">
      <c r="B15" s="180"/>
      <c r="C15" s="180"/>
      <c r="D15" s="182" t="s">
        <v>45</v>
      </c>
      <c r="E15" s="3" t="s">
        <v>41</v>
      </c>
      <c r="F15" s="3"/>
      <c r="G15" s="230" t="s">
        <v>118</v>
      </c>
      <c r="H15" s="231" t="s">
        <v>118</v>
      </c>
      <c r="I15" s="232" t="s">
        <v>118</v>
      </c>
      <c r="J15" s="229"/>
      <c r="K15" s="230" t="s">
        <v>118</v>
      </c>
      <c r="L15" s="231" t="s">
        <v>118</v>
      </c>
      <c r="M15" s="232" t="s">
        <v>118</v>
      </c>
      <c r="N15" s="229"/>
      <c r="O15" s="226">
        <v>3.1277095199999999E-3</v>
      </c>
      <c r="P15" s="227">
        <f t="shared" si="0"/>
        <v>3.1277095199999999E-3</v>
      </c>
      <c r="Q15" s="228">
        <f t="shared" si="1"/>
        <v>3.1277095199999999E-3</v>
      </c>
      <c r="R15" s="173"/>
      <c r="S15" s="223"/>
      <c r="T15" s="233"/>
      <c r="U15" s="224" t="s">
        <v>404</v>
      </c>
      <c r="V15" s="223"/>
      <c r="W15" s="233"/>
      <c r="X15" s="224" t="str">
        <f>U15</f>
        <v>GEMIS (2019)</v>
      </c>
      <c r="Y15" s="223"/>
      <c r="Z15" s="233"/>
      <c r="AA15" s="224" t="str">
        <f>X15</f>
        <v>GEMIS (2019)</v>
      </c>
      <c r="AB15" s="225"/>
      <c r="AC15" s="3"/>
    </row>
    <row r="16" spans="2:29" x14ac:dyDescent="0.2">
      <c r="B16" s="180"/>
      <c r="C16" s="180"/>
      <c r="D16" s="182" t="s">
        <v>46</v>
      </c>
      <c r="E16" s="3" t="s">
        <v>41</v>
      </c>
      <c r="F16" s="3"/>
      <c r="G16" s="230" t="s">
        <v>118</v>
      </c>
      <c r="H16" s="231" t="s">
        <v>118</v>
      </c>
      <c r="I16" s="232" t="s">
        <v>118</v>
      </c>
      <c r="J16" s="229"/>
      <c r="K16" s="230" t="s">
        <v>118</v>
      </c>
      <c r="L16" s="231" t="s">
        <v>118</v>
      </c>
      <c r="M16" s="232" t="s">
        <v>118</v>
      </c>
      <c r="N16" s="229"/>
      <c r="O16" s="226">
        <v>3.1277095199999999E-3</v>
      </c>
      <c r="P16" s="227">
        <f t="shared" si="0"/>
        <v>3.1277095199999999E-3</v>
      </c>
      <c r="Q16" s="228">
        <f t="shared" si="1"/>
        <v>3.1277095199999999E-3</v>
      </c>
      <c r="R16" s="173"/>
      <c r="S16" s="223"/>
      <c r="T16" s="233"/>
      <c r="U16" s="224" t="s">
        <v>404</v>
      </c>
      <c r="V16" s="223"/>
      <c r="W16" s="233"/>
      <c r="X16" s="224" t="str">
        <f>U16</f>
        <v>GEMIS (2019)</v>
      </c>
      <c r="Y16" s="223"/>
      <c r="Z16" s="233"/>
      <c r="AA16" s="224" t="str">
        <f>X16</f>
        <v>GEMIS (2019)</v>
      </c>
      <c r="AB16" s="225"/>
      <c r="AC16" s="3"/>
    </row>
    <row r="17" spans="2:29" x14ac:dyDescent="0.2">
      <c r="B17" s="180"/>
      <c r="C17" s="180"/>
      <c r="D17" s="3"/>
      <c r="E17" s="3"/>
      <c r="F17" s="3"/>
      <c r="G17" s="226"/>
      <c r="H17" s="229"/>
      <c r="I17" s="228"/>
      <c r="J17" s="229"/>
      <c r="K17" s="226"/>
      <c r="L17" s="229"/>
      <c r="M17" s="228"/>
      <c r="N17" s="229"/>
      <c r="O17" s="226"/>
      <c r="P17" s="227"/>
      <c r="Q17" s="228"/>
      <c r="R17" s="173"/>
      <c r="S17" s="223"/>
      <c r="T17" s="3"/>
      <c r="U17" s="224"/>
      <c r="V17" s="223"/>
      <c r="W17" s="3"/>
      <c r="X17" s="224"/>
      <c r="Y17" s="223"/>
      <c r="Z17" s="3"/>
      <c r="AA17" s="224"/>
      <c r="AB17" s="225"/>
      <c r="AC17" s="3"/>
    </row>
    <row r="18" spans="2:29" x14ac:dyDescent="0.2">
      <c r="B18" s="8"/>
      <c r="C18" s="8" t="s">
        <v>68</v>
      </c>
      <c r="D18" s="8"/>
      <c r="E18" s="3"/>
      <c r="F18" s="3"/>
      <c r="G18" s="226"/>
      <c r="H18" s="229"/>
      <c r="I18" s="228"/>
      <c r="J18" s="229"/>
      <c r="K18" s="226"/>
      <c r="L18" s="229"/>
      <c r="M18" s="228"/>
      <c r="N18" s="229"/>
      <c r="O18" s="226"/>
      <c r="P18" s="227"/>
      <c r="Q18" s="228"/>
      <c r="R18" s="173"/>
      <c r="S18" s="223"/>
      <c r="T18" s="3"/>
      <c r="U18" s="224"/>
      <c r="V18" s="223"/>
      <c r="W18" s="3"/>
      <c r="X18" s="224"/>
      <c r="Y18" s="223"/>
      <c r="Z18" s="3"/>
      <c r="AA18" s="224"/>
      <c r="AB18" s="225"/>
      <c r="AC18" s="3"/>
    </row>
    <row r="19" spans="2:29" ht="14.25" x14ac:dyDescent="0.2">
      <c r="B19" s="180"/>
      <c r="C19" s="180"/>
      <c r="D19" s="3" t="s">
        <v>412</v>
      </c>
      <c r="E19" s="3" t="s">
        <v>48</v>
      </c>
      <c r="F19" s="3"/>
      <c r="G19" s="230" t="s">
        <v>118</v>
      </c>
      <c r="H19" s="231" t="s">
        <v>118</v>
      </c>
      <c r="I19" s="232" t="s">
        <v>118</v>
      </c>
      <c r="J19" s="229"/>
      <c r="K19" s="230" t="s">
        <v>118</v>
      </c>
      <c r="L19" s="231" t="s">
        <v>118</v>
      </c>
      <c r="M19" s="232" t="s">
        <v>118</v>
      </c>
      <c r="N19" s="229"/>
      <c r="O19" s="226">
        <v>0.66500000000000004</v>
      </c>
      <c r="P19" s="234">
        <f t="shared" si="0"/>
        <v>0.66500000000000004</v>
      </c>
      <c r="Q19" s="235">
        <f t="shared" si="1"/>
        <v>0.66500000000000004</v>
      </c>
      <c r="R19" s="173"/>
      <c r="S19" s="223"/>
      <c r="T19" s="3"/>
      <c r="U19" s="224" t="s">
        <v>378</v>
      </c>
      <c r="V19" s="223"/>
      <c r="W19" s="3"/>
      <c r="X19" s="224" t="str">
        <f>U19</f>
        <v>EPD-VDZ-20220153-IAG1-DE</v>
      </c>
      <c r="Y19" s="223"/>
      <c r="Z19" s="3"/>
      <c r="AA19" s="224" t="str">
        <f>X19</f>
        <v>EPD-VDZ-20220153-IAG1-DE</v>
      </c>
      <c r="AB19" s="225" t="s">
        <v>398</v>
      </c>
      <c r="AC19" s="3"/>
    </row>
    <row r="20" spans="2:29" ht="14.25" x14ac:dyDescent="0.2">
      <c r="B20" s="180"/>
      <c r="C20" s="180"/>
      <c r="D20" s="3" t="s">
        <v>413</v>
      </c>
      <c r="E20" s="3" t="s">
        <v>48</v>
      </c>
      <c r="F20" s="3"/>
      <c r="G20" s="230" t="s">
        <v>118</v>
      </c>
      <c r="H20" s="231" t="s">
        <v>118</v>
      </c>
      <c r="I20" s="232" t="s">
        <v>118</v>
      </c>
      <c r="J20" s="229"/>
      <c r="K20" s="230" t="s">
        <v>118</v>
      </c>
      <c r="L20" s="231" t="s">
        <v>118</v>
      </c>
      <c r="M20" s="232" t="s">
        <v>118</v>
      </c>
      <c r="N20" s="229"/>
      <c r="O20" s="226">
        <v>0.55300000000000005</v>
      </c>
      <c r="P20" s="234">
        <f t="shared" si="0"/>
        <v>0.55300000000000005</v>
      </c>
      <c r="Q20" s="235">
        <f t="shared" si="1"/>
        <v>0.55300000000000005</v>
      </c>
      <c r="R20" s="173"/>
      <c r="S20" s="223"/>
      <c r="T20" s="3"/>
      <c r="U20" s="224" t="s">
        <v>379</v>
      </c>
      <c r="V20" s="223"/>
      <c r="W20" s="3"/>
      <c r="X20" s="224" t="str">
        <f>U20</f>
        <v>EPD-VDZ-20210336-IAG1-DE</v>
      </c>
      <c r="Y20" s="223"/>
      <c r="Z20" s="3"/>
      <c r="AA20" s="224" t="str">
        <f>X20</f>
        <v>EPD-VDZ-20210336-IAG1-DE</v>
      </c>
      <c r="AB20" s="225" t="s">
        <v>398</v>
      </c>
      <c r="AC20" s="3"/>
    </row>
    <row r="21" spans="2:29" ht="14.25" x14ac:dyDescent="0.2">
      <c r="B21" s="180"/>
      <c r="C21" s="180"/>
      <c r="D21" s="3" t="s">
        <v>414</v>
      </c>
      <c r="E21" s="3" t="s">
        <v>48</v>
      </c>
      <c r="F21" s="3"/>
      <c r="G21" s="230" t="s">
        <v>118</v>
      </c>
      <c r="H21" s="231" t="s">
        <v>118</v>
      </c>
      <c r="I21" s="232" t="s">
        <v>118</v>
      </c>
      <c r="J21" s="229"/>
      <c r="K21" s="230" t="s">
        <v>118</v>
      </c>
      <c r="L21" s="231" t="s">
        <v>118</v>
      </c>
      <c r="M21" s="232" t="s">
        <v>118</v>
      </c>
      <c r="N21" s="229"/>
      <c r="O21" s="226">
        <v>0.84499999999999997</v>
      </c>
      <c r="P21" s="234">
        <f t="shared" si="0"/>
        <v>0.84499999999999997</v>
      </c>
      <c r="Q21" s="235">
        <f t="shared" si="1"/>
        <v>0.84499999999999997</v>
      </c>
      <c r="R21" s="173"/>
      <c r="S21" s="223"/>
      <c r="T21" s="3"/>
      <c r="U21" s="333" t="s">
        <v>458</v>
      </c>
      <c r="V21" s="223"/>
      <c r="W21" s="3"/>
      <c r="X21" s="224" t="str">
        <f>U21</f>
        <v>Dyckerhoff GmbH (2021)</v>
      </c>
      <c r="Y21" s="223"/>
      <c r="Z21" s="3"/>
      <c r="AA21" s="224" t="str">
        <f>X21</f>
        <v>Dyckerhoff GmbH (2021)</v>
      </c>
      <c r="AB21" s="225" t="s">
        <v>398</v>
      </c>
      <c r="AC21" s="3"/>
    </row>
    <row r="22" spans="2:29" x14ac:dyDescent="0.2">
      <c r="B22" s="180"/>
      <c r="C22" s="180"/>
      <c r="D22" s="3" t="s">
        <v>161</v>
      </c>
      <c r="E22" s="3" t="s">
        <v>48</v>
      </c>
      <c r="F22" s="3"/>
      <c r="G22" s="230" t="s">
        <v>188</v>
      </c>
      <c r="H22" s="231" t="s">
        <v>188</v>
      </c>
      <c r="I22" s="232" t="s">
        <v>188</v>
      </c>
      <c r="J22" s="229"/>
      <c r="K22" s="230" t="s">
        <v>188</v>
      </c>
      <c r="L22" s="231" t="s">
        <v>188</v>
      </c>
      <c r="M22" s="232" t="s">
        <v>188</v>
      </c>
      <c r="N22" s="229"/>
      <c r="O22" s="236" t="s">
        <v>188</v>
      </c>
      <c r="P22" s="234" t="s">
        <v>188</v>
      </c>
      <c r="Q22" s="235" t="s">
        <v>188</v>
      </c>
      <c r="R22" s="173"/>
      <c r="S22" s="223"/>
      <c r="T22" s="3"/>
      <c r="U22" s="224"/>
      <c r="V22" s="223"/>
      <c r="W22" s="3"/>
      <c r="X22" s="224"/>
      <c r="Y22" s="223"/>
      <c r="Z22" s="3"/>
      <c r="AA22" s="224"/>
      <c r="AB22" s="225"/>
      <c r="AC22" s="3"/>
    </row>
    <row r="23" spans="2:29" x14ac:dyDescent="0.2">
      <c r="B23" s="180"/>
      <c r="C23" s="180"/>
      <c r="D23" s="3"/>
      <c r="E23" s="3"/>
      <c r="F23" s="3"/>
      <c r="G23" s="230"/>
      <c r="H23" s="231"/>
      <c r="I23" s="232"/>
      <c r="J23" s="229"/>
      <c r="K23" s="230"/>
      <c r="L23" s="231"/>
      <c r="M23" s="232"/>
      <c r="N23" s="229"/>
      <c r="O23" s="236"/>
      <c r="P23" s="234"/>
      <c r="Q23" s="235"/>
      <c r="R23" s="173"/>
      <c r="S23" s="223"/>
      <c r="T23" s="3"/>
      <c r="U23" s="224"/>
      <c r="V23" s="223"/>
      <c r="W23" s="3"/>
      <c r="X23" s="224"/>
      <c r="Y23" s="223"/>
      <c r="Z23" s="3"/>
      <c r="AA23" s="224"/>
      <c r="AB23" s="225"/>
      <c r="AC23" s="3"/>
    </row>
    <row r="24" spans="2:29" x14ac:dyDescent="0.2">
      <c r="B24" s="180"/>
      <c r="C24" s="8" t="s">
        <v>177</v>
      </c>
      <c r="D24" s="3"/>
      <c r="E24" s="3"/>
      <c r="F24" s="3"/>
      <c r="G24" s="230"/>
      <c r="H24" s="231"/>
      <c r="I24" s="232"/>
      <c r="J24" s="229"/>
      <c r="K24" s="230"/>
      <c r="L24" s="231"/>
      <c r="M24" s="232"/>
      <c r="N24" s="229"/>
      <c r="O24" s="236"/>
      <c r="P24" s="234"/>
      <c r="Q24" s="235"/>
      <c r="R24" s="173"/>
      <c r="S24" s="223"/>
      <c r="T24" s="3"/>
      <c r="U24" s="224"/>
      <c r="V24" s="223"/>
      <c r="W24" s="3"/>
      <c r="X24" s="224"/>
      <c r="Y24" s="223"/>
      <c r="Z24" s="3"/>
      <c r="AA24" s="224"/>
      <c r="AB24" s="225"/>
      <c r="AC24" s="3"/>
    </row>
    <row r="25" spans="2:29" x14ac:dyDescent="0.2">
      <c r="B25" s="180"/>
      <c r="C25" s="180"/>
      <c r="D25" s="3" t="s">
        <v>178</v>
      </c>
      <c r="E25" s="3" t="s">
        <v>48</v>
      </c>
      <c r="F25" s="3"/>
      <c r="G25" s="230" t="s">
        <v>118</v>
      </c>
      <c r="H25" s="231" t="s">
        <v>118</v>
      </c>
      <c r="I25" s="232" t="s">
        <v>118</v>
      </c>
      <c r="J25" s="229"/>
      <c r="K25" s="230" t="s">
        <v>118</v>
      </c>
      <c r="L25" s="231" t="s">
        <v>118</v>
      </c>
      <c r="M25" s="232" t="s">
        <v>118</v>
      </c>
      <c r="N25" s="229"/>
      <c r="O25" s="226">
        <v>4.8500000000000001E-3</v>
      </c>
      <c r="P25" s="227">
        <f>O25</f>
        <v>4.8500000000000001E-3</v>
      </c>
      <c r="Q25" s="228">
        <f>O25</f>
        <v>4.8500000000000001E-3</v>
      </c>
      <c r="R25" s="173"/>
      <c r="S25" s="223"/>
      <c r="T25" s="3"/>
      <c r="U25" s="224" t="s">
        <v>410</v>
      </c>
      <c r="V25" s="223"/>
      <c r="W25" s="3"/>
      <c r="X25" s="224" t="str">
        <f>U25</f>
        <v>BAFA (2021 a)</v>
      </c>
      <c r="Y25" s="223"/>
      <c r="Z25" s="3"/>
      <c r="AA25" s="224" t="str">
        <f>X25</f>
        <v>BAFA (2021 a)</v>
      </c>
      <c r="AB25" s="225"/>
      <c r="AC25" s="3"/>
    </row>
    <row r="26" spans="2:29" x14ac:dyDescent="0.2">
      <c r="B26" s="180"/>
      <c r="C26" s="180"/>
      <c r="D26" s="3" t="s">
        <v>179</v>
      </c>
      <c r="E26" s="3" t="s">
        <v>48</v>
      </c>
      <c r="F26" s="3"/>
      <c r="G26" s="230" t="s">
        <v>188</v>
      </c>
      <c r="H26" s="231" t="s">
        <v>188</v>
      </c>
      <c r="I26" s="232" t="s">
        <v>188</v>
      </c>
      <c r="J26" s="229"/>
      <c r="K26" s="230" t="s">
        <v>188</v>
      </c>
      <c r="L26" s="231" t="s">
        <v>188</v>
      </c>
      <c r="M26" s="232" t="s">
        <v>188</v>
      </c>
      <c r="N26" s="229"/>
      <c r="O26" s="236" t="s">
        <v>188</v>
      </c>
      <c r="P26" s="234" t="s">
        <v>188</v>
      </c>
      <c r="Q26" s="235" t="s">
        <v>188</v>
      </c>
      <c r="R26" s="173"/>
      <c r="S26" s="223"/>
      <c r="T26" s="3"/>
      <c r="U26" s="224"/>
      <c r="V26" s="223"/>
      <c r="W26" s="3"/>
      <c r="X26" s="224"/>
      <c r="Y26" s="223"/>
      <c r="Z26" s="3"/>
      <c r="AA26" s="224"/>
      <c r="AB26" s="225"/>
      <c r="AC26" s="3"/>
    </row>
    <row r="27" spans="2:29" x14ac:dyDescent="0.2">
      <c r="B27" s="180"/>
      <c r="C27" s="180"/>
      <c r="D27" s="3" t="s">
        <v>180</v>
      </c>
      <c r="E27" s="3" t="s">
        <v>48</v>
      </c>
      <c r="F27" s="3"/>
      <c r="G27" s="230" t="s">
        <v>188</v>
      </c>
      <c r="H27" s="231" t="s">
        <v>188</v>
      </c>
      <c r="I27" s="232" t="s">
        <v>188</v>
      </c>
      <c r="J27" s="229"/>
      <c r="K27" s="230" t="s">
        <v>188</v>
      </c>
      <c r="L27" s="231" t="s">
        <v>188</v>
      </c>
      <c r="M27" s="232" t="s">
        <v>188</v>
      </c>
      <c r="N27" s="229"/>
      <c r="O27" s="236" t="s">
        <v>188</v>
      </c>
      <c r="P27" s="234" t="s">
        <v>188</v>
      </c>
      <c r="Q27" s="235" t="s">
        <v>188</v>
      </c>
      <c r="R27" s="173"/>
      <c r="S27" s="223"/>
      <c r="T27" s="3"/>
      <c r="U27" s="224"/>
      <c r="V27" s="223"/>
      <c r="W27" s="3"/>
      <c r="X27" s="224"/>
      <c r="Y27" s="223"/>
      <c r="Z27" s="3"/>
      <c r="AA27" s="224"/>
      <c r="AB27" s="225"/>
      <c r="AC27" s="3"/>
    </row>
    <row r="28" spans="2:29" x14ac:dyDescent="0.2">
      <c r="B28" s="180"/>
      <c r="C28" s="180"/>
      <c r="D28" s="3"/>
      <c r="E28" s="3"/>
      <c r="F28" s="3"/>
      <c r="G28" s="230"/>
      <c r="H28" s="231"/>
      <c r="I28" s="232"/>
      <c r="J28" s="229"/>
      <c r="K28" s="230"/>
      <c r="L28" s="231"/>
      <c r="M28" s="232"/>
      <c r="N28" s="229"/>
      <c r="O28" s="236"/>
      <c r="P28" s="234"/>
      <c r="Q28" s="235"/>
      <c r="R28" s="173"/>
      <c r="S28" s="223"/>
      <c r="T28" s="3"/>
      <c r="U28" s="224"/>
      <c r="V28" s="223"/>
      <c r="W28" s="3"/>
      <c r="X28" s="224"/>
      <c r="Y28" s="223"/>
      <c r="Z28" s="3"/>
      <c r="AA28" s="224"/>
      <c r="AB28" s="225"/>
      <c r="AC28" s="3"/>
    </row>
    <row r="29" spans="2:29" x14ac:dyDescent="0.2">
      <c r="B29" s="180"/>
      <c r="C29" s="180"/>
      <c r="D29" s="3" t="s">
        <v>57</v>
      </c>
      <c r="E29" s="3" t="s">
        <v>48</v>
      </c>
      <c r="F29" s="3"/>
      <c r="G29" s="230" t="s">
        <v>118</v>
      </c>
      <c r="H29" s="231" t="s">
        <v>118</v>
      </c>
      <c r="I29" s="232" t="s">
        <v>118</v>
      </c>
      <c r="J29" s="229"/>
      <c r="K29" s="230" t="s">
        <v>118</v>
      </c>
      <c r="L29" s="231" t="s">
        <v>118</v>
      </c>
      <c r="M29" s="232" t="s">
        <v>118</v>
      </c>
      <c r="N29" s="229"/>
      <c r="O29" s="226">
        <f>2.3+30%</f>
        <v>2.5999999999999996</v>
      </c>
      <c r="P29" s="227">
        <f>O29</f>
        <v>2.5999999999999996</v>
      </c>
      <c r="Q29" s="228">
        <f>O29</f>
        <v>2.5999999999999996</v>
      </c>
      <c r="R29" s="173"/>
      <c r="S29" s="223"/>
      <c r="T29" s="3"/>
      <c r="U29" s="224" t="s">
        <v>408</v>
      </c>
      <c r="V29" s="223"/>
      <c r="W29" s="3"/>
      <c r="X29" s="224" t="str">
        <f>U29</f>
        <v>Eurocolour (2022)</v>
      </c>
      <c r="Y29" s="223"/>
      <c r="Z29" s="3"/>
      <c r="AA29" s="224" t="str">
        <f>X29</f>
        <v>Eurocolour (2022)</v>
      </c>
      <c r="AB29" s="237"/>
      <c r="AC29" s="3"/>
    </row>
    <row r="30" spans="2:29" x14ac:dyDescent="0.2">
      <c r="B30" s="180"/>
      <c r="C30" s="180"/>
      <c r="D30" s="3"/>
      <c r="E30" s="3"/>
      <c r="F30" s="3"/>
      <c r="G30" s="230"/>
      <c r="H30" s="231"/>
      <c r="I30" s="232"/>
      <c r="J30" s="229"/>
      <c r="K30" s="230"/>
      <c r="L30" s="231"/>
      <c r="M30" s="232"/>
      <c r="N30" s="229"/>
      <c r="O30" s="236"/>
      <c r="P30" s="234"/>
      <c r="Q30" s="235"/>
      <c r="R30" s="173"/>
      <c r="S30" s="223"/>
      <c r="T30" s="3"/>
      <c r="U30" s="224"/>
      <c r="V30" s="223"/>
      <c r="W30" s="3"/>
      <c r="X30" s="224"/>
      <c r="Y30" s="223"/>
      <c r="Z30" s="3"/>
      <c r="AA30" s="224"/>
      <c r="AB30" s="225"/>
      <c r="AC30" s="3"/>
    </row>
    <row r="31" spans="2:29" x14ac:dyDescent="0.2">
      <c r="B31" s="180"/>
      <c r="C31" s="8" t="s">
        <v>181</v>
      </c>
      <c r="D31" s="3"/>
      <c r="E31" s="3"/>
      <c r="F31" s="3"/>
      <c r="G31" s="230"/>
      <c r="H31" s="231"/>
      <c r="I31" s="232"/>
      <c r="J31" s="229"/>
      <c r="K31" s="230"/>
      <c r="L31" s="231"/>
      <c r="M31" s="232"/>
      <c r="N31" s="229"/>
      <c r="O31" s="236"/>
      <c r="P31" s="234"/>
      <c r="Q31" s="235"/>
      <c r="R31" s="173"/>
      <c r="S31" s="223"/>
      <c r="T31" s="3"/>
      <c r="U31" s="224"/>
      <c r="V31" s="223"/>
      <c r="W31" s="3"/>
      <c r="X31" s="224"/>
      <c r="Y31" s="223"/>
      <c r="Z31" s="3"/>
      <c r="AA31" s="224"/>
      <c r="AB31" s="225"/>
      <c r="AC31" s="3"/>
    </row>
    <row r="32" spans="2:29" x14ac:dyDescent="0.2">
      <c r="B32" s="180"/>
      <c r="C32" s="180"/>
      <c r="D32" s="3" t="s">
        <v>59</v>
      </c>
      <c r="E32" s="3" t="s">
        <v>48</v>
      </c>
      <c r="F32" s="3"/>
      <c r="G32" s="230" t="s">
        <v>118</v>
      </c>
      <c r="H32" s="231" t="s">
        <v>118</v>
      </c>
      <c r="I32" s="232" t="s">
        <v>118</v>
      </c>
      <c r="J32" s="229"/>
      <c r="K32" s="230" t="s">
        <v>118</v>
      </c>
      <c r="L32" s="231" t="s">
        <v>118</v>
      </c>
      <c r="M32" s="232" t="s">
        <v>118</v>
      </c>
      <c r="N32" s="229"/>
      <c r="O32" s="226">
        <v>0.19800000000000001</v>
      </c>
      <c r="P32" s="227">
        <f>O32</f>
        <v>0.19800000000000001</v>
      </c>
      <c r="Q32" s="228">
        <f>O32</f>
        <v>0.19800000000000001</v>
      </c>
      <c r="R32" s="173"/>
      <c r="S32" s="223"/>
      <c r="T32" s="3"/>
      <c r="U32" s="224" t="s">
        <v>477</v>
      </c>
      <c r="V32" s="223"/>
      <c r="W32" s="3"/>
      <c r="X32" s="224" t="str">
        <f>U32</f>
        <v>EPD-Baumineral-021-DE</v>
      </c>
      <c r="Y32" s="223"/>
      <c r="Z32" s="3"/>
      <c r="AA32" s="224" t="str">
        <f>X32</f>
        <v>EPD-Baumineral-021-DE</v>
      </c>
      <c r="AB32" s="225"/>
      <c r="AC32" s="3"/>
    </row>
    <row r="33" spans="2:29" x14ac:dyDescent="0.2">
      <c r="B33" s="180"/>
      <c r="C33" s="180"/>
      <c r="D33" s="3" t="s">
        <v>60</v>
      </c>
      <c r="E33" s="3" t="s">
        <v>48</v>
      </c>
      <c r="F33" s="3"/>
      <c r="G33" s="230" t="s">
        <v>118</v>
      </c>
      <c r="H33" s="231" t="s">
        <v>118</v>
      </c>
      <c r="I33" s="232" t="s">
        <v>118</v>
      </c>
      <c r="J33" s="229"/>
      <c r="K33" s="230" t="s">
        <v>118</v>
      </c>
      <c r="L33" s="231" t="s">
        <v>118</v>
      </c>
      <c r="M33" s="232" t="s">
        <v>118</v>
      </c>
      <c r="N33" s="229"/>
      <c r="O33" s="226">
        <v>4.342E-2</v>
      </c>
      <c r="P33" s="227">
        <f>O33</f>
        <v>4.342E-2</v>
      </c>
      <c r="Q33" s="228">
        <f>O33</f>
        <v>4.342E-2</v>
      </c>
      <c r="R33" s="173"/>
      <c r="S33" s="223"/>
      <c r="T33" s="3"/>
      <c r="U33" s="224" t="s">
        <v>409</v>
      </c>
      <c r="V33" s="223"/>
      <c r="W33" s="3"/>
      <c r="X33" s="224" t="str">
        <f>U33</f>
        <v>BAFA (2021 b)</v>
      </c>
      <c r="Y33" s="223"/>
      <c r="Z33" s="3"/>
      <c r="AA33" s="224" t="str">
        <f>X33</f>
        <v>BAFA (2021 b)</v>
      </c>
      <c r="AB33" s="225"/>
      <c r="AC33" s="3"/>
    </row>
    <row r="34" spans="2:29" x14ac:dyDescent="0.2">
      <c r="B34" s="180"/>
      <c r="C34" s="180"/>
      <c r="D34" s="3" t="s">
        <v>61</v>
      </c>
      <c r="E34" s="3" t="s">
        <v>48</v>
      </c>
      <c r="F34" s="3"/>
      <c r="G34" s="230" t="s">
        <v>118</v>
      </c>
      <c r="H34" s="231" t="s">
        <v>118</v>
      </c>
      <c r="I34" s="232" t="s">
        <v>118</v>
      </c>
      <c r="J34" s="229"/>
      <c r="K34" s="230" t="s">
        <v>118</v>
      </c>
      <c r="L34" s="231" t="s">
        <v>118</v>
      </c>
      <c r="M34" s="232" t="s">
        <v>118</v>
      </c>
      <c r="N34" s="229"/>
      <c r="O34" s="238">
        <v>4.5199999999999997E-2</v>
      </c>
      <c r="P34" s="229">
        <f>O34</f>
        <v>4.5199999999999997E-2</v>
      </c>
      <c r="Q34" s="239">
        <f>O34</f>
        <v>4.5199999999999997E-2</v>
      </c>
      <c r="R34" s="173"/>
      <c r="S34" s="223"/>
      <c r="T34" s="3"/>
      <c r="U34" s="224" t="s">
        <v>405</v>
      </c>
      <c r="V34" s="223"/>
      <c r="W34" s="3"/>
      <c r="X34" s="224" t="str">
        <f>U34</f>
        <v>ProBas (2022 a)</v>
      </c>
      <c r="Y34" s="223"/>
      <c r="Z34" s="3"/>
      <c r="AA34" s="224" t="str">
        <f>X34</f>
        <v>ProBas (2022 a)</v>
      </c>
      <c r="AB34" s="225"/>
      <c r="AC34" s="3"/>
    </row>
    <row r="35" spans="2:29" x14ac:dyDescent="0.2">
      <c r="B35" s="180"/>
      <c r="C35" s="180"/>
      <c r="D35" s="3"/>
      <c r="E35" s="3"/>
      <c r="F35" s="3"/>
      <c r="G35" s="230"/>
      <c r="H35" s="231"/>
      <c r="I35" s="232"/>
      <c r="J35" s="229"/>
      <c r="K35" s="230"/>
      <c r="L35" s="231"/>
      <c r="M35" s="232"/>
      <c r="N35" s="229"/>
      <c r="O35" s="238"/>
      <c r="P35" s="229"/>
      <c r="Q35" s="239"/>
      <c r="R35" s="173"/>
      <c r="S35" s="223"/>
      <c r="T35" s="3"/>
      <c r="U35" s="224"/>
      <c r="V35" s="223"/>
      <c r="W35" s="3"/>
      <c r="X35" s="224"/>
      <c r="Y35" s="223"/>
      <c r="Z35" s="3"/>
      <c r="AA35" s="224"/>
      <c r="AB35" s="225"/>
      <c r="AC35" s="3"/>
    </row>
    <row r="36" spans="2:29" x14ac:dyDescent="0.2">
      <c r="B36" s="8"/>
      <c r="C36" s="8" t="s">
        <v>51</v>
      </c>
      <c r="D36" s="8"/>
      <c r="E36" s="3"/>
      <c r="F36" s="3"/>
      <c r="G36" s="226"/>
      <c r="H36" s="229"/>
      <c r="I36" s="228"/>
      <c r="J36" s="229"/>
      <c r="K36" s="226"/>
      <c r="L36" s="229"/>
      <c r="M36" s="228"/>
      <c r="N36" s="229"/>
      <c r="O36" s="240"/>
      <c r="P36" s="241"/>
      <c r="Q36" s="242"/>
      <c r="R36" s="173"/>
      <c r="S36" s="223"/>
      <c r="T36" s="3"/>
      <c r="U36" s="224"/>
      <c r="V36" s="223"/>
      <c r="W36" s="3"/>
      <c r="X36" s="224"/>
      <c r="Y36" s="223"/>
      <c r="Z36" s="3"/>
      <c r="AA36" s="224"/>
      <c r="AB36" s="225"/>
      <c r="AC36" s="3"/>
    </row>
    <row r="37" spans="2:29" x14ac:dyDescent="0.2">
      <c r="B37" s="243"/>
      <c r="C37" s="243"/>
      <c r="D37" s="244" t="s">
        <v>473</v>
      </c>
      <c r="E37" s="244" t="s">
        <v>48</v>
      </c>
      <c r="F37" s="244"/>
      <c r="G37" s="245" t="s">
        <v>118</v>
      </c>
      <c r="H37" s="246" t="s">
        <v>118</v>
      </c>
      <c r="I37" s="247" t="s">
        <v>118</v>
      </c>
      <c r="J37" s="248"/>
      <c r="K37" s="245" t="s">
        <v>118</v>
      </c>
      <c r="L37" s="246" t="s">
        <v>118</v>
      </c>
      <c r="M37" s="247" t="s">
        <v>118</v>
      </c>
      <c r="N37" s="248"/>
      <c r="O37" s="249">
        <v>1.53</v>
      </c>
      <c r="P37" s="248">
        <f t="shared" si="0"/>
        <v>1.53</v>
      </c>
      <c r="Q37" s="250">
        <f t="shared" si="1"/>
        <v>1.53</v>
      </c>
      <c r="R37" s="173"/>
      <c r="S37" s="223"/>
      <c r="T37" s="3"/>
      <c r="U37" s="224" t="s">
        <v>393</v>
      </c>
      <c r="V37" s="223"/>
      <c r="W37" s="3"/>
      <c r="X37" s="224" t="str">
        <f>U37</f>
        <v>Institut Bauen und Umwelt e. V. - EPD</v>
      </c>
      <c r="Y37" s="223"/>
      <c r="Z37" s="3"/>
      <c r="AA37" s="224" t="str">
        <f>X37</f>
        <v>Institut Bauen und Umwelt e. V. - EPD</v>
      </c>
      <c r="AB37" s="225"/>
      <c r="AC37" s="3"/>
    </row>
    <row r="38" spans="2:29" x14ac:dyDescent="0.2">
      <c r="B38" s="243"/>
      <c r="C38" s="243"/>
      <c r="D38" s="244" t="s">
        <v>474</v>
      </c>
      <c r="E38" s="244" t="s">
        <v>48</v>
      </c>
      <c r="F38" s="244"/>
      <c r="G38" s="245" t="s">
        <v>118</v>
      </c>
      <c r="H38" s="246" t="s">
        <v>118</v>
      </c>
      <c r="I38" s="247" t="s">
        <v>118</v>
      </c>
      <c r="J38" s="248"/>
      <c r="K38" s="245" t="s">
        <v>118</v>
      </c>
      <c r="L38" s="246" t="s">
        <v>118</v>
      </c>
      <c r="M38" s="247" t="s">
        <v>118</v>
      </c>
      <c r="N38" s="248"/>
      <c r="O38" s="249">
        <v>0.439</v>
      </c>
      <c r="P38" s="248">
        <f t="shared" si="0"/>
        <v>0.439</v>
      </c>
      <c r="Q38" s="250">
        <f t="shared" si="1"/>
        <v>0.439</v>
      </c>
      <c r="R38" s="173"/>
      <c r="S38" s="223"/>
      <c r="T38" s="3"/>
      <c r="U38" s="224" t="s">
        <v>393</v>
      </c>
      <c r="V38" s="223"/>
      <c r="W38" s="3"/>
      <c r="X38" s="224" t="str">
        <f>U38</f>
        <v>Institut Bauen und Umwelt e. V. - EPD</v>
      </c>
      <c r="Y38" s="223"/>
      <c r="Z38" s="3"/>
      <c r="AA38" s="224" t="str">
        <f>X38</f>
        <v>Institut Bauen und Umwelt e. V. - EPD</v>
      </c>
      <c r="AB38" s="225"/>
      <c r="AC38" s="3"/>
    </row>
    <row r="39" spans="2:29" x14ac:dyDescent="0.2">
      <c r="B39" s="243"/>
      <c r="C39" s="243"/>
      <c r="D39" s="244" t="s">
        <v>475</v>
      </c>
      <c r="E39" s="244" t="s">
        <v>48</v>
      </c>
      <c r="F39" s="244"/>
      <c r="G39" s="245" t="s">
        <v>118</v>
      </c>
      <c r="H39" s="246" t="s">
        <v>118</v>
      </c>
      <c r="I39" s="247" t="s">
        <v>118</v>
      </c>
      <c r="J39" s="248"/>
      <c r="K39" s="245" t="s">
        <v>118</v>
      </c>
      <c r="L39" s="246" t="s">
        <v>118</v>
      </c>
      <c r="M39" s="247" t="s">
        <v>118</v>
      </c>
      <c r="N39" s="248"/>
      <c r="O39" s="249">
        <v>1.23</v>
      </c>
      <c r="P39" s="248">
        <f t="shared" si="0"/>
        <v>1.23</v>
      </c>
      <c r="Q39" s="250">
        <f t="shared" si="1"/>
        <v>1.23</v>
      </c>
      <c r="R39" s="173"/>
      <c r="S39" s="223"/>
      <c r="T39" s="3"/>
      <c r="U39" s="224" t="s">
        <v>393</v>
      </c>
      <c r="V39" s="223"/>
      <c r="W39" s="3"/>
      <c r="X39" s="224" t="str">
        <f>U39</f>
        <v>Institut Bauen und Umwelt e. V. - EPD</v>
      </c>
      <c r="Y39" s="223"/>
      <c r="Z39" s="3"/>
      <c r="AA39" s="224" t="str">
        <f>X39</f>
        <v>Institut Bauen und Umwelt e. V. - EPD</v>
      </c>
      <c r="AB39" s="225"/>
      <c r="AC39" s="3"/>
    </row>
    <row r="40" spans="2:29" x14ac:dyDescent="0.2">
      <c r="B40" s="243"/>
      <c r="C40" s="243"/>
      <c r="D40" s="244" t="s">
        <v>476</v>
      </c>
      <c r="E40" s="244" t="s">
        <v>48</v>
      </c>
      <c r="F40" s="244"/>
      <c r="G40" s="245" t="s">
        <v>118</v>
      </c>
      <c r="H40" s="246" t="s">
        <v>118</v>
      </c>
      <c r="I40" s="247" t="s">
        <v>118</v>
      </c>
      <c r="J40" s="248"/>
      <c r="K40" s="245" t="s">
        <v>118</v>
      </c>
      <c r="L40" s="246" t="s">
        <v>118</v>
      </c>
      <c r="M40" s="247" t="s">
        <v>118</v>
      </c>
      <c r="N40" s="248"/>
      <c r="O40" s="249">
        <v>2.67</v>
      </c>
      <c r="P40" s="248">
        <f t="shared" si="0"/>
        <v>2.67</v>
      </c>
      <c r="Q40" s="250">
        <f t="shared" si="1"/>
        <v>2.67</v>
      </c>
      <c r="R40" s="173"/>
      <c r="S40" s="223"/>
      <c r="T40" s="3"/>
      <c r="U40" s="224" t="s">
        <v>393</v>
      </c>
      <c r="V40" s="223"/>
      <c r="W40" s="3"/>
      <c r="X40" s="224" t="str">
        <f>U40</f>
        <v>Institut Bauen und Umwelt e. V. - EPD</v>
      </c>
      <c r="Y40" s="223"/>
      <c r="Z40" s="3"/>
      <c r="AA40" s="224" t="str">
        <f>X40</f>
        <v>Institut Bauen und Umwelt e. V. - EPD</v>
      </c>
      <c r="AB40" s="225"/>
      <c r="AC40" s="3"/>
    </row>
    <row r="41" spans="2:29" x14ac:dyDescent="0.2">
      <c r="B41" s="187"/>
      <c r="C41" s="187"/>
      <c r="D41" s="186"/>
      <c r="E41" s="186"/>
      <c r="F41" s="3"/>
      <c r="G41" s="251"/>
      <c r="H41" s="229"/>
      <c r="I41" s="252"/>
      <c r="J41" s="229"/>
      <c r="K41" s="251"/>
      <c r="L41" s="229"/>
      <c r="M41" s="252"/>
      <c r="N41" s="229"/>
      <c r="O41" s="240"/>
      <c r="P41" s="241"/>
      <c r="Q41" s="242"/>
      <c r="R41" s="173"/>
      <c r="S41" s="223"/>
      <c r="T41" s="3"/>
      <c r="U41" s="224"/>
      <c r="V41" s="223"/>
      <c r="W41" s="3"/>
      <c r="X41" s="224"/>
      <c r="Y41" s="223"/>
      <c r="Z41" s="3"/>
      <c r="AA41" s="224"/>
      <c r="AB41" s="225"/>
      <c r="AC41" s="3"/>
    </row>
    <row r="42" spans="2:29" ht="14.25" x14ac:dyDescent="0.2">
      <c r="B42" s="180"/>
      <c r="C42" s="180"/>
      <c r="D42" s="244" t="s">
        <v>415</v>
      </c>
      <c r="E42" s="3" t="s">
        <v>48</v>
      </c>
      <c r="F42" s="3"/>
      <c r="G42" s="230" t="s">
        <v>118</v>
      </c>
      <c r="H42" s="231" t="s">
        <v>118</v>
      </c>
      <c r="I42" s="232" t="s">
        <v>118</v>
      </c>
      <c r="J42" s="229"/>
      <c r="K42" s="230" t="s">
        <v>118</v>
      </c>
      <c r="L42" s="231" t="s">
        <v>118</v>
      </c>
      <c r="M42" s="232" t="s">
        <v>118</v>
      </c>
      <c r="N42" s="229"/>
      <c r="O42" s="230">
        <v>0</v>
      </c>
      <c r="P42" s="231">
        <v>0</v>
      </c>
      <c r="Q42" s="232">
        <v>0</v>
      </c>
      <c r="R42" s="173"/>
      <c r="S42" s="223"/>
      <c r="T42" s="3"/>
      <c r="U42" s="224"/>
      <c r="V42" s="223"/>
      <c r="W42" s="3"/>
      <c r="X42" s="224"/>
      <c r="Y42" s="223"/>
      <c r="Z42" s="3"/>
      <c r="AA42" s="224"/>
      <c r="AB42" s="225"/>
      <c r="AC42" s="3"/>
    </row>
    <row r="43" spans="2:29" x14ac:dyDescent="0.2">
      <c r="B43" s="180"/>
      <c r="C43" s="180"/>
      <c r="D43" s="3" t="s">
        <v>64</v>
      </c>
      <c r="E43" s="3" t="s">
        <v>65</v>
      </c>
      <c r="F43" s="3"/>
      <c r="G43" s="230" t="s">
        <v>118</v>
      </c>
      <c r="H43" s="231" t="s">
        <v>118</v>
      </c>
      <c r="I43" s="232" t="s">
        <v>118</v>
      </c>
      <c r="J43" s="229"/>
      <c r="K43" s="230" t="s">
        <v>118</v>
      </c>
      <c r="L43" s="231" t="s">
        <v>118</v>
      </c>
      <c r="M43" s="232" t="s">
        <v>118</v>
      </c>
      <c r="N43" s="229"/>
      <c r="O43" s="226">
        <v>2.72E-4</v>
      </c>
      <c r="P43" s="227">
        <f>O43</f>
        <v>2.72E-4</v>
      </c>
      <c r="Q43" s="228">
        <f>O43</f>
        <v>2.72E-4</v>
      </c>
      <c r="R43" s="173"/>
      <c r="S43" s="223"/>
      <c r="T43" s="3"/>
      <c r="U43" s="224" t="s">
        <v>403</v>
      </c>
      <c r="V43" s="223"/>
      <c r="W43" s="3"/>
      <c r="X43" s="224" t="str">
        <f>U43</f>
        <v>DEFRA (2021 e)</v>
      </c>
      <c r="Y43" s="223"/>
      <c r="Z43" s="3"/>
      <c r="AA43" s="224" t="str">
        <f>X43</f>
        <v>DEFRA (2021 e)</v>
      </c>
      <c r="AB43" s="225"/>
      <c r="AC43" s="3"/>
    </row>
    <row r="44" spans="2:29" x14ac:dyDescent="0.2">
      <c r="B44" s="187"/>
      <c r="C44" s="187"/>
      <c r="D44" s="186"/>
      <c r="E44" s="186"/>
      <c r="F44" s="3"/>
      <c r="G44" s="251"/>
      <c r="H44" s="229"/>
      <c r="I44" s="252"/>
      <c r="J44" s="229"/>
      <c r="K44" s="251"/>
      <c r="L44" s="229"/>
      <c r="M44" s="252"/>
      <c r="N44" s="229"/>
      <c r="O44" s="240"/>
      <c r="P44" s="241"/>
      <c r="Q44" s="242"/>
      <c r="R44" s="173"/>
      <c r="S44" s="223"/>
      <c r="T44" s="3"/>
      <c r="U44" s="224"/>
      <c r="V44" s="223"/>
      <c r="W44" s="3"/>
      <c r="X44" s="224"/>
      <c r="Y44" s="223"/>
      <c r="Z44" s="3"/>
      <c r="AA44" s="224"/>
      <c r="AB44" s="225"/>
      <c r="AC44" s="3"/>
    </row>
    <row r="45" spans="2:29" x14ac:dyDescent="0.2">
      <c r="B45" s="187"/>
      <c r="C45" s="8" t="s">
        <v>182</v>
      </c>
      <c r="D45" s="186"/>
      <c r="E45" s="186"/>
      <c r="F45" s="3"/>
      <c r="G45" s="251"/>
      <c r="H45" s="229"/>
      <c r="I45" s="252"/>
      <c r="J45" s="229"/>
      <c r="K45" s="251"/>
      <c r="L45" s="229"/>
      <c r="M45" s="252"/>
      <c r="N45" s="229"/>
      <c r="O45" s="240"/>
      <c r="P45" s="241"/>
      <c r="Q45" s="242"/>
      <c r="R45" s="173"/>
      <c r="S45" s="223"/>
      <c r="T45" s="3"/>
      <c r="U45" s="224"/>
      <c r="V45" s="223"/>
      <c r="W45" s="3"/>
      <c r="X45" s="224"/>
      <c r="Y45" s="223"/>
      <c r="Z45" s="3"/>
      <c r="AA45" s="224"/>
      <c r="AB45" s="225"/>
      <c r="AC45" s="3"/>
    </row>
    <row r="46" spans="2:29" x14ac:dyDescent="0.2">
      <c r="B46" s="187"/>
      <c r="C46" s="187"/>
      <c r="D46" s="3" t="s">
        <v>183</v>
      </c>
      <c r="E46" s="3" t="s">
        <v>48</v>
      </c>
      <c r="F46" s="3"/>
      <c r="G46" s="230" t="s">
        <v>118</v>
      </c>
      <c r="H46" s="231" t="s">
        <v>118</v>
      </c>
      <c r="I46" s="232" t="s">
        <v>118</v>
      </c>
      <c r="J46" s="229"/>
      <c r="K46" s="230" t="s">
        <v>118</v>
      </c>
      <c r="L46" s="231" t="s">
        <v>118</v>
      </c>
      <c r="M46" s="232" t="s">
        <v>118</v>
      </c>
      <c r="N46" s="229"/>
      <c r="O46" s="230" t="s">
        <v>188</v>
      </c>
      <c r="P46" s="231" t="s">
        <v>188</v>
      </c>
      <c r="Q46" s="232" t="s">
        <v>188</v>
      </c>
      <c r="R46" s="173"/>
      <c r="S46" s="223"/>
      <c r="T46" s="3"/>
      <c r="U46" s="224"/>
      <c r="V46" s="223"/>
      <c r="W46" s="3"/>
      <c r="X46" s="224"/>
      <c r="Y46" s="223"/>
      <c r="Z46" s="3"/>
      <c r="AA46" s="224"/>
      <c r="AB46" s="225"/>
      <c r="AC46" s="3"/>
    </row>
    <row r="47" spans="2:29" x14ac:dyDescent="0.2">
      <c r="B47" s="180"/>
      <c r="C47" s="180"/>
      <c r="D47" s="3" t="s">
        <v>62</v>
      </c>
      <c r="E47" s="3" t="s">
        <v>48</v>
      </c>
      <c r="F47" s="3"/>
      <c r="G47" s="230" t="s">
        <v>118</v>
      </c>
      <c r="H47" s="231" t="s">
        <v>118</v>
      </c>
      <c r="I47" s="232" t="s">
        <v>118</v>
      </c>
      <c r="J47" s="229"/>
      <c r="K47" s="230" t="s">
        <v>118</v>
      </c>
      <c r="L47" s="231" t="s">
        <v>118</v>
      </c>
      <c r="M47" s="232" t="s">
        <v>118</v>
      </c>
      <c r="N47" s="229"/>
      <c r="O47" s="226">
        <v>2.012</v>
      </c>
      <c r="P47" s="227">
        <f>O47</f>
        <v>2.012</v>
      </c>
      <c r="Q47" s="228">
        <f>O47</f>
        <v>2.012</v>
      </c>
      <c r="R47" s="173"/>
      <c r="S47" s="223"/>
      <c r="T47" s="3"/>
      <c r="U47" s="224" t="s">
        <v>418</v>
      </c>
      <c r="V47" s="223"/>
      <c r="W47" s="3"/>
      <c r="X47" s="224" t="str">
        <f>U47</f>
        <v>Ecoinvent (2022 b)</v>
      </c>
      <c r="Y47" s="223"/>
      <c r="Z47" s="3"/>
      <c r="AA47" s="224" t="str">
        <f>X47</f>
        <v>Ecoinvent (2022 b)</v>
      </c>
      <c r="AB47" s="225"/>
      <c r="AC47" s="3"/>
    </row>
    <row r="48" spans="2:29" x14ac:dyDescent="0.2">
      <c r="B48" s="187"/>
      <c r="C48" s="187"/>
      <c r="D48" s="3" t="s">
        <v>184</v>
      </c>
      <c r="E48" s="3" t="s">
        <v>48</v>
      </c>
      <c r="F48" s="3"/>
      <c r="G48" s="230" t="s">
        <v>118</v>
      </c>
      <c r="H48" s="231" t="s">
        <v>118</v>
      </c>
      <c r="I48" s="232" t="s">
        <v>118</v>
      </c>
      <c r="J48" s="229"/>
      <c r="K48" s="230" t="s">
        <v>118</v>
      </c>
      <c r="L48" s="231" t="s">
        <v>118</v>
      </c>
      <c r="M48" s="232" t="s">
        <v>118</v>
      </c>
      <c r="N48" s="229"/>
      <c r="O48" s="230" t="s">
        <v>188</v>
      </c>
      <c r="P48" s="231" t="s">
        <v>188</v>
      </c>
      <c r="Q48" s="232" t="s">
        <v>188</v>
      </c>
      <c r="R48" s="173"/>
      <c r="S48" s="223"/>
      <c r="T48" s="3"/>
      <c r="U48" s="224"/>
      <c r="V48" s="223"/>
      <c r="W48" s="3"/>
      <c r="X48" s="224"/>
      <c r="Y48" s="223"/>
      <c r="Z48" s="3"/>
      <c r="AA48" s="224"/>
      <c r="AB48" s="225"/>
      <c r="AC48" s="3"/>
    </row>
    <row r="49" spans="2:29" x14ac:dyDescent="0.2">
      <c r="B49" s="187"/>
      <c r="C49" s="187"/>
      <c r="D49" s="186"/>
      <c r="E49" s="186"/>
      <c r="F49" s="3"/>
      <c r="G49" s="251"/>
      <c r="H49" s="229"/>
      <c r="I49" s="252"/>
      <c r="J49" s="229"/>
      <c r="K49" s="251"/>
      <c r="L49" s="229"/>
      <c r="M49" s="252"/>
      <c r="N49" s="229"/>
      <c r="O49" s="240"/>
      <c r="P49" s="241"/>
      <c r="Q49" s="242"/>
      <c r="R49" s="173"/>
      <c r="S49" s="223"/>
      <c r="T49" s="3"/>
      <c r="U49" s="224"/>
      <c r="V49" s="223"/>
      <c r="W49" s="3"/>
      <c r="X49" s="224"/>
      <c r="Y49" s="223"/>
      <c r="Z49" s="3"/>
      <c r="AA49" s="224"/>
      <c r="AB49" s="225"/>
      <c r="AC49" s="3"/>
    </row>
    <row r="50" spans="2:29" x14ac:dyDescent="0.2">
      <c r="B50" s="187"/>
      <c r="C50" s="8" t="s">
        <v>185</v>
      </c>
      <c r="D50" s="186"/>
      <c r="E50" s="186"/>
      <c r="F50" s="3"/>
      <c r="G50" s="251"/>
      <c r="H50" s="229"/>
      <c r="I50" s="252"/>
      <c r="J50" s="229"/>
      <c r="K50" s="251"/>
      <c r="L50" s="229"/>
      <c r="M50" s="252"/>
      <c r="N50" s="229"/>
      <c r="O50" s="240"/>
      <c r="P50" s="241"/>
      <c r="Q50" s="242"/>
      <c r="R50" s="173"/>
      <c r="S50" s="223"/>
      <c r="T50" s="3"/>
      <c r="U50" s="224"/>
      <c r="V50" s="223"/>
      <c r="W50" s="3"/>
      <c r="X50" s="224"/>
      <c r="Y50" s="223"/>
      <c r="Z50" s="3"/>
      <c r="AA50" s="224"/>
      <c r="AB50" s="225"/>
      <c r="AC50" s="3"/>
    </row>
    <row r="51" spans="2:29" x14ac:dyDescent="0.2">
      <c r="B51" s="180"/>
      <c r="C51" s="180"/>
      <c r="D51" s="3" t="s">
        <v>66</v>
      </c>
      <c r="E51" s="3" t="s">
        <v>48</v>
      </c>
      <c r="F51" s="3"/>
      <c r="G51" s="230" t="s">
        <v>118</v>
      </c>
      <c r="H51" s="231" t="s">
        <v>118</v>
      </c>
      <c r="I51" s="232" t="s">
        <v>118</v>
      </c>
      <c r="J51" s="229"/>
      <c r="K51" s="230" t="s">
        <v>118</v>
      </c>
      <c r="L51" s="231" t="s">
        <v>118</v>
      </c>
      <c r="M51" s="232" t="s">
        <v>118</v>
      </c>
      <c r="N51" s="229"/>
      <c r="O51" s="238">
        <v>1.5</v>
      </c>
      <c r="P51" s="229">
        <f>O51</f>
        <v>1.5</v>
      </c>
      <c r="Q51" s="239">
        <f>O51</f>
        <v>1.5</v>
      </c>
      <c r="R51" s="173"/>
      <c r="S51" s="223"/>
      <c r="T51" s="3"/>
      <c r="U51" s="224" t="s">
        <v>406</v>
      </c>
      <c r="V51" s="223"/>
      <c r="W51" s="3"/>
      <c r="X51" s="224" t="str">
        <f>U51</f>
        <v>ProBas (2022 b)</v>
      </c>
      <c r="Y51" s="223"/>
      <c r="Z51" s="3"/>
      <c r="AA51" s="224" t="str">
        <f>X51</f>
        <v>ProBas (2022 b)</v>
      </c>
      <c r="AB51" s="225"/>
      <c r="AC51" s="3"/>
    </row>
    <row r="52" spans="2:29" x14ac:dyDescent="0.2">
      <c r="B52" s="180"/>
      <c r="C52" s="180"/>
      <c r="D52" s="3" t="s">
        <v>187</v>
      </c>
      <c r="E52" s="3" t="s">
        <v>48</v>
      </c>
      <c r="F52" s="3"/>
      <c r="G52" s="230" t="s">
        <v>188</v>
      </c>
      <c r="H52" s="231" t="s">
        <v>188</v>
      </c>
      <c r="I52" s="232" t="s">
        <v>188</v>
      </c>
      <c r="J52" s="229"/>
      <c r="K52" s="230" t="s">
        <v>188</v>
      </c>
      <c r="L52" s="231" t="s">
        <v>188</v>
      </c>
      <c r="M52" s="232" t="s">
        <v>188</v>
      </c>
      <c r="N52" s="229"/>
      <c r="O52" s="238" t="s">
        <v>188</v>
      </c>
      <c r="P52" s="229" t="s">
        <v>188</v>
      </c>
      <c r="Q52" s="239" t="s">
        <v>188</v>
      </c>
      <c r="R52" s="173"/>
      <c r="S52" s="223"/>
      <c r="T52" s="3"/>
      <c r="U52" s="224"/>
      <c r="V52" s="223"/>
      <c r="W52" s="3"/>
      <c r="X52" s="224"/>
      <c r="Y52" s="223"/>
      <c r="Z52" s="3"/>
      <c r="AA52" s="224"/>
      <c r="AB52" s="225"/>
      <c r="AC52" s="3"/>
    </row>
    <row r="53" spans="2:29" x14ac:dyDescent="0.2">
      <c r="B53" s="180"/>
      <c r="C53" s="180"/>
      <c r="D53" s="3" t="s">
        <v>186</v>
      </c>
      <c r="E53" s="3" t="s">
        <v>48</v>
      </c>
      <c r="F53" s="3"/>
      <c r="G53" s="230" t="s">
        <v>188</v>
      </c>
      <c r="H53" s="231" t="s">
        <v>188</v>
      </c>
      <c r="I53" s="232" t="s">
        <v>188</v>
      </c>
      <c r="J53" s="229"/>
      <c r="K53" s="230" t="s">
        <v>188</v>
      </c>
      <c r="L53" s="231" t="s">
        <v>188</v>
      </c>
      <c r="M53" s="232" t="s">
        <v>188</v>
      </c>
      <c r="N53" s="229"/>
      <c r="O53" s="238" t="s">
        <v>188</v>
      </c>
      <c r="P53" s="229" t="s">
        <v>188</v>
      </c>
      <c r="Q53" s="239" t="s">
        <v>188</v>
      </c>
      <c r="R53" s="173"/>
      <c r="S53" s="223"/>
      <c r="T53" s="3"/>
      <c r="U53" s="224"/>
      <c r="V53" s="223"/>
      <c r="W53" s="3"/>
      <c r="X53" s="224"/>
      <c r="Y53" s="223"/>
      <c r="Z53" s="3"/>
      <c r="AA53" s="224"/>
      <c r="AB53" s="225"/>
      <c r="AC53" s="3"/>
    </row>
    <row r="54" spans="2:29" x14ac:dyDescent="0.2">
      <c r="B54" s="180"/>
      <c r="C54" s="180"/>
      <c r="D54" s="3"/>
      <c r="E54" s="3"/>
      <c r="F54" s="3"/>
      <c r="G54" s="226"/>
      <c r="H54" s="229"/>
      <c r="I54" s="228"/>
      <c r="J54" s="229"/>
      <c r="K54" s="226"/>
      <c r="L54" s="229"/>
      <c r="M54" s="228"/>
      <c r="N54" s="229"/>
      <c r="O54" s="226"/>
      <c r="P54" s="227"/>
      <c r="Q54" s="228"/>
      <c r="R54" s="173"/>
      <c r="S54" s="223"/>
      <c r="T54" s="3"/>
      <c r="U54" s="224"/>
      <c r="V54" s="223"/>
      <c r="W54" s="3"/>
      <c r="X54" s="224"/>
      <c r="Y54" s="223"/>
      <c r="Z54" s="3"/>
      <c r="AA54" s="224"/>
      <c r="AB54" s="225"/>
      <c r="AC54" s="3"/>
    </row>
    <row r="55" spans="2:29" x14ac:dyDescent="0.2">
      <c r="B55" s="180"/>
      <c r="C55" s="180"/>
      <c r="D55" s="3" t="s">
        <v>63</v>
      </c>
      <c r="E55" s="3" t="s">
        <v>48</v>
      </c>
      <c r="F55" s="3"/>
      <c r="G55" s="230" t="s">
        <v>118</v>
      </c>
      <c r="H55" s="231" t="s">
        <v>118</v>
      </c>
      <c r="I55" s="232" t="s">
        <v>118</v>
      </c>
      <c r="J55" s="229"/>
      <c r="K55" s="230" t="s">
        <v>118</v>
      </c>
      <c r="L55" s="231" t="s">
        <v>118</v>
      </c>
      <c r="M55" s="232" t="s">
        <v>118</v>
      </c>
      <c r="N55" s="229"/>
      <c r="O55" s="226">
        <v>0.80600000000000005</v>
      </c>
      <c r="P55" s="227">
        <f t="shared" si="0"/>
        <v>0.80600000000000005</v>
      </c>
      <c r="Q55" s="228">
        <f t="shared" si="1"/>
        <v>0.80600000000000005</v>
      </c>
      <c r="R55" s="173"/>
      <c r="S55" s="223"/>
      <c r="T55" s="3"/>
      <c r="U55" s="224" t="s">
        <v>407</v>
      </c>
      <c r="V55" s="223"/>
      <c r="W55" s="3"/>
      <c r="X55" s="224" t="str">
        <f>U55</f>
        <v>ProBas (2022 c)</v>
      </c>
      <c r="Y55" s="223"/>
      <c r="Z55" s="3"/>
      <c r="AA55" s="224" t="str">
        <f>X55</f>
        <v>ProBas (2022 c)</v>
      </c>
      <c r="AB55" s="225"/>
      <c r="AC55" s="3"/>
    </row>
    <row r="56" spans="2:29" x14ac:dyDescent="0.2">
      <c r="B56" s="180"/>
      <c r="C56" s="180"/>
      <c r="D56" s="3"/>
      <c r="E56" s="3"/>
      <c r="F56" s="3"/>
      <c r="G56" s="226"/>
      <c r="H56" s="229"/>
      <c r="I56" s="228"/>
      <c r="J56" s="229"/>
      <c r="K56" s="226"/>
      <c r="L56" s="229"/>
      <c r="M56" s="228"/>
      <c r="N56" s="229"/>
      <c r="O56" s="226"/>
      <c r="P56" s="229"/>
      <c r="Q56" s="220"/>
      <c r="R56" s="173"/>
      <c r="S56" s="223"/>
      <c r="T56" s="3"/>
      <c r="U56" s="224"/>
      <c r="V56" s="223"/>
      <c r="W56" s="3"/>
      <c r="X56" s="224"/>
      <c r="Y56" s="223"/>
      <c r="Z56" s="3"/>
      <c r="AA56" s="224"/>
      <c r="AB56" s="225"/>
      <c r="AC56" s="3"/>
    </row>
    <row r="57" spans="2:29" ht="15" x14ac:dyDescent="0.25">
      <c r="B57" s="3"/>
      <c r="C57" s="210" t="s">
        <v>102</v>
      </c>
      <c r="D57" s="7"/>
      <c r="E57" s="3"/>
      <c r="F57" s="3"/>
      <c r="G57" s="238"/>
      <c r="H57" s="229"/>
      <c r="I57" s="239"/>
      <c r="J57" s="229"/>
      <c r="K57" s="238"/>
      <c r="L57" s="229"/>
      <c r="M57" s="239"/>
      <c r="N57" s="229"/>
      <c r="O57" s="238"/>
      <c r="P57" s="229"/>
      <c r="Q57" s="220"/>
      <c r="R57" s="173"/>
      <c r="S57" s="223"/>
      <c r="T57" s="3"/>
      <c r="U57" s="224"/>
      <c r="V57" s="223"/>
      <c r="W57" s="3"/>
      <c r="X57" s="224"/>
      <c r="Y57" s="223"/>
      <c r="Z57" s="3"/>
      <c r="AA57" s="224"/>
      <c r="AB57" s="225"/>
      <c r="AC57" s="3"/>
    </row>
    <row r="58" spans="2:29" ht="14.25" x14ac:dyDescent="0.2">
      <c r="B58" s="3"/>
      <c r="C58" s="7"/>
      <c r="D58" s="7" t="s">
        <v>137</v>
      </c>
      <c r="E58" s="3" t="s">
        <v>42</v>
      </c>
      <c r="F58" s="3"/>
      <c r="G58" s="230" t="s">
        <v>118</v>
      </c>
      <c r="H58" s="231" t="s">
        <v>118</v>
      </c>
      <c r="I58" s="232" t="s">
        <v>118</v>
      </c>
      <c r="J58" s="229"/>
      <c r="K58" s="253">
        <v>0</v>
      </c>
      <c r="L58" s="254">
        <v>0</v>
      </c>
      <c r="M58" s="255">
        <v>0</v>
      </c>
      <c r="N58" s="229"/>
      <c r="O58" s="238">
        <v>4.0790000000000001E-5</v>
      </c>
      <c r="P58" s="229">
        <f>O58</f>
        <v>4.0790000000000001E-5</v>
      </c>
      <c r="Q58" s="256">
        <f>O58</f>
        <v>4.0790000000000001E-5</v>
      </c>
      <c r="R58" s="173"/>
      <c r="S58" s="223"/>
      <c r="T58" s="257"/>
      <c r="U58" s="258" t="s">
        <v>411</v>
      </c>
      <c r="V58" s="223"/>
      <c r="W58" s="257"/>
      <c r="X58" s="258" t="str">
        <f>U58</f>
        <v>FutureCamp (2022)</v>
      </c>
      <c r="Y58" s="223"/>
      <c r="Z58" s="257"/>
      <c r="AA58" s="258" t="str">
        <f>X58</f>
        <v>FutureCamp (2022)</v>
      </c>
      <c r="AB58" s="225"/>
      <c r="AC58" s="3"/>
    </row>
    <row r="59" spans="2:29" ht="14.25" x14ac:dyDescent="0.2">
      <c r="B59" s="3"/>
      <c r="C59" s="7"/>
      <c r="D59" s="7" t="s">
        <v>140</v>
      </c>
      <c r="E59" s="3" t="s">
        <v>42</v>
      </c>
      <c r="F59" s="3"/>
      <c r="G59" s="230" t="s">
        <v>118</v>
      </c>
      <c r="H59" s="231" t="s">
        <v>118</v>
      </c>
      <c r="I59" s="232" t="s">
        <v>118</v>
      </c>
      <c r="J59" s="229"/>
      <c r="K59" s="253">
        <v>0</v>
      </c>
      <c r="L59" s="254">
        <v>0</v>
      </c>
      <c r="M59" s="255">
        <v>0</v>
      </c>
      <c r="N59" s="229"/>
      <c r="O59" s="238">
        <v>5.5713999999999995E-5</v>
      </c>
      <c r="P59" s="229">
        <f>O59</f>
        <v>5.5713999999999995E-5</v>
      </c>
      <c r="Q59" s="256">
        <f>O59</f>
        <v>5.5713999999999995E-5</v>
      </c>
      <c r="R59" s="173"/>
      <c r="S59" s="223"/>
      <c r="T59" s="3"/>
      <c r="U59" s="259" t="s">
        <v>411</v>
      </c>
      <c r="V59" s="223"/>
      <c r="W59" s="3"/>
      <c r="X59" s="258" t="str">
        <f>U59</f>
        <v>FutureCamp (2022)</v>
      </c>
      <c r="Y59" s="223"/>
      <c r="Z59" s="3"/>
      <c r="AA59" s="258" t="str">
        <f>X59</f>
        <v>FutureCamp (2022)</v>
      </c>
      <c r="AB59" s="225"/>
      <c r="AC59" s="3"/>
    </row>
    <row r="60" spans="2:29" ht="14.25" x14ac:dyDescent="0.2">
      <c r="B60" s="3"/>
      <c r="C60" s="7"/>
      <c r="D60" s="7" t="s">
        <v>138</v>
      </c>
      <c r="E60" s="3" t="s">
        <v>42</v>
      </c>
      <c r="F60" s="3"/>
      <c r="G60" s="230" t="s">
        <v>118</v>
      </c>
      <c r="H60" s="231" t="s">
        <v>118</v>
      </c>
      <c r="I60" s="232" t="s">
        <v>118</v>
      </c>
      <c r="J60" s="229"/>
      <c r="K60" s="253">
        <v>0</v>
      </c>
      <c r="L60" s="254">
        <v>0</v>
      </c>
      <c r="M60" s="255">
        <v>0</v>
      </c>
      <c r="N60" s="229"/>
      <c r="O60" s="238">
        <v>1.5335600000000003E-5</v>
      </c>
      <c r="P60" s="229">
        <f>O60</f>
        <v>1.5335600000000003E-5</v>
      </c>
      <c r="Q60" s="256">
        <f>O60</f>
        <v>1.5335600000000003E-5</v>
      </c>
      <c r="R60" s="173"/>
      <c r="S60" s="223"/>
      <c r="T60" s="3"/>
      <c r="U60" s="258" t="s">
        <v>411</v>
      </c>
      <c r="V60" s="223"/>
      <c r="W60" s="3"/>
      <c r="X60" s="258" t="str">
        <f>U60</f>
        <v>FutureCamp (2022)</v>
      </c>
      <c r="Y60" s="223"/>
      <c r="Z60" s="3"/>
      <c r="AA60" s="258" t="str">
        <f>X60</f>
        <v>FutureCamp (2022)</v>
      </c>
      <c r="AB60" s="225"/>
      <c r="AC60" s="3"/>
    </row>
    <row r="61" spans="2:29" ht="14.25" x14ac:dyDescent="0.2">
      <c r="B61" s="3"/>
      <c r="C61" s="7"/>
      <c r="D61" s="7" t="s">
        <v>139</v>
      </c>
      <c r="E61" s="3" t="s">
        <v>42</v>
      </c>
      <c r="F61" s="3"/>
      <c r="G61" s="260" t="s">
        <v>118</v>
      </c>
      <c r="H61" s="261" t="s">
        <v>118</v>
      </c>
      <c r="I61" s="262" t="s">
        <v>118</v>
      </c>
      <c r="J61" s="229"/>
      <c r="K61" s="263">
        <v>0</v>
      </c>
      <c r="L61" s="264">
        <v>0</v>
      </c>
      <c r="M61" s="265">
        <v>0</v>
      </c>
      <c r="N61" s="229"/>
      <c r="O61" s="266">
        <v>2.65E-6</v>
      </c>
      <c r="P61" s="267">
        <f>O61</f>
        <v>2.65E-6</v>
      </c>
      <c r="Q61" s="268">
        <f>O61</f>
        <v>2.65E-6</v>
      </c>
      <c r="R61" s="173"/>
      <c r="S61" s="269"/>
      <c r="T61" s="24"/>
      <c r="U61" s="270" t="s">
        <v>411</v>
      </c>
      <c r="V61" s="269"/>
      <c r="W61" s="24"/>
      <c r="X61" s="270" t="str">
        <f>U61</f>
        <v>FutureCamp (2022)</v>
      </c>
      <c r="Y61" s="269"/>
      <c r="Z61" s="24"/>
      <c r="AA61" s="270" t="str">
        <f>X61</f>
        <v>FutureCamp (2022)</v>
      </c>
      <c r="AB61" s="271"/>
      <c r="AC61" s="3"/>
    </row>
    <row r="62" spans="2:29" ht="14.25" x14ac:dyDescent="0.2">
      <c r="B62" s="3"/>
      <c r="C62" s="7"/>
      <c r="D62" s="7"/>
      <c r="E62" s="3"/>
      <c r="F62" s="3"/>
      <c r="G62" s="231"/>
      <c r="H62" s="231"/>
      <c r="I62" s="231"/>
      <c r="J62" s="3"/>
      <c r="K62" s="272"/>
      <c r="L62" s="272"/>
      <c r="M62" s="272"/>
      <c r="N62" s="3"/>
      <c r="O62" s="3"/>
      <c r="P62" s="3"/>
      <c r="Q62" s="171"/>
      <c r="R62" s="173"/>
      <c r="S62" s="3"/>
      <c r="T62" s="3"/>
      <c r="U62" s="3"/>
      <c r="V62" s="3"/>
      <c r="W62" s="3"/>
      <c r="X62" s="3"/>
      <c r="Y62" s="3"/>
      <c r="Z62" s="3"/>
      <c r="AA62" s="3"/>
      <c r="AB62" s="233"/>
      <c r="AC62" s="3"/>
    </row>
    <row r="63" spans="2:29" ht="14.25" x14ac:dyDescent="0.2">
      <c r="B63" s="3"/>
      <c r="C63" s="7"/>
      <c r="D63" s="7"/>
      <c r="E63" s="3"/>
      <c r="F63" s="3"/>
      <c r="G63" s="231"/>
      <c r="H63" s="231"/>
      <c r="I63" s="231"/>
      <c r="J63" s="3"/>
      <c r="K63" s="272"/>
      <c r="L63" s="272"/>
      <c r="M63" s="272"/>
      <c r="N63" s="3"/>
      <c r="O63" s="3"/>
      <c r="P63" s="3"/>
      <c r="Q63" s="171"/>
      <c r="R63" s="173"/>
      <c r="S63" s="3"/>
      <c r="T63" s="3"/>
      <c r="U63" s="3"/>
      <c r="V63" s="3"/>
      <c r="W63" s="3"/>
      <c r="X63" s="3"/>
      <c r="Y63" s="3"/>
      <c r="Z63" s="3"/>
      <c r="AA63" s="3"/>
      <c r="AB63" s="3"/>
      <c r="AC63" s="3"/>
    </row>
    <row r="64" spans="2:29"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2:29" ht="14.25" x14ac:dyDescent="0.2">
      <c r="B65" s="34"/>
      <c r="C65" s="34"/>
      <c r="D65" s="34" t="s">
        <v>416</v>
      </c>
      <c r="E65" s="34"/>
      <c r="F65" s="34"/>
      <c r="G65" s="34"/>
      <c r="H65" s="34"/>
      <c r="I65" s="34"/>
      <c r="J65" s="34"/>
      <c r="K65" s="34"/>
      <c r="L65" s="3"/>
      <c r="M65" s="3"/>
      <c r="N65" s="3"/>
      <c r="O65" s="3"/>
      <c r="P65" s="3"/>
      <c r="Q65" s="3"/>
      <c r="R65" s="3"/>
      <c r="S65" s="3"/>
      <c r="T65" s="3"/>
      <c r="U65" s="3"/>
      <c r="V65" s="3"/>
      <c r="W65" s="3"/>
      <c r="X65" s="3"/>
      <c r="Y65" s="3"/>
      <c r="Z65" s="3"/>
      <c r="AA65" s="3"/>
      <c r="AB65" s="3"/>
      <c r="AC65" s="3"/>
    </row>
    <row r="66" spans="2:29" ht="14.25" x14ac:dyDescent="0.2">
      <c r="B66" s="3"/>
      <c r="C66" s="3"/>
      <c r="D66" s="3" t="s">
        <v>417</v>
      </c>
      <c r="E66" s="3"/>
      <c r="F66" s="3"/>
      <c r="G66" s="3"/>
      <c r="H66" s="3"/>
      <c r="I66" s="3"/>
      <c r="J66" s="3"/>
      <c r="K66" s="3"/>
      <c r="L66" s="3"/>
      <c r="M66" s="3"/>
      <c r="N66" s="3"/>
      <c r="O66" s="3"/>
      <c r="P66" s="3"/>
      <c r="Q66" s="3"/>
      <c r="R66" s="3"/>
      <c r="S66" s="3"/>
      <c r="T66" s="3"/>
      <c r="U66" s="3"/>
      <c r="V66" s="3"/>
      <c r="W66" s="3"/>
      <c r="X66" s="3"/>
      <c r="Y66" s="3"/>
      <c r="Z66" s="3"/>
      <c r="AA66" s="3"/>
      <c r="AB66" s="3"/>
      <c r="AC66" s="3"/>
    </row>
    <row r="67" spans="2:29"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hidden="1" x14ac:dyDescent="0.2">
      <c r="K68" s="2" t="s">
        <v>151</v>
      </c>
      <c r="L68" s="273">
        <f>L9/$K$9</f>
        <v>0.72654128614725655</v>
      </c>
      <c r="M68" s="273">
        <f>M9/$K$9</f>
        <v>0.35807187228685605</v>
      </c>
    </row>
  </sheetData>
  <sheetProtection algorithmName="SHA-512" hashValue="Jd+OIY0plVZW4mFPg9Vo7PqnzqsOUmoTqzEv7SrypkmL1+gUad0k7hte9NpoPXT2ljVNiq52SdaSAky7M3IhzA==" saltValue="u8PYChHwEMgq+niJTfo5kA==" spinCount="100000" sheet="1" selectLockedCells="1" selectUnlockedCells="1"/>
  <mergeCells count="6">
    <mergeCell ref="Y4:AA4"/>
    <mergeCell ref="G4:I4"/>
    <mergeCell ref="K4:M4"/>
    <mergeCell ref="O4:Q4"/>
    <mergeCell ref="S4:U4"/>
    <mergeCell ref="V4:X4"/>
  </mergeCells>
  <printOptions horizontalCentered="1"/>
  <pageMargins left="0.39370078740157483" right="0.39370078740157483" top="0.39370078740157483" bottom="0.59055118110236227" header="0.19685039370078741" footer="0.19685039370078741"/>
  <pageSetup paperSize="9" orientation="landscape" verticalDpi="60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95CD-DA43-4233-8E03-D4706C112B95}">
  <sheetPr>
    <pageSetUpPr fitToPage="1"/>
  </sheetPr>
  <dimension ref="B2:AA272"/>
  <sheetViews>
    <sheetView topLeftCell="L39"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11" style="6" customWidth="1"/>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204</v>
      </c>
      <c r="E3" s="90"/>
      <c r="F3" s="90"/>
      <c r="G3" s="90"/>
      <c r="H3" s="90"/>
      <c r="I3" s="90"/>
      <c r="J3" s="90"/>
      <c r="K3" s="90"/>
      <c r="L3" s="90"/>
      <c r="M3" s="3"/>
    </row>
    <row r="4" spans="2:13" x14ac:dyDescent="0.2">
      <c r="B4" s="3"/>
      <c r="C4" s="90"/>
      <c r="D4" s="3"/>
      <c r="E4" s="3"/>
      <c r="F4" s="3"/>
      <c r="G4" s="3"/>
      <c r="H4" s="3"/>
      <c r="I4" s="3"/>
      <c r="J4" s="3"/>
      <c r="K4" s="3"/>
      <c r="L4" s="3"/>
      <c r="M4" s="3"/>
    </row>
    <row r="5" spans="2:13" ht="17.25" customHeight="1" x14ac:dyDescent="0.2">
      <c r="B5" s="3"/>
      <c r="C5" s="90"/>
      <c r="D5" s="109" t="s">
        <v>326</v>
      </c>
      <c r="E5" s="104"/>
      <c r="F5" s="104"/>
      <c r="G5" s="104"/>
      <c r="H5" s="104"/>
      <c r="I5" s="104"/>
      <c r="J5" s="104"/>
      <c r="K5" s="104"/>
      <c r="L5" s="104"/>
      <c r="M5" s="3"/>
    </row>
    <row r="6" spans="2:13" ht="127.5" customHeight="1" x14ac:dyDescent="0.2">
      <c r="B6" s="3"/>
      <c r="C6" s="94"/>
      <c r="D6" s="396" t="s">
        <v>333</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205</v>
      </c>
      <c r="E11" s="95"/>
      <c r="F11" s="96"/>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398">
        <v>2025</v>
      </c>
      <c r="F13" s="398"/>
      <c r="G13" s="398"/>
      <c r="H13" s="13"/>
      <c r="I13" s="398">
        <v>2030</v>
      </c>
      <c r="J13" s="398"/>
      <c r="K13" s="398"/>
      <c r="L13" s="8"/>
      <c r="M13" s="3"/>
    </row>
    <row r="14" spans="2:13" x14ac:dyDescent="0.2">
      <c r="B14" s="3"/>
      <c r="C14" s="3"/>
      <c r="D14" s="8"/>
      <c r="E14" s="102" t="s">
        <v>80</v>
      </c>
      <c r="F14" s="102"/>
      <c r="G14" s="102" t="s">
        <v>77</v>
      </c>
      <c r="H14" s="13"/>
      <c r="I14" s="102" t="s">
        <v>80</v>
      </c>
      <c r="J14" s="102"/>
      <c r="K14" s="102" t="s">
        <v>77</v>
      </c>
      <c r="L14" s="8"/>
      <c r="M14" s="3"/>
    </row>
    <row r="15" spans="2:13" x14ac:dyDescent="0.2">
      <c r="B15" s="3"/>
      <c r="C15" s="3"/>
      <c r="D15" s="3"/>
      <c r="E15" s="3"/>
      <c r="F15" s="3"/>
      <c r="G15" s="3"/>
      <c r="H15" s="3"/>
      <c r="I15" s="3"/>
      <c r="J15" s="3"/>
      <c r="K15" s="3"/>
      <c r="L15" s="3"/>
      <c r="M15" s="3"/>
    </row>
    <row r="16" spans="2:13" ht="25.5" x14ac:dyDescent="0.2">
      <c r="B16" s="3"/>
      <c r="C16" s="3"/>
      <c r="D16" s="11" t="s">
        <v>221</v>
      </c>
      <c r="E16" s="80">
        <v>30</v>
      </c>
      <c r="F16" s="15" t="s">
        <v>99</v>
      </c>
      <c r="G16" s="115"/>
      <c r="H16" s="15" t="s">
        <v>99</v>
      </c>
      <c r="I16" s="80">
        <v>30</v>
      </c>
      <c r="J16" s="15" t="s">
        <v>99</v>
      </c>
      <c r="K16" s="115"/>
      <c r="L16" s="15" t="s">
        <v>99</v>
      </c>
      <c r="M16" s="3"/>
    </row>
    <row r="17" spans="2:27" x14ac:dyDescent="0.2">
      <c r="B17" s="3"/>
      <c r="C17" s="3"/>
      <c r="D17" s="8"/>
      <c r="E17" s="81"/>
      <c r="F17" s="15"/>
      <c r="G17" s="15"/>
      <c r="H17" s="15"/>
      <c r="I17" s="81"/>
      <c r="J17" s="15"/>
      <c r="K17" s="15"/>
      <c r="L17" s="3"/>
      <c r="M17" s="3"/>
    </row>
    <row r="18" spans="2:27" x14ac:dyDescent="0.2">
      <c r="B18" s="3"/>
      <c r="C18" s="3"/>
      <c r="D18" s="12" t="s">
        <v>222</v>
      </c>
      <c r="E18" s="80">
        <v>400000</v>
      </c>
      <c r="F18" s="15" t="s">
        <v>105</v>
      </c>
      <c r="G18" s="274"/>
      <c r="H18" s="15" t="s">
        <v>105</v>
      </c>
      <c r="I18" s="80">
        <v>0</v>
      </c>
      <c r="J18" s="15" t="s">
        <v>105</v>
      </c>
      <c r="K18" s="274"/>
      <c r="L18" s="3" t="s">
        <v>105</v>
      </c>
      <c r="M18" s="3"/>
    </row>
    <row r="19" spans="2:27" ht="14.25" x14ac:dyDescent="0.2">
      <c r="B19" s="3"/>
      <c r="C19" s="3"/>
      <c r="D19" s="79" t="s">
        <v>226</v>
      </c>
      <c r="E19" s="80">
        <v>0</v>
      </c>
      <c r="F19" s="15" t="s">
        <v>106</v>
      </c>
      <c r="G19" s="274"/>
      <c r="H19" s="15" t="s">
        <v>106</v>
      </c>
      <c r="I19" s="80">
        <v>0</v>
      </c>
      <c r="J19" s="15" t="s">
        <v>106</v>
      </c>
      <c r="K19" s="274"/>
      <c r="L19" s="3" t="s">
        <v>106</v>
      </c>
      <c r="M19" s="3"/>
    </row>
    <row r="20" spans="2:27" ht="14.25" x14ac:dyDescent="0.2">
      <c r="B20" s="3"/>
      <c r="C20" s="3"/>
      <c r="D20" s="79" t="s">
        <v>191</v>
      </c>
      <c r="E20" s="80">
        <v>0</v>
      </c>
      <c r="F20" s="15" t="s">
        <v>105</v>
      </c>
      <c r="G20" s="274"/>
      <c r="H20" s="15" t="s">
        <v>105</v>
      </c>
      <c r="I20" s="80">
        <v>0</v>
      </c>
      <c r="J20" s="15" t="s">
        <v>105</v>
      </c>
      <c r="K20" s="274"/>
      <c r="L20" s="3" t="s">
        <v>105</v>
      </c>
      <c r="M20" s="3"/>
    </row>
    <row r="21" spans="2:27" x14ac:dyDescent="0.2">
      <c r="B21" s="3"/>
      <c r="C21" s="3"/>
      <c r="D21" s="79"/>
      <c r="E21" s="79"/>
      <c r="F21" s="79"/>
      <c r="G21" s="79"/>
      <c r="H21" s="79"/>
      <c r="I21" s="79"/>
      <c r="J21" s="79"/>
      <c r="K21" s="79"/>
      <c r="L21" s="79"/>
      <c r="M21" s="3"/>
    </row>
    <row r="22" spans="2:27" x14ac:dyDescent="0.2">
      <c r="B22" s="3"/>
      <c r="C22" s="3"/>
      <c r="D22" s="79"/>
      <c r="E22" s="15"/>
      <c r="F22" s="15"/>
      <c r="G22" s="15"/>
      <c r="H22" s="15"/>
      <c r="I22" s="15"/>
      <c r="J22" s="15"/>
      <c r="K22" s="15"/>
      <c r="L22" s="15"/>
      <c r="M22" s="3"/>
    </row>
    <row r="23" spans="2:27" x14ac:dyDescent="0.2">
      <c r="B23" s="3"/>
      <c r="C23" s="3"/>
      <c r="D23" s="79" t="s">
        <v>25</v>
      </c>
      <c r="E23" s="80">
        <v>10</v>
      </c>
      <c r="F23" s="15" t="s">
        <v>98</v>
      </c>
      <c r="G23" s="115"/>
      <c r="H23" s="15" t="s">
        <v>98</v>
      </c>
      <c r="I23" s="80">
        <v>10</v>
      </c>
      <c r="J23" s="15" t="s">
        <v>98</v>
      </c>
      <c r="K23" s="115"/>
      <c r="L23" s="15" t="s">
        <v>98</v>
      </c>
      <c r="M23" s="3"/>
    </row>
    <row r="24" spans="2:27" x14ac:dyDescent="0.2">
      <c r="B24" s="3"/>
      <c r="C24" s="3"/>
      <c r="D24" s="79" t="s">
        <v>26</v>
      </c>
      <c r="E24" s="82">
        <v>8</v>
      </c>
      <c r="F24" s="15" t="s">
        <v>99</v>
      </c>
      <c r="G24" s="275"/>
      <c r="H24" s="15" t="s">
        <v>99</v>
      </c>
      <c r="I24" s="82">
        <v>8</v>
      </c>
      <c r="J24" s="15" t="s">
        <v>99</v>
      </c>
      <c r="K24" s="275"/>
      <c r="L24" s="15" t="s">
        <v>99</v>
      </c>
      <c r="M24" s="3"/>
    </row>
    <row r="25" spans="2:27" x14ac:dyDescent="0.2">
      <c r="B25" s="3"/>
      <c r="C25" s="3"/>
      <c r="D25" s="15"/>
      <c r="E25" s="82"/>
      <c r="F25" s="15"/>
      <c r="G25" s="15"/>
      <c r="H25" s="15"/>
      <c r="I25" s="81"/>
      <c r="J25" s="15"/>
      <c r="K25" s="15"/>
      <c r="L25" s="3"/>
      <c r="M25" s="3"/>
    </row>
    <row r="26" spans="2:27" x14ac:dyDescent="0.2">
      <c r="B26" s="3"/>
      <c r="C26" s="3"/>
      <c r="D26" s="15"/>
      <c r="E26" s="10"/>
      <c r="F26" s="3"/>
      <c r="G26" s="3"/>
      <c r="H26" s="3"/>
      <c r="I26" s="16"/>
      <c r="J26" s="3"/>
      <c r="K26" s="3"/>
      <c r="L26" s="3"/>
      <c r="M26" s="3"/>
    </row>
    <row r="27" spans="2:27" ht="13.5" x14ac:dyDescent="0.2">
      <c r="B27" s="3"/>
      <c r="C27" s="3"/>
      <c r="D27" s="66" t="s">
        <v>168</v>
      </c>
      <c r="E27" s="10"/>
      <c r="F27" s="3"/>
      <c r="G27" s="3"/>
      <c r="H27" s="3"/>
      <c r="I27" s="16"/>
      <c r="J27" s="3"/>
      <c r="K27" s="3"/>
      <c r="L27" s="3"/>
      <c r="M27" s="3"/>
    </row>
    <row r="28" spans="2:27" ht="13.5" x14ac:dyDescent="0.2">
      <c r="B28" s="3"/>
      <c r="C28" s="3"/>
      <c r="D28" s="66" t="s">
        <v>215</v>
      </c>
      <c r="E28" s="10"/>
      <c r="F28" s="3"/>
      <c r="G28" s="3"/>
      <c r="H28" s="3"/>
      <c r="I28" s="16"/>
      <c r="J28" s="3"/>
      <c r="K28" s="3"/>
      <c r="L28" s="3"/>
      <c r="M28" s="3"/>
    </row>
    <row r="29" spans="2:27" x14ac:dyDescent="0.2">
      <c r="B29" s="3"/>
      <c r="C29" s="3"/>
      <c r="D29" s="15"/>
      <c r="E29" s="10"/>
      <c r="F29" s="3"/>
      <c r="G29" s="3"/>
      <c r="H29" s="3"/>
      <c r="I29" s="16"/>
      <c r="J29" s="3"/>
      <c r="K29" s="3"/>
      <c r="L29" s="3"/>
      <c r="M29" s="3"/>
    </row>
    <row r="31" spans="2:27" x14ac:dyDescent="0.2">
      <c r="B31" s="3"/>
      <c r="C31" s="3"/>
      <c r="D31" s="14"/>
      <c r="E31" s="3"/>
      <c r="F31" s="3"/>
      <c r="G31" s="3"/>
      <c r="H31" s="3"/>
      <c r="I31" s="3"/>
      <c r="J31" s="3"/>
      <c r="K31" s="3"/>
      <c r="L31" s="3"/>
      <c r="M31" s="3"/>
      <c r="N31" s="3"/>
      <c r="O31" s="3"/>
      <c r="P31" s="3"/>
      <c r="Q31" s="3"/>
      <c r="R31" s="3"/>
      <c r="S31" s="3"/>
      <c r="T31" s="3"/>
      <c r="U31" s="3"/>
      <c r="V31" s="3"/>
      <c r="W31" s="3"/>
      <c r="X31" s="3"/>
      <c r="Y31" s="3"/>
      <c r="Z31" s="3"/>
      <c r="AA31" s="3"/>
    </row>
    <row r="32" spans="2:27" ht="18" x14ac:dyDescent="0.25">
      <c r="B32" s="3"/>
      <c r="C32" s="97" t="s">
        <v>169</v>
      </c>
      <c r="D32" s="14"/>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14"/>
      <c r="E33" s="3"/>
      <c r="F33" s="3"/>
      <c r="G33" s="3"/>
      <c r="H33" s="3"/>
      <c r="I33" s="3"/>
      <c r="J33" s="3"/>
      <c r="K33" s="3"/>
      <c r="L33" s="3"/>
      <c r="M33" s="3"/>
      <c r="N33" s="3"/>
      <c r="O33" s="3"/>
      <c r="P33" s="3"/>
      <c r="Q33" s="3"/>
      <c r="R33" s="3"/>
      <c r="S33" s="3"/>
      <c r="T33" s="3"/>
      <c r="U33" s="3"/>
      <c r="V33" s="3"/>
      <c r="W33" s="3"/>
      <c r="X33" s="3"/>
      <c r="Y33" s="3"/>
      <c r="Z33" s="3"/>
      <c r="AA33" s="3"/>
    </row>
    <row r="34" spans="2:27" ht="15" x14ac:dyDescent="0.25">
      <c r="B34" s="3"/>
      <c r="C34" s="92" t="s">
        <v>112</v>
      </c>
      <c r="D34" s="3"/>
      <c r="E34" s="3"/>
      <c r="F34" s="3"/>
      <c r="G34" s="3"/>
      <c r="H34" s="3"/>
      <c r="I34" s="3"/>
      <c r="J34" s="3"/>
      <c r="K34" s="92" t="s">
        <v>116</v>
      </c>
      <c r="L34" s="3"/>
      <c r="M34" s="3"/>
      <c r="N34" s="3"/>
      <c r="O34" s="3"/>
      <c r="P34" s="3"/>
      <c r="Q34" s="3"/>
      <c r="R34" s="3"/>
      <c r="S34" s="93" t="s">
        <v>84</v>
      </c>
      <c r="T34" s="3"/>
      <c r="U34" s="3"/>
      <c r="V34" s="3"/>
      <c r="W34" s="3"/>
      <c r="X34" s="3"/>
      <c r="Y34" s="3"/>
      <c r="Z34" s="3"/>
      <c r="AA34" s="3"/>
    </row>
    <row r="35" spans="2:27" x14ac:dyDescent="0.2">
      <c r="B35" s="3"/>
      <c r="C35" s="3"/>
      <c r="D35" s="14"/>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ht="15" customHeight="1" x14ac:dyDescent="0.25">
      <c r="B66" s="3"/>
      <c r="C66" s="97"/>
      <c r="D66" s="62"/>
      <c r="E66" s="3"/>
      <c r="F66" s="3"/>
      <c r="G66" s="3"/>
      <c r="H66" s="3"/>
      <c r="I66" s="3"/>
      <c r="J66" s="3"/>
      <c r="K66" s="3"/>
      <c r="L66" s="3"/>
      <c r="M66" s="3"/>
      <c r="N66" s="3"/>
      <c r="O66" s="3"/>
      <c r="P66" s="3"/>
      <c r="Q66" s="3"/>
      <c r="R66" s="3"/>
      <c r="S66" s="3"/>
      <c r="T66" s="3"/>
      <c r="U66" s="3"/>
      <c r="V66" s="3"/>
      <c r="W66" s="3"/>
      <c r="X66" s="3"/>
      <c r="Y66" s="85"/>
      <c r="Z66" s="85"/>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84"/>
      <c r="Z67" s="84"/>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84"/>
      <c r="Z68" s="84"/>
      <c r="AA68" s="3"/>
    </row>
    <row r="69" spans="2:27" ht="15" customHeight="1" x14ac:dyDescent="0.25">
      <c r="B69" s="3"/>
      <c r="C69" s="3"/>
      <c r="D69" s="23" t="s">
        <v>113</v>
      </c>
      <c r="E69" s="24"/>
      <c r="F69" s="24"/>
      <c r="G69" s="24"/>
      <c r="H69" s="24"/>
      <c r="I69" s="3"/>
      <c r="J69" s="3"/>
      <c r="K69" s="3"/>
      <c r="L69" s="23" t="s">
        <v>194</v>
      </c>
      <c r="M69" s="24"/>
      <c r="N69" s="24"/>
      <c r="O69" s="24"/>
      <c r="P69" s="24"/>
      <c r="Q69" s="3"/>
      <c r="R69" s="3"/>
      <c r="S69" s="3"/>
      <c r="T69" s="23" t="s">
        <v>199</v>
      </c>
      <c r="U69" s="24"/>
      <c r="V69" s="24"/>
      <c r="W69" s="24"/>
      <c r="X69" s="3"/>
      <c r="Y69" s="84"/>
      <c r="Z69" s="84"/>
      <c r="AA69" s="3"/>
    </row>
    <row r="70" spans="2:27" ht="15" customHeight="1" x14ac:dyDescent="0.25">
      <c r="B70" s="3"/>
      <c r="C70" s="397" t="s">
        <v>145</v>
      </c>
      <c r="D70" s="46"/>
      <c r="E70" s="46">
        <v>2020</v>
      </c>
      <c r="F70" s="47">
        <v>2025</v>
      </c>
      <c r="G70" s="47">
        <v>2030</v>
      </c>
      <c r="H70" s="34"/>
      <c r="I70" s="3"/>
      <c r="J70" s="3"/>
      <c r="K70" s="3"/>
      <c r="L70" s="34"/>
      <c r="M70" s="46">
        <v>2020</v>
      </c>
      <c r="N70" s="47">
        <v>2025</v>
      </c>
      <c r="O70" s="47">
        <v>2030</v>
      </c>
      <c r="P70" s="34"/>
      <c r="Q70" s="3"/>
      <c r="R70" s="3"/>
      <c r="S70" s="397" t="s">
        <v>145</v>
      </c>
      <c r="T70" s="34"/>
      <c r="U70" s="47">
        <v>2020</v>
      </c>
      <c r="V70" s="47">
        <v>2025</v>
      </c>
      <c r="W70" s="47">
        <v>2030</v>
      </c>
      <c r="X70" s="3"/>
      <c r="Y70" s="84"/>
      <c r="Z70" s="84"/>
      <c r="AA70" s="63"/>
    </row>
    <row r="71" spans="2:27" x14ac:dyDescent="0.2">
      <c r="B71" s="3"/>
      <c r="C71" s="397"/>
      <c r="D71" s="24"/>
      <c r="E71" s="48" t="s">
        <v>89</v>
      </c>
      <c r="F71" s="49"/>
      <c r="G71" s="49"/>
      <c r="H71" s="24"/>
      <c r="I71" s="3"/>
      <c r="J71" s="3"/>
      <c r="K71" s="3"/>
      <c r="L71" s="24"/>
      <c r="M71" s="48" t="s">
        <v>89</v>
      </c>
      <c r="N71" s="49"/>
      <c r="O71" s="49"/>
      <c r="P71" s="24"/>
      <c r="Q71" s="3"/>
      <c r="R71" s="3"/>
      <c r="S71" s="397"/>
      <c r="T71" s="24"/>
      <c r="U71" s="50" t="s">
        <v>89</v>
      </c>
      <c r="V71" s="50"/>
      <c r="W71" s="59"/>
      <c r="X71" s="3"/>
      <c r="Y71" s="84"/>
      <c r="Z71" s="84"/>
      <c r="AA71" s="63"/>
    </row>
    <row r="72" spans="2:27" ht="15.75" x14ac:dyDescent="0.3">
      <c r="B72" s="3"/>
      <c r="C72" s="3"/>
      <c r="D72" s="29" t="s">
        <v>31</v>
      </c>
      <c r="E72" s="32">
        <f>'Referenz Plattenwerk'!$U$16+'Referenz Plattenwerk'!U21</f>
        <v>43.0426</v>
      </c>
      <c r="F72" s="32">
        <f>J145+J150</f>
        <v>32.712375999999999</v>
      </c>
      <c r="G72" s="32">
        <f>J213+J218</f>
        <v>32.712375999999999</v>
      </c>
      <c r="H72" s="25" t="s">
        <v>162</v>
      </c>
      <c r="I72" s="3"/>
      <c r="J72" s="3"/>
      <c r="K72" s="3"/>
      <c r="L72" s="29" t="s">
        <v>115</v>
      </c>
      <c r="M72" s="26">
        <f>'Referenz Plattenwerk'!Q74</f>
        <v>94.932355060000006</v>
      </c>
      <c r="N72" s="26">
        <f>F202</f>
        <v>82.681459059999995</v>
      </c>
      <c r="O72" s="26">
        <f>F270</f>
        <v>82.681459059999995</v>
      </c>
      <c r="P72" s="25" t="s">
        <v>162</v>
      </c>
      <c r="Q72" s="3"/>
      <c r="R72" s="3"/>
      <c r="S72" s="3"/>
      <c r="T72" s="57" t="s">
        <v>158</v>
      </c>
      <c r="U72" s="58">
        <f>SUM(U73:U79)</f>
        <v>109669</v>
      </c>
      <c r="V72" s="58">
        <f t="shared" ref="V72:W72" si="0">SUM(V73:V79)</f>
        <v>103575.4</v>
      </c>
      <c r="W72" s="58">
        <f t="shared" si="0"/>
        <v>103575.4</v>
      </c>
      <c r="X72" s="3"/>
      <c r="Y72" s="64"/>
      <c r="Z72" s="64"/>
      <c r="AA72" s="63"/>
    </row>
    <row r="73" spans="2:27" ht="15.75" x14ac:dyDescent="0.3">
      <c r="B73" s="3"/>
      <c r="C73" s="3"/>
      <c r="D73" s="8" t="s">
        <v>32</v>
      </c>
      <c r="E73" s="10">
        <f>'Referenz Plattenwerk'!$U$17+'Referenz Plattenwerk'!U22</f>
        <v>16.005600000000001</v>
      </c>
      <c r="F73" s="10">
        <f>J146+J151</f>
        <v>14.084928</v>
      </c>
      <c r="G73" s="10">
        <f>J214+J219</f>
        <v>14.084928</v>
      </c>
      <c r="H73" s="3" t="s">
        <v>162</v>
      </c>
      <c r="I73" s="3"/>
      <c r="J73" s="3"/>
      <c r="K73" s="3"/>
      <c r="L73" s="8" t="s">
        <v>28</v>
      </c>
      <c r="M73" s="9">
        <f>'Referenz Plattenwerk'!R74</f>
        <v>171.9</v>
      </c>
      <c r="N73" s="9">
        <f>G202</f>
        <v>121.145673676052</v>
      </c>
      <c r="O73" s="9">
        <f>G270</f>
        <v>59.705978200727237</v>
      </c>
      <c r="P73" s="3" t="s">
        <v>162</v>
      </c>
      <c r="Q73" s="3"/>
      <c r="R73" s="3"/>
      <c r="S73" s="3"/>
      <c r="T73" s="31" t="s">
        <v>31</v>
      </c>
      <c r="U73" s="52">
        <f>'Referenz Plattenwerk'!AB16</f>
        <v>14335</v>
      </c>
      <c r="V73" s="52">
        <f>S145+S150</f>
        <v>10894.599999999999</v>
      </c>
      <c r="W73" s="52">
        <f>S213+S218</f>
        <v>10894.599999999999</v>
      </c>
      <c r="X73" s="3"/>
      <c r="Y73" s="64"/>
      <c r="Z73" s="64"/>
      <c r="AA73" s="63"/>
    </row>
    <row r="74" spans="2:27" ht="15.75" x14ac:dyDescent="0.3">
      <c r="B74" s="3"/>
      <c r="C74" s="3"/>
      <c r="D74" s="29" t="s">
        <v>33</v>
      </c>
      <c r="E74" s="32">
        <f>'Referenz Plattenwerk'!$U$18+'Referenz Plattenwerk'!R24</f>
        <v>171.9</v>
      </c>
      <c r="F74" s="32">
        <f>J147+J153</f>
        <v>121.145673676052</v>
      </c>
      <c r="G74" s="32">
        <f>J215+J221</f>
        <v>59.705978200727237</v>
      </c>
      <c r="H74" s="25" t="s">
        <v>162</v>
      </c>
      <c r="I74" s="3"/>
      <c r="J74" s="3"/>
      <c r="K74" s="3"/>
      <c r="L74" s="29" t="s">
        <v>29</v>
      </c>
      <c r="M74" s="26">
        <f>'Referenz Plattenwerk'!S74</f>
        <v>5831.5296228095176</v>
      </c>
      <c r="N74" s="26">
        <f>H202</f>
        <v>5822.0361108081024</v>
      </c>
      <c r="O74" s="26">
        <f>H270</f>
        <v>5813.029244455699</v>
      </c>
      <c r="P74" s="25" t="s">
        <v>162</v>
      </c>
      <c r="Q74" s="3"/>
      <c r="R74" s="3"/>
      <c r="S74" s="3"/>
      <c r="T74" s="31" t="s">
        <v>32</v>
      </c>
      <c r="U74" s="52">
        <f>'Referenz Plattenwerk'!AB17</f>
        <v>2760</v>
      </c>
      <c r="V74" s="52">
        <f>S146+S151</f>
        <v>2428.7999999999997</v>
      </c>
      <c r="W74" s="52">
        <f>S214+S219</f>
        <v>2428.7999999999997</v>
      </c>
      <c r="X74" s="3"/>
      <c r="Y74" s="64"/>
      <c r="Z74" s="64"/>
      <c r="AA74" s="63"/>
    </row>
    <row r="75" spans="2:27" ht="16.5" thickBot="1" x14ac:dyDescent="0.35">
      <c r="B75" s="3"/>
      <c r="C75" s="3"/>
      <c r="D75" s="8" t="s">
        <v>126</v>
      </c>
      <c r="E75" s="10">
        <f>'Referenz Plattenwerk'!$U$19</f>
        <v>0</v>
      </c>
      <c r="F75" s="10">
        <f>J148</f>
        <v>0</v>
      </c>
      <c r="G75" s="10">
        <f>J216</f>
        <v>0</v>
      </c>
      <c r="H75" s="3" t="s">
        <v>162</v>
      </c>
      <c r="I75" s="3"/>
      <c r="J75" s="3"/>
      <c r="K75" s="3"/>
      <c r="L75" s="27" t="s">
        <v>69</v>
      </c>
      <c r="M75" s="28">
        <f>SUM(M72:M74)</f>
        <v>6098.3619778695174</v>
      </c>
      <c r="N75" s="28">
        <f t="shared" ref="N75:O75" si="1">SUM(N72:N74)</f>
        <v>6025.8632435441541</v>
      </c>
      <c r="O75" s="28">
        <f t="shared" si="1"/>
        <v>5955.416681716426</v>
      </c>
      <c r="P75" s="27" t="s">
        <v>163</v>
      </c>
      <c r="Q75" s="3"/>
      <c r="R75" s="3"/>
      <c r="S75" s="3"/>
      <c r="T75" s="31" t="s">
        <v>33</v>
      </c>
      <c r="U75" s="52">
        <f>'Referenz Plattenwerk'!AB18</f>
        <v>77400</v>
      </c>
      <c r="V75" s="52">
        <f>S147+S153</f>
        <v>75078</v>
      </c>
      <c r="W75" s="52">
        <f>S215+S221</f>
        <v>75078</v>
      </c>
      <c r="X75" s="3"/>
      <c r="Y75" s="64"/>
      <c r="Z75" s="64"/>
      <c r="AA75" s="63"/>
    </row>
    <row r="76" spans="2:27" ht="16.5" thickTop="1" x14ac:dyDescent="0.3">
      <c r="B76" s="3"/>
      <c r="C76" s="3"/>
      <c r="D76" s="29" t="s">
        <v>122</v>
      </c>
      <c r="E76" s="32">
        <f>'Referenz Plattenwerk'!$U$25</f>
        <v>0</v>
      </c>
      <c r="F76" s="32">
        <f>J154</f>
        <v>0</v>
      </c>
      <c r="G76" s="32">
        <f>J222</f>
        <v>0</v>
      </c>
      <c r="H76" s="25" t="s">
        <v>162</v>
      </c>
      <c r="I76" s="3"/>
      <c r="J76" s="3"/>
      <c r="K76" s="3"/>
      <c r="L76" s="3"/>
      <c r="M76" s="3"/>
      <c r="N76" s="3"/>
      <c r="O76" s="3"/>
      <c r="P76" s="3"/>
      <c r="Q76" s="3"/>
      <c r="R76" s="3"/>
      <c r="S76" s="3"/>
      <c r="T76" s="31" t="s">
        <v>122</v>
      </c>
      <c r="U76" s="52">
        <f>'Referenz Plattenwerk'!AB19</f>
        <v>0</v>
      </c>
      <c r="V76" s="52">
        <f>S154</f>
        <v>0</v>
      </c>
      <c r="W76" s="52">
        <f>S222</f>
        <v>0</v>
      </c>
      <c r="X76" s="3"/>
      <c r="Y76" s="64"/>
      <c r="Z76" s="64"/>
      <c r="AA76" s="63"/>
    </row>
    <row r="77" spans="2:27" ht="15.75" x14ac:dyDescent="0.3">
      <c r="B77" s="3"/>
      <c r="C77" s="3"/>
      <c r="D77" s="8" t="s">
        <v>149</v>
      </c>
      <c r="E77" s="10">
        <f>'Referenz Plattenwerk'!$U$26</f>
        <v>0</v>
      </c>
      <c r="F77" s="10">
        <f>J155</f>
        <v>0</v>
      </c>
      <c r="G77" s="10">
        <f>J223</f>
        <v>0</v>
      </c>
      <c r="H77" s="3" t="s">
        <v>162</v>
      </c>
      <c r="I77" s="3"/>
      <c r="J77" s="3"/>
      <c r="K77" s="3"/>
      <c r="L77" s="3"/>
      <c r="M77" s="3"/>
      <c r="N77" s="3"/>
      <c r="O77" s="3"/>
      <c r="P77" s="3"/>
      <c r="Q77" s="3"/>
      <c r="R77" s="3"/>
      <c r="S77" s="3"/>
      <c r="T77" s="31" t="s">
        <v>123</v>
      </c>
      <c r="U77" s="52">
        <f>'Referenz Plattenwerk'!AB20</f>
        <v>0</v>
      </c>
      <c r="V77" s="52">
        <f>S148</f>
        <v>0</v>
      </c>
      <c r="W77" s="52">
        <f>S216</f>
        <v>0</v>
      </c>
      <c r="X77" s="3"/>
      <c r="Y77" s="64"/>
      <c r="Z77" s="64"/>
      <c r="AA77" s="63"/>
    </row>
    <row r="78" spans="2:27" ht="15.75" x14ac:dyDescent="0.3">
      <c r="B78" s="3"/>
      <c r="C78" s="3"/>
      <c r="D78" s="29" t="s">
        <v>34</v>
      </c>
      <c r="E78" s="32">
        <f>'Referenz Plattenwerk'!$U$28+'Referenz Plattenwerk'!$U$29</f>
        <v>35.884155059999998</v>
      </c>
      <c r="F78" s="32">
        <f>J157+J158</f>
        <v>35.884155059999998</v>
      </c>
      <c r="G78" s="32">
        <f>J225+J226</f>
        <v>35.884155059999998</v>
      </c>
      <c r="H78" s="25" t="s">
        <v>162</v>
      </c>
      <c r="I78" s="3"/>
      <c r="J78" s="3"/>
      <c r="K78" s="3"/>
      <c r="L78" s="23" t="s">
        <v>192</v>
      </c>
      <c r="M78" s="24"/>
      <c r="N78" s="24"/>
      <c r="O78" s="24"/>
      <c r="P78" s="24"/>
      <c r="Q78" s="3"/>
      <c r="R78" s="3"/>
      <c r="S78" s="3"/>
      <c r="T78" s="31" t="s">
        <v>466</v>
      </c>
      <c r="U78" s="52">
        <f>'Referenz Plattenwerk'!AB21</f>
        <v>0</v>
      </c>
      <c r="V78" s="52">
        <f>S155</f>
        <v>0</v>
      </c>
      <c r="W78" s="52">
        <f>S223</f>
        <v>0</v>
      </c>
      <c r="X78" s="3"/>
      <c r="Y78" s="64"/>
      <c r="Z78" s="64"/>
      <c r="AA78" s="63"/>
    </row>
    <row r="79" spans="2:27" ht="15.75" thickBot="1" x14ac:dyDescent="0.3">
      <c r="B79" s="3"/>
      <c r="C79" s="3"/>
      <c r="D79" s="27" t="s">
        <v>69</v>
      </c>
      <c r="E79" s="33">
        <f>SUM(E72:E78)</f>
        <v>266.83235506</v>
      </c>
      <c r="F79" s="33">
        <f>SUM(F72:F78)</f>
        <v>203.82713273605202</v>
      </c>
      <c r="G79" s="33">
        <f>SUM(G72:G78)</f>
        <v>142.38743726072721</v>
      </c>
      <c r="H79" s="27" t="s">
        <v>163</v>
      </c>
      <c r="I79" s="3"/>
      <c r="J79" s="3"/>
      <c r="K79" s="397" t="s">
        <v>145</v>
      </c>
      <c r="L79" s="34"/>
      <c r="M79" s="46">
        <v>2020</v>
      </c>
      <c r="N79" s="47">
        <v>2025</v>
      </c>
      <c r="O79" s="47">
        <v>2030</v>
      </c>
      <c r="P79" s="34"/>
      <c r="Q79" s="3"/>
      <c r="R79" s="3"/>
      <c r="S79" s="3"/>
      <c r="T79" s="51" t="s">
        <v>34</v>
      </c>
      <c r="U79" s="53">
        <f>'Referenz Plattenwerk'!AB22</f>
        <v>15174.000000000002</v>
      </c>
      <c r="V79" s="54">
        <f>S157+S158</f>
        <v>15174.000000000002</v>
      </c>
      <c r="W79" s="54">
        <f>S225+S226</f>
        <v>15174.000000000002</v>
      </c>
      <c r="X79" s="3"/>
      <c r="Y79" s="64"/>
      <c r="Z79" s="64"/>
      <c r="AA79" s="63"/>
    </row>
    <row r="80" spans="2:27" ht="13.5" thickTop="1" x14ac:dyDescent="0.2">
      <c r="B80" s="3"/>
      <c r="C80" s="3"/>
      <c r="D80" s="3"/>
      <c r="E80" s="3"/>
      <c r="F80" s="3"/>
      <c r="G80" s="3"/>
      <c r="H80" s="3"/>
      <c r="I80" s="3"/>
      <c r="J80" s="3"/>
      <c r="K80" s="397"/>
      <c r="L80" s="24"/>
      <c r="M80" s="48" t="s">
        <v>89</v>
      </c>
      <c r="N80" s="49"/>
      <c r="O80" s="49"/>
      <c r="P80" s="24"/>
      <c r="Q80" s="3"/>
      <c r="R80" s="3"/>
      <c r="S80" s="3"/>
      <c r="T80" s="8" t="s">
        <v>30</v>
      </c>
      <c r="U80" s="55">
        <v>0</v>
      </c>
      <c r="V80" s="55">
        <f>S161</f>
        <v>72000</v>
      </c>
      <c r="W80" s="55">
        <f>S229</f>
        <v>72000</v>
      </c>
      <c r="X80" s="3"/>
      <c r="Y80" s="64"/>
      <c r="Z80" s="64"/>
      <c r="AA80" s="63"/>
    </row>
    <row r="81" spans="2:27" ht="15.75" x14ac:dyDescent="0.3">
      <c r="B81" s="3"/>
      <c r="C81" s="3"/>
      <c r="D81" s="3"/>
      <c r="E81" s="3"/>
      <c r="F81" s="3"/>
      <c r="G81" s="3"/>
      <c r="H81" s="3"/>
      <c r="I81" s="3"/>
      <c r="J81" s="3"/>
      <c r="K81" s="3"/>
      <c r="L81" s="29" t="str">
        <f>C143</f>
        <v>Energieträger gesamt</v>
      </c>
      <c r="M81" s="26">
        <f>SUM('Referenz Plattenwerk'!S16:S29)</f>
        <v>41.281733459999998</v>
      </c>
      <c r="N81" s="26">
        <f>H143</f>
        <v>31.788221458583543</v>
      </c>
      <c r="O81" s="26">
        <f>H211</f>
        <v>22.781355106179909</v>
      </c>
      <c r="P81" s="25" t="s">
        <v>162</v>
      </c>
      <c r="Q81" s="3"/>
      <c r="R81" s="3"/>
      <c r="S81" s="3"/>
      <c r="T81" s="8" t="s">
        <v>153</v>
      </c>
      <c r="U81" s="55">
        <v>0</v>
      </c>
      <c r="V81" s="55">
        <f>S162</f>
        <v>0</v>
      </c>
      <c r="W81" s="55">
        <f>S230</f>
        <v>0</v>
      </c>
      <c r="X81" s="3"/>
      <c r="Y81" s="64"/>
      <c r="Z81" s="64"/>
      <c r="AA81" s="63"/>
    </row>
    <row r="82" spans="2:27" ht="15.75" x14ac:dyDescent="0.3">
      <c r="B82" s="3"/>
      <c r="C82" s="3"/>
      <c r="D82" s="3"/>
      <c r="E82" s="3"/>
      <c r="F82" s="3"/>
      <c r="G82" s="3"/>
      <c r="H82" s="3"/>
      <c r="I82" s="3"/>
      <c r="J82" s="3"/>
      <c r="K82" s="3"/>
      <c r="L82" s="8" t="str">
        <f>C159</f>
        <v>Transport gesamt</v>
      </c>
      <c r="M82" s="9">
        <f>'Referenz Plattenwerk'!S32+'Referenz Plattenwerk'!S33</f>
        <v>469.15642799999995</v>
      </c>
      <c r="N82" s="9">
        <f>H159</f>
        <v>469.15642799999995</v>
      </c>
      <c r="O82" s="9">
        <f>H227</f>
        <v>469.15642799999995</v>
      </c>
      <c r="P82" s="3" t="s">
        <v>162</v>
      </c>
      <c r="Q82" s="3"/>
      <c r="R82" s="3"/>
      <c r="S82" s="3"/>
      <c r="T82" s="59" t="s">
        <v>160</v>
      </c>
      <c r="U82" s="61">
        <v>0</v>
      </c>
      <c r="V82" s="61">
        <f>S163</f>
        <v>0</v>
      </c>
      <c r="W82" s="61">
        <f>S231</f>
        <v>0</v>
      </c>
      <c r="X82" s="3"/>
      <c r="Y82" s="64"/>
      <c r="Z82" s="64"/>
      <c r="AA82" s="63"/>
    </row>
    <row r="83" spans="2:27" ht="15.75" x14ac:dyDescent="0.3">
      <c r="B83" s="3"/>
      <c r="C83" s="3"/>
      <c r="D83" s="3"/>
      <c r="E83" s="3"/>
      <c r="F83" s="3"/>
      <c r="G83" s="3"/>
      <c r="H83" s="3"/>
      <c r="I83" s="3"/>
      <c r="J83" s="3"/>
      <c r="K83" s="3"/>
      <c r="L83" s="29" t="str">
        <f>C163</f>
        <v>Zement</v>
      </c>
      <c r="M83" s="26">
        <f>'Referenz Plattenwerk'!S35</f>
        <v>4548.5439999999999</v>
      </c>
      <c r="N83" s="26">
        <f>H163</f>
        <v>4548.5439999999999</v>
      </c>
      <c r="O83" s="26">
        <f>H231</f>
        <v>4548.5439999999999</v>
      </c>
      <c r="P83" s="25" t="s">
        <v>162</v>
      </c>
      <c r="Q83" s="3"/>
      <c r="R83" s="3"/>
      <c r="S83" s="3"/>
      <c r="T83" s="57" t="s">
        <v>154</v>
      </c>
      <c r="U83" s="58">
        <f>SUM(U84:U86)</f>
        <v>152459.04944673795</v>
      </c>
      <c r="V83" s="58">
        <f t="shared" ref="V83:W83" si="2">SUM(V84:V86)</f>
        <v>271163.84595948696</v>
      </c>
      <c r="W83" s="58">
        <f t="shared" si="2"/>
        <v>476433.33453731408</v>
      </c>
      <c r="X83" s="3"/>
      <c r="Y83" s="64"/>
      <c r="Z83" s="64"/>
      <c r="AA83" s="63"/>
    </row>
    <row r="84" spans="2:27" ht="15.75" x14ac:dyDescent="0.3">
      <c r="B84" s="3"/>
      <c r="C84" s="3"/>
      <c r="D84" s="3"/>
      <c r="E84" s="3"/>
      <c r="F84" s="3"/>
      <c r="G84" s="3"/>
      <c r="H84" s="3"/>
      <c r="I84" s="3"/>
      <c r="J84" s="3"/>
      <c r="K84" s="3"/>
      <c r="L84" s="8" t="str">
        <f>C169</f>
        <v>Gesteinskörnungen (Zuschlagsstoffe)</v>
      </c>
      <c r="M84" s="9">
        <f>'Referenz Plattenwerk'!S41</f>
        <v>129.59200000000001</v>
      </c>
      <c r="N84" s="9">
        <f>H169</f>
        <v>129.59200000000001</v>
      </c>
      <c r="O84" s="9">
        <f>H237</f>
        <v>129.59200000000001</v>
      </c>
      <c r="P84" s="3" t="s">
        <v>162</v>
      </c>
      <c r="Q84" s="3"/>
      <c r="R84" s="3"/>
      <c r="S84" s="3"/>
      <c r="T84" s="31" t="s">
        <v>155</v>
      </c>
      <c r="U84" s="52">
        <f>'Referenz Plattenwerk'!AB26</f>
        <v>2373.3088765000002</v>
      </c>
      <c r="V84" s="52">
        <f>S166</f>
        <v>3720.6656576999999</v>
      </c>
      <c r="W84" s="52">
        <f>S234</f>
        <v>6614.5167247999998</v>
      </c>
      <c r="X84" s="3"/>
      <c r="Y84" s="64"/>
      <c r="Z84" s="64"/>
      <c r="AA84" s="63"/>
    </row>
    <row r="85" spans="2:27" ht="15.75" x14ac:dyDescent="0.3">
      <c r="B85" s="3"/>
      <c r="C85" s="3"/>
      <c r="D85" s="3"/>
      <c r="E85" s="3"/>
      <c r="F85" s="3"/>
      <c r="G85" s="3"/>
      <c r="H85" s="3"/>
      <c r="I85" s="3"/>
      <c r="J85" s="3"/>
      <c r="K85" s="3"/>
      <c r="L85" s="29" t="str">
        <f>D174</f>
        <v>Farben</v>
      </c>
      <c r="M85" s="26">
        <f>'Referenz Plattenwerk'!S46</f>
        <v>208</v>
      </c>
      <c r="N85" s="26">
        <f>H174</f>
        <v>208</v>
      </c>
      <c r="O85" s="26">
        <f>H242</f>
        <v>208</v>
      </c>
      <c r="P85" s="25" t="s">
        <v>162</v>
      </c>
      <c r="Q85" s="3"/>
      <c r="R85" s="3"/>
      <c r="S85" s="3"/>
      <c r="T85" s="31" t="s">
        <v>156</v>
      </c>
      <c r="U85" s="52">
        <f>'Referenz Plattenwerk'!AB27</f>
        <v>4297.5</v>
      </c>
      <c r="V85" s="52">
        <f>S167</f>
        <v>5451.5553154223398</v>
      </c>
      <c r="W85" s="52">
        <f>S235</f>
        <v>4776.4782560581789</v>
      </c>
      <c r="X85" s="3"/>
      <c r="Y85" s="64"/>
      <c r="Z85" s="64"/>
      <c r="AA85" s="63"/>
    </row>
    <row r="86" spans="2:27" ht="15.75" x14ac:dyDescent="0.3">
      <c r="B86" s="3"/>
      <c r="C86" s="3"/>
      <c r="D86" s="3"/>
      <c r="E86" s="3"/>
      <c r="F86" s="3"/>
      <c r="G86" s="3"/>
      <c r="H86" s="3"/>
      <c r="I86" s="3"/>
      <c r="J86" s="3"/>
      <c r="K86" s="3"/>
      <c r="L86" s="8" t="str">
        <f>C176</f>
        <v>Zusatzstoffe (Füllstoffe)</v>
      </c>
      <c r="M86" s="9">
        <f>'Referenz Plattenwerk'!S48</f>
        <v>81.003999999999991</v>
      </c>
      <c r="N86" s="9">
        <f>H176</f>
        <v>81.003999999999991</v>
      </c>
      <c r="O86" s="9">
        <f>H244</f>
        <v>81.003999999999991</v>
      </c>
      <c r="P86" s="3" t="s">
        <v>162</v>
      </c>
      <c r="Q86" s="3"/>
      <c r="R86" s="3"/>
      <c r="S86" s="3"/>
      <c r="T86" s="31" t="s">
        <v>157</v>
      </c>
      <c r="U86" s="52">
        <f>'Referenz Plattenwerk'!AB28</f>
        <v>145788.24057023795</v>
      </c>
      <c r="V86" s="52">
        <f>S168</f>
        <v>261991.62498636462</v>
      </c>
      <c r="W86" s="52">
        <f>S236</f>
        <v>465042.3395564559</v>
      </c>
      <c r="X86" s="3"/>
      <c r="Y86" s="64"/>
      <c r="Z86" s="64"/>
      <c r="AA86" s="63"/>
    </row>
    <row r="87" spans="2:27" ht="16.5" thickBot="1" x14ac:dyDescent="0.35">
      <c r="B87" s="3"/>
      <c r="C87" s="3"/>
      <c r="D87" s="3"/>
      <c r="E87" s="3"/>
      <c r="F87" s="3"/>
      <c r="G87" s="3"/>
      <c r="H87" s="3"/>
      <c r="I87" s="3"/>
      <c r="J87" s="3"/>
      <c r="K87" s="3"/>
      <c r="L87" s="29" t="str">
        <f>C181</f>
        <v>Zusatzmittel</v>
      </c>
      <c r="M87" s="26">
        <f>'Referenz Plattenwerk'!S53</f>
        <v>148.44746134951595</v>
      </c>
      <c r="N87" s="26">
        <f>H181</f>
        <v>148.44746134951595</v>
      </c>
      <c r="O87" s="26">
        <f>H249</f>
        <v>148.44746134951595</v>
      </c>
      <c r="P87" s="25" t="s">
        <v>162</v>
      </c>
      <c r="Q87" s="3"/>
      <c r="R87" s="3"/>
      <c r="S87" s="3"/>
      <c r="T87" s="27" t="s">
        <v>69</v>
      </c>
      <c r="U87" s="56">
        <f>U83+U82+U81+U80+U72</f>
        <v>262128.04944673795</v>
      </c>
      <c r="V87" s="56">
        <f t="shared" ref="V87:W87" si="3">V83+V82+V81+V80+V72</f>
        <v>446739.24595948693</v>
      </c>
      <c r="W87" s="56">
        <f t="shared" si="3"/>
        <v>652008.73453731404</v>
      </c>
      <c r="X87" s="3"/>
      <c r="Y87" s="64"/>
      <c r="Z87" s="64"/>
      <c r="AA87" s="63"/>
    </row>
    <row r="88" spans="2:27" ht="16.5" thickTop="1" x14ac:dyDescent="0.3">
      <c r="B88" s="3"/>
      <c r="C88" s="3"/>
      <c r="D88" s="3"/>
      <c r="E88" s="3"/>
      <c r="F88" s="3"/>
      <c r="G88" s="3"/>
      <c r="H88" s="3"/>
      <c r="I88" s="3"/>
      <c r="J88" s="3"/>
      <c r="K88" s="3"/>
      <c r="L88" s="8" t="s">
        <v>193</v>
      </c>
      <c r="M88" s="9">
        <f>'Referenz Plattenwerk'!S59+'Referenz Plattenwerk'!S60</f>
        <v>0.54400000000000004</v>
      </c>
      <c r="N88" s="9">
        <f>H187+H188</f>
        <v>0.54400000000000004</v>
      </c>
      <c r="O88" s="9">
        <f>H255+H256</f>
        <v>0.54400000000000004</v>
      </c>
      <c r="P88" s="3" t="s">
        <v>162</v>
      </c>
      <c r="Q88" s="3"/>
      <c r="R88" s="3"/>
      <c r="S88" s="3"/>
      <c r="T88" s="3"/>
      <c r="U88" s="3"/>
      <c r="V88" s="3"/>
      <c r="W88" s="3"/>
      <c r="X88" s="3"/>
      <c r="Y88" s="63"/>
      <c r="Z88" s="63"/>
      <c r="AA88" s="63"/>
    </row>
    <row r="89" spans="2:27" ht="16.5" thickBot="1" x14ac:dyDescent="0.35">
      <c r="B89" s="3"/>
      <c r="C89" s="3"/>
      <c r="D89" s="3"/>
      <c r="E89" s="3"/>
      <c r="F89" s="3"/>
      <c r="G89" s="3"/>
      <c r="H89" s="3"/>
      <c r="I89" s="3"/>
      <c r="J89" s="3"/>
      <c r="K89" s="3"/>
      <c r="L89" s="29" t="str">
        <f>C190</f>
        <v>Oberflächenschutzsysteme</v>
      </c>
      <c r="M89" s="26">
        <f>'Referenz Plattenwerk'!S62</f>
        <v>80.47999999999999</v>
      </c>
      <c r="N89" s="26">
        <f>H190</f>
        <v>80.47999999999999</v>
      </c>
      <c r="O89" s="26">
        <f>H258</f>
        <v>80.47999999999999</v>
      </c>
      <c r="P89" s="25" t="s">
        <v>162</v>
      </c>
      <c r="Q89" s="3"/>
      <c r="R89" s="3"/>
      <c r="S89" s="3"/>
      <c r="T89" s="105" t="s">
        <v>210</v>
      </c>
      <c r="U89" s="106">
        <f>U87-U86</f>
        <v>116339.8088765</v>
      </c>
      <c r="V89" s="106">
        <f>V87-V86</f>
        <v>184747.62097312231</v>
      </c>
      <c r="W89" s="106">
        <f>W87-W86</f>
        <v>186966.39498085814</v>
      </c>
      <c r="X89" s="3"/>
      <c r="Y89" s="3"/>
      <c r="Z89" s="3"/>
      <c r="AA89" s="3"/>
    </row>
    <row r="90" spans="2:27" ht="16.5" thickBot="1" x14ac:dyDescent="0.35">
      <c r="B90" s="3"/>
      <c r="C90" s="3"/>
      <c r="D90" s="3"/>
      <c r="E90" s="3"/>
      <c r="F90" s="3"/>
      <c r="G90" s="3"/>
      <c r="H90" s="3"/>
      <c r="I90" s="3"/>
      <c r="J90" s="3"/>
      <c r="K90" s="3"/>
      <c r="L90" s="8" t="str">
        <f>C195</f>
        <v>Oberflächenbearbeitung (vor/nach Erhärtung)</v>
      </c>
      <c r="M90" s="9">
        <f>'Referenz Plattenwerk'!S67</f>
        <v>60</v>
      </c>
      <c r="N90" s="9">
        <f>H195</f>
        <v>60</v>
      </c>
      <c r="O90" s="9">
        <f>H263</f>
        <v>60</v>
      </c>
      <c r="P90" s="3" t="s">
        <v>162</v>
      </c>
      <c r="Q90" s="3"/>
      <c r="R90" s="3"/>
      <c r="S90" s="3"/>
      <c r="T90" s="107" t="s">
        <v>159</v>
      </c>
      <c r="U90" s="108">
        <f>U87-U83</f>
        <v>109669</v>
      </c>
      <c r="V90" s="108">
        <f>V87-V83</f>
        <v>175575.39999999997</v>
      </c>
      <c r="W90" s="108">
        <f>W87-W83</f>
        <v>175575.39999999997</v>
      </c>
      <c r="X90" s="3"/>
      <c r="Y90" s="3"/>
      <c r="Z90" s="3"/>
      <c r="AA90" s="3"/>
    </row>
    <row r="91" spans="2:27" ht="15.75" x14ac:dyDescent="0.3">
      <c r="B91" s="3"/>
      <c r="C91" s="3"/>
      <c r="D91" s="3"/>
      <c r="E91" s="3"/>
      <c r="F91" s="3"/>
      <c r="G91" s="3"/>
      <c r="H91" s="3"/>
      <c r="I91" s="3"/>
      <c r="J91" s="3"/>
      <c r="K91" s="3"/>
      <c r="L91" s="29" t="str">
        <f>D200</f>
        <v>Verpackungsmaterial</v>
      </c>
      <c r="M91" s="26">
        <f>'Referenz Plattenwerk'!S72</f>
        <v>64.48</v>
      </c>
      <c r="N91" s="26">
        <f>H200</f>
        <v>64.48</v>
      </c>
      <c r="O91" s="26">
        <f>H268</f>
        <v>64.48</v>
      </c>
      <c r="P91" s="25" t="s">
        <v>162</v>
      </c>
      <c r="Q91" s="3"/>
      <c r="R91" s="3"/>
      <c r="S91" s="3"/>
      <c r="T91" s="3"/>
      <c r="U91" s="3"/>
      <c r="V91" s="3"/>
      <c r="W91" s="3"/>
      <c r="X91" s="3"/>
      <c r="Y91" s="3"/>
      <c r="Z91" s="3"/>
      <c r="AA91" s="3"/>
    </row>
    <row r="92" spans="2:27" ht="15" thickBot="1" x14ac:dyDescent="0.3">
      <c r="B92" s="3"/>
      <c r="C92" s="3"/>
      <c r="D92" s="3"/>
      <c r="E92" s="3"/>
      <c r="F92" s="3"/>
      <c r="G92" s="3"/>
      <c r="H92" s="3"/>
      <c r="I92" s="3"/>
      <c r="J92" s="3"/>
      <c r="K92" s="3"/>
      <c r="L92" s="27" t="s">
        <v>69</v>
      </c>
      <c r="M92" s="28">
        <f>SUM(M81:M91)</f>
        <v>5831.529622809514</v>
      </c>
      <c r="N92" s="28">
        <f t="shared" ref="N92" si="4">SUM(N81:N91)</f>
        <v>5822.0361108080979</v>
      </c>
      <c r="O92" s="28">
        <f>SUM(O81:O91)</f>
        <v>5813.0292444556944</v>
      </c>
      <c r="P92" s="27" t="s">
        <v>163</v>
      </c>
      <c r="Q92" s="3"/>
      <c r="R92" s="3"/>
      <c r="S92" s="3"/>
      <c r="T92" s="3"/>
      <c r="U92" s="3"/>
      <c r="V92" s="3"/>
      <c r="W92" s="3"/>
      <c r="X92" s="3"/>
      <c r="Y92" s="3"/>
      <c r="Z92" s="3"/>
      <c r="AA92" s="3"/>
    </row>
    <row r="93" spans="2:27" ht="13.5" thickTop="1" x14ac:dyDescent="0.2">
      <c r="B93" s="3"/>
      <c r="C93" s="3"/>
      <c r="D93" s="3"/>
      <c r="E93" s="3"/>
      <c r="F93" s="3"/>
      <c r="G93" s="3"/>
      <c r="H93" s="3"/>
      <c r="I93" s="3"/>
      <c r="J93" s="3"/>
      <c r="K93" s="3"/>
      <c r="L93" s="8"/>
      <c r="M93" s="83"/>
      <c r="N93" s="83"/>
      <c r="O93" s="83"/>
      <c r="P93" s="8"/>
      <c r="Q93" s="3"/>
      <c r="R93" s="3"/>
      <c r="S93" s="3"/>
      <c r="T93" s="3"/>
      <c r="U93" s="3"/>
      <c r="V93" s="3"/>
      <c r="W93" s="3"/>
      <c r="X93" s="3"/>
      <c r="Y93" s="3"/>
      <c r="Z93" s="3"/>
      <c r="AA93" s="3"/>
    </row>
    <row r="94" spans="2:27" x14ac:dyDescent="0.2">
      <c r="B94" s="3"/>
      <c r="C94" s="3"/>
      <c r="D94" s="3"/>
      <c r="E94" s="3"/>
      <c r="F94" s="3"/>
      <c r="G94" s="3"/>
      <c r="H94" s="3"/>
      <c r="I94" s="3"/>
      <c r="J94" s="3"/>
      <c r="K94" s="3"/>
      <c r="L94" s="8"/>
      <c r="M94" s="83"/>
      <c r="N94" s="83"/>
      <c r="O94" s="83"/>
      <c r="P94" s="8"/>
      <c r="Q94" s="3"/>
      <c r="R94" s="3"/>
      <c r="S94" s="3"/>
      <c r="T94" s="3"/>
      <c r="U94" s="3"/>
      <c r="V94" s="3"/>
      <c r="W94" s="3"/>
      <c r="X94" s="3"/>
      <c r="Y94" s="3"/>
      <c r="Z94" s="3"/>
      <c r="AA94" s="3"/>
    </row>
    <row r="95" spans="2:27" ht="15" x14ac:dyDescent="0.25">
      <c r="B95" s="3"/>
      <c r="C95" s="3"/>
      <c r="D95" s="3"/>
      <c r="E95" s="3"/>
      <c r="F95" s="3"/>
      <c r="G95" s="3"/>
      <c r="H95" s="3"/>
      <c r="I95" s="3"/>
      <c r="J95" s="3"/>
      <c r="K95" s="3"/>
      <c r="L95" s="23" t="s">
        <v>208</v>
      </c>
      <c r="M95" s="3"/>
      <c r="N95" s="3"/>
      <c r="O95" s="3"/>
      <c r="P95" s="3"/>
      <c r="Q95" s="3"/>
      <c r="R95" s="3"/>
      <c r="S95" s="3"/>
      <c r="T95" s="3"/>
      <c r="U95" s="3"/>
      <c r="V95" s="3"/>
      <c r="W95" s="3"/>
      <c r="X95" s="3"/>
      <c r="Y95" s="3"/>
      <c r="Z95" s="3"/>
      <c r="AA95" s="3"/>
    </row>
    <row r="96" spans="2:27" ht="15" x14ac:dyDescent="0.25">
      <c r="B96" s="3"/>
      <c r="C96" s="3"/>
      <c r="D96" s="3"/>
      <c r="E96" s="3"/>
      <c r="F96" s="3"/>
      <c r="G96" s="3"/>
      <c r="H96" s="3"/>
      <c r="I96" s="3"/>
      <c r="J96" s="3"/>
      <c r="K96" s="3"/>
      <c r="L96" s="34"/>
      <c r="M96" s="46">
        <v>2020</v>
      </c>
      <c r="N96" s="47">
        <v>2025</v>
      </c>
      <c r="O96" s="47">
        <v>2030</v>
      </c>
      <c r="P96" s="34"/>
      <c r="Q96" s="3"/>
      <c r="R96" s="3"/>
      <c r="S96" s="3"/>
      <c r="T96" s="3"/>
      <c r="U96" s="3"/>
      <c r="V96" s="3"/>
      <c r="W96" s="3"/>
      <c r="X96" s="3"/>
      <c r="Y96" s="3"/>
      <c r="Z96" s="3"/>
      <c r="AA96" s="3"/>
    </row>
    <row r="97" spans="2:27" x14ac:dyDescent="0.2">
      <c r="B97" s="3"/>
      <c r="C97" s="3"/>
      <c r="D97" s="3"/>
      <c r="E97" s="3"/>
      <c r="F97" s="3"/>
      <c r="G97" s="3"/>
      <c r="H97" s="3"/>
      <c r="I97" s="3"/>
      <c r="J97" s="3"/>
      <c r="K97" s="3"/>
      <c r="L97" s="24"/>
      <c r="M97" s="48" t="s">
        <v>89</v>
      </c>
      <c r="N97" s="49"/>
      <c r="O97" s="49"/>
      <c r="P97" s="24"/>
      <c r="Q97" s="3"/>
      <c r="R97" s="3"/>
      <c r="S97" s="3"/>
      <c r="T97" s="3"/>
      <c r="U97" s="3"/>
      <c r="V97" s="3"/>
      <c r="W97" s="3"/>
      <c r="X97" s="3"/>
      <c r="Y97" s="3"/>
      <c r="Z97" s="3"/>
      <c r="AA97" s="3"/>
    </row>
    <row r="98" spans="2:27" ht="15.75" x14ac:dyDescent="0.3">
      <c r="B98" s="3"/>
      <c r="C98" s="3"/>
      <c r="D98" s="3"/>
      <c r="E98" s="3"/>
      <c r="F98" s="3"/>
      <c r="G98" s="3"/>
      <c r="H98" s="3"/>
      <c r="I98" s="3"/>
      <c r="J98" s="3"/>
      <c r="K98" s="3"/>
      <c r="L98" s="29" t="s">
        <v>115</v>
      </c>
      <c r="M98" s="98">
        <f>M72/IF(NOT(ISBLANK('Referenz Plattenwerk'!$I$12)),'Referenz Plattenwerk'!$I$12,'Referenz Plattenwerk'!$F$12)</f>
        <v>2.3733088764999999E-3</v>
      </c>
      <c r="N98" s="98">
        <f>N72/IF(NOT(ISBLANK('Referenz Plattenwerk'!$I$12)),'Referenz Plattenwerk'!$I$12,'Referenz Plattenwerk'!$F$12)</f>
        <v>2.0670364765E-3</v>
      </c>
      <c r="O98" s="98">
        <f>O72/IF(NOT(ISBLANK('Referenz Plattenwerk'!$I$12)),'Referenz Plattenwerk'!$I$12,'Referenz Plattenwerk'!$F$12)</f>
        <v>2.0670364765E-3</v>
      </c>
      <c r="P98" s="25" t="s">
        <v>207</v>
      </c>
      <c r="Q98" s="3"/>
      <c r="R98" s="3"/>
      <c r="S98" s="3"/>
      <c r="T98" s="3"/>
      <c r="U98" s="3"/>
      <c r="V98" s="3"/>
      <c r="W98" s="3"/>
      <c r="X98" s="3"/>
      <c r="Y98" s="3"/>
      <c r="Z98" s="3"/>
      <c r="AA98" s="3"/>
    </row>
    <row r="99" spans="2:27" ht="15.75" x14ac:dyDescent="0.3">
      <c r="B99" s="3"/>
      <c r="C99" s="3"/>
      <c r="D99" s="3"/>
      <c r="E99" s="3"/>
      <c r="F99" s="3"/>
      <c r="G99" s="3"/>
      <c r="H99" s="3"/>
      <c r="I99" s="3"/>
      <c r="J99" s="3"/>
      <c r="K99" s="3"/>
      <c r="L99" s="8" t="s">
        <v>28</v>
      </c>
      <c r="M99" s="99">
        <f>M73/IF(NOT(ISBLANK('Referenz Plattenwerk'!$I$12)),'Referenz Plattenwerk'!$I$12,'Referenz Plattenwerk'!$F$12)</f>
        <v>4.2975000000000001E-3</v>
      </c>
      <c r="N99" s="99">
        <f>N73/IF(NOT(ISBLANK('Referenz Plattenwerk'!$I$12)),'Referenz Plattenwerk'!$I$12,'Referenz Plattenwerk'!$F$12)</f>
        <v>3.0286418419012999E-3</v>
      </c>
      <c r="O99" s="99">
        <f>O73/IF(NOT(ISBLANK('Referenz Plattenwerk'!$I$12)),'Referenz Plattenwerk'!$I$12,'Referenz Plattenwerk'!$F$12)</f>
        <v>1.4926494550181809E-3</v>
      </c>
      <c r="P99" s="3" t="s">
        <v>207</v>
      </c>
      <c r="Q99" s="3"/>
      <c r="R99" s="3"/>
      <c r="S99" s="3"/>
      <c r="T99" s="3"/>
      <c r="U99" s="3"/>
      <c r="V99" s="3"/>
      <c r="W99" s="3"/>
      <c r="X99" s="3"/>
      <c r="Y99" s="3"/>
      <c r="Z99" s="3"/>
      <c r="AA99" s="3"/>
    </row>
    <row r="100" spans="2:27" ht="15.75" x14ac:dyDescent="0.3">
      <c r="B100" s="3"/>
      <c r="C100" s="3"/>
      <c r="D100" s="3"/>
      <c r="E100" s="3"/>
      <c r="F100" s="3"/>
      <c r="G100" s="3"/>
      <c r="H100" s="3"/>
      <c r="I100" s="3"/>
      <c r="J100" s="3"/>
      <c r="K100" s="3"/>
      <c r="L100" s="29" t="s">
        <v>29</v>
      </c>
      <c r="M100" s="98">
        <f>M74/IF(NOT(ISBLANK('Referenz Plattenwerk'!$I$12)),'Referenz Plattenwerk'!$I$12,'Referenz Plattenwerk'!$F$12)</f>
        <v>0.14578824057023795</v>
      </c>
      <c r="N100" s="98">
        <f>N74/IF(NOT(ISBLANK('Referenz Plattenwerk'!$I$12)),'Referenz Plattenwerk'!$I$12,'Referenz Plattenwerk'!$F$12)</f>
        <v>0.14555090277020255</v>
      </c>
      <c r="O100" s="98">
        <f>O74/IF(NOT(ISBLANK('Referenz Plattenwerk'!$I$12)),'Referenz Plattenwerk'!$I$12,'Referenz Plattenwerk'!$F$12)</f>
        <v>0.14532573111139246</v>
      </c>
      <c r="P100" s="25" t="s">
        <v>207</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69</v>
      </c>
      <c r="M101" s="100">
        <f>M75/IF(NOT(ISBLANK('Referenz Plattenwerk'!$I$12)),'Referenz Plattenwerk'!$I$12,'Referenz Plattenwerk'!$F$12)</f>
        <v>0.15245904944673794</v>
      </c>
      <c r="N101" s="100">
        <f>N75/IF(NOT(ISBLANK('Referenz Plattenwerk'!$I$12)),'Referenz Plattenwerk'!$I$12,'Referenz Plattenwerk'!$F$12)</f>
        <v>0.15064658108860385</v>
      </c>
      <c r="O101" s="100">
        <f>O75/IF(NOT(ISBLANK('Referenz Plattenwerk'!$I$12)),'Referenz Plattenwerk'!$I$12,'Referenz Plattenwerk'!$F$12)</f>
        <v>0.14888541704291064</v>
      </c>
      <c r="P101" s="27" t="s">
        <v>209</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7" spans="2:27" hidden="1" outlineLevel="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7" ht="15.75" hidden="1" outlineLevel="1" x14ac:dyDescent="0.25">
      <c r="B108" s="3"/>
      <c r="C108" s="3"/>
      <c r="D108" s="62" t="s">
        <v>144</v>
      </c>
      <c r="E108" s="3"/>
      <c r="F108" s="3"/>
      <c r="G108" s="3"/>
      <c r="H108" s="3"/>
      <c r="I108" s="3"/>
      <c r="J108" s="3"/>
      <c r="K108" s="3"/>
      <c r="L108" s="62" t="s">
        <v>144</v>
      </c>
      <c r="M108" s="3"/>
      <c r="N108" s="3"/>
      <c r="O108" s="3"/>
      <c r="P108" s="3"/>
      <c r="Q108" s="3"/>
      <c r="R108" s="3"/>
      <c r="S108" s="62" t="s">
        <v>144</v>
      </c>
      <c r="T108" s="24"/>
      <c r="U108" s="24"/>
      <c r="V108" s="24"/>
      <c r="W108" s="24"/>
      <c r="X108" s="3"/>
      <c r="Y108" s="3"/>
    </row>
    <row r="109" spans="2:27" ht="15" hidden="1" outlineLevel="1" x14ac:dyDescent="0.25">
      <c r="B109" s="3"/>
      <c r="C109" s="3"/>
      <c r="D109" s="35" t="s">
        <v>113</v>
      </c>
      <c r="E109" s="35">
        <v>2020</v>
      </c>
      <c r="F109" s="35">
        <v>2025</v>
      </c>
      <c r="G109" s="35">
        <v>2030</v>
      </c>
      <c r="H109" s="34"/>
      <c r="I109" s="3"/>
      <c r="J109" s="3"/>
      <c r="K109" s="3"/>
      <c r="L109" s="35" t="s">
        <v>264</v>
      </c>
      <c r="M109" s="35">
        <v>2020</v>
      </c>
      <c r="N109" s="35">
        <v>2025</v>
      </c>
      <c r="O109" s="35">
        <v>2030</v>
      </c>
      <c r="P109" s="34"/>
      <c r="Q109" s="3"/>
      <c r="R109" s="3"/>
      <c r="S109" s="3"/>
      <c r="T109" s="46" t="s">
        <v>199</v>
      </c>
      <c r="U109" s="47">
        <v>2020</v>
      </c>
      <c r="V109" s="47">
        <v>2025</v>
      </c>
      <c r="W109" s="47">
        <v>2030</v>
      </c>
      <c r="X109" s="3"/>
      <c r="Y109" s="3"/>
    </row>
    <row r="110" spans="2:27" hidden="1" outlineLevel="1" x14ac:dyDescent="0.2">
      <c r="B110" s="3"/>
      <c r="C110" s="3"/>
      <c r="D110" s="24"/>
      <c r="E110" s="60" t="s">
        <v>89</v>
      </c>
      <c r="F110" s="59"/>
      <c r="G110" s="59"/>
      <c r="H110" s="24"/>
      <c r="I110" s="3"/>
      <c r="J110" s="3"/>
      <c r="K110" s="3"/>
      <c r="L110" s="24"/>
      <c r="M110" s="60" t="s">
        <v>89</v>
      </c>
      <c r="N110" s="59"/>
      <c r="O110" s="59"/>
      <c r="P110" s="24"/>
      <c r="Q110" s="3"/>
      <c r="R110" s="3"/>
      <c r="S110" s="3"/>
      <c r="T110" s="24"/>
      <c r="U110" s="50" t="s">
        <v>89</v>
      </c>
      <c r="V110" s="50"/>
      <c r="W110" s="59"/>
      <c r="X110" s="3"/>
      <c r="Y110" s="3"/>
    </row>
    <row r="111" spans="2:27" ht="15.75" hidden="1" outlineLevel="1" x14ac:dyDescent="0.3">
      <c r="B111" s="3"/>
      <c r="C111" s="3"/>
      <c r="D111" s="3" t="str">
        <f t="shared" ref="D111:D117" si="5">IF($I111,D72,"")</f>
        <v>Erdgas</v>
      </c>
      <c r="E111" s="10">
        <f t="shared" ref="E111:G117" si="6">IF($I111,E72,NA())</f>
        <v>43.0426</v>
      </c>
      <c r="F111" s="10">
        <f t="shared" si="6"/>
        <v>32.712375999999999</v>
      </c>
      <c r="G111" s="10">
        <f t="shared" si="6"/>
        <v>32.712375999999999</v>
      </c>
      <c r="H111" s="3" t="s">
        <v>162</v>
      </c>
      <c r="I111" s="381" t="b">
        <v>1</v>
      </c>
      <c r="J111" s="3"/>
      <c r="K111" s="3"/>
      <c r="L111" s="3" t="str">
        <f t="shared" ref="L111:L121" si="7">IF($Q111,L81,"")</f>
        <v>Energieträger gesamt</v>
      </c>
      <c r="M111" s="9">
        <f>IF($Q111,M81,NA())</f>
        <v>41.281733459999998</v>
      </c>
      <c r="N111" s="9">
        <f>IF($Q111,N81,NA())</f>
        <v>31.788221458583543</v>
      </c>
      <c r="O111" s="9">
        <f t="shared" ref="O111" si="8">IF($Q111,O81,NA())</f>
        <v>22.781355106179909</v>
      </c>
      <c r="P111" s="3" t="s">
        <v>162</v>
      </c>
      <c r="Q111" s="3" t="b">
        <v>1</v>
      </c>
      <c r="R111" s="3"/>
      <c r="S111" s="3"/>
      <c r="T111" s="57" t="s">
        <v>158</v>
      </c>
      <c r="U111" s="58">
        <f>SUM(U112:U118)</f>
        <v>109669</v>
      </c>
      <c r="V111" s="58">
        <f t="shared" ref="V111" si="9">SUM(V112:V118)</f>
        <v>103575.4</v>
      </c>
      <c r="W111" s="58">
        <f t="shared" ref="W111" si="10">SUM(W112:W118)</f>
        <v>103575.4</v>
      </c>
      <c r="X111" s="3"/>
      <c r="Y111" s="3"/>
    </row>
    <row r="112" spans="2:27" ht="15.75" hidden="1" outlineLevel="1" x14ac:dyDescent="0.3">
      <c r="B112" s="3"/>
      <c r="C112" s="3"/>
      <c r="D112" s="3" t="str">
        <f t="shared" si="5"/>
        <v>Heizöl</v>
      </c>
      <c r="E112" s="10">
        <f t="shared" si="6"/>
        <v>16.005600000000001</v>
      </c>
      <c r="F112" s="10">
        <f t="shared" si="6"/>
        <v>14.084928</v>
      </c>
      <c r="G112" s="10">
        <f t="shared" si="6"/>
        <v>14.084928</v>
      </c>
      <c r="H112" s="3" t="s">
        <v>162</v>
      </c>
      <c r="I112" s="381" t="b">
        <v>1</v>
      </c>
      <c r="J112" s="3"/>
      <c r="K112" s="3"/>
      <c r="L112" s="3" t="str">
        <f t="shared" si="7"/>
        <v>Transport gesamt</v>
      </c>
      <c r="M112" s="9">
        <f t="shared" ref="M112:O112" si="11">IF($Q112,M82,NA())</f>
        <v>469.15642799999995</v>
      </c>
      <c r="N112" s="9">
        <f t="shared" si="11"/>
        <v>469.15642799999995</v>
      </c>
      <c r="O112" s="9">
        <f t="shared" si="11"/>
        <v>469.15642799999995</v>
      </c>
      <c r="P112" s="3" t="s">
        <v>162</v>
      </c>
      <c r="Q112" s="3" t="b">
        <v>1</v>
      </c>
      <c r="R112" s="3"/>
      <c r="S112" s="3"/>
      <c r="T112" s="31" t="s">
        <v>31</v>
      </c>
      <c r="U112" s="52">
        <f>U73</f>
        <v>14335</v>
      </c>
      <c r="V112" s="52">
        <f t="shared" ref="V112:W112" si="12">V73</f>
        <v>10894.599999999999</v>
      </c>
      <c r="W112" s="52">
        <f t="shared" si="12"/>
        <v>10894.599999999999</v>
      </c>
      <c r="X112" s="3"/>
      <c r="Y112" s="3"/>
    </row>
    <row r="113" spans="2:25" ht="15.75" hidden="1" outlineLevel="1" x14ac:dyDescent="0.3">
      <c r="B113" s="3"/>
      <c r="C113" s="3"/>
      <c r="D113" s="3" t="str">
        <f t="shared" si="5"/>
        <v>Strom</v>
      </c>
      <c r="E113" s="10">
        <f t="shared" si="6"/>
        <v>171.9</v>
      </c>
      <c r="F113" s="10">
        <f t="shared" si="6"/>
        <v>121.145673676052</v>
      </c>
      <c r="G113" s="10">
        <f t="shared" si="6"/>
        <v>59.705978200727237</v>
      </c>
      <c r="H113" s="3" t="s">
        <v>162</v>
      </c>
      <c r="I113" s="381" t="b">
        <v>1</v>
      </c>
      <c r="J113" s="3"/>
      <c r="K113" s="3"/>
      <c r="L113" s="3" t="str">
        <f t="shared" si="7"/>
        <v>Zement</v>
      </c>
      <c r="M113" s="9">
        <f t="shared" ref="M113:O113" si="13">IF($Q113,M83,NA())</f>
        <v>4548.5439999999999</v>
      </c>
      <c r="N113" s="9">
        <f t="shared" si="13"/>
        <v>4548.5439999999999</v>
      </c>
      <c r="O113" s="9">
        <f t="shared" si="13"/>
        <v>4548.5439999999999</v>
      </c>
      <c r="P113" s="3" t="s">
        <v>162</v>
      </c>
      <c r="Q113" s="3" t="b">
        <v>1</v>
      </c>
      <c r="R113" s="3"/>
      <c r="S113" s="3"/>
      <c r="T113" s="31" t="s">
        <v>32</v>
      </c>
      <c r="U113" s="52">
        <f t="shared" ref="U113:W113" si="14">U74</f>
        <v>2760</v>
      </c>
      <c r="V113" s="52">
        <f t="shared" si="14"/>
        <v>2428.7999999999997</v>
      </c>
      <c r="W113" s="52">
        <f t="shared" si="14"/>
        <v>2428.7999999999997</v>
      </c>
      <c r="X113" s="3"/>
      <c r="Y113" s="3"/>
    </row>
    <row r="114" spans="2:25" ht="15.75" hidden="1" outlineLevel="1" x14ac:dyDescent="0.3">
      <c r="B114" s="3"/>
      <c r="C114" s="3"/>
      <c r="D114" s="3" t="str">
        <f t="shared" si="5"/>
        <v/>
      </c>
      <c r="E114" s="10" t="e">
        <f t="shared" si="6"/>
        <v>#N/A</v>
      </c>
      <c r="F114" s="10" t="e">
        <f t="shared" si="6"/>
        <v>#N/A</v>
      </c>
      <c r="G114" s="10" t="e">
        <f t="shared" si="6"/>
        <v>#N/A</v>
      </c>
      <c r="H114" s="3" t="s">
        <v>162</v>
      </c>
      <c r="I114" s="381" t="b">
        <v>0</v>
      </c>
      <c r="J114" s="3"/>
      <c r="K114" s="3"/>
      <c r="L114" s="3" t="str">
        <f t="shared" si="7"/>
        <v>Gesteinskörnungen (Zuschlagsstoffe)</v>
      </c>
      <c r="M114" s="9">
        <f t="shared" ref="M114:O114" si="15">IF($Q114,M84,NA())</f>
        <v>129.59200000000001</v>
      </c>
      <c r="N114" s="9">
        <f t="shared" si="15"/>
        <v>129.59200000000001</v>
      </c>
      <c r="O114" s="9">
        <f t="shared" si="15"/>
        <v>129.59200000000001</v>
      </c>
      <c r="P114" s="3" t="s">
        <v>162</v>
      </c>
      <c r="Q114" s="3" t="b">
        <v>1</v>
      </c>
      <c r="R114" s="3"/>
      <c r="S114" s="3"/>
      <c r="T114" s="31" t="s">
        <v>33</v>
      </c>
      <c r="U114" s="52">
        <f t="shared" ref="U114:W114" si="16">U75</f>
        <v>77400</v>
      </c>
      <c r="V114" s="52">
        <f t="shared" si="16"/>
        <v>75078</v>
      </c>
      <c r="W114" s="52">
        <f t="shared" si="16"/>
        <v>75078</v>
      </c>
      <c r="X114" s="3"/>
      <c r="Y114" s="3"/>
    </row>
    <row r="115" spans="2:25" ht="15.75" hidden="1" outlineLevel="1" x14ac:dyDescent="0.3">
      <c r="B115" s="3"/>
      <c r="C115" s="3"/>
      <c r="D115" s="3" t="str">
        <f t="shared" si="5"/>
        <v/>
      </c>
      <c r="E115" s="10" t="e">
        <f t="shared" si="6"/>
        <v>#N/A</v>
      </c>
      <c r="F115" s="10" t="e">
        <f t="shared" si="6"/>
        <v>#N/A</v>
      </c>
      <c r="G115" s="10" t="e">
        <f t="shared" si="6"/>
        <v>#N/A</v>
      </c>
      <c r="H115" s="3" t="s">
        <v>162</v>
      </c>
      <c r="I115" s="381" t="b">
        <v>0</v>
      </c>
      <c r="J115" s="3"/>
      <c r="K115" s="3"/>
      <c r="L115" s="3" t="str">
        <f t="shared" si="7"/>
        <v>Farben</v>
      </c>
      <c r="M115" s="9">
        <f t="shared" ref="M115:O115" si="17">IF($Q115,M85,NA())</f>
        <v>208</v>
      </c>
      <c r="N115" s="9">
        <f t="shared" si="17"/>
        <v>208</v>
      </c>
      <c r="O115" s="9">
        <f t="shared" si="17"/>
        <v>208</v>
      </c>
      <c r="P115" s="3" t="s">
        <v>162</v>
      </c>
      <c r="Q115" s="3" t="b">
        <v>1</v>
      </c>
      <c r="R115" s="3"/>
      <c r="S115" s="3"/>
      <c r="T115" s="31" t="s">
        <v>122</v>
      </c>
      <c r="U115" s="52">
        <f t="shared" ref="U115:W115" si="18">U76</f>
        <v>0</v>
      </c>
      <c r="V115" s="52">
        <f t="shared" si="18"/>
        <v>0</v>
      </c>
      <c r="W115" s="52">
        <f t="shared" si="18"/>
        <v>0</v>
      </c>
      <c r="X115" s="3"/>
      <c r="Y115" s="3"/>
    </row>
    <row r="116" spans="2:25" ht="15.75" hidden="1" outlineLevel="1" x14ac:dyDescent="0.3">
      <c r="B116" s="3"/>
      <c r="C116" s="3"/>
      <c r="D116" s="3" t="str">
        <f t="shared" si="5"/>
        <v/>
      </c>
      <c r="E116" s="10" t="e">
        <f t="shared" si="6"/>
        <v>#N/A</v>
      </c>
      <c r="F116" s="10" t="e">
        <f t="shared" si="6"/>
        <v>#N/A</v>
      </c>
      <c r="G116" s="10" t="e">
        <f t="shared" si="6"/>
        <v>#N/A</v>
      </c>
      <c r="H116" s="3" t="s">
        <v>162</v>
      </c>
      <c r="I116" s="381" t="b">
        <v>0</v>
      </c>
      <c r="J116" s="3"/>
      <c r="K116" s="3"/>
      <c r="L116" s="3" t="str">
        <f t="shared" si="7"/>
        <v>Zusatzstoffe (Füllstoffe)</v>
      </c>
      <c r="M116" s="9">
        <f t="shared" ref="M116:O116" si="19">IF($Q116,M86,NA())</f>
        <v>81.003999999999991</v>
      </c>
      <c r="N116" s="9">
        <f t="shared" si="19"/>
        <v>81.003999999999991</v>
      </c>
      <c r="O116" s="9">
        <f t="shared" si="19"/>
        <v>81.003999999999991</v>
      </c>
      <c r="P116" s="3" t="s">
        <v>162</v>
      </c>
      <c r="Q116" s="3" t="b">
        <v>1</v>
      </c>
      <c r="R116" s="3"/>
      <c r="S116" s="3"/>
      <c r="T116" s="31" t="s">
        <v>123</v>
      </c>
      <c r="U116" s="52">
        <f t="shared" ref="U116:W116" si="20">U77</f>
        <v>0</v>
      </c>
      <c r="V116" s="52">
        <f t="shared" si="20"/>
        <v>0</v>
      </c>
      <c r="W116" s="52">
        <f t="shared" si="20"/>
        <v>0</v>
      </c>
      <c r="X116" s="3"/>
      <c r="Y116" s="3"/>
    </row>
    <row r="117" spans="2:25" ht="15.75" hidden="1" outlineLevel="1" x14ac:dyDescent="0.3">
      <c r="B117" s="3"/>
      <c r="C117" s="3"/>
      <c r="D117" s="3" t="str">
        <f t="shared" si="5"/>
        <v>Diesel</v>
      </c>
      <c r="E117" s="10">
        <f t="shared" si="6"/>
        <v>35.884155059999998</v>
      </c>
      <c r="F117" s="10">
        <f t="shared" si="6"/>
        <v>35.884155059999998</v>
      </c>
      <c r="G117" s="10">
        <f t="shared" si="6"/>
        <v>35.884155059999998</v>
      </c>
      <c r="H117" s="3" t="s">
        <v>162</v>
      </c>
      <c r="I117" s="381" t="b">
        <v>1</v>
      </c>
      <c r="J117" s="3"/>
      <c r="K117" s="3"/>
      <c r="L117" s="3" t="str">
        <f t="shared" si="7"/>
        <v>Zusatzmittel</v>
      </c>
      <c r="M117" s="9">
        <f t="shared" ref="M117:O117" si="21">IF($Q117,M87,NA())</f>
        <v>148.44746134951595</v>
      </c>
      <c r="N117" s="9">
        <f t="shared" si="21"/>
        <v>148.44746134951595</v>
      </c>
      <c r="O117" s="9">
        <f t="shared" si="21"/>
        <v>148.44746134951595</v>
      </c>
      <c r="P117" s="3" t="s">
        <v>162</v>
      </c>
      <c r="Q117" s="3" t="b">
        <v>1</v>
      </c>
      <c r="R117" s="3"/>
      <c r="S117" s="3"/>
      <c r="T117" s="31" t="s">
        <v>124</v>
      </c>
      <c r="U117" s="52">
        <f t="shared" ref="U117:W117" si="22">U78</f>
        <v>0</v>
      </c>
      <c r="V117" s="52">
        <f t="shared" si="22"/>
        <v>0</v>
      </c>
      <c r="W117" s="52">
        <f t="shared" si="22"/>
        <v>0</v>
      </c>
      <c r="X117" s="3"/>
      <c r="Y117" s="3"/>
    </row>
    <row r="118" spans="2:25" ht="16.5" hidden="1" outlineLevel="1" thickBot="1" x14ac:dyDescent="0.35">
      <c r="B118" s="3"/>
      <c r="C118" s="3"/>
      <c r="D118" s="27" t="s">
        <v>69</v>
      </c>
      <c r="E118" s="33">
        <f>SUMIF($I$111:$I$117,"WAHR",E111:E117)</f>
        <v>266.83235506</v>
      </c>
      <c r="F118" s="33">
        <f>SUMIF($I$111:$I$117,"WAHR",F111:F117)</f>
        <v>203.82713273605202</v>
      </c>
      <c r="G118" s="33">
        <f>SUMIF($I$111:$I$117,"WAHR",G111:G117)</f>
        <v>142.38743726072721</v>
      </c>
      <c r="H118" s="27" t="s">
        <v>163</v>
      </c>
      <c r="I118" s="3"/>
      <c r="J118" s="3"/>
      <c r="K118" s="3"/>
      <c r="L118" s="3" t="str">
        <f t="shared" si="7"/>
        <v/>
      </c>
      <c r="M118" s="9" t="e">
        <f t="shared" ref="M118:O118" si="23">IF($Q118,M88,NA())</f>
        <v>#N/A</v>
      </c>
      <c r="N118" s="9" t="e">
        <f t="shared" si="23"/>
        <v>#N/A</v>
      </c>
      <c r="O118" s="9" t="e">
        <f t="shared" si="23"/>
        <v>#N/A</v>
      </c>
      <c r="P118" s="3" t="s">
        <v>162</v>
      </c>
      <c r="Q118" s="3" t="b">
        <v>0</v>
      </c>
      <c r="R118" s="3"/>
      <c r="S118" s="3"/>
      <c r="T118" s="51" t="s">
        <v>34</v>
      </c>
      <c r="U118" s="53">
        <f t="shared" ref="U118:W118" si="24">U79</f>
        <v>15174.000000000002</v>
      </c>
      <c r="V118" s="54">
        <f t="shared" si="24"/>
        <v>15174.000000000002</v>
      </c>
      <c r="W118" s="54">
        <f t="shared" si="24"/>
        <v>15174.000000000002</v>
      </c>
      <c r="X118" s="3"/>
      <c r="Y118" s="3"/>
    </row>
    <row r="119" spans="2:25" ht="16.5" hidden="1" outlineLevel="1" thickTop="1" x14ac:dyDescent="0.3">
      <c r="B119" s="3"/>
      <c r="C119" s="3"/>
      <c r="D119" s="3"/>
      <c r="E119" s="3"/>
      <c r="F119" s="3"/>
      <c r="G119" s="3"/>
      <c r="H119" s="3"/>
      <c r="I119" s="3"/>
      <c r="J119" s="3"/>
      <c r="K119" s="3"/>
      <c r="L119" s="3" t="str">
        <f t="shared" si="7"/>
        <v/>
      </c>
      <c r="M119" s="9" t="e">
        <f t="shared" ref="M119:O119" si="25">IF($Q119,M89,NA())</f>
        <v>#N/A</v>
      </c>
      <c r="N119" s="9" t="e">
        <f t="shared" si="25"/>
        <v>#N/A</v>
      </c>
      <c r="O119" s="9" t="e">
        <f t="shared" si="25"/>
        <v>#N/A</v>
      </c>
      <c r="P119" s="3" t="s">
        <v>162</v>
      </c>
      <c r="Q119" s="3" t="b">
        <v>0</v>
      </c>
      <c r="R119" s="3"/>
      <c r="S119" s="3"/>
      <c r="T119" s="8" t="str">
        <f>IF(X119,"CAPEX","")</f>
        <v>CAPEX</v>
      </c>
      <c r="U119" s="55">
        <f>IF($X119,U80,NA())</f>
        <v>0</v>
      </c>
      <c r="V119" s="55">
        <f t="shared" ref="V119:W119" si="26">IF($X119,V80,NA())</f>
        <v>72000</v>
      </c>
      <c r="W119" s="55">
        <f t="shared" si="26"/>
        <v>72000</v>
      </c>
      <c r="X119" s="381" t="b">
        <v>1</v>
      </c>
      <c r="Y119" s="3"/>
    </row>
    <row r="120" spans="2:25" ht="15.75" hidden="1" outlineLevel="1" x14ac:dyDescent="0.3">
      <c r="B120" s="3"/>
      <c r="C120" s="3"/>
      <c r="D120" s="3"/>
      <c r="E120" s="3"/>
      <c r="F120" s="3"/>
      <c r="G120" s="3"/>
      <c r="H120" s="3"/>
      <c r="I120" s="3"/>
      <c r="J120" s="3"/>
      <c r="K120" s="3"/>
      <c r="L120" s="3" t="str">
        <f t="shared" si="7"/>
        <v/>
      </c>
      <c r="M120" s="9" t="e">
        <f t="shared" ref="M120:O120" si="27">IF($Q120,M90,NA())</f>
        <v>#N/A</v>
      </c>
      <c r="N120" s="9" t="e">
        <f t="shared" si="27"/>
        <v>#N/A</v>
      </c>
      <c r="O120" s="9" t="e">
        <f t="shared" si="27"/>
        <v>#N/A</v>
      </c>
      <c r="P120" s="3" t="s">
        <v>162</v>
      </c>
      <c r="Q120" s="3" t="b">
        <v>0</v>
      </c>
      <c r="R120" s="3"/>
      <c r="S120" s="3"/>
      <c r="T120" s="8" t="str">
        <f>IF(X120,"Zusätzliche jährliche Kosten","")</f>
        <v/>
      </c>
      <c r="U120" s="55" t="e">
        <f>IF($X120,U81,NA())</f>
        <v>#N/A</v>
      </c>
      <c r="V120" s="55" t="e">
        <f t="shared" ref="V120:W120" si="28">IF($X120,V81,NA())</f>
        <v>#N/A</v>
      </c>
      <c r="W120" s="55" t="e">
        <f t="shared" si="28"/>
        <v>#N/A</v>
      </c>
      <c r="X120" s="381" t="b">
        <v>0</v>
      </c>
      <c r="Y120" s="3"/>
    </row>
    <row r="121" spans="2:25" ht="15.75" hidden="1" outlineLevel="1" x14ac:dyDescent="0.3">
      <c r="B121" s="3"/>
      <c r="C121" s="3"/>
      <c r="D121" s="3"/>
      <c r="E121" s="3"/>
      <c r="F121" s="3"/>
      <c r="G121" s="3"/>
      <c r="H121" s="3"/>
      <c r="I121" s="3"/>
      <c r="J121" s="3"/>
      <c r="K121" s="3"/>
      <c r="L121" s="3" t="str">
        <f t="shared" si="7"/>
        <v>Verpackungsmaterial</v>
      </c>
      <c r="M121" s="9">
        <f t="shared" ref="M121:O121" si="29">IF($Q121,M91,NA())</f>
        <v>64.48</v>
      </c>
      <c r="N121" s="9">
        <f t="shared" si="29"/>
        <v>64.48</v>
      </c>
      <c r="O121" s="9">
        <f t="shared" si="29"/>
        <v>64.48</v>
      </c>
      <c r="P121" s="3" t="s">
        <v>162</v>
      </c>
      <c r="Q121" s="3" t="b">
        <v>1</v>
      </c>
      <c r="R121" s="3"/>
      <c r="S121" s="3"/>
      <c r="T121" s="59" t="str">
        <f>IF(X121,"Einmalige Kosten","")</f>
        <v/>
      </c>
      <c r="U121" s="55" t="e">
        <f>IF($X121,U82,NA())</f>
        <v>#N/A</v>
      </c>
      <c r="V121" s="55" t="e">
        <f t="shared" ref="V121:W121" si="30">IF($X121,V82,NA())</f>
        <v>#N/A</v>
      </c>
      <c r="W121" s="55" t="e">
        <f t="shared" si="30"/>
        <v>#N/A</v>
      </c>
      <c r="X121" s="381" t="b">
        <v>0</v>
      </c>
      <c r="Y121" s="3"/>
    </row>
    <row r="122" spans="2:25" ht="15" hidden="1" outlineLevel="1" thickBot="1" x14ac:dyDescent="0.3">
      <c r="B122" s="3"/>
      <c r="C122" s="3"/>
      <c r="D122" s="3"/>
      <c r="E122" s="3"/>
      <c r="F122" s="3"/>
      <c r="G122" s="3"/>
      <c r="H122" s="3"/>
      <c r="I122" s="3"/>
      <c r="J122" s="3"/>
      <c r="K122" s="3"/>
      <c r="L122" s="27" t="s">
        <v>69</v>
      </c>
      <c r="M122" s="28">
        <f>SUMIF($Q$111:$Q$121,"WAHR",M111:M121)</f>
        <v>5690.5056228095145</v>
      </c>
      <c r="N122" s="28">
        <f t="shared" ref="N122:O122" si="31">SUMIF($Q$111:$Q$121,"WAHR",N111:N121)</f>
        <v>5681.0121108080984</v>
      </c>
      <c r="O122" s="28">
        <f t="shared" si="31"/>
        <v>5672.005244455695</v>
      </c>
      <c r="P122" s="27" t="s">
        <v>163</v>
      </c>
      <c r="Q122" s="3"/>
      <c r="R122" s="3"/>
      <c r="S122" s="3"/>
      <c r="T122" s="57" t="str">
        <f>IF(X122,"CO2-Kosten","")</f>
        <v>CO2-Kosten</v>
      </c>
      <c r="U122" s="58">
        <f>IF($X$122,SUMIF($X$123:$X$125,"WAHR",U123:U125),NA())</f>
        <v>152459.04944673795</v>
      </c>
      <c r="V122" s="58">
        <f t="shared" ref="V122:W122" si="32">IF($X$122,SUMIF($X$123:$X$125,"WAHR",V123:V125),NA())</f>
        <v>271163.84595948696</v>
      </c>
      <c r="W122" s="58">
        <f t="shared" si="32"/>
        <v>476433.33453731408</v>
      </c>
      <c r="X122" s="381" t="b">
        <v>1</v>
      </c>
      <c r="Y122" s="3"/>
    </row>
    <row r="123" spans="2:25" ht="16.5" hidden="1" outlineLevel="1" thickTop="1" x14ac:dyDescent="0.3">
      <c r="B123" s="3"/>
      <c r="C123" s="3"/>
      <c r="D123" s="3"/>
      <c r="E123" s="3"/>
      <c r="F123" s="3"/>
      <c r="G123" s="3"/>
      <c r="H123" s="3"/>
      <c r="I123" s="3"/>
      <c r="J123" s="3"/>
      <c r="K123" s="3"/>
      <c r="L123" s="3"/>
      <c r="M123" s="3"/>
      <c r="N123" s="3"/>
      <c r="O123" s="3"/>
      <c r="P123" s="3"/>
      <c r="Q123" s="3"/>
      <c r="R123" s="3"/>
      <c r="S123" s="3"/>
      <c r="T123" s="31" t="s">
        <v>155</v>
      </c>
      <c r="U123" s="52">
        <f>IF($X123,U84,NA())</f>
        <v>2373.3088765000002</v>
      </c>
      <c r="V123" s="52">
        <f t="shared" ref="V123:W123" si="33">IF($X123,V84,NA())</f>
        <v>3720.6656576999999</v>
      </c>
      <c r="W123" s="52">
        <f t="shared" si="33"/>
        <v>6614.5167247999998</v>
      </c>
      <c r="X123" s="381" t="b">
        <v>1</v>
      </c>
      <c r="Y123" s="3"/>
    </row>
    <row r="124" spans="2:25" ht="15.75" hidden="1" outlineLevel="1" x14ac:dyDescent="0.3">
      <c r="B124" s="3"/>
      <c r="C124" s="3"/>
      <c r="D124" s="3"/>
      <c r="E124" s="3"/>
      <c r="F124" s="3"/>
      <c r="G124" s="3"/>
      <c r="H124" s="3"/>
      <c r="I124" s="3"/>
      <c r="J124" s="3"/>
      <c r="K124" s="3"/>
      <c r="L124" s="3"/>
      <c r="M124" s="3"/>
      <c r="N124" s="3"/>
      <c r="O124" s="3"/>
      <c r="P124" s="3"/>
      <c r="Q124" s="3"/>
      <c r="R124" s="3"/>
      <c r="S124" s="3"/>
      <c r="T124" s="31" t="s">
        <v>156</v>
      </c>
      <c r="U124" s="52">
        <f t="shared" ref="U124:W124" si="34">IF($X124,U85,NA())</f>
        <v>4297.5</v>
      </c>
      <c r="V124" s="52">
        <f t="shared" si="34"/>
        <v>5451.5553154223398</v>
      </c>
      <c r="W124" s="52">
        <f t="shared" si="34"/>
        <v>4776.4782560581789</v>
      </c>
      <c r="X124" s="381" t="b">
        <v>1</v>
      </c>
      <c r="Y124" s="3"/>
    </row>
    <row r="125" spans="2:25" ht="15.75" hidden="1" outlineLevel="1" x14ac:dyDescent="0.3">
      <c r="B125" s="3"/>
      <c r="C125" s="3"/>
      <c r="D125" s="3"/>
      <c r="E125" s="3"/>
      <c r="F125" s="3"/>
      <c r="G125" s="3"/>
      <c r="H125" s="3"/>
      <c r="I125" s="3"/>
      <c r="J125" s="3"/>
      <c r="K125" s="3"/>
      <c r="L125" s="3"/>
      <c r="M125" s="3"/>
      <c r="N125" s="3"/>
      <c r="O125" s="3"/>
      <c r="P125" s="3"/>
      <c r="Q125" s="3"/>
      <c r="R125" s="3"/>
      <c r="S125" s="3"/>
      <c r="T125" s="31" t="s">
        <v>157</v>
      </c>
      <c r="U125" s="52">
        <f t="shared" ref="U125:W125" si="35">IF($X125,U86,NA())</f>
        <v>145788.24057023795</v>
      </c>
      <c r="V125" s="52">
        <f t="shared" si="35"/>
        <v>261991.62498636462</v>
      </c>
      <c r="W125" s="52">
        <f t="shared" si="35"/>
        <v>465042.3395564559</v>
      </c>
      <c r="X125" s="381" t="b">
        <v>1</v>
      </c>
      <c r="Y125" s="3"/>
    </row>
    <row r="126" spans="2:25" ht="13.5" hidden="1" outlineLevel="1" thickBot="1" x14ac:dyDescent="0.25">
      <c r="B126" s="3"/>
      <c r="C126" s="3"/>
      <c r="D126" s="103" t="str">
        <f>IF(AND($G$16&gt;0,K16&lt;G16),"Bitte den Handeingabewert 'Reduktion' für 2030 auch anpassen. Dieser muss dem Werte Ihrer Handeingabe 2025 entsprechen, sollte nur eine Maßnahme in 2025 umgesetzt werden.","")</f>
        <v/>
      </c>
      <c r="E126" s="3"/>
      <c r="F126" s="3"/>
      <c r="G126" s="3"/>
      <c r="H126" s="3"/>
      <c r="I126" s="3"/>
      <c r="J126" s="3"/>
      <c r="K126" s="3"/>
      <c r="L126" s="3"/>
      <c r="M126" s="3"/>
      <c r="N126" s="3"/>
      <c r="O126" s="3"/>
      <c r="P126" s="3"/>
      <c r="Q126" s="3"/>
      <c r="R126" s="3"/>
      <c r="S126" s="3"/>
      <c r="T126" s="27" t="s">
        <v>69</v>
      </c>
      <c r="U126" s="56">
        <f>IF($X$122,U122,0)+IF($X$121,U121,0)+IF($X$120,U120,0)+IF($X$119,U119,0)+U111</f>
        <v>262128.04944673795</v>
      </c>
      <c r="V126" s="56">
        <f t="shared" ref="V126:W126" si="36">IF($X$122,V122,0)+IF($X$121,V121,0)+IF($X$120,V120,0)+IF($X$119,V119,0)+V111</f>
        <v>446739.24595948693</v>
      </c>
      <c r="W126" s="56">
        <f t="shared" si="36"/>
        <v>652008.73453731404</v>
      </c>
      <c r="X126" s="3"/>
      <c r="Y126" s="3"/>
    </row>
    <row r="127" spans="2:25" ht="13.5" hidden="1" outlineLevel="1" thickTop="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hidden="1" outlineLevel="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hidden="1" outlineLevel="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hidden="1" outlineLevel="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hidden="1" outlineLevel="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hidden="1" outlineLevel="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ollapsed="1" x14ac:dyDescent="0.2"/>
    <row r="137" spans="2:25" ht="15.75" hidden="1" outlineLevel="1" x14ac:dyDescent="0.25">
      <c r="B137" s="22"/>
      <c r="C137" s="22" t="s">
        <v>114</v>
      </c>
      <c r="D137" s="17"/>
      <c r="E137" s="17"/>
      <c r="F137" s="17"/>
      <c r="G137" s="17"/>
      <c r="H137" s="17"/>
      <c r="I137" s="17"/>
      <c r="J137" s="17"/>
      <c r="K137" s="17"/>
      <c r="L137" s="17"/>
      <c r="N137" s="22" t="s">
        <v>117</v>
      </c>
      <c r="O137" s="17"/>
      <c r="P137" s="17"/>
      <c r="Q137" s="17"/>
      <c r="R137" s="17"/>
      <c r="S137" s="17"/>
      <c r="T137" s="17"/>
    </row>
    <row r="138" spans="2:25" ht="15" hidden="1" outlineLevel="1" x14ac:dyDescent="0.25">
      <c r="B138" s="65"/>
      <c r="C138" s="65">
        <v>2025</v>
      </c>
      <c r="D138" s="17"/>
      <c r="E138" s="17"/>
      <c r="F138" s="17"/>
      <c r="G138" s="17"/>
      <c r="H138" s="17"/>
      <c r="I138" s="17"/>
      <c r="J138" s="17"/>
      <c r="K138" s="17"/>
      <c r="L138" s="17"/>
      <c r="N138" s="65">
        <v>2025</v>
      </c>
      <c r="O138" s="17"/>
      <c r="P138" s="17"/>
      <c r="Q138" s="17"/>
      <c r="R138" s="17"/>
      <c r="S138" s="17"/>
      <c r="T138" s="17"/>
    </row>
    <row r="139" spans="2:25" hidden="1" outlineLevel="1" x14ac:dyDescent="0.2">
      <c r="B139" s="17"/>
      <c r="C139" s="17"/>
      <c r="D139" s="17" t="s">
        <v>206</v>
      </c>
      <c r="E139" s="39">
        <f>(1-(IF(NOT(ISBLANK($G16)),$G16/100,$E16/100)))</f>
        <v>0.7</v>
      </c>
      <c r="F139" s="17"/>
      <c r="G139" s="17"/>
      <c r="H139" s="17"/>
      <c r="I139" s="17"/>
      <c r="J139" s="17"/>
      <c r="K139" s="17"/>
      <c r="L139" s="17"/>
      <c r="N139" s="21"/>
      <c r="O139" s="17"/>
      <c r="P139" s="17"/>
      <c r="Q139" s="17"/>
      <c r="R139" s="17"/>
      <c r="S139" s="17"/>
      <c r="T139" s="17"/>
    </row>
    <row r="140" spans="2:25" hidden="1" outlineLevel="1" x14ac:dyDescent="0.2">
      <c r="B140" s="17"/>
      <c r="C140" s="17"/>
      <c r="D140" s="17"/>
      <c r="E140" s="17"/>
      <c r="F140" s="20"/>
      <c r="G140" s="20"/>
      <c r="H140" s="20"/>
      <c r="I140" s="17"/>
      <c r="J140" s="17"/>
      <c r="K140" s="17"/>
      <c r="L140" s="17"/>
      <c r="N140" s="17"/>
      <c r="O140" s="17"/>
      <c r="P140" s="17"/>
      <c r="Q140" s="17"/>
      <c r="R140" s="17"/>
      <c r="S140" s="17"/>
      <c r="T140" s="17"/>
    </row>
    <row r="141" spans="2:25" hidden="1" outlineLevel="1" x14ac:dyDescent="0.2">
      <c r="B141" s="17"/>
      <c r="C141" s="17"/>
      <c r="D141" s="17"/>
      <c r="E141" s="17"/>
      <c r="F141" s="20"/>
      <c r="G141" s="20"/>
      <c r="H141" s="20"/>
      <c r="I141" s="17"/>
      <c r="J141" s="17"/>
      <c r="K141" s="17"/>
      <c r="L141" s="17"/>
      <c r="N141" s="17"/>
      <c r="O141" s="17"/>
      <c r="P141" s="17"/>
      <c r="Q141" s="17"/>
      <c r="R141" s="17"/>
      <c r="S141" s="17"/>
      <c r="T141" s="17"/>
    </row>
    <row r="142" spans="2:25" ht="25.5" hidden="1" outlineLevel="1" x14ac:dyDescent="0.2">
      <c r="B142" s="17"/>
      <c r="C142" s="17"/>
      <c r="D142" s="17"/>
      <c r="E142" s="17"/>
      <c r="F142" s="36" t="s">
        <v>27</v>
      </c>
      <c r="G142" s="36" t="s">
        <v>82</v>
      </c>
      <c r="H142" s="36" t="s">
        <v>29</v>
      </c>
      <c r="I142" s="17"/>
      <c r="J142" s="40" t="s">
        <v>111</v>
      </c>
      <c r="K142" s="41" t="s">
        <v>39</v>
      </c>
      <c r="L142" s="17"/>
      <c r="N142" s="17"/>
      <c r="O142" s="17"/>
      <c r="P142" s="17"/>
      <c r="Q142" s="18"/>
      <c r="R142" s="18"/>
      <c r="S142" s="18"/>
      <c r="T142" s="18"/>
    </row>
    <row r="143" spans="2:25" ht="14.25" hidden="1" outlineLevel="1" x14ac:dyDescent="0.25">
      <c r="B143" s="77"/>
      <c r="C143" s="77" t="s">
        <v>190</v>
      </c>
      <c r="D143" s="77"/>
      <c r="E143" s="77"/>
      <c r="F143" s="78">
        <f>SUM(F145:F158)</f>
        <v>82.681459059999995</v>
      </c>
      <c r="G143" s="78">
        <f t="shared" ref="G143:H143" si="37">SUM(G145:G158)</f>
        <v>121.145673676052</v>
      </c>
      <c r="H143" s="78">
        <f t="shared" si="37"/>
        <v>31.788221458583543</v>
      </c>
      <c r="I143" s="77"/>
      <c r="J143" s="78">
        <f>F143+G143</f>
        <v>203.82713273605199</v>
      </c>
      <c r="K143" s="78">
        <f>SUM(F143:H143)</f>
        <v>235.61535419463553</v>
      </c>
      <c r="L143" s="77" t="s">
        <v>197</v>
      </c>
      <c r="N143" s="17"/>
      <c r="O143" s="17"/>
      <c r="P143" s="17"/>
      <c r="Q143" s="18"/>
      <c r="R143" s="18"/>
      <c r="S143" s="18"/>
      <c r="T143" s="18"/>
    </row>
    <row r="144" spans="2:25" hidden="1" outlineLevel="1" x14ac:dyDescent="0.2">
      <c r="B144" s="17"/>
      <c r="C144" s="17" t="s">
        <v>146</v>
      </c>
      <c r="D144" s="17"/>
      <c r="E144" s="17"/>
      <c r="F144" s="17"/>
      <c r="G144" s="17"/>
      <c r="H144" s="17"/>
      <c r="I144" s="17"/>
      <c r="J144" s="17"/>
      <c r="K144" s="17"/>
      <c r="L144" s="17"/>
      <c r="N144" s="17" t="s">
        <v>146</v>
      </c>
      <c r="O144" s="17"/>
      <c r="P144" s="17"/>
      <c r="Q144" s="18"/>
      <c r="R144" s="18"/>
      <c r="S144" s="18"/>
      <c r="T144" s="18"/>
    </row>
    <row r="145" spans="2:21" ht="15.75" hidden="1" outlineLevel="1" x14ac:dyDescent="0.3">
      <c r="B145" s="17"/>
      <c r="C145" s="17"/>
      <c r="D145" s="17" t="s">
        <v>125</v>
      </c>
      <c r="E145" s="17"/>
      <c r="F145" s="38">
        <f>IF(NOT(ISBLANK('Referenz Plattenwerk'!$I16)),'Referenz Plattenwerk'!$I16,'Referenz Plattenwerk'!$F16)*IF(NOT(ISBLANK('Eingabe EF'!$AA9)),'Eingabe EF'!$AA9,'Eingabe EF'!$Y9)*$E$139</f>
        <v>24.103856</v>
      </c>
      <c r="G145" s="38">
        <f>IF(NOT(ISBLANK('Referenz Plattenwerk'!$I16)),'Referenz Plattenwerk'!$I16,'Referenz Plattenwerk'!$F16)*IF(NOT(ISBLANK('Eingabe EF'!$AE9)),'Eingabe EF'!$AE9,'Eingabe EF'!$AC9)*$E$139</f>
        <v>0</v>
      </c>
      <c r="H145" s="38">
        <f>IF(NOT(ISBLANK('Referenz Plattenwerk'!$I16)),'Referenz Plattenwerk'!$I16,'Referenz Plattenwerk'!$F16)*IF(NOT(ISBLANK('Eingabe EF'!$AI9)),'Eingabe EF'!$AI9,'Eingabe EF'!$AG9)*$E$139</f>
        <v>4.1256599999999999</v>
      </c>
      <c r="I145" s="17"/>
      <c r="J145" s="38">
        <f>F145+G145</f>
        <v>24.103856</v>
      </c>
      <c r="K145" s="38">
        <f>SUM(F145:H145)</f>
        <v>28.229516</v>
      </c>
      <c r="L145" s="17" t="s">
        <v>198</v>
      </c>
      <c r="N145" s="17"/>
      <c r="O145" s="17" t="s">
        <v>125</v>
      </c>
      <c r="P145" s="17"/>
      <c r="Q145" s="19"/>
      <c r="R145" s="20"/>
      <c r="S145" s="42">
        <f>IF(NOT(ISBLANK('Referenz Plattenwerk'!$I16)),'Referenz Plattenwerk'!$I16,'Referenz Plattenwerk'!$F16)/1000*$E$139*IF(NOT(ISBLANK('Eingabe Preise'!$K10)),'Eingabe Preise'!$K10,'Eingabe Preise'!$I10)</f>
        <v>8027.5999999999995</v>
      </c>
      <c r="T145" s="20" t="s">
        <v>106</v>
      </c>
    </row>
    <row r="146" spans="2:21" ht="15.75" hidden="1" outlineLevel="1" x14ac:dyDescent="0.3">
      <c r="B146" s="17"/>
      <c r="C146" s="17"/>
      <c r="D146" s="17" t="s">
        <v>165</v>
      </c>
      <c r="E146" s="17"/>
      <c r="F146" s="38">
        <f>IF(NOT(ISBLANK('Referenz Plattenwerk'!$I17)),'Referenz Plattenwerk'!$I17,'Referenz Plattenwerk'!$F17)*IF(NOT(ISBLANK('Eingabe EF'!$AA10)),'Eingabe EF'!$AA10,'Eingabe EF'!$Y10)*$E$139</f>
        <v>4.4815679999999993</v>
      </c>
      <c r="G146" s="38">
        <f>IF(NOT(ISBLANK('Referenz Plattenwerk'!$I17)),'Referenz Plattenwerk'!$I17,'Referenz Plattenwerk'!$F17)*IF(NOT(ISBLANK('Eingabe EF'!$AE10)),'Eingabe EF'!$AE10,'Eingabe EF'!$AC10)*$E$139</f>
        <v>0</v>
      </c>
      <c r="H146" s="38">
        <f>IF(NOT(ISBLANK('Referenz Plattenwerk'!$I17)),'Referenz Plattenwerk'!$I17,'Referenz Plattenwerk'!$F17)*IF(NOT(ISBLANK('Eingabe EF'!$AI10)),'Eingabe EF'!$AI10,'Eingabe EF'!$AG10)*$E$139</f>
        <v>0.66487679999999993</v>
      </c>
      <c r="I146" s="17"/>
      <c r="J146" s="38">
        <f>F146+G146</f>
        <v>4.4815679999999993</v>
      </c>
      <c r="K146" s="38">
        <f>SUM(F146:H146)</f>
        <v>5.1464447999999994</v>
      </c>
      <c r="L146" s="17" t="s">
        <v>198</v>
      </c>
      <c r="N146" s="17"/>
      <c r="O146" s="17" t="s">
        <v>165</v>
      </c>
      <c r="P146" s="17"/>
      <c r="Q146" s="20"/>
      <c r="R146" s="20"/>
      <c r="S146" s="42">
        <f>IF(NOT(ISBLANK('Referenz Plattenwerk'!$I17)),'Referenz Plattenwerk'!$I17,'Referenz Plattenwerk'!$F17)/1000*$E$139*IF(NOT(ISBLANK('Eingabe Preise'!$K11)),'Eingabe Preise'!$K11,'Eingabe Preise'!$I11)</f>
        <v>772.79999999999984</v>
      </c>
      <c r="T146" s="20" t="s">
        <v>106</v>
      </c>
    </row>
    <row r="147" spans="2:21" ht="15.75" hidden="1" outlineLevel="1" x14ac:dyDescent="0.3">
      <c r="B147" s="17"/>
      <c r="C147" s="17"/>
      <c r="D147" s="17" t="s">
        <v>166</v>
      </c>
      <c r="E147" s="17"/>
      <c r="F147" s="38">
        <f>IF(NOT(ISBLANK('Referenz Plattenwerk'!$I18)),'Referenz Plattenwerk'!$I18,'Referenz Plattenwerk'!$F18)*IF(NOT(ISBLANK('Eingabe EF'!$AA11)),'Eingabe EF'!$AA11,'Eingabe EF'!$Y11)*$E$139</f>
        <v>0</v>
      </c>
      <c r="G147" s="38">
        <f>IF(NOT(ISBLANK('Referenz Plattenwerk'!$I18)),'Referenz Plattenwerk'!$I18,'Referenz Plattenwerk'!$F18)*IF(NOT(ISBLANK('Eingabe EF'!$AE11)),'Eingabe EF'!$AE11,'Eingabe EF'!$AC11)*$E$139</f>
        <v>8.7424712962099367</v>
      </c>
      <c r="H147" s="38">
        <f>IF(NOT(ISBLANK('Referenz Plattenwerk'!$I18)),'Referenz Plattenwerk'!$I18,'Referenz Plattenwerk'!$F18)*IF(NOT(ISBLANK('Eingabe EF'!$AI11)),'Eingabe EF'!$AI11,'Eingabe EF'!$AG11)*$E$139</f>
        <v>1.2816188287637604</v>
      </c>
      <c r="I147" s="17"/>
      <c r="J147" s="38">
        <f>F147+G147</f>
        <v>8.7424712962099367</v>
      </c>
      <c r="K147" s="38">
        <f>SUM(F147:H147)</f>
        <v>10.024090124973696</v>
      </c>
      <c r="L147" s="17" t="s">
        <v>198</v>
      </c>
      <c r="N147" s="17"/>
      <c r="O147" s="17" t="s">
        <v>166</v>
      </c>
      <c r="P147" s="17"/>
      <c r="Q147" s="20"/>
      <c r="R147" s="20"/>
      <c r="S147" s="42">
        <f>IF(NOT(ISBLANK('Referenz Plattenwerk'!$I18)),'Referenz Plattenwerk'!$I18,'Referenz Plattenwerk'!$F18)/1000*$E$139*IF(NOT(ISBLANK('Eingabe Preise'!$K12)),'Eingabe Preise'!$K12,'Eingabe Preise'!$I12)</f>
        <v>5417.9999999999991</v>
      </c>
      <c r="T147" s="20" t="s">
        <v>106</v>
      </c>
    </row>
    <row r="148" spans="2:21" ht="15.75" hidden="1" outlineLevel="1" x14ac:dyDescent="0.3">
      <c r="B148" s="17"/>
      <c r="C148" s="17"/>
      <c r="D148" s="17" t="s">
        <v>126</v>
      </c>
      <c r="E148" s="17"/>
      <c r="F148" s="44">
        <f>IF(NOT(ISBLANK('Referenz Plattenwerk'!$I19)),'Referenz Plattenwerk'!$I19,'Referenz Plattenwerk'!$F19)*IF(NOT(ISBLANK('Eingabe EF'!$AA12)),'Eingabe EF'!$AA12,0)*E139</f>
        <v>0</v>
      </c>
      <c r="G148" s="44">
        <f>IF(NOT(ISBLANK('Referenz Plattenwerk'!$I19)),'Referenz Plattenwerk'!$I19,'Referenz Plattenwerk'!$F19)*IF(NOT(ISBLANK('Eingabe EF'!$AE12)),'Eingabe EF'!$AE12,0)*E139</f>
        <v>0</v>
      </c>
      <c r="H148" s="44">
        <f>IF(NOT(ISBLANK('Referenz Plattenwerk'!$I19)),'Referenz Plattenwerk'!$I19,'Referenz Plattenwerk'!$F19)*IF(NOT(ISBLANK('Eingabe EF'!$AI12)),'Eingabe EF'!$AI12,0)*E139</f>
        <v>0</v>
      </c>
      <c r="I148" s="17"/>
      <c r="J148" s="38">
        <f>F148+G148</f>
        <v>0</v>
      </c>
      <c r="K148" s="38">
        <f>SUM(F148:H148)</f>
        <v>0</v>
      </c>
      <c r="L148" s="17" t="s">
        <v>198</v>
      </c>
      <c r="N148" s="17"/>
      <c r="O148" s="17" t="s">
        <v>126</v>
      </c>
      <c r="P148" s="17"/>
      <c r="Q148" s="20"/>
      <c r="R148" s="20"/>
      <c r="S148" s="42">
        <f>IF(NOT(ISBLANK('Referenz Plattenwerk'!$I19)),'Referenz Plattenwerk'!$I19,'Referenz Plattenwerk'!$F19)/1000*$E$139*IF(NOT(ISBLANK('Eingabe Preise'!$K16)),'Eingabe Preise'!$K16,0)</f>
        <v>0</v>
      </c>
      <c r="T148" s="20" t="s">
        <v>106</v>
      </c>
    </row>
    <row r="149" spans="2:21" hidden="1" outlineLevel="1" x14ac:dyDescent="0.2">
      <c r="B149" s="17"/>
      <c r="C149" s="17" t="s">
        <v>147</v>
      </c>
      <c r="D149" s="17"/>
      <c r="E149" s="17"/>
      <c r="F149" s="20"/>
      <c r="G149" s="20"/>
      <c r="H149" s="20"/>
      <c r="I149" s="17"/>
      <c r="J149" s="17"/>
      <c r="K149" s="17"/>
      <c r="L149" s="17"/>
      <c r="N149" s="17" t="s">
        <v>147</v>
      </c>
      <c r="O149" s="17"/>
      <c r="P149" s="17"/>
      <c r="Q149" s="20"/>
      <c r="R149" s="20"/>
      <c r="S149" s="20"/>
      <c r="T149" s="20"/>
    </row>
    <row r="150" spans="2:21" ht="15.75" hidden="1" outlineLevel="1" x14ac:dyDescent="0.3">
      <c r="B150" s="17"/>
      <c r="C150" s="17"/>
      <c r="D150" s="17" t="s">
        <v>31</v>
      </c>
      <c r="E150" s="17"/>
      <c r="F150" s="38">
        <f>IF(NOT(ISBLANK('Referenz Plattenwerk'!$I21)),'Referenz Plattenwerk'!$I21,'Referenz Plattenwerk'!$F21)*IF(NOT(ISBLANK('Eingabe EF'!$AA9)),'Eingabe EF'!$AA9,'Eingabe EF'!$Y9)</f>
        <v>8.6085200000000004</v>
      </c>
      <c r="G150" s="38">
        <f>IF(NOT(ISBLANK('Referenz Plattenwerk'!$I21)),'Referenz Plattenwerk'!$I21,'Referenz Plattenwerk'!$F21)*IF(NOT(ISBLANK('Eingabe EF'!$AE9)),'Eingabe EF'!$AE9,'Eingabe EF'!$AC9)</f>
        <v>0</v>
      </c>
      <c r="H150" s="38">
        <f>IF(NOT(ISBLANK('Referenz Plattenwerk'!$I21)),'Referenz Plattenwerk'!$I21,'Referenz Plattenwerk'!$F21)*IF(NOT(ISBLANK('Eingabe EF'!$AG9)),'Eingabe EF'!$AG9,'Eingabe EF'!$AIC9)</f>
        <v>1.4734500000000001</v>
      </c>
      <c r="I150" s="17"/>
      <c r="J150" s="38">
        <f t="shared" ref="J150:J151" si="38">F150+G150</f>
        <v>8.6085200000000004</v>
      </c>
      <c r="K150" s="38">
        <f t="shared" ref="K150:K160" si="39">SUM(F150:H150)</f>
        <v>10.08197</v>
      </c>
      <c r="L150" s="17" t="s">
        <v>198</v>
      </c>
      <c r="M150" s="43"/>
      <c r="N150" s="17"/>
      <c r="O150" s="17" t="s">
        <v>31</v>
      </c>
      <c r="P150" s="17"/>
      <c r="Q150" s="20"/>
      <c r="R150" s="20"/>
      <c r="S150" s="42">
        <f>IF(NOT(ISBLANK('Referenz Plattenwerk'!$I21)),'Referenz Plattenwerk'!$I21,'Referenz Plattenwerk'!$F21)/1000*IF(NOT(ISBLANK('Eingabe Preise'!$K10)),'Eingabe Preise'!$K10,'Eingabe Preise'!$I10)</f>
        <v>2867</v>
      </c>
      <c r="T150" s="20" t="s">
        <v>106</v>
      </c>
    </row>
    <row r="151" spans="2:21" ht="15.75" hidden="1" outlineLevel="1" x14ac:dyDescent="0.3">
      <c r="B151" s="17"/>
      <c r="C151" s="17"/>
      <c r="D151" s="17" t="s">
        <v>32</v>
      </c>
      <c r="E151" s="17"/>
      <c r="F151" s="38">
        <f>IF(NOT(ISBLANK('Referenz Plattenwerk'!$I22)),'Referenz Plattenwerk'!$I22,'Referenz Plattenwerk'!$F22)*IF(NOT(ISBLANK('Eingabe EF'!$AA10)),'Eingabe EF'!$AA10,'Eingabe EF'!$Y10)</f>
        <v>9.6033600000000003</v>
      </c>
      <c r="G151" s="38">
        <f>IF(NOT(ISBLANK('Referenz Plattenwerk'!$I22)),'Referenz Plattenwerk'!$I22,'Referenz Plattenwerk'!$F22)*IF(NOT(ISBLANK('Eingabe EF'!$AE10)),'Eingabe EF'!$AE10,'Eingabe EF'!$AC10)</f>
        <v>0</v>
      </c>
      <c r="H151" s="38">
        <f>IF(NOT(ISBLANK('Referenz Plattenwerk'!$I22)),'Referenz Plattenwerk'!$I22,'Referenz Plattenwerk'!$F22)*IF(NOT(ISBLANK('Eingabe EF'!$AG10)),'Eingabe EF'!$AG10,'Eingabe EF'!$AIC10)</f>
        <v>1.424736</v>
      </c>
      <c r="I151" s="17"/>
      <c r="J151" s="38">
        <f t="shared" si="38"/>
        <v>9.6033600000000003</v>
      </c>
      <c r="K151" s="38">
        <f t="shared" si="39"/>
        <v>11.028096</v>
      </c>
      <c r="L151" s="17" t="s">
        <v>198</v>
      </c>
      <c r="M151" s="43"/>
      <c r="N151" s="17"/>
      <c r="O151" s="17" t="s">
        <v>32</v>
      </c>
      <c r="P151" s="17"/>
      <c r="Q151" s="20"/>
      <c r="R151" s="20"/>
      <c r="S151" s="42">
        <f>IF(NOT(ISBLANK('Referenz Plattenwerk'!$I22)),'Referenz Plattenwerk'!$I22,'Referenz Plattenwerk'!$F22)/1000*IF(NOT(ISBLANK('Eingabe Preise'!$K11)),'Eingabe Preise'!$K11,'Eingabe Preise'!$I11)</f>
        <v>1656</v>
      </c>
      <c r="T151" s="20" t="s">
        <v>106</v>
      </c>
    </row>
    <row r="152" spans="2:21" hidden="1" outlineLevel="1" x14ac:dyDescent="0.2">
      <c r="B152" s="17"/>
      <c r="C152" s="17" t="s">
        <v>148</v>
      </c>
      <c r="D152" s="17"/>
      <c r="E152" s="17"/>
      <c r="F152" s="20"/>
      <c r="G152" s="20"/>
      <c r="H152" s="20"/>
      <c r="I152" s="17"/>
      <c r="J152" s="17"/>
      <c r="K152" s="17"/>
      <c r="L152" s="17"/>
      <c r="N152" s="17" t="s">
        <v>148</v>
      </c>
      <c r="O152" s="17"/>
      <c r="P152" s="17"/>
      <c r="Q152" s="20"/>
      <c r="R152" s="20"/>
      <c r="S152" s="20"/>
      <c r="T152" s="20"/>
    </row>
    <row r="153" spans="2:21" ht="15.75" hidden="1" outlineLevel="1" x14ac:dyDescent="0.3">
      <c r="B153" s="17"/>
      <c r="C153" s="17"/>
      <c r="D153" s="17" t="s">
        <v>150</v>
      </c>
      <c r="E153" s="17"/>
      <c r="F153" s="38">
        <f>IF(NOT(ISBLANK('Referenz Plattenwerk'!$I24)),'Referenz Plattenwerk'!$I24,'Referenz Plattenwerk'!$F24)*IF(NOT(ISBLANK('Eingabe EF'!$AA11)),'Eingabe EF'!$AA11,'Eingabe EF'!$Y11)</f>
        <v>0</v>
      </c>
      <c r="G153" s="38">
        <f>IF(NOT(ISBLANK('Referenz Plattenwerk'!$I24)),'Referenz Plattenwerk'!$I24,'Referenz Plattenwerk'!$F24)*IF(NOT(ISBLANK('Eingabe EF'!$AE11)),'Eingabe EF'!$AE11,'Eingabe EF'!$AC11)</f>
        <v>112.40320237984206</v>
      </c>
      <c r="H153" s="38">
        <f>IF(NOT(ISBLANK('Referenz Plattenwerk'!$I24)),'Referenz Plattenwerk'!$I24,'Referenz Plattenwerk'!$F24)*IF(NOT(ISBLANK('Eingabe EF'!$AI11)),'Eingabe EF'!$AI11,'Eingabe EF'!$AG11)</f>
        <v>16.477956369819779</v>
      </c>
      <c r="I153" s="17"/>
      <c r="J153" s="38">
        <f t="shared" ref="J153:J160" si="40">F153+G153</f>
        <v>112.40320237984206</v>
      </c>
      <c r="K153" s="38">
        <f t="shared" si="39"/>
        <v>128.88115874966184</v>
      </c>
      <c r="L153" s="17" t="s">
        <v>198</v>
      </c>
      <c r="M153" s="43"/>
      <c r="N153" s="17"/>
      <c r="O153" s="17" t="s">
        <v>167</v>
      </c>
      <c r="P153" s="17"/>
      <c r="Q153" s="20"/>
      <c r="R153" s="20"/>
      <c r="S153" s="42">
        <f>IF(NOT(ISBLANK('Referenz Plattenwerk'!$I24)),'Referenz Plattenwerk'!$I24,'Referenz Plattenwerk'!$F24)/1000*IF(NOT(ISBLANK('Eingabe Preise'!$K12)),'Eingabe Preise'!$K12,'Eingabe Preise'!$I12)</f>
        <v>69660</v>
      </c>
      <c r="T153" s="20" t="s">
        <v>106</v>
      </c>
    </row>
    <row r="154" spans="2:21" ht="15.75" hidden="1" outlineLevel="1" x14ac:dyDescent="0.3">
      <c r="B154" s="17"/>
      <c r="C154" s="17"/>
      <c r="D154" s="17" t="s">
        <v>122</v>
      </c>
      <c r="E154" s="17"/>
      <c r="F154" s="38">
        <f>IF(NOT(ISBLANK('Referenz Plattenwerk'!$I25)),'Referenz Plattenwerk'!$I25,'Referenz Plattenwerk'!$F25)*IF(NOT(ISBLANK('Eingabe EF'!$AA13)),'Eingabe EF'!$AA13,'Eingabe EF'!$Y13)</f>
        <v>0</v>
      </c>
      <c r="G154" s="38">
        <f>IF(NOT(ISBLANK('Referenz Plattenwerk'!$I25)),'Referenz Plattenwerk'!$I25,'Referenz Plattenwerk'!$F25)*IF(NOT(ISBLANK('Eingabe EF'!$AE13)),'Eingabe EF'!$AE13,'Eingabe EF'!$AC13)</f>
        <v>0</v>
      </c>
      <c r="H154" s="38">
        <f>IF(NOT(ISBLANK('Referenz Plattenwerk'!$I25)),'Referenz Plattenwerk'!$I25,'Referenz Plattenwerk'!$F25)*IF(NOT(ISBLANK('Eingabe EF'!$AI13)),'Eingabe EF'!$AI13,'Eingabe EF'!$AG13)</f>
        <v>0</v>
      </c>
      <c r="I154" s="17"/>
      <c r="J154" s="38">
        <f t="shared" si="40"/>
        <v>0</v>
      </c>
      <c r="K154" s="38">
        <f t="shared" si="39"/>
        <v>0</v>
      </c>
      <c r="L154" s="17" t="s">
        <v>198</v>
      </c>
      <c r="M154" s="43"/>
      <c r="N154" s="17"/>
      <c r="O154" s="17" t="s">
        <v>122</v>
      </c>
      <c r="P154" s="17"/>
      <c r="Q154" s="20"/>
      <c r="R154" s="20"/>
      <c r="S154" s="42">
        <f>IF(NOT(ISBLANK('Referenz Plattenwerk'!$I25)),'Referenz Plattenwerk'!$I25,'Referenz Plattenwerk'!$F25)/1000*IF(NOT(ISBLANK('Eingabe Preise'!$K13)),'Eingabe Preise'!$K13,'Eingabe Preise'!$I13)</f>
        <v>0</v>
      </c>
      <c r="T154" s="20" t="s">
        <v>106</v>
      </c>
    </row>
    <row r="155" spans="2:21" ht="15.75" hidden="1" outlineLevel="1" x14ac:dyDescent="0.3">
      <c r="B155" s="17"/>
      <c r="C155" s="17"/>
      <c r="D155" s="17" t="s">
        <v>149</v>
      </c>
      <c r="E155" s="17"/>
      <c r="F155" s="38">
        <f>IF(NOT(ISBLANK('Referenz Plattenwerk'!$I26)),'Referenz Plattenwerk'!$I26,'Referenz Plattenwerk'!$F26)*IF(NOT(ISBLANK('Eingabe EF'!$AA14)),'Eingabe EF'!$AA14,0)</f>
        <v>0</v>
      </c>
      <c r="G155" s="38">
        <f>IF(NOT(ISBLANK('Referenz Plattenwerk'!$I26)),'Referenz Plattenwerk'!$I26,'Referenz Plattenwerk'!$F26)*IF(NOT(ISBLANK('Eingabe EF'!$AE14)),'Eingabe EF'!$AE14,0)</f>
        <v>0</v>
      </c>
      <c r="H155" s="38">
        <f>IF(NOT(ISBLANK('Referenz Plattenwerk'!$I26)),'Referenz Plattenwerk'!$I26,'Referenz Plattenwerk'!$F26)*IF(NOT(ISBLANK('Eingabe EF'!$AI14)),'Eingabe EF'!$AI14,0)</f>
        <v>0</v>
      </c>
      <c r="I155" s="17"/>
      <c r="J155" s="38">
        <f t="shared" si="40"/>
        <v>0</v>
      </c>
      <c r="K155" s="38">
        <f t="shared" si="39"/>
        <v>0</v>
      </c>
      <c r="L155" s="17" t="s">
        <v>198</v>
      </c>
      <c r="M155" s="43"/>
      <c r="N155" s="17"/>
      <c r="O155" s="17" t="s">
        <v>149</v>
      </c>
      <c r="P155" s="17"/>
      <c r="Q155" s="30"/>
      <c r="R155" s="17"/>
      <c r="S155" s="42">
        <f>IF(NOT(ISBLANK('Referenz Plattenwerk'!$I26)),'Referenz Plattenwerk'!$I26,'Referenz Plattenwerk'!$F26)/1000*IF(NOT(ISBLANK('Eingabe Preise'!$K17)),'Eingabe Preise'!$K17,0)</f>
        <v>0</v>
      </c>
      <c r="T155" s="20" t="s">
        <v>106</v>
      </c>
    </row>
    <row r="156" spans="2:21" hidden="1" outlineLevel="1" x14ac:dyDescent="0.2">
      <c r="B156" s="17"/>
      <c r="C156" s="17"/>
      <c r="D156" s="17"/>
      <c r="E156" s="17"/>
      <c r="F156" s="20"/>
      <c r="G156" s="20"/>
      <c r="H156" s="20"/>
      <c r="I156" s="17"/>
      <c r="J156" s="17"/>
      <c r="K156" s="17"/>
      <c r="L156" s="17"/>
      <c r="N156" s="17"/>
      <c r="O156" s="17"/>
      <c r="P156" s="17"/>
      <c r="Q156" s="30"/>
      <c r="R156" s="17"/>
      <c r="S156" s="17"/>
      <c r="T156" s="17"/>
    </row>
    <row r="157" spans="2:21" ht="15.75" hidden="1" outlineLevel="1" x14ac:dyDescent="0.3">
      <c r="B157" s="17"/>
      <c r="C157" s="17" t="s">
        <v>464</v>
      </c>
      <c r="D157" s="17" t="s">
        <v>34</v>
      </c>
      <c r="E157" s="17"/>
      <c r="F157" s="38">
        <f>IF(NOT(ISBLANK('Referenz Plattenwerk'!$I28)),'Referenz Plattenwerk'!$I28,'Referenz Plattenwerk'!$F28)*IF(NOT(ISBLANK('Eingabe EF'!$AA15)),'Eingabe EF'!$AA15,'Eingabe EF'!$Y15)</f>
        <v>29.238941159999996</v>
      </c>
      <c r="G157" s="38">
        <f>IF(NOT(ISBLANK('Referenz Plattenwerk'!$I28)),'Referenz Plattenwerk'!$I28,'Referenz Plattenwerk'!$F28)*IF(NOT(ISBLANK('Eingabe EF'!$AE15)),'Eingabe EF'!$AE15,'Eingabe EF'!$AC15)</f>
        <v>0</v>
      </c>
      <c r="H157" s="38">
        <f>IF(NOT(ISBLANK('Referenz Plattenwerk'!$I28)),'Referenz Plattenwerk'!$I28,'Referenz Plattenwerk'!$F28)*IF(NOT(ISBLANK('Eingabe EF'!$AI15)),'Eingabe EF'!$AI15,'Eingabe EF'!$AG15)</f>
        <v>5.1658635600000009</v>
      </c>
      <c r="I157" s="17"/>
      <c r="J157" s="38">
        <f t="shared" si="40"/>
        <v>29.238941159999996</v>
      </c>
      <c r="K157" s="38">
        <f t="shared" si="39"/>
        <v>34.404804719999994</v>
      </c>
      <c r="L157" s="17" t="s">
        <v>198</v>
      </c>
      <c r="M157" s="43"/>
      <c r="N157" s="17"/>
      <c r="O157" s="17" t="s">
        <v>34</v>
      </c>
      <c r="P157" s="17" t="s">
        <v>464</v>
      </c>
      <c r="Q157" s="30"/>
      <c r="R157" s="17"/>
      <c r="S157" s="42">
        <f>IF(NOT(ISBLANK('Referenz Plattenwerk'!$I28)),'Referenz Plattenwerk'!$I28,'Referenz Plattenwerk'!$F28)*IF(NOT(ISBLANK('Eingabe Preise'!$K14)),'Eingabe Preise'!$K14,'Eingabe Preise'!$I14)</f>
        <v>12364.000000000002</v>
      </c>
      <c r="T157" s="20" t="s">
        <v>106</v>
      </c>
    </row>
    <row r="158" spans="2:21" ht="15.75" hidden="1" outlineLevel="1" x14ac:dyDescent="0.3">
      <c r="B158" s="17"/>
      <c r="C158" s="17" t="s">
        <v>75</v>
      </c>
      <c r="D158" s="17" t="s">
        <v>34</v>
      </c>
      <c r="E158" s="17"/>
      <c r="F158" s="38">
        <f>IF(NOT(ISBLANK('Referenz Plattenwerk'!$I29)),'Referenz Plattenwerk'!$I29,'Referenz Plattenwerk'!$F29)*IF(NOT(ISBLANK('Eingabe EF'!$AA15)),'Eingabe EF'!$AA15,'Eingabe EF'!$Y15)</f>
        <v>6.645213899999999</v>
      </c>
      <c r="G158" s="38">
        <f>IF(NOT(ISBLANK('Referenz Plattenwerk'!$I29)),'Referenz Plattenwerk'!$I29,'Referenz Plattenwerk'!$F29)*IF(NOT(ISBLANK('Eingabe EF'!$AE15)),'Eingabe EF'!$AE15,'Eingabe EF'!$AC15)</f>
        <v>0</v>
      </c>
      <c r="H158" s="38">
        <f>IF(NOT(ISBLANK('Referenz Plattenwerk'!$I29)),'Referenz Plattenwerk'!$I29,'Referenz Plattenwerk'!$F29)*IF(NOT(ISBLANK('Eingabe EF'!$AI15)),'Eingabe EF'!$AI15,'Eingabe EF'!$AG15)</f>
        <v>1.1740599000000003</v>
      </c>
      <c r="I158" s="17"/>
      <c r="J158" s="38">
        <f t="shared" ref="J158:J159" si="41">F158+G158</f>
        <v>6.645213899999999</v>
      </c>
      <c r="K158" s="38">
        <f t="shared" ref="K158:K159" si="42">SUM(F158:H158)</f>
        <v>7.8192737999999995</v>
      </c>
      <c r="L158" s="17" t="s">
        <v>198</v>
      </c>
      <c r="M158" s="43"/>
      <c r="N158" s="17"/>
      <c r="O158" s="17" t="s">
        <v>34</v>
      </c>
      <c r="P158" s="17" t="s">
        <v>75</v>
      </c>
      <c r="Q158" s="30"/>
      <c r="R158" s="17"/>
      <c r="S158" s="42">
        <f>IF(NOT(ISBLANK('Referenz Plattenwerk'!$I29)),'Referenz Plattenwerk'!$I29,'Referenz Plattenwerk'!$F29)*IF(NOT(ISBLANK('Eingabe Preise'!$K14)),'Eingabe Preise'!$K14,'Eingabe Preise'!$I14)</f>
        <v>2810.0000000000005</v>
      </c>
      <c r="T158" s="20" t="s">
        <v>106</v>
      </c>
    </row>
    <row r="159" spans="2:21" s="73" customFormat="1" ht="14.25" hidden="1" outlineLevel="1" x14ac:dyDescent="0.25">
      <c r="B159" s="70"/>
      <c r="C159" s="70" t="s">
        <v>189</v>
      </c>
      <c r="D159" s="70"/>
      <c r="E159" s="70"/>
      <c r="F159" s="72">
        <f>F160+F161</f>
        <v>0</v>
      </c>
      <c r="G159" s="72">
        <f t="shared" ref="G159:H159" si="43">G160+G161</f>
        <v>0</v>
      </c>
      <c r="H159" s="72">
        <f t="shared" si="43"/>
        <v>469.15642799999995</v>
      </c>
      <c r="I159" s="70"/>
      <c r="J159" s="72">
        <f t="shared" si="41"/>
        <v>0</v>
      </c>
      <c r="K159" s="72">
        <f t="shared" si="42"/>
        <v>469.15642799999995</v>
      </c>
      <c r="L159" s="77" t="s">
        <v>197</v>
      </c>
      <c r="N159" s="21"/>
      <c r="O159" s="21"/>
      <c r="P159" s="21"/>
      <c r="Q159" s="74"/>
      <c r="R159" s="21"/>
      <c r="S159" s="21"/>
      <c r="T159" s="21"/>
      <c r="U159" s="6"/>
    </row>
    <row r="160" spans="2:21" ht="15.75" hidden="1" outlineLevel="1" x14ac:dyDescent="0.3">
      <c r="B160" s="17"/>
      <c r="C160" s="17"/>
      <c r="D160" s="17" t="s">
        <v>45</v>
      </c>
      <c r="E160" s="17"/>
      <c r="F160" s="38">
        <f>IF(NOT(ISBLANK('Referenz Plattenwerk'!$I32)),'Referenz Plattenwerk'!$I32,'Referenz Plattenwerk'!$F32)*IF(NOT(ISBLANK('Eingabe EF'!$AA17)),'Eingabe EF'!$AA17,'Eingabe EF'!$Y17)</f>
        <v>0</v>
      </c>
      <c r="G160" s="38">
        <f>IF(NOT(ISBLANK('Referenz Plattenwerk'!$I32)),'Referenz Plattenwerk'!$I32,'Referenz Plattenwerk'!$F32)*IF(NOT(ISBLANK('Eingabe EF'!$AE17)),'Eingabe EF'!$AE17,'Eingabe EF'!$AC17)</f>
        <v>0</v>
      </c>
      <c r="H160" s="38">
        <f>IF(NOT(ISBLANK('Referenz Plattenwerk'!$I32)),'Referenz Plattenwerk'!$I32,'Referenz Plattenwerk'!$F32)*IF(NOT(ISBLANK('Eingabe EF'!$AI17)),'Eingabe EF'!$AI17,'Eingabe EF'!$AG17)</f>
        <v>109.4698332</v>
      </c>
      <c r="I160" s="17"/>
      <c r="J160" s="38">
        <f t="shared" si="40"/>
        <v>0</v>
      </c>
      <c r="K160" s="38">
        <f t="shared" si="39"/>
        <v>109.4698332</v>
      </c>
      <c r="L160" s="17" t="s">
        <v>198</v>
      </c>
      <c r="M160" s="43"/>
      <c r="N160" s="17"/>
      <c r="O160" s="17"/>
      <c r="P160" s="17"/>
      <c r="Q160" s="30"/>
      <c r="R160" s="17"/>
      <c r="S160" s="17"/>
      <c r="T160" s="17"/>
    </row>
    <row r="161" spans="2:20" ht="15.75" hidden="1" outlineLevel="1" x14ac:dyDescent="0.3">
      <c r="B161" s="17"/>
      <c r="C161" s="17"/>
      <c r="D161" s="17" t="s">
        <v>46</v>
      </c>
      <c r="E161" s="17"/>
      <c r="F161" s="38">
        <f>IF(NOT(ISBLANK('Referenz Plattenwerk'!$I33)),'Referenz Plattenwerk'!$I33,'Referenz Plattenwerk'!$F33)*IF(NOT(ISBLANK('Eingabe EF'!$AA18)),'Eingabe EF'!$AA18,'Eingabe EF'!$Y18)</f>
        <v>0</v>
      </c>
      <c r="G161" s="38">
        <f>IF(NOT(ISBLANK('Referenz Plattenwerk'!$I33)),'Referenz Plattenwerk'!$I33,'Referenz Plattenwerk'!$F33)*IF(NOT(ISBLANK('Eingabe EF'!$AE18)),'Eingabe EF'!$AE18,'Eingabe EF'!$AC18)</f>
        <v>0</v>
      </c>
      <c r="H161" s="38">
        <f>IF(NOT(ISBLANK('Referenz Plattenwerk'!$I33)),'Referenz Plattenwerk'!$I33,'Referenz Plattenwerk'!$F33)*IF(NOT(ISBLANK('Eingabe EF'!$AI18)),'Eingabe EF'!$AI18,'Eingabe EF'!$AG18)</f>
        <v>359.68659479999997</v>
      </c>
      <c r="I161" s="17"/>
      <c r="J161" s="38">
        <f t="shared" ref="J161" si="44">F161+G161</f>
        <v>0</v>
      </c>
      <c r="K161" s="38">
        <f t="shared" ref="K161" si="45">SUM(F161:H161)</f>
        <v>359.68659479999997</v>
      </c>
      <c r="L161" s="17" t="s">
        <v>198</v>
      </c>
      <c r="M161" s="43"/>
      <c r="N161" s="17"/>
      <c r="O161" s="17" t="s">
        <v>30</v>
      </c>
      <c r="P161" s="17"/>
      <c r="Q161" s="30"/>
      <c r="R161" s="17"/>
      <c r="S161" s="42">
        <f>IF(NOT(ISBLANK($G$18)),$G$18,$E$18)/IF(NOT(ISBLANK($G$23)),$G$23,$E$23)+IF(NOT(ISBLANK($G$18)),$G$18,$E$18)*(IF(NOT(ISBLANK($G$24)),$G$24,$E$24)/100)</f>
        <v>72000</v>
      </c>
      <c r="T161" s="20" t="s">
        <v>106</v>
      </c>
    </row>
    <row r="162" spans="2:20" hidden="1" outlineLevel="1" x14ac:dyDescent="0.2">
      <c r="B162" s="17"/>
      <c r="C162" s="17"/>
      <c r="D162" s="17"/>
      <c r="E162" s="17"/>
      <c r="F162" s="20"/>
      <c r="G162" s="20"/>
      <c r="H162" s="20"/>
      <c r="I162" s="17"/>
      <c r="J162" s="20"/>
      <c r="K162" s="20"/>
      <c r="L162" s="17"/>
      <c r="N162" s="17"/>
      <c r="O162" s="45" t="s">
        <v>153</v>
      </c>
      <c r="P162" s="17"/>
      <c r="Q162" s="30"/>
      <c r="R162" s="17"/>
      <c r="S162" s="42">
        <f>IF(NOT(ISBLANK($G$19)),$G$19,$E$19)</f>
        <v>0</v>
      </c>
      <c r="T162" s="20" t="s">
        <v>106</v>
      </c>
    </row>
    <row r="163" spans="2:20" ht="14.25" hidden="1" outlineLevel="1" x14ac:dyDescent="0.25">
      <c r="B163" s="70"/>
      <c r="C163" s="70" t="s">
        <v>68</v>
      </c>
      <c r="D163" s="71"/>
      <c r="E163" s="71"/>
      <c r="F163" s="72">
        <f>SUM(F164:F167)</f>
        <v>0</v>
      </c>
      <c r="G163" s="72">
        <f>SUM(G164:G167)</f>
        <v>0</v>
      </c>
      <c r="H163" s="72">
        <f>SUM(H164:H167)</f>
        <v>4548.5439999999999</v>
      </c>
      <c r="I163" s="71"/>
      <c r="J163" s="72">
        <f t="shared" ref="J163:J166" si="46">F163+G163</f>
        <v>0</v>
      </c>
      <c r="K163" s="72">
        <f t="shared" ref="K163:K166" si="47">SUM(F163:H163)</f>
        <v>4548.5439999999999</v>
      </c>
      <c r="L163" s="77" t="s">
        <v>197</v>
      </c>
      <c r="N163" s="17"/>
      <c r="O163" s="45" t="s">
        <v>160</v>
      </c>
      <c r="P163" s="17"/>
      <c r="Q163" s="30"/>
      <c r="R163" s="17"/>
      <c r="S163" s="42">
        <f>IF(NOT(ISBLANK($G$20)),$G$20,$E$20)/IF(NOT(ISBLANK($G$23)),$G$23,$E$23)+IF(NOT(ISBLANK($G$20)),$G$20,$E$20)*(IF(NOT(ISBLANK($G$24)),$G$24,$E$24)/100)</f>
        <v>0</v>
      </c>
      <c r="T163" s="20" t="s">
        <v>106</v>
      </c>
    </row>
    <row r="164" spans="2:20" ht="15.75" hidden="1" outlineLevel="1" x14ac:dyDescent="0.3">
      <c r="B164" s="17"/>
      <c r="C164" s="17"/>
      <c r="D164" s="17" t="s">
        <v>47</v>
      </c>
      <c r="E164" s="17"/>
      <c r="F164" s="38">
        <f>IF(NOT(ISBLANK('Referenz Plattenwerk'!$I36)),'Referenz Plattenwerk'!$I36,'Referenz Plattenwerk'!$F36)*IF(NOT(ISBLANK('Eingabe EF'!$AA21)),'Eingabe EF'!$AA21,'Eingabe EF'!$Y21)*IF(NOT(ISBLANK('Referenz Plattenwerk'!$I$12)),'Referenz Plattenwerk'!$I$12,'Referenz Plattenwerk'!$F$12)</f>
        <v>0</v>
      </c>
      <c r="G164" s="38">
        <f>IF(NOT(ISBLANK('Referenz Plattenwerk'!$I36)),'Referenz Plattenwerk'!$I36,'Referenz Plattenwerk'!$F36)*IF(NOT(ISBLANK('Eingabe EF'!$AE21)),'Eingabe EF'!$AE21,'Eingabe EF'!$AC21)*IF(NOT(ISBLANK('Referenz Plattenwerk'!$I$12)),'Referenz Plattenwerk'!$I$12,'Referenz Plattenwerk'!$F$12)</f>
        <v>0</v>
      </c>
      <c r="H164" s="38">
        <f>IF(NOT(ISBLANK('Referenz Plattenwerk'!$I36)),'Referenz Plattenwerk'!$I36,'Referenz Plattenwerk'!$F36)*IF(NOT(ISBLANK('Eingabe EF'!$AI21)),'Eingabe EF'!$AI21,'Eingabe EF'!$AG21)*IF(NOT(ISBLANK('Referenz Plattenwerk'!$I$12)),'Referenz Plattenwerk'!$I$12,'Referenz Plattenwerk'!$F$12)</f>
        <v>1210.3</v>
      </c>
      <c r="I164" s="17"/>
      <c r="J164" s="38">
        <f t="shared" si="46"/>
        <v>0</v>
      </c>
      <c r="K164" s="38">
        <f t="shared" si="47"/>
        <v>1210.3</v>
      </c>
      <c r="L164" s="17" t="s">
        <v>198</v>
      </c>
      <c r="M164" s="43"/>
      <c r="N164" s="17"/>
      <c r="O164" s="17"/>
      <c r="P164" s="17"/>
      <c r="Q164" s="17"/>
      <c r="R164" s="17"/>
      <c r="S164" s="17"/>
      <c r="T164" s="17"/>
    </row>
    <row r="165" spans="2:20" ht="15.75" hidden="1" outlineLevel="1" x14ac:dyDescent="0.3">
      <c r="B165" s="17"/>
      <c r="C165" s="17"/>
      <c r="D165" s="17" t="s">
        <v>49</v>
      </c>
      <c r="E165" s="17"/>
      <c r="F165" s="38">
        <f>IF(NOT(ISBLANK('Referenz Plattenwerk'!$I37)),'Referenz Plattenwerk'!$I37,'Referenz Plattenwerk'!$F37)*IF(NOT(ISBLANK('Eingabe EF'!$AA22)),'Eingabe EF'!$AA22,'Eingabe EF'!$Y22)*IF(NOT(ISBLANK('Referenz Plattenwerk'!$I$12)),'Referenz Plattenwerk'!$I$12,'Referenz Plattenwerk'!$F$12)</f>
        <v>0</v>
      </c>
      <c r="G165" s="38">
        <f>IF(NOT(ISBLANK('Referenz Plattenwerk'!$I37)),'Referenz Plattenwerk'!$I37,'Referenz Plattenwerk'!$F37)*IF(NOT(ISBLANK('Eingabe EF'!$AE22)),'Eingabe EF'!$AE22,'Eingabe EF'!$AC22)*IF(NOT(ISBLANK('Referenz Plattenwerk'!$I$12)),'Referenz Plattenwerk'!$I$12,'Referenz Plattenwerk'!$F$12)</f>
        <v>0</v>
      </c>
      <c r="H165" s="38">
        <f>IF(NOT(ISBLANK('Referenz Plattenwerk'!$I37)),'Referenz Plattenwerk'!$I37,'Referenz Plattenwerk'!$F37)*IF(NOT(ISBLANK('Eingabe EF'!$AI22)),'Eingabe EF'!$AI22,'Eingabe EF'!$AG22)*IF(NOT(ISBLANK('Referenz Plattenwerk'!$I$12)),'Referenz Plattenwerk'!$I$12,'Referenz Plattenwerk'!$F$12)</f>
        <v>2415.5039999999999</v>
      </c>
      <c r="I165" s="17"/>
      <c r="J165" s="38">
        <f t="shared" si="46"/>
        <v>0</v>
      </c>
      <c r="K165" s="38">
        <f t="shared" si="47"/>
        <v>2415.5039999999999</v>
      </c>
      <c r="L165" s="17" t="s">
        <v>198</v>
      </c>
      <c r="M165" s="43"/>
      <c r="N165" s="17"/>
      <c r="O165" s="17"/>
      <c r="P165" s="17"/>
      <c r="Q165" s="17"/>
      <c r="R165" s="17"/>
      <c r="S165" s="17"/>
      <c r="T165" s="17"/>
    </row>
    <row r="166" spans="2:20" ht="15.75" hidden="1" outlineLevel="1" x14ac:dyDescent="0.3">
      <c r="B166" s="17"/>
      <c r="C166" s="17"/>
      <c r="D166" s="17" t="s">
        <v>50</v>
      </c>
      <c r="E166" s="17"/>
      <c r="F166" s="38">
        <f>IF(NOT(ISBLANK('Referenz Plattenwerk'!$I38)),'Referenz Plattenwerk'!$I38,'Referenz Plattenwerk'!$F38)*IF(NOT(ISBLANK('Eingabe EF'!$AA23)),'Eingabe EF'!$AA23,'Eingabe EF'!$Y23)*IF(NOT(ISBLANK('Referenz Plattenwerk'!$I$12)),'Referenz Plattenwerk'!$I$12,'Referenz Plattenwerk'!$F$12)</f>
        <v>0</v>
      </c>
      <c r="G166" s="38">
        <f>IF(NOT(ISBLANK('Referenz Plattenwerk'!$I38)),'Referenz Plattenwerk'!$I38,'Referenz Plattenwerk'!$F38)*IF(NOT(ISBLANK('Eingabe EF'!$AE23)),'Eingabe EF'!$AE23,'Eingabe EF'!$AC23)*IF(NOT(ISBLANK('Referenz Plattenwerk'!$I$12)),'Referenz Plattenwerk'!$I$12,'Referenz Plattenwerk'!$F$12)</f>
        <v>0</v>
      </c>
      <c r="H166" s="38">
        <f>IF(NOT(ISBLANK('Referenz Plattenwerk'!$I38)),'Referenz Plattenwerk'!$I38,'Referenz Plattenwerk'!$F38)*IF(NOT(ISBLANK('Eingabe EF'!$AI23)),'Eingabe EF'!$AI23,'Eingabe EF'!$AG23)*IF(NOT(ISBLANK('Referenz Plattenwerk'!$I$12)),'Referenz Plattenwerk'!$I$12,'Referenz Plattenwerk'!$F$12)</f>
        <v>922.7399999999999</v>
      </c>
      <c r="I166" s="17"/>
      <c r="J166" s="38">
        <f t="shared" si="46"/>
        <v>0</v>
      </c>
      <c r="K166" s="38">
        <f t="shared" si="47"/>
        <v>922.7399999999999</v>
      </c>
      <c r="L166" s="17" t="s">
        <v>198</v>
      </c>
      <c r="M166" s="43"/>
      <c r="N166" s="17"/>
      <c r="O166" s="17" t="s">
        <v>200</v>
      </c>
      <c r="P166" s="17"/>
      <c r="Q166" s="30"/>
      <c r="R166" s="17"/>
      <c r="S166" s="42">
        <f>F202*IF(NOT(ISBLANK('Eingabe Preise'!$K21)),'Eingabe Preise'!$K21,'Eingabe Preise'!$I21)</f>
        <v>3720.6656576999999</v>
      </c>
      <c r="T166" s="20" t="s">
        <v>106</v>
      </c>
    </row>
    <row r="167" spans="2:20" ht="15.75" hidden="1" outlineLevel="1" x14ac:dyDescent="0.3">
      <c r="B167" s="17"/>
      <c r="C167" s="17"/>
      <c r="D167" s="17" t="s">
        <v>161</v>
      </c>
      <c r="E167" s="17"/>
      <c r="F167" s="38">
        <f>IF(NOT(ISBLANK('Referenz Plattenwerk'!$I39)),'Referenz Plattenwerk'!$I39,'Referenz Plattenwerk'!$F39)*IF(NOT(ISBLANK('Eingabe EF'!$AA24)),'Eingabe EF'!$AA24,0)*IF(NOT(ISBLANK('Referenz Plattenwerk'!$I$12)),'Referenz Plattenwerk'!$I$12,'Referenz Plattenwerk'!$F$12)</f>
        <v>0</v>
      </c>
      <c r="G167" s="38">
        <f>IF(NOT(ISBLANK('Referenz Plattenwerk'!$I39)),'Referenz Plattenwerk'!$I39,'Referenz Plattenwerk'!$F39)*IF(NOT(ISBLANK('Eingabe EF'!$AE24)),'Eingabe EF'!$AE24,0)*IF(NOT(ISBLANK('Referenz Plattenwerk'!$I$12)),'Referenz Plattenwerk'!$I$12,'Referenz Plattenwerk'!$F$12)</f>
        <v>0</v>
      </c>
      <c r="H167" s="38">
        <f>IF(NOT(ISBLANK('Referenz Plattenwerk'!$I39)),'Referenz Plattenwerk'!$I39,'Referenz Plattenwerk'!$F39)*IF(NOT(ISBLANK('Eingabe EF'!$AI24)),'Eingabe EF'!$AI24,0)*IF(NOT(ISBLANK('Referenz Plattenwerk'!$I$12)),'Referenz Plattenwerk'!$I$12,'Referenz Plattenwerk'!$F$12)</f>
        <v>0</v>
      </c>
      <c r="I167" s="17"/>
      <c r="J167" s="38">
        <f t="shared" ref="J167" si="48">F167+G167</f>
        <v>0</v>
      </c>
      <c r="K167" s="38">
        <f t="shared" ref="K167" si="49">SUM(F167:H167)</f>
        <v>0</v>
      </c>
      <c r="L167" s="17" t="s">
        <v>198</v>
      </c>
      <c r="M167" s="43"/>
      <c r="N167" s="17"/>
      <c r="O167" s="17" t="s">
        <v>201</v>
      </c>
      <c r="P167" s="17"/>
      <c r="Q167" s="30"/>
      <c r="R167" s="17"/>
      <c r="S167" s="42">
        <f>G202*IF(NOT(ISBLANK('Eingabe Preise'!$K22)),'Eingabe Preise'!$K22,'Eingabe Preise'!$I22)</f>
        <v>5451.5553154223398</v>
      </c>
      <c r="T167" s="20" t="s">
        <v>106</v>
      </c>
    </row>
    <row r="168" spans="2:20" ht="15.75" hidden="1" outlineLevel="1" x14ac:dyDescent="0.3">
      <c r="B168" s="17"/>
      <c r="C168" s="17"/>
      <c r="D168" s="17"/>
      <c r="E168" s="17"/>
      <c r="F168" s="20"/>
      <c r="G168" s="20"/>
      <c r="H168" s="20"/>
      <c r="I168" s="17"/>
      <c r="J168" s="17"/>
      <c r="K168" s="20"/>
      <c r="L168" s="20"/>
      <c r="M168" s="43"/>
      <c r="N168" s="17"/>
      <c r="O168" s="17" t="s">
        <v>202</v>
      </c>
      <c r="P168" s="17"/>
      <c r="Q168" s="30"/>
      <c r="R168" s="17"/>
      <c r="S168" s="42">
        <f>H202*IF(NOT(ISBLANK('Eingabe Preise'!$K23)),'Eingabe Preise'!$K23,'Eingabe Preise'!$I23)</f>
        <v>261991.62498636462</v>
      </c>
      <c r="T168" s="20" t="s">
        <v>106</v>
      </c>
    </row>
    <row r="169" spans="2:20" ht="14.25" hidden="1" outlineLevel="1" x14ac:dyDescent="0.25">
      <c r="B169" s="70"/>
      <c r="C169" s="70" t="s">
        <v>177</v>
      </c>
      <c r="D169" s="71"/>
      <c r="E169" s="71"/>
      <c r="F169" s="72">
        <f>SUM(F170:F172)</f>
        <v>0</v>
      </c>
      <c r="G169" s="72">
        <f>SUM(G170:G172)</f>
        <v>0</v>
      </c>
      <c r="H169" s="72">
        <f>SUM(H170:H172)</f>
        <v>129.59200000000001</v>
      </c>
      <c r="I169" s="71"/>
      <c r="J169" s="72">
        <f t="shared" ref="J169" si="50">F169+G169</f>
        <v>0</v>
      </c>
      <c r="K169" s="72">
        <f t="shared" ref="K169" si="51">SUM(F169:H169)</f>
        <v>129.59200000000001</v>
      </c>
      <c r="L169" s="77" t="s">
        <v>197</v>
      </c>
      <c r="M169" s="43"/>
      <c r="N169" s="17"/>
      <c r="O169" s="17"/>
      <c r="P169" s="17"/>
      <c r="Q169" s="30"/>
      <c r="R169" s="17"/>
      <c r="S169" s="67"/>
      <c r="T169" s="17"/>
    </row>
    <row r="170" spans="2:20" ht="15.75" hidden="1" outlineLevel="1" x14ac:dyDescent="0.3">
      <c r="B170" s="17"/>
      <c r="C170" s="17"/>
      <c r="D170" s="17" t="s">
        <v>178</v>
      </c>
      <c r="E170" s="17"/>
      <c r="F170" s="38">
        <f>IF(NOT(ISBLANK('Referenz Plattenwerk'!$I42)),'Referenz Plattenwerk'!$I42,'Referenz Plattenwerk'!$F42)*IF(NOT(ISBLANK('Eingabe EF'!$AA27)),'Eingabe EF'!$AA27,'Eingabe EF'!$Y27)*IF(NOT(ISBLANK('Referenz Plattenwerk'!$I$12)),'Referenz Plattenwerk'!$I$12,'Referenz Plattenwerk'!$F$12)</f>
        <v>0</v>
      </c>
      <c r="G170" s="38">
        <f>IF(NOT(ISBLANK('Referenz Plattenwerk'!$I42)),'Referenz Plattenwerk'!$I42,'Referenz Plattenwerk'!$F42)*IF(NOT(ISBLANK('Eingabe EF'!$AE27)),'Eingabe EF'!$AE27,'Eingabe EF'!$AC27)*IF(NOT(ISBLANK('Referenz Plattenwerk'!$I$12)),'Referenz Plattenwerk'!$I$12,'Referenz Plattenwerk'!$F$12)</f>
        <v>0</v>
      </c>
      <c r="H170" s="38">
        <f>IF(NOT(ISBLANK('Referenz Plattenwerk'!$I42)),'Referenz Plattenwerk'!$I42,'Referenz Plattenwerk'!$F42)*IF(NOT(ISBLANK('Eingabe EF'!$AI27)),'Eingabe EF'!$AI27,'Eingabe EF'!$AG27)*IF(NOT(ISBLANK('Referenz Plattenwerk'!$I$12)),'Referenz Plattenwerk'!$I$12,'Referenz Plattenwerk'!$F$12)</f>
        <v>129.59200000000001</v>
      </c>
      <c r="I170" s="17"/>
      <c r="J170" s="38">
        <f>F170+G170</f>
        <v>0</v>
      </c>
      <c r="K170" s="38">
        <f>SUM(F170:H170)</f>
        <v>129.59200000000001</v>
      </c>
      <c r="L170" s="17" t="s">
        <v>198</v>
      </c>
      <c r="M170" s="43"/>
      <c r="N170" s="17"/>
      <c r="O170" s="17"/>
      <c r="P170" s="17"/>
      <c r="Q170" s="30"/>
      <c r="R170" s="17"/>
      <c r="S170" s="17"/>
      <c r="T170" s="17"/>
    </row>
    <row r="171" spans="2:20" ht="15.75" hidden="1" outlineLevel="1" x14ac:dyDescent="0.3">
      <c r="B171" s="17"/>
      <c r="C171" s="17"/>
      <c r="D171" s="17" t="s">
        <v>179</v>
      </c>
      <c r="E171" s="17"/>
      <c r="F171" s="38">
        <f>IF(NOT(ISBLANK('Referenz Plattenwerk'!$I43)),'Referenz Plattenwerk'!$I43,'Referenz Plattenwerk'!$F43)*IF(NOT(ISBLANK('Eingabe EF'!$AA28)),'Eingabe EF'!$AA28,0)*IF(NOT(ISBLANK('Referenz Plattenwerk'!$I$12)),'Referenz Plattenwerk'!$I$12,'Referenz Plattenwerk'!$F$12)</f>
        <v>0</v>
      </c>
      <c r="G171" s="38">
        <f>IF(NOT(ISBLANK('Referenz Plattenwerk'!$I43)),'Referenz Plattenwerk'!$I43,'Referenz Plattenwerk'!$F43)*IF(NOT(ISBLANK('Eingabe EF'!$AE28)),'Eingabe EF'!$AE28,0)*IF(NOT(ISBLANK('Referenz Plattenwerk'!$I$12)),'Referenz Plattenwerk'!$I$12,'Referenz Plattenwerk'!$F$12)</f>
        <v>0</v>
      </c>
      <c r="H171" s="38">
        <f>IF(NOT(ISBLANK('Referenz Plattenwerk'!$I43)),'Referenz Plattenwerk'!$I43,'Referenz Plattenwerk'!$F43)*IF(NOT(ISBLANK('Eingabe EF'!$AI28)),'Eingabe EF'!$AI28,0)*IF(NOT(ISBLANK('Referenz Plattenwerk'!$I$12)),'Referenz Plattenwerk'!$I$12,'Referenz Plattenwerk'!$F$12)</f>
        <v>0</v>
      </c>
      <c r="I171" s="17"/>
      <c r="J171" s="38">
        <f t="shared" ref="J171:J172" si="52">F171+G171</f>
        <v>0</v>
      </c>
      <c r="K171" s="38">
        <f t="shared" ref="K171:K172" si="53">SUM(F171:H171)</f>
        <v>0</v>
      </c>
      <c r="L171" s="17" t="s">
        <v>198</v>
      </c>
      <c r="M171" s="43"/>
      <c r="N171" s="17"/>
      <c r="O171" s="17"/>
      <c r="P171" s="17"/>
      <c r="Q171" s="30"/>
      <c r="R171" s="17"/>
      <c r="S171" s="67"/>
      <c r="T171" s="17"/>
    </row>
    <row r="172" spans="2:20" ht="15.75" hidden="1" outlineLevel="1" x14ac:dyDescent="0.3">
      <c r="B172" s="17"/>
      <c r="C172" s="17"/>
      <c r="D172" s="17" t="s">
        <v>180</v>
      </c>
      <c r="E172" s="17"/>
      <c r="F172" s="38">
        <f>IF(NOT(ISBLANK('Referenz Plattenwerk'!$I44)),'Referenz Plattenwerk'!$I44,'Referenz Plattenwerk'!$F44)*IF(NOT(ISBLANK('Eingabe EF'!$AA29)),'Eingabe EF'!$AA29,0)*IF(NOT(ISBLANK('Referenz Plattenwerk'!$I$12)),'Referenz Plattenwerk'!$I$12,'Referenz Plattenwerk'!$F$12)</f>
        <v>0</v>
      </c>
      <c r="G172" s="38">
        <f>IF(NOT(ISBLANK('Referenz Plattenwerk'!$I44)),'Referenz Plattenwerk'!$I44,'Referenz Plattenwerk'!$F44)*IF(NOT(ISBLANK('Eingabe EF'!$AE29)),'Eingabe EF'!$AE29,0)*IF(NOT(ISBLANK('Referenz Plattenwerk'!$I$12)),'Referenz Plattenwerk'!$I$12,'Referenz Plattenwerk'!$F$12)</f>
        <v>0</v>
      </c>
      <c r="H172" s="38">
        <f>IF(NOT(ISBLANK('Referenz Plattenwerk'!$I44)),'Referenz Plattenwerk'!$I44,'Referenz Plattenwerk'!$F44)*IF(NOT(ISBLANK('Eingabe EF'!$AI29)),'Eingabe EF'!$AI29,0)*IF(NOT(ISBLANK('Referenz Plattenwerk'!$I$12)),'Referenz Plattenwerk'!$I$12,'Referenz Plattenwerk'!$F$12)</f>
        <v>0</v>
      </c>
      <c r="I172" s="17"/>
      <c r="J172" s="38">
        <f t="shared" si="52"/>
        <v>0</v>
      </c>
      <c r="K172" s="38">
        <f t="shared" si="53"/>
        <v>0</v>
      </c>
      <c r="L172" s="17" t="s">
        <v>198</v>
      </c>
      <c r="M172" s="43"/>
      <c r="N172" s="43"/>
      <c r="O172" s="43"/>
      <c r="P172" s="43"/>
      <c r="Q172" s="43"/>
      <c r="R172" s="43"/>
      <c r="S172" s="43"/>
    </row>
    <row r="173" spans="2:20" hidden="1" outlineLevel="1" x14ac:dyDescent="0.2">
      <c r="B173" s="17"/>
      <c r="C173" s="17"/>
      <c r="D173" s="17"/>
      <c r="E173" s="17"/>
      <c r="F173" s="20"/>
      <c r="G173" s="20"/>
      <c r="H173" s="20"/>
      <c r="I173" s="17"/>
      <c r="J173" s="17"/>
      <c r="K173" s="20"/>
      <c r="L173" s="20"/>
      <c r="M173" s="43"/>
      <c r="N173" s="43"/>
      <c r="O173" s="43"/>
      <c r="P173" s="43"/>
      <c r="Q173" s="43"/>
      <c r="R173" s="43"/>
      <c r="S173" s="43"/>
    </row>
    <row r="174" spans="2:20" ht="14.25" hidden="1" outlineLevel="1" x14ac:dyDescent="0.25">
      <c r="B174" s="17"/>
      <c r="C174" s="17"/>
      <c r="D174" s="21" t="s">
        <v>57</v>
      </c>
      <c r="E174" s="21"/>
      <c r="F174" s="75">
        <f>IF(NOT(ISBLANK('Referenz Plattenwerk'!$I46)),'Referenz Plattenwerk'!$I46,'Referenz Plattenwerk'!$F46)*IF(NOT(ISBLANK('Eingabe EF'!$AA31)),'Eingabe EF'!$AA31,'Eingabe EF'!$Y31)*IF(NOT(ISBLANK('Referenz Plattenwerk'!$I$12)),'Referenz Plattenwerk'!$I$12,'Referenz Plattenwerk'!$F$12)</f>
        <v>0</v>
      </c>
      <c r="G174" s="75">
        <f>IF(NOT(ISBLANK('Referenz Plattenwerk'!$I46)),'Referenz Plattenwerk'!$I46,'Referenz Plattenwerk'!$F46)*IF(NOT(ISBLANK('Eingabe EF'!$AE31)),'Eingabe EF'!$AE31,'Eingabe EF'!$AC31)*IF(NOT(ISBLANK('Referenz Plattenwerk'!$I$12)),'Referenz Plattenwerk'!$I$12,'Referenz Plattenwerk'!$F$12)</f>
        <v>0</v>
      </c>
      <c r="H174" s="75">
        <f>IF(NOT(ISBLANK('Referenz Plattenwerk'!$I46)),'Referenz Plattenwerk'!$I46,'Referenz Plattenwerk'!$F46)*IF(NOT(ISBLANK('Eingabe EF'!$AI31)),'Eingabe EF'!$AI31,'Eingabe EF'!$AG31)*IF(NOT(ISBLANK('Referenz Plattenwerk'!$I$12)),'Referenz Plattenwerk'!$I$12,'Referenz Plattenwerk'!$F$12)</f>
        <v>208</v>
      </c>
      <c r="I174" s="21"/>
      <c r="J174" s="75">
        <f>F174+G174</f>
        <v>0</v>
      </c>
      <c r="K174" s="75">
        <f t="shared" ref="K174" si="54">SUM(F174:H174)</f>
        <v>208</v>
      </c>
      <c r="L174" s="21" t="s">
        <v>197</v>
      </c>
      <c r="M174" s="43"/>
      <c r="N174" s="43"/>
      <c r="O174" s="43"/>
      <c r="P174" s="43"/>
      <c r="Q174" s="43"/>
      <c r="R174" s="43"/>
      <c r="S174" s="43"/>
    </row>
    <row r="175" spans="2:20" hidden="1" outlineLevel="1" x14ac:dyDescent="0.2">
      <c r="B175" s="17"/>
      <c r="C175" s="17"/>
      <c r="D175" s="17"/>
      <c r="E175" s="17"/>
      <c r="F175" s="20"/>
      <c r="G175" s="20"/>
      <c r="H175" s="20"/>
      <c r="I175" s="17"/>
      <c r="J175" s="17"/>
      <c r="K175" s="20"/>
      <c r="L175" s="20"/>
      <c r="M175" s="43"/>
      <c r="N175" s="43"/>
      <c r="O175" s="43"/>
      <c r="P175" s="43"/>
      <c r="Q175" s="43"/>
      <c r="R175" s="43"/>
      <c r="S175" s="43"/>
    </row>
    <row r="176" spans="2:20" ht="14.25" hidden="1" outlineLevel="1" x14ac:dyDescent="0.25">
      <c r="B176" s="70"/>
      <c r="C176" s="70" t="s">
        <v>181</v>
      </c>
      <c r="D176" s="71"/>
      <c r="E176" s="71"/>
      <c r="F176" s="72">
        <f>SUM(F177:F179)</f>
        <v>0</v>
      </c>
      <c r="G176" s="72">
        <f>SUM(G177:G179)</f>
        <v>0</v>
      </c>
      <c r="H176" s="72">
        <f>SUM(H177:H179)</f>
        <v>81.003999999999991</v>
      </c>
      <c r="I176" s="71"/>
      <c r="J176" s="72">
        <f t="shared" ref="J176" si="55">F176+G176</f>
        <v>0</v>
      </c>
      <c r="K176" s="72">
        <f t="shared" ref="K176" si="56">SUM(F176:H176)</f>
        <v>81.003999999999991</v>
      </c>
      <c r="L176" s="77" t="s">
        <v>197</v>
      </c>
      <c r="M176" s="43"/>
      <c r="N176" s="43"/>
      <c r="O176" s="43"/>
      <c r="P176" s="43"/>
      <c r="Q176" s="43"/>
      <c r="R176" s="43"/>
      <c r="S176" s="43"/>
    </row>
    <row r="177" spans="2:19" ht="15.75" hidden="1" outlineLevel="1" x14ac:dyDescent="0.3">
      <c r="B177" s="17"/>
      <c r="C177" s="17"/>
      <c r="D177" s="17" t="s">
        <v>59</v>
      </c>
      <c r="E177" s="17"/>
      <c r="F177" s="38">
        <f>IF(NOT(ISBLANK('Referenz Plattenwerk'!$I49)),'Referenz Plattenwerk'!$I49,'Referenz Plattenwerk'!$F49)*IF(NOT(ISBLANK('Eingabe EF'!$AA34)),'Eingabe EF'!$AA34,'Eingabe EF'!$Y34)*IF(NOT(ISBLANK('Referenz Plattenwerk'!$I$12)),'Referenz Plattenwerk'!$I$12,'Referenz Plattenwerk'!$F$12)</f>
        <v>0</v>
      </c>
      <c r="G177" s="38">
        <f>IF(NOT(ISBLANK('Referenz Plattenwerk'!$I49)),'Referenz Plattenwerk'!$I49,'Referenz Plattenwerk'!$F49)*IF(NOT(ISBLANK('Eingabe EF'!$AE34)),'Eingabe EF'!$AE34,'Eingabe EF'!$AC34)*IF(NOT(ISBLANK('Referenz Plattenwerk'!$I$12)),'Referenz Plattenwerk'!$I$12,'Referenz Plattenwerk'!$F$12)</f>
        <v>0</v>
      </c>
      <c r="H177" s="38">
        <f>IF(NOT(ISBLANK('Referenz Plattenwerk'!$I49)),'Referenz Plattenwerk'!$I49,'Referenz Plattenwerk'!$F49)*IF(NOT(ISBLANK('Eingabe EF'!$AI34)),'Eingabe EF'!$AI34,'Eingabe EF'!$AG34)*IF(NOT(ISBLANK('Referenz Plattenwerk'!$I$12)),'Referenz Plattenwerk'!$I$12,'Referenz Plattenwerk'!$F$12)</f>
        <v>0</v>
      </c>
      <c r="I177" s="17"/>
      <c r="J177" s="38">
        <f>F177+G177</f>
        <v>0</v>
      </c>
      <c r="K177" s="38">
        <f>SUM(F177:H177)</f>
        <v>0</v>
      </c>
      <c r="L177" s="17" t="s">
        <v>198</v>
      </c>
      <c r="M177" s="43"/>
      <c r="N177" s="43"/>
      <c r="O177" s="43"/>
      <c r="P177" s="43"/>
      <c r="Q177" s="43"/>
      <c r="R177" s="43"/>
      <c r="S177" s="43"/>
    </row>
    <row r="178" spans="2:19" ht="15.75" hidden="1" outlineLevel="1" x14ac:dyDescent="0.3">
      <c r="B178" s="17"/>
      <c r="C178" s="17"/>
      <c r="D178" s="17" t="s">
        <v>60</v>
      </c>
      <c r="E178" s="17"/>
      <c r="F178" s="38">
        <f>IF(NOT(ISBLANK('Referenz Plattenwerk'!$I50)),'Referenz Plattenwerk'!$I50,'Referenz Plattenwerk'!$F50)*IF(NOT(ISBLANK('Eingabe EF'!$AA35)),'Eingabe EF'!$AA35,'Eingabe EF'!$Y35)*IF(NOT(ISBLANK('Referenz Plattenwerk'!$I$12)),'Referenz Plattenwerk'!$I$12,'Referenz Plattenwerk'!$F$12)</f>
        <v>0</v>
      </c>
      <c r="G178" s="38">
        <f>IF(NOT(ISBLANK('Referenz Plattenwerk'!$I50)),'Referenz Plattenwerk'!$I50,'Referenz Plattenwerk'!$F50)*IF(NOT(ISBLANK('Eingabe EF'!$AE35)),'Eingabe EF'!$AE35,'Eingabe EF'!$AC35)*IF(NOT(ISBLANK('Referenz Plattenwerk'!$I$12)),'Referenz Plattenwerk'!$I$12,'Referenz Plattenwerk'!$F$12)</f>
        <v>0</v>
      </c>
      <c r="H178" s="38">
        <f>IF(NOT(ISBLANK('Referenz Plattenwerk'!$I50)),'Referenz Plattenwerk'!$I50,'Referenz Plattenwerk'!$F50)*IF(NOT(ISBLANK('Eingabe EF'!$AI35)),'Eingabe EF'!$AI35,'Eingabe EF'!$AG35)*IF(NOT(ISBLANK('Referenz Plattenwerk'!$I$12)),'Referenz Plattenwerk'!$I$12,'Referenz Plattenwerk'!$F$12)</f>
        <v>8.6840000000000011</v>
      </c>
      <c r="I178" s="17"/>
      <c r="J178" s="38">
        <f>F178+G178</f>
        <v>0</v>
      </c>
      <c r="K178" s="38">
        <f>SUM(F178:H178)</f>
        <v>8.6840000000000011</v>
      </c>
      <c r="L178" s="17" t="s">
        <v>198</v>
      </c>
      <c r="M178" s="43"/>
      <c r="N178" s="43"/>
      <c r="O178" s="43"/>
      <c r="P178" s="43"/>
      <c r="Q178" s="43"/>
      <c r="R178" s="43"/>
      <c r="S178" s="43"/>
    </row>
    <row r="179" spans="2:19" ht="15.75" hidden="1" outlineLevel="1" x14ac:dyDescent="0.3">
      <c r="B179" s="17"/>
      <c r="C179" s="17"/>
      <c r="D179" s="17" t="s">
        <v>61</v>
      </c>
      <c r="E179" s="17"/>
      <c r="F179" s="38">
        <f>IF(NOT(ISBLANK('Referenz Plattenwerk'!$I51)),'Referenz Plattenwerk'!$I51,'Referenz Plattenwerk'!$F51)*IF(NOT(ISBLANK('Eingabe EF'!$AA36)),'Eingabe EF'!$AA36,'Eingabe EF'!$Y36)*IF(NOT(ISBLANK('Referenz Plattenwerk'!$I$12)),'Referenz Plattenwerk'!$I$12,'Referenz Plattenwerk'!$F$12)</f>
        <v>0</v>
      </c>
      <c r="G179" s="38">
        <f>IF(NOT(ISBLANK('Referenz Plattenwerk'!$I51)),'Referenz Plattenwerk'!$I51,'Referenz Plattenwerk'!$F51)*IF(NOT(ISBLANK('Eingabe EF'!$AE36)),'Eingabe EF'!$AE36,'Eingabe EF'!$AC36)*IF(NOT(ISBLANK('Referenz Plattenwerk'!$I$12)),'Referenz Plattenwerk'!$I$12,'Referenz Plattenwerk'!$F$12)</f>
        <v>0</v>
      </c>
      <c r="H179" s="38">
        <f>IF(NOT(ISBLANK('Referenz Plattenwerk'!$I51)),'Referenz Plattenwerk'!$I51,'Referenz Plattenwerk'!$F51)*IF(NOT(ISBLANK('Eingabe EF'!$AI36)),'Eingabe EF'!$AI36,'Eingabe EF'!$AG36)*IF(NOT(ISBLANK('Referenz Plattenwerk'!$I$12)),'Referenz Plattenwerk'!$I$12,'Referenz Plattenwerk'!$F$12)</f>
        <v>72.319999999999993</v>
      </c>
      <c r="I179" s="17"/>
      <c r="J179" s="38">
        <f>F179+G179</f>
        <v>0</v>
      </c>
      <c r="K179" s="38">
        <f>SUM(F179:H179)</f>
        <v>72.319999999999993</v>
      </c>
      <c r="L179" s="17" t="s">
        <v>198</v>
      </c>
      <c r="M179" s="43"/>
      <c r="N179" s="43"/>
      <c r="O179" s="43"/>
      <c r="P179" s="43"/>
      <c r="Q179" s="43"/>
      <c r="R179" s="43"/>
      <c r="S179" s="43"/>
    </row>
    <row r="180" spans="2:19" hidden="1" outlineLevel="1" x14ac:dyDescent="0.2">
      <c r="B180" s="17"/>
      <c r="C180" s="17"/>
      <c r="D180" s="17"/>
      <c r="E180" s="17"/>
      <c r="F180" s="20"/>
      <c r="G180" s="20"/>
      <c r="H180" s="20"/>
      <c r="I180" s="17"/>
      <c r="J180" s="17"/>
      <c r="K180" s="20"/>
      <c r="L180" s="20"/>
      <c r="M180" s="43"/>
      <c r="N180" s="43"/>
      <c r="O180" s="43"/>
      <c r="P180" s="43"/>
      <c r="Q180" s="43"/>
      <c r="R180" s="43"/>
      <c r="S180" s="43"/>
    </row>
    <row r="181" spans="2:19" ht="14.25" hidden="1" outlineLevel="1" x14ac:dyDescent="0.25">
      <c r="B181" s="70"/>
      <c r="C181" s="70" t="s">
        <v>51</v>
      </c>
      <c r="D181" s="71"/>
      <c r="E181" s="71"/>
      <c r="F181" s="72">
        <f>SUM(F182:F185)</f>
        <v>0</v>
      </c>
      <c r="G181" s="72">
        <f>SUM(G182:G185)</f>
        <v>0</v>
      </c>
      <c r="H181" s="72">
        <f>SUM(H182:H185)</f>
        <v>148.44746134951595</v>
      </c>
      <c r="I181" s="71"/>
      <c r="J181" s="72">
        <f t="shared" ref="J181" si="57">F181+G181</f>
        <v>0</v>
      </c>
      <c r="K181" s="72">
        <f t="shared" ref="K181" si="58">SUM(F181:H181)</f>
        <v>148.44746134951595</v>
      </c>
      <c r="L181" s="77" t="s">
        <v>197</v>
      </c>
      <c r="M181" s="43"/>
      <c r="N181" s="43"/>
      <c r="O181" s="43"/>
      <c r="P181" s="43"/>
      <c r="Q181" s="43"/>
      <c r="R181" s="43"/>
      <c r="S181" s="43"/>
    </row>
    <row r="182" spans="2:19" ht="15.75" hidden="1" outlineLevel="1" x14ac:dyDescent="0.3">
      <c r="B182" s="17"/>
      <c r="C182" s="17"/>
      <c r="D182" s="17" t="s">
        <v>52</v>
      </c>
      <c r="E182" s="17"/>
      <c r="F182"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82"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82"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82" s="17"/>
      <c r="J182" s="38">
        <f t="shared" ref="J182:J185" si="59">F182+G182</f>
        <v>0</v>
      </c>
      <c r="K182" s="38">
        <f t="shared" ref="K182:K185" si="60">SUM(F182:H182)</f>
        <v>47.997919375812742</v>
      </c>
      <c r="L182" s="17" t="s">
        <v>198</v>
      </c>
      <c r="M182" s="43"/>
      <c r="N182" s="43"/>
      <c r="O182" s="43"/>
      <c r="P182" s="43"/>
      <c r="Q182" s="43"/>
      <c r="R182" s="43"/>
      <c r="S182" s="43"/>
    </row>
    <row r="183" spans="2:19" ht="15.75" hidden="1" outlineLevel="1" x14ac:dyDescent="0.3">
      <c r="B183" s="17"/>
      <c r="C183" s="17"/>
      <c r="D183" s="17" t="s">
        <v>54</v>
      </c>
      <c r="E183" s="17"/>
      <c r="F183"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83"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83"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83" s="17"/>
      <c r="J183" s="38">
        <f t="shared" si="59"/>
        <v>0</v>
      </c>
      <c r="K183" s="38">
        <f t="shared" si="60"/>
        <v>5.7797543707556596</v>
      </c>
      <c r="L183" s="17" t="s">
        <v>198</v>
      </c>
      <c r="M183" s="43"/>
      <c r="N183" s="43"/>
      <c r="O183" s="43"/>
      <c r="P183" s="43"/>
      <c r="Q183" s="43"/>
      <c r="R183" s="43"/>
      <c r="S183" s="43"/>
    </row>
    <row r="184" spans="2:19" ht="15.75" hidden="1" outlineLevel="1" x14ac:dyDescent="0.3">
      <c r="B184" s="17"/>
      <c r="C184" s="17"/>
      <c r="D184" s="17" t="s">
        <v>55</v>
      </c>
      <c r="E184" s="17"/>
      <c r="F184"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84"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84"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84" s="17"/>
      <c r="J184" s="38">
        <f t="shared" si="59"/>
        <v>0</v>
      </c>
      <c r="K184" s="38">
        <f t="shared" si="60"/>
        <v>1.4217598612917211E-2</v>
      </c>
      <c r="L184" s="17" t="s">
        <v>198</v>
      </c>
      <c r="M184" s="43"/>
      <c r="N184" s="43"/>
      <c r="O184" s="43"/>
      <c r="P184" s="43"/>
      <c r="Q184" s="43"/>
      <c r="R184" s="43"/>
      <c r="S184" s="43"/>
    </row>
    <row r="185" spans="2:19" ht="15.75" hidden="1" outlineLevel="1" x14ac:dyDescent="0.3">
      <c r="B185" s="17"/>
      <c r="C185" s="17"/>
      <c r="D185" s="17" t="s">
        <v>56</v>
      </c>
      <c r="E185" s="17"/>
      <c r="F185"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85"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85"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85" s="17"/>
      <c r="J185" s="38">
        <f t="shared" si="59"/>
        <v>0</v>
      </c>
      <c r="K185" s="38">
        <f t="shared" si="60"/>
        <v>94.655570004334635</v>
      </c>
      <c r="L185" s="17" t="s">
        <v>198</v>
      </c>
      <c r="M185" s="43"/>
      <c r="N185" s="43"/>
      <c r="O185" s="43"/>
      <c r="P185" s="43"/>
      <c r="Q185" s="43"/>
      <c r="R185" s="43"/>
      <c r="S185" s="43"/>
    </row>
    <row r="186" spans="2:19" hidden="1" outlineLevel="1" x14ac:dyDescent="0.2">
      <c r="B186" s="17"/>
      <c r="C186" s="17"/>
      <c r="D186" s="17"/>
      <c r="E186" s="17"/>
      <c r="F186" s="20"/>
      <c r="G186" s="20"/>
      <c r="H186" s="20"/>
      <c r="I186" s="17"/>
      <c r="J186" s="20"/>
      <c r="K186" s="20"/>
      <c r="L186" s="17"/>
      <c r="M186" s="43"/>
      <c r="N186" s="43"/>
      <c r="O186" s="43"/>
      <c r="P186" s="43"/>
      <c r="Q186" s="43"/>
      <c r="R186" s="43"/>
      <c r="S186" s="43"/>
    </row>
    <row r="187" spans="2:19" ht="14.25" hidden="1" outlineLevel="1" x14ac:dyDescent="0.25">
      <c r="B187" s="17"/>
      <c r="C187" s="17"/>
      <c r="D187" s="21" t="s">
        <v>110</v>
      </c>
      <c r="E187" s="21"/>
      <c r="F187" s="75">
        <f>IF(NOT(ISBLANK('Referenz Plattenwerk'!$I59)),'Referenz Plattenwerk'!$I59,'Referenz Plattenwerk'!$F59)*IF(NOT(ISBLANK('Eingabe EF'!$AA44)),'Eingabe EF'!$AA44,0)*IF(NOT(ISBLANK('Referenz Plattenwerk'!$I$12)),'Referenz Plattenwerk'!$I$12,'Referenz Plattenwerk'!$F$12)</f>
        <v>0</v>
      </c>
      <c r="G187" s="75">
        <f>IF(NOT(ISBLANK('Referenz Plattenwerk'!$I59)),'Referenz Plattenwerk'!$I59,'Referenz Plattenwerk'!$F59)*IF(NOT(ISBLANK('Eingabe EF'!$AE44)),'Eingabe EF'!$AE44,0)*IF(NOT(ISBLANK('Referenz Plattenwerk'!$I$12)),'Referenz Plattenwerk'!$I$12,'Referenz Plattenwerk'!$F$12)</f>
        <v>0</v>
      </c>
      <c r="H187" s="75">
        <f>IF(NOT(ISBLANK('Referenz Plattenwerk'!$I59)),'Referenz Plattenwerk'!$I59,'Referenz Plattenwerk'!$F59)*IF(NOT(ISBLANK('Eingabe EF'!$AI44)),'Eingabe EF'!$AI44,0)*IF(NOT(ISBLANK('Referenz Plattenwerk'!$I$12)),'Referenz Plattenwerk'!$I$12,'Referenz Plattenwerk'!$F$12)</f>
        <v>0</v>
      </c>
      <c r="I187" s="21"/>
      <c r="J187" s="75">
        <f>F187+G187</f>
        <v>0</v>
      </c>
      <c r="K187" s="75">
        <f>SUM(F187:H187)</f>
        <v>0</v>
      </c>
      <c r="L187" s="21" t="s">
        <v>197</v>
      </c>
      <c r="M187" s="43"/>
      <c r="N187" s="43"/>
      <c r="O187" s="43"/>
      <c r="P187" s="43"/>
      <c r="Q187" s="43"/>
      <c r="R187" s="43"/>
      <c r="S187" s="43"/>
    </row>
    <row r="188" spans="2:19" ht="14.25" hidden="1" outlineLevel="1" x14ac:dyDescent="0.25">
      <c r="B188" s="17"/>
      <c r="C188" s="17"/>
      <c r="D188" s="21" t="s">
        <v>64</v>
      </c>
      <c r="E188" s="21"/>
      <c r="F188" s="75">
        <f>IF(NOT(ISBLANK('Referenz Plattenwerk'!$I60)),'Referenz Plattenwerk'!$I60,'Referenz Plattenwerk'!$F60)*IF(NOT(ISBLANK('Eingabe EF'!$AA45)),'Eingabe EF'!$AA45,'Eingabe EF'!$Y45)</f>
        <v>0</v>
      </c>
      <c r="G188" s="75">
        <f>IF(NOT(ISBLANK('Referenz Plattenwerk'!$I60)),'Referenz Plattenwerk'!$I60,'Referenz Plattenwerk'!$F60)*IF(NOT(ISBLANK('Eingabe EF'!$AE45)),'Eingabe EF'!$AE45,'Eingabe EF'!$AC45)</f>
        <v>0</v>
      </c>
      <c r="H188" s="75">
        <f>IF(NOT(ISBLANK('Referenz Plattenwerk'!$I60)),'Referenz Plattenwerk'!$I60,'Referenz Plattenwerk'!$F60)*IF(NOT(ISBLANK('Eingabe EF'!$AI45)),'Eingabe EF'!$AI45,'Eingabe EF'!$AG45)</f>
        <v>0.54400000000000004</v>
      </c>
      <c r="I188" s="21"/>
      <c r="J188" s="75">
        <f>F188+G188</f>
        <v>0</v>
      </c>
      <c r="K188" s="75">
        <f>SUM(F188:H188)</f>
        <v>0.54400000000000004</v>
      </c>
      <c r="L188" s="21" t="s">
        <v>197</v>
      </c>
      <c r="M188" s="43"/>
      <c r="N188" s="43"/>
      <c r="O188" s="43"/>
      <c r="P188" s="43"/>
      <c r="Q188" s="43"/>
      <c r="R188" s="43"/>
      <c r="S188" s="43"/>
    </row>
    <row r="189" spans="2:19" hidden="1" outlineLevel="1" x14ac:dyDescent="0.2">
      <c r="B189" s="17"/>
      <c r="C189" s="17"/>
      <c r="D189" s="17"/>
      <c r="E189" s="17"/>
      <c r="F189" s="20"/>
      <c r="G189" s="20"/>
      <c r="H189" s="20"/>
      <c r="I189" s="17"/>
      <c r="J189" s="20"/>
      <c r="K189" s="20"/>
      <c r="L189" s="17"/>
      <c r="M189" s="43"/>
      <c r="N189" s="43"/>
      <c r="O189" s="43"/>
      <c r="P189" s="43"/>
      <c r="Q189" s="43"/>
      <c r="R189" s="43"/>
      <c r="S189" s="43"/>
    </row>
    <row r="190" spans="2:19" ht="14.25" hidden="1" outlineLevel="1" x14ac:dyDescent="0.25">
      <c r="B190" s="70"/>
      <c r="C190" s="70" t="s">
        <v>182</v>
      </c>
      <c r="D190" s="71"/>
      <c r="E190" s="71"/>
      <c r="F190" s="72">
        <f>SUM(F191:F193)</f>
        <v>0</v>
      </c>
      <c r="G190" s="72">
        <f>SUM(G191:G193)</f>
        <v>0</v>
      </c>
      <c r="H190" s="72">
        <f>SUM(H191:H193)</f>
        <v>80.47999999999999</v>
      </c>
      <c r="I190" s="71"/>
      <c r="J190" s="72">
        <f t="shared" ref="J190" si="61">F190+G190</f>
        <v>0</v>
      </c>
      <c r="K190" s="72">
        <f t="shared" ref="K190" si="62">SUM(F190:H190)</f>
        <v>80.47999999999999</v>
      </c>
      <c r="L190" s="77" t="s">
        <v>197</v>
      </c>
      <c r="M190" s="43"/>
      <c r="N190" s="43"/>
      <c r="O190" s="43"/>
      <c r="P190" s="43"/>
      <c r="Q190" s="43"/>
      <c r="R190" s="43"/>
      <c r="S190" s="43"/>
    </row>
    <row r="191" spans="2:19" ht="15.75" hidden="1" outlineLevel="1" x14ac:dyDescent="0.3">
      <c r="B191" s="17"/>
      <c r="C191" s="17"/>
      <c r="D191" s="17" t="s">
        <v>183</v>
      </c>
      <c r="E191" s="17"/>
      <c r="F191" s="38">
        <f>IF(NOT(ISBLANK('Referenz Plattenwerk'!$I63)),'Referenz Plattenwerk'!$I63,'Referenz Plattenwerk'!$F63)*IF(NOT(ISBLANK('Eingabe EF'!$AA48)),'Eingabe EF'!$AA48,0)*IF(NOT(ISBLANK('Referenz Plattenwerk'!$I$12)),'Referenz Plattenwerk'!$I$12,'Referenz Plattenwerk'!$F$12)</f>
        <v>0</v>
      </c>
      <c r="G191" s="38">
        <f>IF(NOT(ISBLANK('Referenz Plattenwerk'!$I63)),'Referenz Plattenwerk'!$I63,'Referenz Plattenwerk'!$F63)*IF(NOT(ISBLANK('Eingabe EF'!$AE48)),'Eingabe EF'!$AE48,0)*IF(NOT(ISBLANK('Referenz Plattenwerk'!$I$12)),'Referenz Plattenwerk'!$I$12,'Referenz Plattenwerk'!$F$12)</f>
        <v>0</v>
      </c>
      <c r="H191" s="38">
        <f>IF(NOT(ISBLANK('Referenz Plattenwerk'!$I63)),'Referenz Plattenwerk'!$I63,'Referenz Plattenwerk'!$F63)*IF(NOT(ISBLANK('Eingabe EF'!$AI48)),'Eingabe EF'!$AI48,0)*IF(NOT(ISBLANK('Referenz Plattenwerk'!$I$12)),'Referenz Plattenwerk'!$I$12,'Referenz Plattenwerk'!$F$12)</f>
        <v>0</v>
      </c>
      <c r="I191" s="17"/>
      <c r="J191" s="38">
        <f t="shared" ref="J191" si="63">F191+G191</f>
        <v>0</v>
      </c>
      <c r="K191" s="38">
        <f t="shared" ref="K191" si="64">SUM(F191:H191)</f>
        <v>0</v>
      </c>
      <c r="L191" s="17" t="s">
        <v>198</v>
      </c>
      <c r="M191" s="43"/>
      <c r="N191" s="43"/>
      <c r="O191" s="43"/>
      <c r="P191" s="43"/>
      <c r="Q191" s="43"/>
      <c r="R191" s="43"/>
      <c r="S191" s="43"/>
    </row>
    <row r="192" spans="2:19" ht="15.75" hidden="1" outlineLevel="1" x14ac:dyDescent="0.3">
      <c r="B192" s="17"/>
      <c r="C192" s="17"/>
      <c r="D192" s="17" t="s">
        <v>62</v>
      </c>
      <c r="E192" s="17"/>
      <c r="F192" s="38">
        <f>IF(NOT(ISBLANK('Referenz Plattenwerk'!$I64)),'Referenz Plattenwerk'!$I64,'Referenz Plattenwerk'!$F64)*IF(NOT(ISBLANK('Eingabe EF'!$AA49)),'Eingabe EF'!$AA49,'Eingabe EF'!$Y49)*IF(NOT(ISBLANK('Referenz Plattenwerk'!$I$12)),'Referenz Plattenwerk'!$I$12,'Referenz Plattenwerk'!$F$12)</f>
        <v>0</v>
      </c>
      <c r="G192" s="38">
        <f>IF(NOT(ISBLANK('Referenz Plattenwerk'!$I64)),'Referenz Plattenwerk'!$I64,'Referenz Plattenwerk'!$F64)*IF(NOT(ISBLANK('Eingabe EF'!$AE49)),'Eingabe EF'!$AE49,'Eingabe EF'!$AC49)*IF(NOT(ISBLANK('Referenz Plattenwerk'!$I$12)),'Referenz Plattenwerk'!$I$12,'Referenz Plattenwerk'!$F$12)</f>
        <v>0</v>
      </c>
      <c r="H192" s="38">
        <f>IF(NOT(ISBLANK('Referenz Plattenwerk'!$I64)),'Referenz Plattenwerk'!$I64,'Referenz Plattenwerk'!$F64)*IF(NOT(ISBLANK('Eingabe EF'!$AI49)),'Eingabe EF'!$AI49,'Eingabe EF'!$AG49)*IF(NOT(ISBLANK('Referenz Plattenwerk'!$I$12)),'Referenz Plattenwerk'!$I$12,'Referenz Plattenwerk'!$F$12)</f>
        <v>80.47999999999999</v>
      </c>
      <c r="I192" s="17"/>
      <c r="J192" s="38">
        <f t="shared" ref="J192:J193" si="65">F192+G192</f>
        <v>0</v>
      </c>
      <c r="K192" s="38">
        <f t="shared" ref="K192:K193" si="66">SUM(F192:H192)</f>
        <v>80.47999999999999</v>
      </c>
      <c r="L192" s="17" t="s">
        <v>198</v>
      </c>
      <c r="M192" s="43"/>
      <c r="N192" s="43"/>
      <c r="O192" s="43"/>
      <c r="P192" s="43"/>
      <c r="Q192" s="43"/>
      <c r="R192" s="43"/>
      <c r="S192" s="43"/>
    </row>
    <row r="193" spans="2:20" ht="15.75" hidden="1" outlineLevel="1" x14ac:dyDescent="0.3">
      <c r="B193" s="17"/>
      <c r="C193" s="17"/>
      <c r="D193" s="17" t="s">
        <v>184</v>
      </c>
      <c r="E193" s="17"/>
      <c r="F193" s="38">
        <f>IF(NOT(ISBLANK('Referenz Plattenwerk'!$I65)),'Referenz Plattenwerk'!$I65,'Referenz Plattenwerk'!$F65)*IF(NOT(ISBLANK('Eingabe EF'!$AA50)),'Eingabe EF'!$AA50,0)*IF(NOT(ISBLANK('Referenz Plattenwerk'!$I$12)),'Referenz Plattenwerk'!$I$12,'Referenz Plattenwerk'!$F$12)</f>
        <v>0</v>
      </c>
      <c r="G193" s="38">
        <f>IF(NOT(ISBLANK('Referenz Plattenwerk'!$I65)),'Referenz Plattenwerk'!$I65,'Referenz Plattenwerk'!$F65)*IF(NOT(ISBLANK('Eingabe EF'!$AE50)),'Eingabe EF'!$AE50,0)*IF(NOT(ISBLANK('Referenz Plattenwerk'!$I$12)),'Referenz Plattenwerk'!$I$12,'Referenz Plattenwerk'!$F$12)</f>
        <v>0</v>
      </c>
      <c r="H193" s="38">
        <f>IF(NOT(ISBLANK('Referenz Plattenwerk'!$I65)),'Referenz Plattenwerk'!$I65,'Referenz Plattenwerk'!$F65)*IF(NOT(ISBLANK('Eingabe EF'!$AI50)),'Eingabe EF'!$AI50,0)*IF(NOT(ISBLANK('Referenz Plattenwerk'!$I$12)),'Referenz Plattenwerk'!$I$12,'Referenz Plattenwerk'!$F$12)</f>
        <v>0</v>
      </c>
      <c r="I193" s="17"/>
      <c r="J193" s="38">
        <f t="shared" si="65"/>
        <v>0</v>
      </c>
      <c r="K193" s="38">
        <f t="shared" si="66"/>
        <v>0</v>
      </c>
      <c r="L193" s="17" t="s">
        <v>198</v>
      </c>
      <c r="M193" s="43"/>
      <c r="N193" s="43"/>
      <c r="O193" s="43"/>
      <c r="P193" s="43"/>
      <c r="Q193" s="43"/>
      <c r="R193" s="43"/>
      <c r="S193" s="43"/>
    </row>
    <row r="194" spans="2:20" hidden="1" outlineLevel="1" x14ac:dyDescent="0.2">
      <c r="B194" s="17"/>
      <c r="C194" s="17"/>
      <c r="D194" s="17"/>
      <c r="E194" s="17"/>
      <c r="F194" s="20"/>
      <c r="G194" s="20"/>
      <c r="H194" s="20"/>
      <c r="I194" s="17"/>
      <c r="J194" s="17"/>
      <c r="K194" s="17"/>
      <c r="L194" s="20"/>
      <c r="M194" s="43"/>
      <c r="N194" s="43"/>
      <c r="O194" s="43"/>
      <c r="P194" s="43"/>
      <c r="Q194" s="43"/>
      <c r="R194" s="43"/>
      <c r="S194" s="43"/>
    </row>
    <row r="195" spans="2:20" ht="14.25" hidden="1" outlineLevel="1" x14ac:dyDescent="0.25">
      <c r="B195" s="70"/>
      <c r="C195" s="70" t="s">
        <v>185</v>
      </c>
      <c r="D195" s="71"/>
      <c r="E195" s="71"/>
      <c r="F195" s="72">
        <f>SUM(F196:F198)</f>
        <v>0</v>
      </c>
      <c r="G195" s="72">
        <f>SUM(G196:G198)</f>
        <v>0</v>
      </c>
      <c r="H195" s="72">
        <f>SUM(H196:H198)</f>
        <v>60</v>
      </c>
      <c r="I195" s="71"/>
      <c r="J195" s="72">
        <f>F195+G195</f>
        <v>0</v>
      </c>
      <c r="K195" s="72">
        <f t="shared" ref="K195" si="67">SUM(F195:H195)</f>
        <v>60</v>
      </c>
      <c r="L195" s="77" t="s">
        <v>197</v>
      </c>
      <c r="M195" s="43"/>
      <c r="N195" s="43"/>
      <c r="O195" s="43"/>
      <c r="P195" s="43"/>
      <c r="Q195" s="43"/>
      <c r="R195" s="43"/>
      <c r="S195" s="43"/>
    </row>
    <row r="196" spans="2:20" ht="15.75" hidden="1" outlineLevel="1" x14ac:dyDescent="0.3">
      <c r="B196" s="17"/>
      <c r="C196" s="17"/>
      <c r="D196" s="17" t="s">
        <v>66</v>
      </c>
      <c r="E196" s="17"/>
      <c r="F196" s="38">
        <f>IF(NOT(ISBLANK('Referenz Plattenwerk'!$I68)),'Referenz Plattenwerk'!$I68,'Referenz Plattenwerk'!$F68)*IF(NOT(ISBLANK('Eingabe EF'!$AA53)),'Eingabe EF'!$AA53,'Eingabe EF'!$Y53)</f>
        <v>0</v>
      </c>
      <c r="G196" s="38">
        <f>IF(NOT(ISBLANK('Referenz Plattenwerk'!$I68)),'Referenz Plattenwerk'!$I68,'Referenz Plattenwerk'!$F68)*IF(NOT(ISBLANK('Eingabe EF'!$AE53)),'Eingabe EF'!$AE53,'Eingabe EF'!$AC53)</f>
        <v>0</v>
      </c>
      <c r="H196" s="38">
        <f>IF(NOT(ISBLANK('Referenz Plattenwerk'!$I68)),'Referenz Plattenwerk'!$I68,'Referenz Plattenwerk'!$F68)*IF(NOT(ISBLANK('Eingabe EF'!$AI53)),'Eingabe EF'!$AI53,'Eingabe EF'!$AG53)</f>
        <v>60</v>
      </c>
      <c r="I196" s="17"/>
      <c r="J196" s="38">
        <f>F196+G196</f>
        <v>0</v>
      </c>
      <c r="K196" s="38">
        <f>SUM(F196:H196)</f>
        <v>60</v>
      </c>
      <c r="L196" s="17" t="s">
        <v>198</v>
      </c>
      <c r="M196" s="43"/>
      <c r="N196" s="43"/>
      <c r="O196" s="43"/>
      <c r="P196" s="43"/>
      <c r="Q196" s="43"/>
      <c r="R196" s="43"/>
      <c r="S196" s="43"/>
    </row>
    <row r="197" spans="2:20" ht="15.75" hidden="1" outlineLevel="1" x14ac:dyDescent="0.3">
      <c r="B197" s="17"/>
      <c r="C197" s="17"/>
      <c r="D197" s="17" t="s">
        <v>187</v>
      </c>
      <c r="E197" s="17"/>
      <c r="F197" s="38">
        <f>IF(NOT(ISBLANK('Referenz Plattenwerk'!$I69)),'Referenz Plattenwerk'!$I69,'Referenz Plattenwerk'!$F69)*IF(NOT(ISBLANK('Eingabe EF'!$AA54)),'Eingabe EF'!$AA54,0)</f>
        <v>0</v>
      </c>
      <c r="G197" s="38">
        <f>IF(NOT(ISBLANK('Referenz Plattenwerk'!$I69)),'Referenz Plattenwerk'!$I69,'Referenz Plattenwerk'!$F69)*IF(NOT(ISBLANK('Eingabe EF'!$AE54)),'Eingabe EF'!$AE54,0)</f>
        <v>0</v>
      </c>
      <c r="H197" s="38">
        <f>IF(NOT(ISBLANK('Referenz Plattenwerk'!$I69)),'Referenz Plattenwerk'!$I69,'Referenz Plattenwerk'!$F69)*IF(NOT(ISBLANK('Eingabe EF'!$AI54)),'Eingabe EF'!$AI54,0)</f>
        <v>0</v>
      </c>
      <c r="I197" s="17"/>
      <c r="J197" s="38">
        <f t="shared" ref="J197:J198" si="68">F197+G197</f>
        <v>0</v>
      </c>
      <c r="K197" s="38">
        <f t="shared" ref="K197:K198" si="69">SUM(F197:H197)</f>
        <v>0</v>
      </c>
      <c r="L197" s="17" t="s">
        <v>198</v>
      </c>
      <c r="M197" s="43"/>
      <c r="N197" s="43"/>
      <c r="O197" s="43"/>
      <c r="P197" s="43"/>
      <c r="Q197" s="43"/>
      <c r="R197" s="43"/>
      <c r="S197" s="43"/>
    </row>
    <row r="198" spans="2:20" ht="15.75" hidden="1" outlineLevel="1" x14ac:dyDescent="0.3">
      <c r="B198" s="17"/>
      <c r="C198" s="17"/>
      <c r="D198" s="17" t="s">
        <v>186</v>
      </c>
      <c r="E198" s="17"/>
      <c r="F198" s="38">
        <f>IF(NOT(ISBLANK('Referenz Plattenwerk'!$I70)),'Referenz Plattenwerk'!$I70,'Referenz Plattenwerk'!$F70)*IF(NOT(ISBLANK('Eingabe EF'!$AA55)),'Eingabe EF'!$AA55,0)</f>
        <v>0</v>
      </c>
      <c r="G198" s="38">
        <f>IF(NOT(ISBLANK('Referenz Plattenwerk'!$I70)),'Referenz Plattenwerk'!$I70,'Referenz Plattenwerk'!$F70)*IF(NOT(ISBLANK('Eingabe EF'!$AE55)),'Eingabe EF'!$AE55,0)</f>
        <v>0</v>
      </c>
      <c r="H198" s="38">
        <f>IF(NOT(ISBLANK('Referenz Plattenwerk'!$I70)),'Referenz Plattenwerk'!$I70,'Referenz Plattenwerk'!$F70)*IF(NOT(ISBLANK('Eingabe EF'!$AI55)),'Eingabe EF'!$AI55,0)</f>
        <v>0</v>
      </c>
      <c r="I198" s="17"/>
      <c r="J198" s="38">
        <f t="shared" si="68"/>
        <v>0</v>
      </c>
      <c r="K198" s="38">
        <f t="shared" si="69"/>
        <v>0</v>
      </c>
      <c r="L198" s="17" t="s">
        <v>198</v>
      </c>
      <c r="M198" s="43"/>
      <c r="N198" s="43"/>
      <c r="O198" s="43"/>
      <c r="P198" s="43"/>
      <c r="Q198" s="43"/>
      <c r="R198" s="43"/>
      <c r="S198" s="43"/>
    </row>
    <row r="199" spans="2:20" hidden="1" outlineLevel="1" x14ac:dyDescent="0.2">
      <c r="B199" s="17"/>
      <c r="C199" s="17"/>
      <c r="D199" s="17"/>
      <c r="E199" s="17"/>
      <c r="F199" s="20"/>
      <c r="G199" s="20"/>
      <c r="H199" s="20"/>
      <c r="I199" s="17"/>
      <c r="J199" s="17"/>
      <c r="K199" s="17"/>
      <c r="L199" s="20"/>
      <c r="M199" s="43"/>
      <c r="N199" s="43"/>
      <c r="O199" s="43"/>
      <c r="P199" s="43"/>
      <c r="Q199" s="43"/>
      <c r="R199" s="43"/>
      <c r="S199" s="43"/>
    </row>
    <row r="200" spans="2:20" ht="14.25" hidden="1" outlineLevel="1" x14ac:dyDescent="0.25">
      <c r="B200" s="17"/>
      <c r="C200" s="17"/>
      <c r="D200" s="21" t="s">
        <v>63</v>
      </c>
      <c r="E200" s="21"/>
      <c r="F200" s="75">
        <f>IF(NOT(ISBLANK('Referenz Plattenwerk'!$I72)),'Referenz Plattenwerk'!$I72,'Referenz Plattenwerk'!$F72)*IF(NOT(ISBLANK('Eingabe EF'!$AA57)),'Eingabe EF'!$AA57,'Eingabe EF'!$Y57)</f>
        <v>0</v>
      </c>
      <c r="G200" s="75">
        <f>IF(NOT(ISBLANK('Referenz Plattenwerk'!$I72)),'Referenz Plattenwerk'!$I72,'Referenz Plattenwerk'!$F72)*IF(NOT(ISBLANK('Eingabe EF'!$AE57)),'Eingabe EF'!$AE57,'Eingabe EF'!$AC57)</f>
        <v>0</v>
      </c>
      <c r="H200" s="75">
        <f>IF(NOT(ISBLANK('Referenz Plattenwerk'!$I72)),'Referenz Plattenwerk'!$I72,'Referenz Plattenwerk'!$F72)*IF(NOT(ISBLANK('Eingabe EF'!$AI57)),'Eingabe EF'!$AI57,'Eingabe EF'!$AG57)</f>
        <v>64.48</v>
      </c>
      <c r="I200" s="21"/>
      <c r="J200" s="75">
        <f t="shared" ref="J200" si="70">F200+G200</f>
        <v>0</v>
      </c>
      <c r="K200" s="75">
        <f t="shared" ref="K200" si="71">SUM(F200:H200)</f>
        <v>64.48</v>
      </c>
      <c r="L200" s="21" t="s">
        <v>197</v>
      </c>
      <c r="M200" s="43"/>
      <c r="N200" s="43"/>
      <c r="O200" s="43"/>
      <c r="P200" s="43"/>
      <c r="Q200" s="43"/>
      <c r="R200" s="43"/>
      <c r="S200" s="43"/>
    </row>
    <row r="201" spans="2:20" hidden="1" outlineLevel="1" x14ac:dyDescent="0.2">
      <c r="B201" s="17"/>
      <c r="C201" s="17"/>
      <c r="D201" s="17"/>
      <c r="E201" s="17"/>
      <c r="F201" s="20"/>
      <c r="G201" s="20"/>
      <c r="H201" s="20"/>
      <c r="I201" s="17"/>
      <c r="J201" s="17"/>
      <c r="K201" s="17"/>
      <c r="L201" s="20"/>
      <c r="M201" s="43"/>
      <c r="N201" s="43"/>
      <c r="O201" s="43"/>
      <c r="P201" s="43"/>
      <c r="Q201" s="43"/>
      <c r="R201" s="43"/>
      <c r="S201" s="43"/>
    </row>
    <row r="202" spans="2:20" ht="15" hidden="1" outlineLevel="1" thickBot="1" x14ac:dyDescent="0.3">
      <c r="B202" s="17"/>
      <c r="C202" s="17"/>
      <c r="D202" s="68" t="s">
        <v>69</v>
      </c>
      <c r="E202" s="68"/>
      <c r="F202" s="69">
        <f>SUM(F145:F200)-F159-F163-F169-F176-F181-F190-F195</f>
        <v>82.681459059999995</v>
      </c>
      <c r="G202" s="69">
        <f>SUM(G145:G200)-G159-G163-G169-G176-G181-G190-G195</f>
        <v>121.145673676052</v>
      </c>
      <c r="H202" s="69">
        <f>SUM(H145:H200)-H159-H163-H169-H176-H181-H190-H195</f>
        <v>5822.0361108081024</v>
      </c>
      <c r="I202" s="21"/>
      <c r="J202" s="69">
        <f t="shared" ref="J202" si="72">SUM(J145:J200)-J159-J163-J169-J176-J181-J190-J195</f>
        <v>203.82713273605199</v>
      </c>
      <c r="K202" s="69">
        <f>SUM(K145:K200)-K159-K163-K169-K176-K181-K190-K195</f>
        <v>6025.863243544155</v>
      </c>
      <c r="L202" s="69" t="s">
        <v>197</v>
      </c>
      <c r="M202" s="43"/>
      <c r="N202" s="43"/>
      <c r="O202" s="43"/>
      <c r="P202" s="43"/>
      <c r="Q202" s="43"/>
      <c r="R202" s="43"/>
      <c r="S202" s="43"/>
    </row>
    <row r="203" spans="2:20" ht="13.5" hidden="1" outlineLevel="1" thickTop="1" x14ac:dyDescent="0.2">
      <c r="B203" s="17"/>
      <c r="C203" s="17"/>
      <c r="D203" s="17"/>
      <c r="E203" s="17"/>
      <c r="F203" s="20"/>
      <c r="G203" s="20"/>
      <c r="H203" s="20"/>
      <c r="I203" s="17"/>
      <c r="J203" s="17"/>
      <c r="K203" s="17"/>
      <c r="L203" s="20"/>
      <c r="M203" s="43"/>
      <c r="N203" s="43"/>
      <c r="O203" s="43"/>
      <c r="P203" s="43"/>
      <c r="Q203" s="43"/>
      <c r="R203" s="43"/>
      <c r="S203" s="43"/>
    </row>
    <row r="204" spans="2:20" collapsed="1" x14ac:dyDescent="0.2"/>
    <row r="206" spans="2:20" ht="15.75" hidden="1" outlineLevel="1" x14ac:dyDescent="0.25">
      <c r="B206" s="22"/>
      <c r="C206" s="22" t="s">
        <v>114</v>
      </c>
      <c r="D206" s="17"/>
      <c r="E206" s="17"/>
      <c r="F206" s="17"/>
      <c r="G206" s="17"/>
      <c r="H206" s="17"/>
      <c r="I206" s="17"/>
      <c r="J206" s="17"/>
      <c r="K206" s="17"/>
      <c r="L206" s="17"/>
      <c r="N206" s="22" t="s">
        <v>117</v>
      </c>
      <c r="O206" s="17"/>
      <c r="P206" s="17"/>
      <c r="Q206" s="17"/>
      <c r="R206" s="17"/>
      <c r="S206" s="17"/>
      <c r="T206" s="17"/>
    </row>
    <row r="207" spans="2:20" ht="15" hidden="1" outlineLevel="1" x14ac:dyDescent="0.25">
      <c r="B207" s="65"/>
      <c r="C207" s="65">
        <v>2030</v>
      </c>
      <c r="D207" s="25"/>
      <c r="E207" s="25"/>
      <c r="F207" s="25"/>
      <c r="G207" s="25"/>
      <c r="H207" s="25"/>
      <c r="I207" s="25"/>
      <c r="J207" s="25"/>
      <c r="K207" s="25"/>
      <c r="L207" s="25"/>
      <c r="N207" s="65">
        <v>2030</v>
      </c>
      <c r="O207" s="17"/>
      <c r="P207" s="17"/>
      <c r="Q207" s="17"/>
      <c r="R207" s="17"/>
      <c r="S207" s="17"/>
      <c r="T207" s="17"/>
    </row>
    <row r="208" spans="2:20" hidden="1" outlineLevel="1" x14ac:dyDescent="0.2">
      <c r="B208" s="17"/>
      <c r="C208" s="17"/>
      <c r="D208" s="17" t="s">
        <v>206</v>
      </c>
      <c r="E208" s="39">
        <f>(1-(IF(NOT(ISBLANK($K16)),$K16/100,$I16/100)))</f>
        <v>0.7</v>
      </c>
      <c r="F208" s="17"/>
      <c r="G208" s="17"/>
      <c r="H208" s="17"/>
      <c r="I208" s="17"/>
      <c r="J208" s="17"/>
      <c r="K208" s="17"/>
      <c r="L208" s="17"/>
      <c r="N208" s="17"/>
      <c r="O208" s="17"/>
      <c r="P208" s="17"/>
      <c r="Q208" s="17"/>
      <c r="R208" s="17"/>
      <c r="S208" s="17"/>
      <c r="T208" s="17"/>
    </row>
    <row r="209" spans="2:20" hidden="1" outlineLevel="1" x14ac:dyDescent="0.2">
      <c r="B209" s="17"/>
      <c r="C209" s="17"/>
      <c r="D209" s="17"/>
      <c r="E209" s="17"/>
      <c r="F209" s="17"/>
      <c r="G209" s="17"/>
      <c r="H209" s="17"/>
      <c r="I209" s="17"/>
      <c r="J209" s="17"/>
      <c r="K209" s="17"/>
      <c r="L209" s="17"/>
      <c r="N209" s="17"/>
      <c r="O209" s="17"/>
      <c r="P209" s="17"/>
      <c r="Q209" s="17"/>
      <c r="R209" s="17"/>
      <c r="S209" s="17"/>
      <c r="T209" s="17"/>
    </row>
    <row r="210" spans="2:20" ht="25.5" hidden="1" outlineLevel="1" x14ac:dyDescent="0.2">
      <c r="B210" s="17"/>
      <c r="C210" s="17"/>
      <c r="D210" s="17"/>
      <c r="E210" s="17"/>
      <c r="F210" s="36" t="s">
        <v>27</v>
      </c>
      <c r="G210" s="36" t="s">
        <v>82</v>
      </c>
      <c r="H210" s="36" t="s">
        <v>29</v>
      </c>
      <c r="I210" s="17"/>
      <c r="J210" s="40" t="s">
        <v>111</v>
      </c>
      <c r="K210" s="41" t="s">
        <v>39</v>
      </c>
      <c r="L210" s="17"/>
      <c r="N210" s="17"/>
      <c r="O210" s="17"/>
      <c r="P210" s="17"/>
      <c r="Q210" s="18"/>
      <c r="R210" s="17"/>
      <c r="S210" s="18"/>
      <c r="T210" s="18"/>
    </row>
    <row r="211" spans="2:20" ht="14.25" hidden="1" outlineLevel="1" x14ac:dyDescent="0.25">
      <c r="B211" s="77"/>
      <c r="C211" s="77" t="s">
        <v>190</v>
      </c>
      <c r="D211" s="77"/>
      <c r="E211" s="77"/>
      <c r="F211" s="78">
        <f>SUM(F213:F226)</f>
        <v>82.681459059999995</v>
      </c>
      <c r="G211" s="78">
        <f>SUM(G213:G226)</f>
        <v>59.705978200727237</v>
      </c>
      <c r="H211" s="78">
        <f>SUM(H213:H226)</f>
        <v>22.781355106179909</v>
      </c>
      <c r="I211" s="77"/>
      <c r="J211" s="78">
        <f>F211+G211</f>
        <v>142.38743726072724</v>
      </c>
      <c r="K211" s="78">
        <f>SUM(F211:H211)</f>
        <v>165.16879236690716</v>
      </c>
      <c r="L211" s="77" t="s">
        <v>197</v>
      </c>
      <c r="N211" s="17"/>
      <c r="O211" s="17"/>
      <c r="P211" s="17"/>
      <c r="Q211" s="18"/>
      <c r="R211" s="17"/>
      <c r="S211" s="18"/>
      <c r="T211" s="18"/>
    </row>
    <row r="212" spans="2:20" hidden="1" outlineLevel="1" x14ac:dyDescent="0.2">
      <c r="B212" s="17"/>
      <c r="C212" s="17" t="s">
        <v>146</v>
      </c>
      <c r="D212" s="17"/>
      <c r="E212" s="17"/>
      <c r="F212" s="17"/>
      <c r="G212" s="17"/>
      <c r="H212" s="17"/>
      <c r="I212" s="17"/>
      <c r="J212" s="17"/>
      <c r="K212" s="17"/>
      <c r="L212" s="17"/>
      <c r="N212" s="17" t="s">
        <v>146</v>
      </c>
      <c r="O212" s="17"/>
      <c r="P212" s="17"/>
      <c r="Q212" s="18"/>
      <c r="R212" s="17"/>
      <c r="S212" s="18"/>
      <c r="T212" s="18"/>
    </row>
    <row r="213" spans="2:20" ht="15.75" hidden="1" outlineLevel="1" x14ac:dyDescent="0.3">
      <c r="B213" s="17"/>
      <c r="C213" s="17"/>
      <c r="D213" s="17" t="s">
        <v>125</v>
      </c>
      <c r="E213" s="17"/>
      <c r="F213" s="37">
        <f>IF(NOT(ISBLANK('Referenz Plattenwerk'!$I16)),'Referenz Plattenwerk'!$I16,'Referenz Plattenwerk'!$F16)*IF(NOT(ISBLANK('Eingabe EF'!$AS9)),'Eingabe EF'!$AS9,'Eingabe EF'!$AQ9)*$E$208</f>
        <v>24.103856</v>
      </c>
      <c r="G213" s="38">
        <f>IF(NOT(ISBLANK('Referenz Plattenwerk'!$I16)),'Referenz Plattenwerk'!$I16,'Referenz Plattenwerk'!$F16)*IF(NOT(ISBLANK('Eingabe EF'!$AW9)),'Eingabe EF'!$AW9,'Eingabe EF'!$AU9)*$E$208</f>
        <v>0</v>
      </c>
      <c r="H213" s="38">
        <f>IF(NOT(ISBLANK('Referenz Plattenwerk'!$I16)),'Referenz Plattenwerk'!$I16,'Referenz Plattenwerk'!$F16)*IF(NOT(ISBLANK('Eingabe EF'!$BA9)),'Eingabe EF'!$BA9,'Eingabe EF'!$AY9)*$E$208</f>
        <v>4.1256599999999999</v>
      </c>
      <c r="I213" s="17"/>
      <c r="J213" s="38">
        <f>F213+G213</f>
        <v>24.103856</v>
      </c>
      <c r="K213" s="38">
        <f>SUM(F213:H213)</f>
        <v>28.229516</v>
      </c>
      <c r="L213" s="17" t="s">
        <v>198</v>
      </c>
      <c r="N213" s="17"/>
      <c r="O213" s="17" t="s">
        <v>125</v>
      </c>
      <c r="P213" s="17"/>
      <c r="Q213" s="19"/>
      <c r="R213" s="17"/>
      <c r="S213" s="42">
        <f>IF(NOT(ISBLANK('Referenz Plattenwerk'!$I16)),'Referenz Plattenwerk'!$I16,'Referenz Plattenwerk'!$F16)/1000*$E$208*IF(NOT(ISBLANK('Eingabe Preise'!$O10)),'Eingabe Preise'!$O10,'Eingabe Preise'!$M10)</f>
        <v>8027.5999999999995</v>
      </c>
      <c r="T213" s="20" t="s">
        <v>106</v>
      </c>
    </row>
    <row r="214" spans="2:20" ht="15.75" hidden="1" outlineLevel="1" x14ac:dyDescent="0.3">
      <c r="B214" s="17"/>
      <c r="C214" s="17"/>
      <c r="D214" s="17" t="s">
        <v>165</v>
      </c>
      <c r="E214" s="17"/>
      <c r="F214" s="38">
        <f>IF(NOT(ISBLANK('Referenz Plattenwerk'!$I17)),'Referenz Plattenwerk'!$I17,'Referenz Plattenwerk'!$F17)*IF(NOT(ISBLANK('Eingabe EF'!$AS10)),'Eingabe EF'!$AS10,'Eingabe EF'!$AQ10)*$E$208</f>
        <v>4.4815679999999993</v>
      </c>
      <c r="G214" s="38">
        <f>IF(NOT(ISBLANK('Referenz Plattenwerk'!$I17)),'Referenz Plattenwerk'!$I17,'Referenz Plattenwerk'!$F17)*IF(NOT(ISBLANK('Eingabe EF'!$AW10)),'Eingabe EF'!$AW10,'Eingabe EF'!$AU10)*$E$208</f>
        <v>0</v>
      </c>
      <c r="H214" s="38">
        <f>IF(NOT(ISBLANK('Referenz Plattenwerk'!$I17)),'Referenz Plattenwerk'!$I17,'Referenz Plattenwerk'!$F17)*IF(NOT(ISBLANK('Eingabe EF'!$BA10)),'Eingabe EF'!$BA10,'Eingabe EF'!$AY10)*$E$208</f>
        <v>0.66487679999999993</v>
      </c>
      <c r="I214" s="17"/>
      <c r="J214" s="38">
        <f>F214+G214</f>
        <v>4.4815679999999993</v>
      </c>
      <c r="K214" s="38">
        <f>SUM(F214:H214)</f>
        <v>5.1464447999999994</v>
      </c>
      <c r="L214" s="17" t="s">
        <v>198</v>
      </c>
      <c r="N214" s="17"/>
      <c r="O214" s="17" t="s">
        <v>165</v>
      </c>
      <c r="P214" s="17"/>
      <c r="Q214" s="20"/>
      <c r="R214" s="17"/>
      <c r="S214" s="42">
        <f>IF(NOT(ISBLANK('Referenz Plattenwerk'!$I17)),'Referenz Plattenwerk'!$I17,'Referenz Plattenwerk'!$F17)/1000*$E$208*IF(NOT(ISBLANK('Eingabe Preise'!$O11)),'Eingabe Preise'!$O11,'Eingabe Preise'!$M11)</f>
        <v>772.79999999999984</v>
      </c>
      <c r="T214" s="20" t="s">
        <v>106</v>
      </c>
    </row>
    <row r="215" spans="2:20" ht="15.75" hidden="1" outlineLevel="1" x14ac:dyDescent="0.3">
      <c r="B215" s="17"/>
      <c r="C215" s="17"/>
      <c r="D215" s="17" t="s">
        <v>152</v>
      </c>
      <c r="E215" s="17"/>
      <c r="F215" s="38">
        <f>IF(NOT(ISBLANK('Referenz Plattenwerk'!$I18)),'Referenz Plattenwerk'!$I18,'Referenz Plattenwerk'!$F18)*IF(NOT(ISBLANK('Eingabe EF'!$AS11)),'Eingabe EF'!$AS11,'Eingabe EF'!$AQ11)*$E$208</f>
        <v>0</v>
      </c>
      <c r="G215" s="38">
        <f>IF(NOT(ISBLANK('Referenz Plattenwerk'!$I18)),'Referenz Plattenwerk'!$I18,'Referenz Plattenwerk'!$F18)*IF(NOT(ISBLANK('Eingabe EF'!$AW11)),'Eingabe EF'!$AW11,'Eingabe EF'!$AU11)*$E$208</f>
        <v>4.3086788392277384</v>
      </c>
      <c r="H215" s="38">
        <f>IF(NOT(ISBLANK('Referenz Plattenwerk'!$I18)),'Referenz Plattenwerk'!$I18,'Referenz Plattenwerk'!$F18)*IF(NOT(ISBLANK('Eingabe EF'!$BA11)),'Eingabe EF'!$BA11,'Eingabe EF'!$AY11)*$E$208</f>
        <v>0.63163878271401397</v>
      </c>
      <c r="I215" s="17"/>
      <c r="J215" s="38">
        <f>F215+G215</f>
        <v>4.3086788392277384</v>
      </c>
      <c r="K215" s="38">
        <f>SUM(F215:H215)</f>
        <v>4.9403176219417526</v>
      </c>
      <c r="L215" s="17" t="s">
        <v>198</v>
      </c>
      <c r="N215" s="17"/>
      <c r="O215" s="17" t="s">
        <v>152</v>
      </c>
      <c r="P215" s="17"/>
      <c r="Q215" s="20"/>
      <c r="R215" s="17"/>
      <c r="S215" s="42">
        <f>IF(NOT(ISBLANK('Referenz Plattenwerk'!$I18)),'Referenz Plattenwerk'!$I18,'Referenz Plattenwerk'!$F18)/1000*$E$208*IF(NOT(ISBLANK('Eingabe Preise'!$O12)),'Eingabe Preise'!$O12,'Eingabe Preise'!$M12)</f>
        <v>5417.9999999999991</v>
      </c>
      <c r="T215" s="20" t="s">
        <v>106</v>
      </c>
    </row>
    <row r="216" spans="2:20" ht="15.75" hidden="1" outlineLevel="1" x14ac:dyDescent="0.3">
      <c r="B216" s="17"/>
      <c r="C216" s="17"/>
      <c r="D216" s="17" t="s">
        <v>126</v>
      </c>
      <c r="E216" s="17"/>
      <c r="F216" s="44">
        <f>IF(NOT(ISBLANK('Referenz Plattenwerk'!$I19)),'Referenz Plattenwerk'!$I19,'Referenz Plattenwerk'!$F19)*IF(NOT(ISBLANK('Eingabe EF'!$AS12)),'Eingabe EF'!$AS12,0)*$E$208</f>
        <v>0</v>
      </c>
      <c r="G216" s="44">
        <f>IF(NOT(ISBLANK('Referenz Plattenwerk'!$I19)),'Referenz Plattenwerk'!$I19,'Referenz Plattenwerk'!$F19)*IF(NOT(ISBLANK('Eingabe EF'!$AW12)),'Eingabe EF'!$AW12,0)*$E$208</f>
        <v>0</v>
      </c>
      <c r="H216" s="44">
        <f>IF(NOT(ISBLANK('Referenz Plattenwerk'!$I19)),'Referenz Plattenwerk'!$I19,'Referenz Plattenwerk'!$F19)*IF(NOT(ISBLANK('Eingabe EF'!$BA12)),'Eingabe EF'!$BA12,0)*$E$208</f>
        <v>0</v>
      </c>
      <c r="I216" s="17"/>
      <c r="J216" s="38">
        <f>F216+G216</f>
        <v>0</v>
      </c>
      <c r="K216" s="38">
        <f>SUM(F216:H216)</f>
        <v>0</v>
      </c>
      <c r="L216" s="17" t="s">
        <v>198</v>
      </c>
      <c r="N216" s="17"/>
      <c r="O216" s="17" t="s">
        <v>126</v>
      </c>
      <c r="P216" s="17"/>
      <c r="Q216" s="20"/>
      <c r="R216" s="17"/>
      <c r="S216" s="42">
        <f>IF(NOT(ISBLANK('Referenz Plattenwerk'!$I19)),'Referenz Plattenwerk'!$I19,'Referenz Plattenwerk'!$F19)/1000*$E$208*IF(NOT(ISBLANK('Eingabe Preise'!$O16)),'Eingabe Preise'!$O16,0)</f>
        <v>0</v>
      </c>
      <c r="T216" s="20" t="s">
        <v>106</v>
      </c>
    </row>
    <row r="217" spans="2:20" hidden="1" outlineLevel="1" x14ac:dyDescent="0.2">
      <c r="B217" s="17"/>
      <c r="C217" s="17" t="s">
        <v>147</v>
      </c>
      <c r="D217" s="17"/>
      <c r="E217" s="17"/>
      <c r="F217" s="17"/>
      <c r="G217" s="17"/>
      <c r="H217" s="17"/>
      <c r="I217" s="17"/>
      <c r="J217" s="17"/>
      <c r="K217" s="17"/>
      <c r="L217" s="17"/>
      <c r="N217" s="17" t="s">
        <v>147</v>
      </c>
      <c r="O217" s="17"/>
      <c r="P217" s="17"/>
      <c r="Q217" s="20"/>
      <c r="R217" s="17"/>
      <c r="S217" s="20"/>
      <c r="T217" s="20"/>
    </row>
    <row r="218" spans="2:20" ht="15.75" hidden="1" outlineLevel="1" x14ac:dyDescent="0.3">
      <c r="B218" s="17"/>
      <c r="C218" s="17"/>
      <c r="D218" s="17" t="s">
        <v>31</v>
      </c>
      <c r="E218" s="17"/>
      <c r="F218" s="44">
        <f>IF(NOT(ISBLANK('Referenz Plattenwerk'!$I21)),'Referenz Plattenwerk'!$I21,'Referenz Plattenwerk'!$F21)*IF(NOT(ISBLANK('Eingabe EF'!$AS9)),'Eingabe EF'!$AS9,'Eingabe EF'!$AQ9)</f>
        <v>8.6085200000000004</v>
      </c>
      <c r="G218" s="44">
        <f>IF(NOT(ISBLANK('Referenz Plattenwerk'!$I21)),'Referenz Plattenwerk'!$I21,'Referenz Plattenwerk'!$F21)*IF(NOT(ISBLANK('Eingabe EF'!$AW9)),'Eingabe EF'!$AW9,'Eingabe EF'!$AU9)</f>
        <v>0</v>
      </c>
      <c r="H218" s="44">
        <f>IF(NOT(ISBLANK('Referenz Plattenwerk'!$I21)),'Referenz Plattenwerk'!$I21,'Referenz Plattenwerk'!$F21)*IF(NOT(ISBLANK('Eingabe EF'!$BA9)),'Eingabe EF'!$BA9,'Eingabe EF'!$AY9)</f>
        <v>1.4734500000000001</v>
      </c>
      <c r="I218" s="17"/>
      <c r="J218" s="38">
        <f t="shared" ref="J218:J219" si="73">F218+G218</f>
        <v>8.6085200000000004</v>
      </c>
      <c r="K218" s="38">
        <f t="shared" ref="K218:K219" si="74">SUM(F218:H218)</f>
        <v>10.08197</v>
      </c>
      <c r="L218" s="17" t="s">
        <v>198</v>
      </c>
      <c r="N218" s="17"/>
      <c r="O218" s="17" t="s">
        <v>31</v>
      </c>
      <c r="P218" s="17"/>
      <c r="Q218" s="20"/>
      <c r="R218" s="17"/>
      <c r="S218" s="42">
        <f>IF(NOT(ISBLANK('Referenz Plattenwerk'!$I21)),'Referenz Plattenwerk'!$I21,'Referenz Plattenwerk'!$F21)/1000*IF(NOT(ISBLANK('Eingabe Preise'!$O10)),'Eingabe Preise'!$O10,'Eingabe Preise'!$M10)</f>
        <v>2867</v>
      </c>
      <c r="T218" s="20" t="s">
        <v>106</v>
      </c>
    </row>
    <row r="219" spans="2:20" ht="15.75" hidden="1" outlineLevel="1" x14ac:dyDescent="0.3">
      <c r="B219" s="17"/>
      <c r="C219" s="17"/>
      <c r="D219" s="17" t="s">
        <v>32</v>
      </c>
      <c r="E219" s="17"/>
      <c r="F219" s="44">
        <f>IF(NOT(ISBLANK('Referenz Plattenwerk'!$I22)),'Referenz Plattenwerk'!$I22,'Referenz Plattenwerk'!$F22)*IF(NOT(ISBLANK('Eingabe EF'!$AS10)),'Eingabe EF'!$AS10,'Eingabe EF'!$AQ10)</f>
        <v>9.6033600000000003</v>
      </c>
      <c r="G219" s="44">
        <f>IF(NOT(ISBLANK('Referenz Plattenwerk'!$I22)),'Referenz Plattenwerk'!$I22,'Referenz Plattenwerk'!$F22)*IF(NOT(ISBLANK('Eingabe EF'!$AW10)),'Eingabe EF'!$AW10,'Eingabe EF'!$AU10)</f>
        <v>0</v>
      </c>
      <c r="H219" s="44">
        <f>IF(NOT(ISBLANK('Referenz Plattenwerk'!$I22)),'Referenz Plattenwerk'!$I22,'Referenz Plattenwerk'!$F22)*IF(NOT(ISBLANK('Eingabe EF'!$BA10)),'Eingabe EF'!$BA10,'Eingabe EF'!$AY10)</f>
        <v>1.424736</v>
      </c>
      <c r="I219" s="17"/>
      <c r="J219" s="38">
        <f t="shared" si="73"/>
        <v>9.6033600000000003</v>
      </c>
      <c r="K219" s="38">
        <f t="shared" si="74"/>
        <v>11.028096</v>
      </c>
      <c r="L219" s="17" t="s">
        <v>198</v>
      </c>
      <c r="N219" s="17"/>
      <c r="O219" s="17" t="s">
        <v>32</v>
      </c>
      <c r="P219" s="17"/>
      <c r="Q219" s="20"/>
      <c r="R219" s="17"/>
      <c r="S219" s="42">
        <f>IF(NOT(ISBLANK('Referenz Plattenwerk'!$I22)),'Referenz Plattenwerk'!$I22,'Referenz Plattenwerk'!$F22)/1000*IF(NOT(ISBLANK('Eingabe Preise'!$O11)),'Eingabe Preise'!$O11,'Eingabe Preise'!$M11)</f>
        <v>1656</v>
      </c>
      <c r="T219" s="20" t="s">
        <v>106</v>
      </c>
    </row>
    <row r="220" spans="2:20" hidden="1" outlineLevel="1" x14ac:dyDescent="0.2">
      <c r="B220" s="17"/>
      <c r="C220" s="17" t="s">
        <v>148</v>
      </c>
      <c r="D220" s="17"/>
      <c r="E220" s="17"/>
      <c r="F220" s="17"/>
      <c r="G220" s="17"/>
      <c r="H220" s="17"/>
      <c r="I220" s="17"/>
      <c r="J220" s="17"/>
      <c r="K220" s="17"/>
      <c r="L220" s="17"/>
      <c r="N220" s="17" t="s">
        <v>148</v>
      </c>
      <c r="O220" s="17"/>
      <c r="P220" s="17"/>
      <c r="Q220" s="20"/>
      <c r="R220" s="17"/>
      <c r="S220" s="20"/>
      <c r="T220" s="20"/>
    </row>
    <row r="221" spans="2:20" ht="15.75" hidden="1" outlineLevel="1" x14ac:dyDescent="0.3">
      <c r="B221" s="17"/>
      <c r="C221" s="17"/>
      <c r="D221" s="17" t="s">
        <v>150</v>
      </c>
      <c r="E221" s="17"/>
      <c r="F221" s="44">
        <f>IF(NOT(ISBLANK('Referenz Plattenwerk'!$I24)),'Referenz Plattenwerk'!$I24,'Referenz Plattenwerk'!$F24)*IF(NOT(ISBLANK('Eingabe EF'!$AS11)),'Eingabe EF'!$AS11,'Eingabe EF'!$AQ11)</f>
        <v>0</v>
      </c>
      <c r="G221" s="44">
        <f>IF(NOT(ISBLANK('Referenz Plattenwerk'!$I24)),'Referenz Plattenwerk'!$I24,'Referenz Plattenwerk'!$F24)*IF(NOT(ISBLANK('Eingabe EF'!$AW11)),'Eingabe EF'!$AW11,'Eingabe EF'!$AU11)</f>
        <v>55.397299361499499</v>
      </c>
      <c r="H221" s="44">
        <f>IF(NOT(ISBLANK('Referenz Plattenwerk'!$I24)),'Referenz Plattenwerk'!$I24,'Referenz Plattenwerk'!$F24)*IF(NOT(ISBLANK('Eingabe EF'!$BA11)),'Eingabe EF'!$BA11,'Eingabe EF'!$AY11)</f>
        <v>8.1210700634658952</v>
      </c>
      <c r="I221" s="17"/>
      <c r="J221" s="38">
        <f t="shared" ref="J221:J229" si="75">F221+G221</f>
        <v>55.397299361499499</v>
      </c>
      <c r="K221" s="38">
        <f t="shared" ref="K221:K229" si="76">SUM(F221:H221)</f>
        <v>63.518369424965393</v>
      </c>
      <c r="L221" s="17" t="s">
        <v>198</v>
      </c>
      <c r="N221" s="17"/>
      <c r="O221" s="17" t="s">
        <v>150</v>
      </c>
      <c r="P221" s="17"/>
      <c r="Q221" s="20"/>
      <c r="R221" s="17"/>
      <c r="S221" s="42">
        <f>IF(NOT(ISBLANK('Referenz Plattenwerk'!$I24)),'Referenz Plattenwerk'!$I24,'Referenz Plattenwerk'!$F24)/1000*IF(NOT(ISBLANK('Eingabe Preise'!$O12)),'Eingabe Preise'!$O12,'Eingabe Preise'!$M12)</f>
        <v>69660</v>
      </c>
      <c r="T221" s="20" t="s">
        <v>106</v>
      </c>
    </row>
    <row r="222" spans="2:20" ht="15.75" hidden="1" outlineLevel="1" x14ac:dyDescent="0.3">
      <c r="B222" s="17"/>
      <c r="C222" s="17"/>
      <c r="D222" s="17" t="s">
        <v>122</v>
      </c>
      <c r="E222" s="17"/>
      <c r="F222" s="44">
        <f>IF(NOT(ISBLANK('Referenz Plattenwerk'!$I25)),'Referenz Plattenwerk'!$I25,'Referenz Plattenwerk'!$F25)*IF(NOT(ISBLANK('Eingabe EF'!$AS13)),'Eingabe EF'!$AS13,'Eingabe EF'!$AQ13)</f>
        <v>0</v>
      </c>
      <c r="G222" s="44">
        <f>IF(NOT(ISBLANK('Referenz Plattenwerk'!$I25)),'Referenz Plattenwerk'!$I25,'Referenz Plattenwerk'!$F25)*IF(NOT(ISBLANK('Eingabe EF'!$AW13)),'Eingabe EF'!$AW13,'Eingabe EF'!$AU13)</f>
        <v>0</v>
      </c>
      <c r="H222" s="44">
        <f>IF(NOT(ISBLANK('Referenz Plattenwerk'!$I25)),'Referenz Plattenwerk'!$I25,'Referenz Plattenwerk'!$F25)*IF(NOT(ISBLANK('Eingabe EF'!$BA13)),'Eingabe EF'!$BA13,'Eingabe EF'!$AY13)</f>
        <v>0</v>
      </c>
      <c r="I222" s="17"/>
      <c r="J222" s="38">
        <f t="shared" si="75"/>
        <v>0</v>
      </c>
      <c r="K222" s="38">
        <f t="shared" si="76"/>
        <v>0</v>
      </c>
      <c r="L222" s="17" t="s">
        <v>198</v>
      </c>
      <c r="N222" s="17"/>
      <c r="O222" s="17" t="s">
        <v>122</v>
      </c>
      <c r="P222" s="17"/>
      <c r="Q222" s="20"/>
      <c r="R222" s="17"/>
      <c r="S222" s="42">
        <f>IF(NOT(ISBLANK('Referenz Plattenwerk'!$I25)),'Referenz Plattenwerk'!$I25,'Referenz Plattenwerk'!$F25)/1000*IF(NOT(ISBLANK('Eingabe Preise'!$O13)),'Eingabe Preise'!$O13,'Eingabe Preise'!$M13)</f>
        <v>0</v>
      </c>
      <c r="T222" s="20" t="s">
        <v>106</v>
      </c>
    </row>
    <row r="223" spans="2:20" ht="15.75" hidden="1" outlineLevel="1" x14ac:dyDescent="0.3">
      <c r="B223" s="17"/>
      <c r="C223" s="17"/>
      <c r="D223" s="17" t="s">
        <v>149</v>
      </c>
      <c r="E223" s="17"/>
      <c r="F223" s="44">
        <f>IF(NOT(ISBLANK('Referenz Plattenwerk'!$I26)),'Referenz Plattenwerk'!$I26,'Referenz Plattenwerk'!$F26)*IF(NOT(ISBLANK('Eingabe EF'!$AS14)),'Eingabe EF'!$AS14,0)</f>
        <v>0</v>
      </c>
      <c r="G223" s="44">
        <f>IF(NOT(ISBLANK('Referenz Plattenwerk'!$I26)),'Referenz Plattenwerk'!$I26,'Referenz Plattenwerk'!$F26)*IF(NOT(ISBLANK('Eingabe EF'!$AW14)),'Eingabe EF'!$AW14,0)</f>
        <v>0</v>
      </c>
      <c r="H223" s="44">
        <f>IF(NOT(ISBLANK('Referenz Plattenwerk'!$I26)),'Referenz Plattenwerk'!$I26,'Referenz Plattenwerk'!$F26)*IF(NOT(ISBLANK('Eingabe EF'!$BA14)),'Eingabe EF'!$BA14,0)</f>
        <v>0</v>
      </c>
      <c r="I223" s="17"/>
      <c r="J223" s="38">
        <f t="shared" si="75"/>
        <v>0</v>
      </c>
      <c r="K223" s="38">
        <f t="shared" si="76"/>
        <v>0</v>
      </c>
      <c r="L223" s="17" t="s">
        <v>198</v>
      </c>
      <c r="N223" s="17"/>
      <c r="O223" s="17" t="s">
        <v>149</v>
      </c>
      <c r="P223" s="17"/>
      <c r="Q223" s="30"/>
      <c r="R223" s="17"/>
      <c r="S223" s="42">
        <f>IF(NOT(ISBLANK('Referenz Plattenwerk'!$I26)),'Referenz Plattenwerk'!$I26,'Referenz Plattenwerk'!$F26)/1000*IF(NOT(ISBLANK('Eingabe Preise'!$O17)),'Eingabe Preise'!$O17,0)</f>
        <v>0</v>
      </c>
      <c r="T223" s="20" t="s">
        <v>106</v>
      </c>
    </row>
    <row r="224" spans="2:20" hidden="1" outlineLevel="1" x14ac:dyDescent="0.2">
      <c r="B224" s="17"/>
      <c r="C224" s="17"/>
      <c r="D224" s="17"/>
      <c r="E224" s="17"/>
      <c r="F224" s="17"/>
      <c r="G224" s="17"/>
      <c r="H224" s="17"/>
      <c r="I224" s="17"/>
      <c r="J224" s="17"/>
      <c r="K224" s="17"/>
      <c r="L224" s="17"/>
      <c r="N224" s="17"/>
      <c r="O224" s="17"/>
      <c r="P224" s="17"/>
      <c r="Q224" s="30"/>
      <c r="R224" s="17"/>
      <c r="S224" s="17"/>
      <c r="T224" s="17"/>
    </row>
    <row r="225" spans="2:20" ht="15.75" hidden="1" outlineLevel="1" x14ac:dyDescent="0.3">
      <c r="B225" s="17"/>
      <c r="C225" s="17" t="s">
        <v>464</v>
      </c>
      <c r="D225" s="17" t="s">
        <v>34</v>
      </c>
      <c r="E225" s="17"/>
      <c r="F225" s="44">
        <f>IF(NOT(ISBLANK('Referenz Plattenwerk'!$I28)),'Referenz Plattenwerk'!$I28,'Referenz Plattenwerk'!$F28)*IF(NOT(ISBLANK('Eingabe EF'!$AS15)),'Eingabe EF'!$AS15,'Eingabe EF'!$AQ15)</f>
        <v>29.238941159999996</v>
      </c>
      <c r="G225" s="44">
        <f>IF(NOT(ISBLANK('Referenz Plattenwerk'!$I28)),'Referenz Plattenwerk'!$I28,'Referenz Plattenwerk'!$F28)*IF(NOT(ISBLANK('Eingabe EF'!$AW15)),'Eingabe EF'!$AW15,'Eingabe EF'!$AU15)</f>
        <v>0</v>
      </c>
      <c r="H225" s="44">
        <f>IF(NOT(ISBLANK('Referenz Plattenwerk'!$I28)),'Referenz Plattenwerk'!$I28,'Referenz Plattenwerk'!$F28)*IF(NOT(ISBLANK('Eingabe EF'!$BA15)),'Eingabe EF'!$BA15,'Eingabe EF'!$AY15)</f>
        <v>5.1658635600000009</v>
      </c>
      <c r="I225" s="17"/>
      <c r="J225" s="38">
        <f t="shared" ref="J225:J227" si="77">F225+G225</f>
        <v>29.238941159999996</v>
      </c>
      <c r="K225" s="38">
        <f t="shared" ref="K225:K227" si="78">SUM(F225:H225)</f>
        <v>34.404804719999994</v>
      </c>
      <c r="L225" s="17" t="s">
        <v>198</v>
      </c>
      <c r="N225" s="17"/>
      <c r="O225" s="17" t="s">
        <v>34</v>
      </c>
      <c r="P225" s="17" t="s">
        <v>464</v>
      </c>
      <c r="Q225" s="30"/>
      <c r="R225" s="17"/>
      <c r="S225" s="42">
        <f>IF(NOT(ISBLANK('Referenz Plattenwerk'!$I28)),'Referenz Plattenwerk'!$I28,'Referenz Plattenwerk'!$F28)*IF(NOT(ISBLANK('Eingabe Preise'!$O14)),'Eingabe Preise'!$O14,'Eingabe Preise'!$M14)</f>
        <v>12364.000000000002</v>
      </c>
      <c r="T225" s="20" t="s">
        <v>106</v>
      </c>
    </row>
    <row r="226" spans="2:20" ht="15.75" hidden="1" outlineLevel="1" x14ac:dyDescent="0.3">
      <c r="B226" s="17"/>
      <c r="C226" s="17" t="s">
        <v>75</v>
      </c>
      <c r="D226" s="17" t="s">
        <v>34</v>
      </c>
      <c r="E226" s="17"/>
      <c r="F226" s="44">
        <f>IF(NOT(ISBLANK('Referenz Plattenwerk'!$I29)),'Referenz Plattenwerk'!$I29,'Referenz Plattenwerk'!$F29)*IF(NOT(ISBLANK('Eingabe EF'!$AS15)),'Eingabe EF'!$AS15,'Eingabe EF'!$AQ15)</f>
        <v>6.645213899999999</v>
      </c>
      <c r="G226" s="44">
        <f>IF(NOT(ISBLANK('Referenz Plattenwerk'!$I29)),'Referenz Plattenwerk'!$I29,'Referenz Plattenwerk'!$F29)*IF(NOT(ISBLANK('Eingabe EF'!$AW15)),'Eingabe EF'!$AW15,'Eingabe EF'!$AU15)</f>
        <v>0</v>
      </c>
      <c r="H226" s="44">
        <f>IF(NOT(ISBLANK('Referenz Plattenwerk'!$I29)),'Referenz Plattenwerk'!$I29,'Referenz Plattenwerk'!$F29)*IF(NOT(ISBLANK('Eingabe EF'!$BA15)),'Eingabe EF'!$BA15,'Eingabe EF'!$AY15)</f>
        <v>1.1740599000000003</v>
      </c>
      <c r="I226" s="17"/>
      <c r="J226" s="38">
        <f t="shared" si="77"/>
        <v>6.645213899999999</v>
      </c>
      <c r="K226" s="38">
        <f t="shared" si="78"/>
        <v>7.8192737999999995</v>
      </c>
      <c r="L226" s="17" t="s">
        <v>198</v>
      </c>
      <c r="N226" s="17"/>
      <c r="O226" s="17" t="s">
        <v>34</v>
      </c>
      <c r="P226" s="17" t="s">
        <v>75</v>
      </c>
      <c r="Q226" s="30"/>
      <c r="R226" s="17"/>
      <c r="S226" s="42">
        <f>IF(NOT(ISBLANK('Referenz Plattenwerk'!$I29)),'Referenz Plattenwerk'!$I29,'Referenz Plattenwerk'!$F29)*IF(NOT(ISBLANK('Eingabe Preise'!$O14)),'Eingabe Preise'!$O14,'Eingabe Preise'!$M14)</f>
        <v>2810.0000000000005</v>
      </c>
      <c r="T226" s="20" t="s">
        <v>106</v>
      </c>
    </row>
    <row r="227" spans="2:20" ht="14.25" hidden="1" outlineLevel="1" x14ac:dyDescent="0.25">
      <c r="B227" s="70"/>
      <c r="C227" s="70" t="s">
        <v>189</v>
      </c>
      <c r="D227" s="70"/>
      <c r="E227" s="70"/>
      <c r="F227" s="72">
        <f>F228+F229</f>
        <v>0</v>
      </c>
      <c r="G227" s="72">
        <f t="shared" ref="G227" si="79">G228+G229</f>
        <v>0</v>
      </c>
      <c r="H227" s="72">
        <f t="shared" ref="H227" si="80">H228+H229</f>
        <v>469.15642799999995</v>
      </c>
      <c r="I227" s="70"/>
      <c r="J227" s="72">
        <f t="shared" si="77"/>
        <v>0</v>
      </c>
      <c r="K227" s="72">
        <f t="shared" si="78"/>
        <v>469.15642799999995</v>
      </c>
      <c r="L227" s="77" t="s">
        <v>197</v>
      </c>
      <c r="N227" s="17"/>
      <c r="O227" s="17"/>
      <c r="P227" s="17"/>
      <c r="Q227" s="30"/>
      <c r="R227" s="17"/>
      <c r="S227" s="17"/>
      <c r="T227" s="17"/>
    </row>
    <row r="228" spans="2:20" ht="15.75" hidden="1" outlineLevel="1" x14ac:dyDescent="0.3">
      <c r="B228" s="17"/>
      <c r="C228" s="17"/>
      <c r="D228" s="17" t="s">
        <v>45</v>
      </c>
      <c r="E228" s="17"/>
      <c r="F228" s="44">
        <f>IF(NOT(ISBLANK('Referenz Plattenwerk'!$I32)),'Referenz Plattenwerk'!$I32,'Referenz Plattenwerk'!$F32)*IF(NOT(ISBLANK('Eingabe EF'!$AS17)),'Eingabe EF'!$AS17,'Eingabe EF'!$AQ17)</f>
        <v>0</v>
      </c>
      <c r="G228" s="44">
        <f>IF(NOT(ISBLANK('Referenz Plattenwerk'!$I32)),'Referenz Plattenwerk'!$I32,'Referenz Plattenwerk'!$F32)*IF(NOT(ISBLANK('Eingabe EF'!$AW17)),'Eingabe EF'!$AW17,'Eingabe EF'!$AU17)</f>
        <v>0</v>
      </c>
      <c r="H228" s="44">
        <f>IF(NOT(ISBLANK('Referenz Plattenwerk'!$I32)),'Referenz Plattenwerk'!$I32,'Referenz Plattenwerk'!$F32)*IF(NOT(ISBLANK('Eingabe EF'!$BA17)),'Eingabe EF'!$BA17,'Eingabe EF'!$AY17)</f>
        <v>109.4698332</v>
      </c>
      <c r="I228" s="17"/>
      <c r="J228" s="38">
        <f t="shared" si="75"/>
        <v>0</v>
      </c>
      <c r="K228" s="38">
        <f t="shared" si="76"/>
        <v>109.4698332</v>
      </c>
      <c r="L228" s="17" t="s">
        <v>198</v>
      </c>
      <c r="N228" s="17"/>
      <c r="O228" s="17"/>
      <c r="P228" s="17"/>
      <c r="Q228" s="30"/>
      <c r="R228" s="17"/>
      <c r="S228" s="17"/>
      <c r="T228" s="17"/>
    </row>
    <row r="229" spans="2:20" ht="15.75" hidden="1" outlineLevel="1" x14ac:dyDescent="0.3">
      <c r="B229" s="17"/>
      <c r="C229" s="17"/>
      <c r="D229" s="17" t="s">
        <v>46</v>
      </c>
      <c r="E229" s="17"/>
      <c r="F229" s="44">
        <f>IF(NOT(ISBLANK('Referenz Plattenwerk'!$I33)),'Referenz Plattenwerk'!$I33,'Referenz Plattenwerk'!$F33)*IF(NOT(ISBLANK('Eingabe EF'!$AS18)),'Eingabe EF'!$AS18,'Eingabe EF'!$AQ18)</f>
        <v>0</v>
      </c>
      <c r="G229" s="44">
        <f>IF(NOT(ISBLANK('Referenz Plattenwerk'!$I33)),'Referenz Plattenwerk'!$I33,'Referenz Plattenwerk'!$F33)*IF(NOT(ISBLANK('Eingabe EF'!$AW18)),'Eingabe EF'!$AW18,'Eingabe EF'!$AU18)</f>
        <v>0</v>
      </c>
      <c r="H229" s="44">
        <f>IF(NOT(ISBLANK('Referenz Plattenwerk'!$I33)),'Referenz Plattenwerk'!$I33,'Referenz Plattenwerk'!$F33)*IF(NOT(ISBLANK('Eingabe EF'!$BA18)),'Eingabe EF'!$BA18,'Eingabe EF'!$AY18)</f>
        <v>359.68659479999997</v>
      </c>
      <c r="I229" s="17"/>
      <c r="J229" s="38">
        <f t="shared" si="75"/>
        <v>0</v>
      </c>
      <c r="K229" s="38">
        <f t="shared" si="76"/>
        <v>359.68659479999997</v>
      </c>
      <c r="L229" s="17" t="s">
        <v>198</v>
      </c>
      <c r="N229" s="17"/>
      <c r="O229" s="17" t="s">
        <v>30</v>
      </c>
      <c r="P229" s="17"/>
      <c r="Q229" s="30"/>
      <c r="R229" s="17"/>
      <c r="S229" s="42">
        <f>S241+S242</f>
        <v>72000</v>
      </c>
      <c r="T229" s="20" t="s">
        <v>106</v>
      </c>
    </row>
    <row r="230" spans="2:20" hidden="1" outlineLevel="1" x14ac:dyDescent="0.2">
      <c r="B230" s="17"/>
      <c r="C230" s="17"/>
      <c r="D230" s="17"/>
      <c r="E230" s="17"/>
      <c r="F230" s="20"/>
      <c r="G230" s="20"/>
      <c r="H230" s="20"/>
      <c r="I230" s="17"/>
      <c r="J230" s="20"/>
      <c r="K230" s="20"/>
      <c r="L230" s="17"/>
      <c r="N230" s="17"/>
      <c r="O230" s="45" t="s">
        <v>153</v>
      </c>
      <c r="P230" s="17"/>
      <c r="Q230" s="30"/>
      <c r="R230" s="17"/>
      <c r="S230" s="42">
        <f>IF(NOT(ISBLANK($K$19)),$K$19,$I$19)</f>
        <v>0</v>
      </c>
      <c r="T230" s="20" t="s">
        <v>106</v>
      </c>
    </row>
    <row r="231" spans="2:20" ht="14.25" hidden="1" outlineLevel="1" x14ac:dyDescent="0.25">
      <c r="B231" s="70"/>
      <c r="C231" s="70" t="s">
        <v>68</v>
      </c>
      <c r="D231" s="71"/>
      <c r="E231" s="71"/>
      <c r="F231" s="72">
        <f>SUM(F232:F235)</f>
        <v>0</v>
      </c>
      <c r="G231" s="72">
        <f t="shared" ref="G231" si="81">SUM(G232:G235)</f>
        <v>0</v>
      </c>
      <c r="H231" s="72">
        <f>SUM(H232:H235)</f>
        <v>4548.5439999999999</v>
      </c>
      <c r="I231" s="71"/>
      <c r="J231" s="72">
        <f t="shared" ref="J231" si="82">F231+G231</f>
        <v>0</v>
      </c>
      <c r="K231" s="72">
        <f t="shared" ref="K231" si="83">SUM(F231:H231)</f>
        <v>4548.5439999999999</v>
      </c>
      <c r="L231" s="77" t="s">
        <v>197</v>
      </c>
      <c r="N231" s="17"/>
      <c r="O231" s="45" t="s">
        <v>160</v>
      </c>
      <c r="P231" s="17"/>
      <c r="Q231" s="30"/>
      <c r="R231" s="17"/>
      <c r="S231" s="42">
        <f>S244+S245</f>
        <v>0</v>
      </c>
      <c r="T231" s="20" t="s">
        <v>106</v>
      </c>
    </row>
    <row r="232" spans="2:20" ht="15.75" hidden="1" outlineLevel="1" x14ac:dyDescent="0.3">
      <c r="B232" s="17"/>
      <c r="C232" s="17"/>
      <c r="D232" s="17" t="s">
        <v>47</v>
      </c>
      <c r="E232" s="17"/>
      <c r="F232" s="38">
        <f>IF(NOT(ISBLANK('Referenz Plattenwerk'!$I36)),'Referenz Plattenwerk'!$I36,'Referenz Plattenwerk'!$F36)*IF(NOT(ISBLANK('Eingabe EF'!$AS21)),'Eingabe EF'!$AS21,'Eingabe EF'!$AQ21)*IF(NOT(ISBLANK('Referenz Plattenwerk'!$I$12)),'Referenz Plattenwerk'!$I$12,'Referenz Plattenwerk'!$F$12)</f>
        <v>0</v>
      </c>
      <c r="G232" s="38">
        <f>IF(NOT(ISBLANK('Referenz Plattenwerk'!$I36)),'Referenz Plattenwerk'!$I36,'Referenz Plattenwerk'!$F36)*IF(NOT(ISBLANK('Eingabe EF'!$AW21)),'Eingabe EF'!$AW21,'Eingabe EF'!$AU21)*IF(NOT(ISBLANK('Referenz Plattenwerk'!$I$12)),'Referenz Plattenwerk'!$I$12,'Referenz Plattenwerk'!$F$12)</f>
        <v>0</v>
      </c>
      <c r="H232" s="38">
        <f>IF(NOT(ISBLANK('Referenz Plattenwerk'!$I36)),'Referenz Plattenwerk'!$I36,'Referenz Plattenwerk'!$F36)*IF(NOT(ISBLANK('Eingabe EF'!$BA21)),'Eingabe EF'!$BA21,'Eingabe EF'!$AY21)*IF(NOT(ISBLANK('Referenz Plattenwerk'!$I$12)),'Referenz Plattenwerk'!$I$12,'Referenz Plattenwerk'!$F$12)</f>
        <v>1210.3</v>
      </c>
      <c r="I232" s="17"/>
      <c r="J232" s="38">
        <f t="shared" ref="J232:J234" si="84">F232+G232</f>
        <v>0</v>
      </c>
      <c r="K232" s="38">
        <f t="shared" ref="K232:K234" si="85">SUM(F232:H232)</f>
        <v>1210.3</v>
      </c>
      <c r="L232" s="17" t="s">
        <v>198</v>
      </c>
      <c r="N232" s="17"/>
      <c r="O232" s="17"/>
      <c r="P232" s="17"/>
      <c r="Q232" s="17"/>
      <c r="R232" s="17"/>
      <c r="S232" s="17"/>
      <c r="T232" s="17"/>
    </row>
    <row r="233" spans="2:20" ht="15.75" hidden="1" outlineLevel="1" x14ac:dyDescent="0.3">
      <c r="B233" s="17"/>
      <c r="C233" s="17"/>
      <c r="D233" s="17" t="s">
        <v>49</v>
      </c>
      <c r="E233" s="17"/>
      <c r="F233" s="38">
        <f>IF(NOT(ISBLANK('Referenz Plattenwerk'!$I37)),'Referenz Plattenwerk'!$I37,'Referenz Plattenwerk'!$F37)*IF(NOT(ISBLANK('Eingabe EF'!$AS22)),'Eingabe EF'!$AS22,'Eingabe EF'!$AQ22)*IF(NOT(ISBLANK('Referenz Plattenwerk'!$I$12)),'Referenz Plattenwerk'!$I$12,'Referenz Plattenwerk'!$F$12)</f>
        <v>0</v>
      </c>
      <c r="G233" s="38">
        <f>IF(NOT(ISBLANK('Referenz Plattenwerk'!$I37)),'Referenz Plattenwerk'!$I37,'Referenz Plattenwerk'!$F37)*IF(NOT(ISBLANK('Eingabe EF'!$AW22)),'Eingabe EF'!$AW22,'Eingabe EF'!$AU22)*IF(NOT(ISBLANK('Referenz Plattenwerk'!$I$12)),'Referenz Plattenwerk'!$I$12,'Referenz Plattenwerk'!$F$12)</f>
        <v>0</v>
      </c>
      <c r="H233" s="38">
        <f>IF(NOT(ISBLANK('Referenz Plattenwerk'!$I37)),'Referenz Plattenwerk'!$I37,'Referenz Plattenwerk'!$F37)*IF(NOT(ISBLANK('Eingabe EF'!$BA22)),'Eingabe EF'!$BA22,'Eingabe EF'!$AY22)*IF(NOT(ISBLANK('Referenz Plattenwerk'!$I$12)),'Referenz Plattenwerk'!$I$12,'Referenz Plattenwerk'!$F$12)</f>
        <v>2415.5039999999999</v>
      </c>
      <c r="I233" s="17"/>
      <c r="J233" s="38">
        <f t="shared" si="84"/>
        <v>0</v>
      </c>
      <c r="K233" s="38">
        <f t="shared" si="85"/>
        <v>2415.5039999999999</v>
      </c>
      <c r="L233" s="17" t="s">
        <v>198</v>
      </c>
      <c r="N233" s="17"/>
      <c r="O233" s="17"/>
      <c r="P233" s="17"/>
      <c r="Q233" s="17"/>
      <c r="R233" s="17"/>
      <c r="S233" s="17"/>
      <c r="T233" s="17"/>
    </row>
    <row r="234" spans="2:20" ht="15.75" hidden="1" outlineLevel="1" x14ac:dyDescent="0.3">
      <c r="B234" s="17"/>
      <c r="C234" s="17"/>
      <c r="D234" s="17" t="s">
        <v>50</v>
      </c>
      <c r="E234" s="17"/>
      <c r="F234" s="38">
        <f>IF(NOT(ISBLANK('Referenz Plattenwerk'!$I38)),'Referenz Plattenwerk'!$I38,'Referenz Plattenwerk'!$F38)*IF(NOT(ISBLANK('Eingabe EF'!$AS23)),'Eingabe EF'!$AS23,'Eingabe EF'!$AQ23)*IF(NOT(ISBLANK('Referenz Plattenwerk'!$I$12)),'Referenz Plattenwerk'!$I$12,'Referenz Plattenwerk'!$F$12)</f>
        <v>0</v>
      </c>
      <c r="G234" s="38">
        <f>IF(NOT(ISBLANK('Referenz Plattenwerk'!$I38)),'Referenz Plattenwerk'!$I38,'Referenz Plattenwerk'!$F38)*IF(NOT(ISBLANK('Eingabe EF'!$AW23)),'Eingabe EF'!$AW23,'Eingabe EF'!$AU23)*IF(NOT(ISBLANK('Referenz Plattenwerk'!$I$12)),'Referenz Plattenwerk'!$I$12,'Referenz Plattenwerk'!$F$12)</f>
        <v>0</v>
      </c>
      <c r="H234" s="38">
        <f>IF(NOT(ISBLANK('Referenz Plattenwerk'!$I38)),'Referenz Plattenwerk'!$I38,'Referenz Plattenwerk'!$F38)*IF(NOT(ISBLANK('Eingabe EF'!$BA23)),'Eingabe EF'!$BA23,'Eingabe EF'!$AY23)*IF(NOT(ISBLANK('Referenz Plattenwerk'!$I$12)),'Referenz Plattenwerk'!$I$12,'Referenz Plattenwerk'!$F$12)</f>
        <v>922.7399999999999</v>
      </c>
      <c r="I234" s="17"/>
      <c r="J234" s="38">
        <f t="shared" si="84"/>
        <v>0</v>
      </c>
      <c r="K234" s="38">
        <f t="shared" si="85"/>
        <v>922.7399999999999</v>
      </c>
      <c r="L234" s="17" t="s">
        <v>198</v>
      </c>
      <c r="N234" s="17"/>
      <c r="O234" s="17" t="s">
        <v>200</v>
      </c>
      <c r="P234" s="17"/>
      <c r="Q234" s="30"/>
      <c r="R234" s="17"/>
      <c r="S234" s="42">
        <f>F270*IF(NOT(ISBLANK('Eingabe Preise'!$O21)),'Eingabe Preise'!$O21,'Eingabe Preise'!$M21)</f>
        <v>6614.5167247999998</v>
      </c>
      <c r="T234" s="20" t="s">
        <v>106</v>
      </c>
    </row>
    <row r="235" spans="2:20" ht="15.75" hidden="1" outlineLevel="1" x14ac:dyDescent="0.3">
      <c r="B235" s="17"/>
      <c r="C235" s="17"/>
      <c r="D235" s="17" t="s">
        <v>161</v>
      </c>
      <c r="E235" s="17"/>
      <c r="F235" s="38">
        <f>IF(NOT(ISBLANK('Referenz Plattenwerk'!$I39)),'Referenz Plattenwerk'!$I39,'Referenz Plattenwerk'!$F39)*IF(NOT(ISBLANK('Eingabe EF'!$AS24)),'Eingabe EF'!$AS24,0)*IF(NOT(ISBLANK('Referenz Plattenwerk'!$I$12)),'Referenz Plattenwerk'!$I$12,'Referenz Plattenwerk'!$F$12)</f>
        <v>0</v>
      </c>
      <c r="G235" s="38">
        <f>IF(NOT(ISBLANK('Referenz Plattenwerk'!$I39)),'Referenz Plattenwerk'!$I39,'Referenz Plattenwerk'!$F39)*IF(NOT(ISBLANK('Eingabe EF'!$AW24)),'Eingabe EF'!$AW24,0)*IF(NOT(ISBLANK('Referenz Plattenwerk'!$I$12)),'Referenz Plattenwerk'!$I$12,'Referenz Plattenwerk'!$F$12)</f>
        <v>0</v>
      </c>
      <c r="H235" s="38">
        <f>IF(NOT(ISBLANK('Referenz Plattenwerk'!$I39)),'Referenz Plattenwerk'!$I39,'Referenz Plattenwerk'!$F39)*IF(NOT(ISBLANK('Eingabe EF'!$BA24)),'Eingabe EF'!$BA24,0)*IF(NOT(ISBLANK('Referenz Plattenwerk'!$I$12)),'Referenz Plattenwerk'!$I$12,'Referenz Plattenwerk'!$F$12)</f>
        <v>0</v>
      </c>
      <c r="I235" s="17"/>
      <c r="J235" s="38">
        <f t="shared" ref="J235" si="86">F235+G235</f>
        <v>0</v>
      </c>
      <c r="K235" s="38">
        <f t="shared" ref="K235" si="87">SUM(F235:H235)</f>
        <v>0</v>
      </c>
      <c r="L235" s="17" t="s">
        <v>198</v>
      </c>
      <c r="N235" s="17"/>
      <c r="O235" s="17" t="s">
        <v>201</v>
      </c>
      <c r="P235" s="17"/>
      <c r="Q235" s="30"/>
      <c r="R235" s="17"/>
      <c r="S235" s="42">
        <f>G270*IF(NOT(ISBLANK('Eingabe Preise'!$O22)),'Eingabe Preise'!$O22,'Eingabe Preise'!$M22)</f>
        <v>4776.4782560581789</v>
      </c>
      <c r="T235" s="20" t="s">
        <v>106</v>
      </c>
    </row>
    <row r="236" spans="2:20" ht="15.75" hidden="1" outlineLevel="1" x14ac:dyDescent="0.3">
      <c r="B236" s="17"/>
      <c r="C236" s="17"/>
      <c r="D236" s="17"/>
      <c r="E236" s="17"/>
      <c r="F236" s="17"/>
      <c r="G236" s="17"/>
      <c r="H236" s="17"/>
      <c r="I236" s="17"/>
      <c r="J236" s="20"/>
      <c r="K236" s="20"/>
      <c r="L236" s="17"/>
      <c r="N236" s="17"/>
      <c r="O236" s="17" t="s">
        <v>202</v>
      </c>
      <c r="P236" s="17"/>
      <c r="Q236" s="30"/>
      <c r="R236" s="17"/>
      <c r="S236" s="42">
        <f>H270*IF(NOT(ISBLANK('Eingabe Preise'!$O23)),'Eingabe Preise'!$O23,'Eingabe Preise'!$M23)</f>
        <v>465042.3395564559</v>
      </c>
      <c r="T236" s="20" t="s">
        <v>106</v>
      </c>
    </row>
    <row r="237" spans="2:20" ht="14.25" hidden="1" outlineLevel="1" x14ac:dyDescent="0.25">
      <c r="B237" s="70"/>
      <c r="C237" s="70" t="s">
        <v>177</v>
      </c>
      <c r="D237" s="71"/>
      <c r="E237" s="71"/>
      <c r="F237" s="72">
        <f>SUM(F238:F240)</f>
        <v>0</v>
      </c>
      <c r="G237" s="72">
        <f t="shared" ref="G237" si="88">SUM(G238:G240)</f>
        <v>0</v>
      </c>
      <c r="H237" s="72">
        <f t="shared" ref="H237" si="89">SUM(H238:H240)</f>
        <v>129.59200000000001</v>
      </c>
      <c r="I237" s="71"/>
      <c r="J237" s="72">
        <f t="shared" ref="J237" si="90">F237+G237</f>
        <v>0</v>
      </c>
      <c r="K237" s="72">
        <f t="shared" ref="K237" si="91">SUM(F237:H237)</f>
        <v>129.59200000000001</v>
      </c>
      <c r="L237" s="77" t="s">
        <v>197</v>
      </c>
      <c r="N237" s="17"/>
      <c r="O237" s="17"/>
      <c r="P237" s="17"/>
      <c r="Q237" s="17"/>
      <c r="R237" s="17"/>
      <c r="S237" s="17"/>
      <c r="T237" s="17"/>
    </row>
    <row r="238" spans="2:20" ht="15.75" hidden="1" outlineLevel="1" x14ac:dyDescent="0.3">
      <c r="B238" s="17"/>
      <c r="C238" s="17"/>
      <c r="D238" s="17" t="s">
        <v>178</v>
      </c>
      <c r="E238" s="17"/>
      <c r="F238" s="38">
        <f>IF(NOT(ISBLANK('Referenz Plattenwerk'!$I42)),'Referenz Plattenwerk'!$I42,'Referenz Plattenwerk'!$F42)*IF(NOT(ISBLANK('Eingabe EF'!$AS27)),'Eingabe EF'!$AS27,'Eingabe EF'!$AQ27)*IF(NOT(ISBLANK('Referenz Plattenwerk'!$I$12)),'Referenz Plattenwerk'!$I$12,'Referenz Plattenwerk'!$F$12)</f>
        <v>0</v>
      </c>
      <c r="G238" s="38">
        <f>IF(NOT(ISBLANK('Referenz Plattenwerk'!$I42)),'Referenz Plattenwerk'!$I42,'Referenz Plattenwerk'!$F42)*IF(NOT(ISBLANK('Eingabe EF'!$AW27)),'Eingabe EF'!$AW27,'Eingabe EF'!$AU27)*IF(NOT(ISBLANK('Referenz Plattenwerk'!$I$12)),'Referenz Plattenwerk'!$I$12,'Referenz Plattenwerk'!$F$12)</f>
        <v>0</v>
      </c>
      <c r="H238" s="38">
        <f>IF(NOT(ISBLANK('Referenz Plattenwerk'!$I42)),'Referenz Plattenwerk'!$I42,'Referenz Plattenwerk'!$F42)*IF(NOT(ISBLANK('Eingabe EF'!$BA27)),'Eingabe EF'!$BA27,'Eingabe EF'!$AY27)*IF(NOT(ISBLANK('Referenz Plattenwerk'!$I$12)),'Referenz Plattenwerk'!$I$12,'Referenz Plattenwerk'!$F$12)</f>
        <v>129.59200000000001</v>
      </c>
      <c r="I238" s="17"/>
      <c r="J238" s="38">
        <f>F238+G238</f>
        <v>0</v>
      </c>
      <c r="K238" s="38">
        <f>SUM(F238:H238)</f>
        <v>129.59200000000001</v>
      </c>
      <c r="L238" s="17" t="s">
        <v>198</v>
      </c>
      <c r="N238" s="17"/>
      <c r="O238" s="17"/>
      <c r="P238" s="17"/>
      <c r="Q238" s="17"/>
      <c r="R238" s="17"/>
      <c r="S238" s="17"/>
      <c r="T238" s="17"/>
    </row>
    <row r="239" spans="2:20" ht="15.75" hidden="1" outlineLevel="1" x14ac:dyDescent="0.3">
      <c r="B239" s="17"/>
      <c r="C239" s="17"/>
      <c r="D239" s="17" t="s">
        <v>179</v>
      </c>
      <c r="E239" s="17"/>
      <c r="F239" s="38">
        <f>IF(NOT(ISBLANK('Referenz Plattenwerk'!$I43)),'Referenz Plattenwerk'!$I43,'Referenz Plattenwerk'!$F43)*IF(NOT(ISBLANK('Eingabe EF'!$AS28)),'Eingabe EF'!$AS28,0)*IF(NOT(ISBLANK('Referenz Plattenwerk'!$I$12)),'Referenz Plattenwerk'!$I$12,'Referenz Plattenwerk'!$F$12)</f>
        <v>0</v>
      </c>
      <c r="G239" s="38">
        <f>IF(NOT(ISBLANK('Referenz Plattenwerk'!$I43)),'Referenz Plattenwerk'!$I43,'Referenz Plattenwerk'!$F43)*IF(NOT(ISBLANK('Eingabe EF'!$AW28)),'Eingabe EF'!$AW28,0)*IF(NOT(ISBLANK('Referenz Plattenwerk'!$I$12)),'Referenz Plattenwerk'!$I$12,'Referenz Plattenwerk'!$F$12)</f>
        <v>0</v>
      </c>
      <c r="H239" s="38">
        <f>IF(NOT(ISBLANK('Referenz Plattenwerk'!$I43)),'Referenz Plattenwerk'!$I43,'Referenz Plattenwerk'!$F43)*IF(NOT(ISBLANK('Eingabe EF'!$BA28)),'Eingabe EF'!$BA28,0)*IF(NOT(ISBLANK('Referenz Plattenwerk'!$I$12)),'Referenz Plattenwerk'!$I$12,'Referenz Plattenwerk'!$F$12)</f>
        <v>0</v>
      </c>
      <c r="I239" s="17"/>
      <c r="J239" s="38">
        <f>F239+G239</f>
        <v>0</v>
      </c>
      <c r="K239" s="38">
        <f t="shared" ref="K239:K240" si="92">SUM(F239:H239)</f>
        <v>0</v>
      </c>
      <c r="L239" s="17" t="s">
        <v>198</v>
      </c>
      <c r="N239" s="17"/>
      <c r="O239" s="17"/>
      <c r="P239" s="17"/>
      <c r="Q239" s="18"/>
      <c r="R239" s="17"/>
      <c r="S239" s="18"/>
      <c r="T239" s="18"/>
    </row>
    <row r="240" spans="2:20" ht="15.75" hidden="1" outlineLevel="1" x14ac:dyDescent="0.3">
      <c r="B240" s="17"/>
      <c r="C240" s="17"/>
      <c r="D240" s="17" t="s">
        <v>180</v>
      </c>
      <c r="E240" s="17"/>
      <c r="F240" s="38">
        <f>IF(NOT(ISBLANK('Referenz Plattenwerk'!$I44)),'Referenz Plattenwerk'!$I44,'Referenz Plattenwerk'!$F44)*IF(NOT(ISBLANK('Eingabe EF'!$AS29)),'Eingabe EF'!$AS29,0)*IF(NOT(ISBLANK('Referenz Plattenwerk'!$I$12)),'Referenz Plattenwerk'!$I$12,'Referenz Plattenwerk'!$F$12)</f>
        <v>0</v>
      </c>
      <c r="G240" s="38">
        <f>IF(NOT(ISBLANK('Referenz Plattenwerk'!$I44)),'Referenz Plattenwerk'!$I44,'Referenz Plattenwerk'!$F44)*IF(NOT(ISBLANK('Eingabe EF'!$AW29)),'Eingabe EF'!$AW29,0)*IF(NOT(ISBLANK('Referenz Plattenwerk'!$I$12)),'Referenz Plattenwerk'!$I$12,'Referenz Plattenwerk'!$F$12)</f>
        <v>0</v>
      </c>
      <c r="H240" s="38">
        <f>IF(NOT(ISBLANK('Referenz Plattenwerk'!$I44)),'Referenz Plattenwerk'!$I44,'Referenz Plattenwerk'!$F44)*IF(NOT(ISBLANK('Eingabe EF'!$BA29)),'Eingabe EF'!$BA29,0)*IF(NOT(ISBLANK('Referenz Plattenwerk'!$I$12)),'Referenz Plattenwerk'!$I$12,'Referenz Plattenwerk'!$F$12)</f>
        <v>0</v>
      </c>
      <c r="I240" s="17"/>
      <c r="J240" s="38">
        <f t="shared" ref="J240" si="93">F240+G240</f>
        <v>0</v>
      </c>
      <c r="K240" s="38">
        <f t="shared" si="92"/>
        <v>0</v>
      </c>
      <c r="L240" s="17" t="s">
        <v>198</v>
      </c>
      <c r="N240" s="21" t="s">
        <v>223</v>
      </c>
      <c r="O240" s="17"/>
      <c r="P240" s="17"/>
      <c r="Q240" s="17"/>
      <c r="R240" s="17"/>
      <c r="S240" s="17"/>
      <c r="T240" s="17"/>
    </row>
    <row r="241" spans="2:20" hidden="1" outlineLevel="1" x14ac:dyDescent="0.2">
      <c r="B241" s="17"/>
      <c r="C241" s="17"/>
      <c r="D241" s="17"/>
      <c r="E241" s="17"/>
      <c r="F241" s="17"/>
      <c r="G241" s="17"/>
      <c r="H241" s="17"/>
      <c r="I241" s="17"/>
      <c r="J241" s="20"/>
      <c r="K241" s="20"/>
      <c r="L241" s="17"/>
      <c r="N241" s="17"/>
      <c r="O241" s="17" t="s">
        <v>224</v>
      </c>
      <c r="P241" s="17"/>
      <c r="Q241" s="18"/>
      <c r="R241" s="17"/>
      <c r="S241" s="42">
        <f>IF(IF(NOT(ISBLANK($G$23)),$G$23,$E$23)&gt;5,S161,0)</f>
        <v>72000</v>
      </c>
      <c r="T241" s="20" t="s">
        <v>106</v>
      </c>
    </row>
    <row r="242" spans="2:20" ht="14.25" hidden="1" outlineLevel="1" x14ac:dyDescent="0.25">
      <c r="B242" s="17"/>
      <c r="C242" s="17"/>
      <c r="D242" s="21" t="s">
        <v>57</v>
      </c>
      <c r="E242" s="21"/>
      <c r="F242" s="75">
        <f>IF(NOT(ISBLANK('Referenz Plattenwerk'!$I46)),'Referenz Plattenwerk'!$I46,'Referenz Plattenwerk'!$F46)*IF(NOT(ISBLANK('Eingabe EF'!$AS31)),'Eingabe EF'!$AS31,'Eingabe EF'!$AQ31)*IF(NOT(ISBLANK('Referenz Plattenwerk'!$I$12)),'Referenz Plattenwerk'!$I$12,'Referenz Plattenwerk'!$F$12)</f>
        <v>0</v>
      </c>
      <c r="G242" s="75">
        <f>IF(NOT(ISBLANK('Referenz Plattenwerk'!$I46)),'Referenz Plattenwerk'!$I46,'Referenz Plattenwerk'!$F46)*IF(NOT(ISBLANK('Eingabe EF'!$AW31)),'Eingabe EF'!$AW31,'Eingabe EF'!$AU31)*IF(NOT(ISBLANK('Referenz Plattenwerk'!$I$12)),'Referenz Plattenwerk'!$I$12,'Referenz Plattenwerk'!$F$12)</f>
        <v>0</v>
      </c>
      <c r="H242" s="75">
        <f>IF(NOT(ISBLANK('Referenz Plattenwerk'!$I46)),'Referenz Plattenwerk'!$I46,'Referenz Plattenwerk'!$F46)*IF(NOT(ISBLANK('Eingabe EF'!$BA31)),'Eingabe EF'!$BA31,'Eingabe EF'!$AY31)*IF(NOT(ISBLANK('Referenz Plattenwerk'!$I$12)),'Referenz Plattenwerk'!$I$12,'Referenz Plattenwerk'!$F$12)</f>
        <v>208</v>
      </c>
      <c r="I242" s="21"/>
      <c r="J242" s="75">
        <f>F242+G242</f>
        <v>0</v>
      </c>
      <c r="K242" s="75">
        <f t="shared" ref="K242" si="94">SUM(F242:H242)</f>
        <v>208</v>
      </c>
      <c r="L242" s="21" t="s">
        <v>197</v>
      </c>
      <c r="N242" s="17"/>
      <c r="O242" s="17" t="s">
        <v>225</v>
      </c>
      <c r="P242" s="17"/>
      <c r="Q242" s="17"/>
      <c r="R242" s="17"/>
      <c r="S242" s="42">
        <f>IF(NOT(ISBLANK($K$18)),$K$18,$I$18)/IF(NOT(ISBLANK($K$23)),$K$23,$I$23)+IF(NOT(ISBLANK($K$18)),$K$18,$I$18)*(IF(NOT(ISBLANK($K$24)),$K$24,$I$24)/100)</f>
        <v>0</v>
      </c>
      <c r="T242" s="20" t="s">
        <v>106</v>
      </c>
    </row>
    <row r="243" spans="2:20" hidden="1" outlineLevel="1" x14ac:dyDescent="0.2">
      <c r="B243" s="17"/>
      <c r="C243" s="17"/>
      <c r="D243" s="17"/>
      <c r="E243" s="17"/>
      <c r="F243" s="17"/>
      <c r="G243" s="17"/>
      <c r="H243" s="17"/>
      <c r="I243" s="17"/>
      <c r="J243" s="20"/>
      <c r="K243" s="20"/>
      <c r="L243" s="17"/>
      <c r="N243" s="17"/>
      <c r="O243" s="17"/>
      <c r="P243" s="17"/>
      <c r="Q243" s="18"/>
      <c r="R243" s="17"/>
      <c r="S243" s="18"/>
      <c r="T243" s="18"/>
    </row>
    <row r="244" spans="2:20" ht="14.25" hidden="1" outlineLevel="1" x14ac:dyDescent="0.25">
      <c r="B244" s="70"/>
      <c r="C244" s="70" t="s">
        <v>181</v>
      </c>
      <c r="D244" s="71"/>
      <c r="E244" s="71"/>
      <c r="F244" s="72">
        <f>SUM(F245:F247)</f>
        <v>0</v>
      </c>
      <c r="G244" s="72">
        <f t="shared" ref="G244" si="95">SUM(G245:G247)</f>
        <v>0</v>
      </c>
      <c r="H244" s="72">
        <f t="shared" ref="H244" si="96">SUM(H245:H247)</f>
        <v>81.003999999999991</v>
      </c>
      <c r="I244" s="71"/>
      <c r="J244" s="72">
        <f t="shared" ref="J244" si="97">F244+G244</f>
        <v>0</v>
      </c>
      <c r="K244" s="72">
        <f t="shared" ref="K244" si="98">SUM(F244:H244)</f>
        <v>81.003999999999991</v>
      </c>
      <c r="L244" s="77" t="s">
        <v>197</v>
      </c>
      <c r="N244" s="17"/>
      <c r="O244" s="17" t="s">
        <v>227</v>
      </c>
      <c r="P244" s="17"/>
      <c r="Q244" s="17"/>
      <c r="R244" s="17"/>
      <c r="S244" s="42">
        <f>IF(IF(NOT(ISBLANK($G$23)),$G$23,$E$23)&gt;5,S163,0)</f>
        <v>0</v>
      </c>
      <c r="T244" s="20" t="s">
        <v>106</v>
      </c>
    </row>
    <row r="245" spans="2:20" ht="15.75" hidden="1" outlineLevel="1" x14ac:dyDescent="0.3">
      <c r="B245" s="17"/>
      <c r="C245" s="17"/>
      <c r="D245" s="17" t="s">
        <v>59</v>
      </c>
      <c r="E245" s="17"/>
      <c r="F245" s="38">
        <f>IF(NOT(ISBLANK('Referenz Plattenwerk'!$I49)),'Referenz Plattenwerk'!$I49,'Referenz Plattenwerk'!$F49)*IF(NOT(ISBLANK('Eingabe EF'!$AS34)),'Eingabe EF'!$AS34,'Eingabe EF'!$AQ34)*IF(NOT(ISBLANK('Referenz Plattenwerk'!$I$12)),'Referenz Plattenwerk'!$I$12,'Referenz Plattenwerk'!$F$12)</f>
        <v>0</v>
      </c>
      <c r="G245" s="38">
        <f>IF(NOT(ISBLANK('Referenz Plattenwerk'!$I49)),'Referenz Plattenwerk'!$I49,'Referenz Plattenwerk'!$F49)*IF(NOT(ISBLANK('Eingabe EF'!$AW34)),'Eingabe EF'!$AW34,'Eingabe EF'!$AU34)*IF(NOT(ISBLANK('Referenz Plattenwerk'!$I$12)),'Referenz Plattenwerk'!$I$12,'Referenz Plattenwerk'!$F$12)</f>
        <v>0</v>
      </c>
      <c r="H245" s="38">
        <f>IF(NOT(ISBLANK('Referenz Plattenwerk'!$I49)),'Referenz Plattenwerk'!$I49,'Referenz Plattenwerk'!$F49)*IF(NOT(ISBLANK('Eingabe EF'!$BA34)),'Eingabe EF'!$BA34,'Eingabe EF'!$AY34)*IF(NOT(ISBLANK('Referenz Plattenwerk'!$I$12)),'Referenz Plattenwerk'!$I$12,'Referenz Plattenwerk'!$F$12)</f>
        <v>0</v>
      </c>
      <c r="I245" s="17"/>
      <c r="J245" s="38">
        <f>F245+G245</f>
        <v>0</v>
      </c>
      <c r="K245" s="38">
        <f>SUM(F245:H245)</f>
        <v>0</v>
      </c>
      <c r="L245" s="17" t="s">
        <v>198</v>
      </c>
      <c r="N245" s="17"/>
      <c r="O245" s="17" t="s">
        <v>228</v>
      </c>
      <c r="P245" s="17"/>
      <c r="Q245" s="18"/>
      <c r="R245" s="17"/>
      <c r="S245" s="42">
        <f>IF(NOT(ISBLANK($K$20)),$K$20,$I$20)/IF(NOT(ISBLANK($K$23)),$K$23,$I$23)+IF(NOT(ISBLANK($K$20)),$K$20,$I$20)*(IF(NOT(ISBLANK($K$24)),$K$24,$I$24)/100)</f>
        <v>0</v>
      </c>
      <c r="T245" s="20" t="s">
        <v>106</v>
      </c>
    </row>
    <row r="246" spans="2:20" ht="15.75" hidden="1" outlineLevel="1" x14ac:dyDescent="0.3">
      <c r="B246" s="17"/>
      <c r="C246" s="17"/>
      <c r="D246" s="17" t="s">
        <v>60</v>
      </c>
      <c r="E246" s="17"/>
      <c r="F246" s="38">
        <f>IF(NOT(ISBLANK('Referenz Plattenwerk'!$I50)),'Referenz Plattenwerk'!$I50,'Referenz Plattenwerk'!$F50)*IF(NOT(ISBLANK('Eingabe EF'!$AS35)),'Eingabe EF'!$AS35,'Eingabe EF'!$AQ35)*IF(NOT(ISBLANK('Referenz Plattenwerk'!$I$12)),'Referenz Plattenwerk'!$I$12,'Referenz Plattenwerk'!$F$12)</f>
        <v>0</v>
      </c>
      <c r="G246" s="38">
        <f>IF(NOT(ISBLANK('Referenz Plattenwerk'!$I50)),'Referenz Plattenwerk'!$I50,'Referenz Plattenwerk'!$F50)*IF(NOT(ISBLANK('Eingabe EF'!$AW35)),'Eingabe EF'!$AW35,'Eingabe EF'!$AU35)*IF(NOT(ISBLANK('Referenz Plattenwerk'!$I$12)),'Referenz Plattenwerk'!$I$12,'Referenz Plattenwerk'!$F$12)</f>
        <v>0</v>
      </c>
      <c r="H246" s="38">
        <f>IF(NOT(ISBLANK('Referenz Plattenwerk'!$I50)),'Referenz Plattenwerk'!$I50,'Referenz Plattenwerk'!$F50)*IF(NOT(ISBLANK('Eingabe EF'!$BA35)),'Eingabe EF'!$BA35,'Eingabe EF'!$AY35)*IF(NOT(ISBLANK('Referenz Plattenwerk'!$I$12)),'Referenz Plattenwerk'!$I$12,'Referenz Plattenwerk'!$F$12)</f>
        <v>8.6840000000000011</v>
      </c>
      <c r="I246" s="17"/>
      <c r="J246" s="38">
        <f>F246+G246</f>
        <v>0</v>
      </c>
      <c r="K246" s="38">
        <f>SUM(F246:H246)</f>
        <v>8.6840000000000011</v>
      </c>
      <c r="L246" s="17" t="s">
        <v>198</v>
      </c>
      <c r="N246" s="17"/>
      <c r="O246" s="17"/>
      <c r="P246" s="17"/>
      <c r="Q246" s="18"/>
      <c r="R246" s="17"/>
      <c r="S246" s="18"/>
      <c r="T246" s="18"/>
    </row>
    <row r="247" spans="2:20" ht="15.75" hidden="1" outlineLevel="1" x14ac:dyDescent="0.3">
      <c r="B247" s="17"/>
      <c r="C247" s="17"/>
      <c r="D247" s="17" t="s">
        <v>61</v>
      </c>
      <c r="E247" s="17"/>
      <c r="F247" s="38">
        <f>IF(NOT(ISBLANK('Referenz Plattenwerk'!$I51)),'Referenz Plattenwerk'!$I51,'Referenz Plattenwerk'!$F51)*IF(NOT(ISBLANK('Eingabe EF'!$AS36)),'Eingabe EF'!$AS36,'Eingabe EF'!$AQ36)*IF(NOT(ISBLANK('Referenz Plattenwerk'!$I$12)),'Referenz Plattenwerk'!$I$12,'Referenz Plattenwerk'!$F$12)</f>
        <v>0</v>
      </c>
      <c r="G247" s="38">
        <f>IF(NOT(ISBLANK('Referenz Plattenwerk'!$I51)),'Referenz Plattenwerk'!$I51,'Referenz Plattenwerk'!$F51)*IF(NOT(ISBLANK('Eingabe EF'!$AW36)),'Eingabe EF'!$AW36,'Eingabe EF'!$AU36)*IF(NOT(ISBLANK('Referenz Plattenwerk'!$I$12)),'Referenz Plattenwerk'!$I$12,'Referenz Plattenwerk'!$F$12)</f>
        <v>0</v>
      </c>
      <c r="H247" s="38">
        <f>IF(NOT(ISBLANK('Referenz Plattenwerk'!$I51)),'Referenz Plattenwerk'!$I51,'Referenz Plattenwerk'!$F51)*IF(NOT(ISBLANK('Eingabe EF'!$BA36)),'Eingabe EF'!$BA36,'Eingabe EF'!$AY36)*IF(NOT(ISBLANK('Referenz Plattenwerk'!$I$12)),'Referenz Plattenwerk'!$I$12,'Referenz Plattenwerk'!$F$12)</f>
        <v>72.319999999999993</v>
      </c>
      <c r="I247" s="17"/>
      <c r="J247" s="38">
        <f>F247+G247</f>
        <v>0</v>
      </c>
      <c r="K247" s="38">
        <f>SUM(F247:H247)</f>
        <v>72.319999999999993</v>
      </c>
      <c r="L247" s="17" t="s">
        <v>198</v>
      </c>
      <c r="N247" s="17"/>
      <c r="O247" s="17"/>
      <c r="P247" s="17"/>
      <c r="Q247" s="17"/>
      <c r="R247" s="17"/>
      <c r="S247" s="17"/>
      <c r="T247" s="17"/>
    </row>
    <row r="248" spans="2:20" hidden="1" outlineLevel="1" x14ac:dyDescent="0.2">
      <c r="B248" s="17"/>
      <c r="C248" s="17"/>
      <c r="D248" s="17"/>
      <c r="E248" s="17"/>
      <c r="F248" s="17"/>
      <c r="G248" s="17"/>
      <c r="H248" s="17"/>
      <c r="I248" s="17"/>
      <c r="J248" s="17"/>
      <c r="K248" s="20"/>
      <c r="L248" s="20"/>
      <c r="N248" s="17"/>
      <c r="O248" s="17"/>
      <c r="P248" s="17"/>
      <c r="Q248" s="18"/>
      <c r="R248" s="17"/>
      <c r="S248" s="18"/>
      <c r="T248" s="18"/>
    </row>
    <row r="249" spans="2:20" ht="14.25" hidden="1" outlineLevel="1" x14ac:dyDescent="0.25">
      <c r="B249" s="70"/>
      <c r="C249" s="70" t="s">
        <v>51</v>
      </c>
      <c r="D249" s="71"/>
      <c r="E249" s="71"/>
      <c r="F249" s="72">
        <f>SUM(F250:F253)</f>
        <v>0</v>
      </c>
      <c r="G249" s="72">
        <f t="shared" ref="G249" si="99">SUM(G250:G253)</f>
        <v>0</v>
      </c>
      <c r="H249" s="72">
        <f t="shared" ref="H249" si="100">SUM(H250:H253)</f>
        <v>148.44746134951595</v>
      </c>
      <c r="I249" s="71"/>
      <c r="J249" s="72">
        <f t="shared" ref="J249" si="101">F249+G249</f>
        <v>0</v>
      </c>
      <c r="K249" s="72">
        <f t="shared" ref="K249" si="102">SUM(F249:H249)</f>
        <v>148.44746134951595</v>
      </c>
      <c r="L249" s="77" t="s">
        <v>197</v>
      </c>
    </row>
    <row r="250" spans="2:20" ht="15.75" hidden="1" outlineLevel="1" x14ac:dyDescent="0.3">
      <c r="B250" s="17"/>
      <c r="C250" s="17"/>
      <c r="D250" s="17" t="s">
        <v>52</v>
      </c>
      <c r="E250" s="17"/>
      <c r="F250"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50"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50"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50" s="17"/>
      <c r="J250" s="38">
        <f t="shared" ref="J250:J253" si="103">F250+G250</f>
        <v>0</v>
      </c>
      <c r="K250" s="38">
        <f t="shared" ref="K250:K253" si="104">SUM(F250:H250)</f>
        <v>47.997919375812742</v>
      </c>
      <c r="L250" s="17" t="s">
        <v>198</v>
      </c>
    </row>
    <row r="251" spans="2:20" ht="15.75" hidden="1" outlineLevel="1" x14ac:dyDescent="0.3">
      <c r="B251" s="17"/>
      <c r="C251" s="17"/>
      <c r="D251" s="17" t="s">
        <v>54</v>
      </c>
      <c r="E251" s="17"/>
      <c r="F251"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51"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51"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51" s="17"/>
      <c r="J251" s="38">
        <f t="shared" si="103"/>
        <v>0</v>
      </c>
      <c r="K251" s="38">
        <f t="shared" si="104"/>
        <v>5.7797543707556596</v>
      </c>
      <c r="L251" s="17" t="s">
        <v>198</v>
      </c>
    </row>
    <row r="252" spans="2:20" ht="15.75" hidden="1" outlineLevel="1" x14ac:dyDescent="0.3">
      <c r="B252" s="17"/>
      <c r="C252" s="17"/>
      <c r="D252" s="17" t="s">
        <v>55</v>
      </c>
      <c r="E252" s="17"/>
      <c r="F252"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52"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52"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52" s="17"/>
      <c r="J252" s="38">
        <f t="shared" si="103"/>
        <v>0</v>
      </c>
      <c r="K252" s="38">
        <f t="shared" si="104"/>
        <v>1.4217598612917211E-2</v>
      </c>
      <c r="L252" s="17" t="s">
        <v>198</v>
      </c>
    </row>
    <row r="253" spans="2:20" ht="15.75" hidden="1" outlineLevel="1" x14ac:dyDescent="0.3">
      <c r="B253" s="17"/>
      <c r="C253" s="17"/>
      <c r="D253" s="17" t="s">
        <v>56</v>
      </c>
      <c r="E253" s="17"/>
      <c r="F253"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53"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53"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53" s="17"/>
      <c r="J253" s="38">
        <f t="shared" si="103"/>
        <v>0</v>
      </c>
      <c r="K253" s="38">
        <f t="shared" si="104"/>
        <v>94.655570004334635</v>
      </c>
      <c r="L253" s="17" t="s">
        <v>198</v>
      </c>
    </row>
    <row r="254" spans="2:20" hidden="1" outlineLevel="1" x14ac:dyDescent="0.2">
      <c r="B254" s="17"/>
      <c r="C254" s="17"/>
      <c r="D254" s="17"/>
      <c r="E254" s="17"/>
      <c r="F254" s="17"/>
      <c r="G254" s="17"/>
      <c r="H254" s="17"/>
      <c r="I254" s="17"/>
      <c r="J254" s="17"/>
      <c r="K254" s="17"/>
      <c r="L254" s="20"/>
    </row>
    <row r="255" spans="2:20" ht="14.25" hidden="1" outlineLevel="1" x14ac:dyDescent="0.25">
      <c r="B255" s="17"/>
      <c r="C255" s="17"/>
      <c r="D255" s="21" t="s">
        <v>110</v>
      </c>
      <c r="E255" s="21"/>
      <c r="F255" s="75">
        <f>IF(NOT(ISBLANK('Referenz Plattenwerk'!$I59)),'Referenz Plattenwerk'!$I59,'Referenz Plattenwerk'!$F59)*IF(NOT(ISBLANK('Eingabe EF'!$AS44)),'Eingabe EF'!$AS44,0)*IF(NOT(ISBLANK('Referenz Plattenwerk'!$I$12)),'Referenz Plattenwerk'!$I$12,'Referenz Plattenwerk'!$F$12)</f>
        <v>0</v>
      </c>
      <c r="G255" s="75">
        <f>IF(NOT(ISBLANK('Referenz Plattenwerk'!$I59)),'Referenz Plattenwerk'!$I59,'Referenz Plattenwerk'!$F59)*IF(NOT(ISBLANK('Eingabe EF'!$AW44)),'Eingabe EF'!$AW44,0)*IF(NOT(ISBLANK('Referenz Plattenwerk'!$I$12)),'Referenz Plattenwerk'!$I$12,'Referenz Plattenwerk'!$F$12)</f>
        <v>0</v>
      </c>
      <c r="H255" s="75">
        <f>IF(NOT(ISBLANK('Referenz Plattenwerk'!$I59)),'Referenz Plattenwerk'!$I59,'Referenz Plattenwerk'!$F59)*IF(NOT(ISBLANK('Eingabe EF'!$BA44)),'Eingabe EF'!$BA44,0)*IF(NOT(ISBLANK('Referenz Plattenwerk'!$I$12)),'Referenz Plattenwerk'!$I$12,'Referenz Plattenwerk'!$F$12)</f>
        <v>0</v>
      </c>
      <c r="I255" s="21"/>
      <c r="J255" s="75">
        <f>F255+G255</f>
        <v>0</v>
      </c>
      <c r="K255" s="75">
        <f>SUM(F255:H255)</f>
        <v>0</v>
      </c>
      <c r="L255" s="21" t="s">
        <v>197</v>
      </c>
    </row>
    <row r="256" spans="2:20" ht="14.25" hidden="1" outlineLevel="1" x14ac:dyDescent="0.25">
      <c r="B256" s="17"/>
      <c r="C256" s="17"/>
      <c r="D256" s="21" t="s">
        <v>64</v>
      </c>
      <c r="E256" s="21"/>
      <c r="F256" s="76">
        <f>IF(NOT(ISBLANK('Referenz Plattenwerk'!$I60)),'Referenz Plattenwerk'!$I60,'Referenz Plattenwerk'!$F60)*IF(NOT(ISBLANK('Eingabe EF'!$AS45)),'Eingabe EF'!$AS45,'Eingabe EF'!$AQ45)</f>
        <v>0</v>
      </c>
      <c r="G256" s="76">
        <f>IF(NOT(ISBLANK('Referenz Plattenwerk'!$I60)),'Referenz Plattenwerk'!$I60,'Referenz Plattenwerk'!$F60)*IF(NOT(ISBLANK('Eingabe EF'!$AW45)),'Eingabe EF'!$AW45,'Eingabe EF'!$AU45)</f>
        <v>0</v>
      </c>
      <c r="H256" s="76">
        <f>IF(NOT(ISBLANK('Referenz Plattenwerk'!$I60)),'Referenz Plattenwerk'!$I60,'Referenz Plattenwerk'!$F60)*IF(NOT(ISBLANK('Eingabe EF'!$BA45)),'Eingabe EF'!$BA45,'Eingabe EF'!$AY45)</f>
        <v>0.54400000000000004</v>
      </c>
      <c r="I256" s="21"/>
      <c r="J256" s="75">
        <f>F256+G256</f>
        <v>0</v>
      </c>
      <c r="K256" s="75">
        <f>SUM(F256:H256)</f>
        <v>0.54400000000000004</v>
      </c>
      <c r="L256" s="21" t="s">
        <v>197</v>
      </c>
    </row>
    <row r="257" spans="2:12" hidden="1" outlineLevel="1" x14ac:dyDescent="0.2">
      <c r="B257" s="17"/>
      <c r="C257" s="17"/>
      <c r="D257" s="17"/>
      <c r="E257" s="17"/>
      <c r="F257" s="17"/>
      <c r="G257" s="17"/>
      <c r="H257" s="17"/>
      <c r="I257" s="17"/>
      <c r="J257" s="17"/>
      <c r="K257" s="17"/>
      <c r="L257" s="20"/>
    </row>
    <row r="258" spans="2:12" ht="14.25" hidden="1" outlineLevel="1" x14ac:dyDescent="0.25">
      <c r="B258" s="70"/>
      <c r="C258" s="70" t="s">
        <v>182</v>
      </c>
      <c r="D258" s="71"/>
      <c r="E258" s="71"/>
      <c r="F258" s="72">
        <f>SUM(F259:F261)</f>
        <v>0</v>
      </c>
      <c r="G258" s="72">
        <f t="shared" ref="G258" si="105">SUM(G259:G261)</f>
        <v>0</v>
      </c>
      <c r="H258" s="72">
        <f t="shared" ref="H258" si="106">SUM(H259:H261)</f>
        <v>80.47999999999999</v>
      </c>
      <c r="I258" s="71"/>
      <c r="J258" s="72">
        <f t="shared" ref="J258" si="107">F258+G258</f>
        <v>0</v>
      </c>
      <c r="K258" s="72">
        <f t="shared" ref="K258" si="108">SUM(F258:H258)</f>
        <v>80.47999999999999</v>
      </c>
      <c r="L258" s="77" t="s">
        <v>197</v>
      </c>
    </row>
    <row r="259" spans="2:12" ht="15.75" hidden="1" outlineLevel="1" x14ac:dyDescent="0.3">
      <c r="B259" s="17"/>
      <c r="C259" s="17"/>
      <c r="D259" s="17" t="s">
        <v>183</v>
      </c>
      <c r="E259" s="17"/>
      <c r="F259" s="38">
        <f>IF(NOT(ISBLANK('Referenz Plattenwerk'!$I63)),'Referenz Plattenwerk'!$I63,'Referenz Plattenwerk'!$F63)*IF(NOT(ISBLANK('Eingabe EF'!$AS48)),'Eingabe EF'!$AS48,0)*IF(NOT(ISBLANK('Referenz Plattenwerk'!$I$12)),'Referenz Plattenwerk'!$I$12,'Referenz Plattenwerk'!$F$12)</f>
        <v>0</v>
      </c>
      <c r="G259" s="38">
        <f>IF(NOT(ISBLANK('Referenz Plattenwerk'!$I63)),'Referenz Plattenwerk'!$I63,'Referenz Plattenwerk'!$F63)*IF(NOT(ISBLANK('Eingabe EF'!$AW48)),'Eingabe EF'!$AW48,0)*IF(NOT(ISBLANK('Referenz Plattenwerk'!$I$12)),'Referenz Plattenwerk'!$I$12,'Referenz Plattenwerk'!$F$12)</f>
        <v>0</v>
      </c>
      <c r="H259" s="38">
        <f>IF(NOT(ISBLANK('Referenz Plattenwerk'!$I63)),'Referenz Plattenwerk'!$I63,'Referenz Plattenwerk'!$F63)*IF(NOT(ISBLANK('Eingabe EF'!$BA48)),'Eingabe EF'!$BA48,0)*IF(NOT(ISBLANK('Referenz Plattenwerk'!$I$12)),'Referenz Plattenwerk'!$I$12,'Referenz Plattenwerk'!$F$12)</f>
        <v>0</v>
      </c>
      <c r="I259" s="17"/>
      <c r="J259" s="38">
        <f>F259+G259</f>
        <v>0</v>
      </c>
      <c r="K259" s="38">
        <f>SUM(F259:H259)</f>
        <v>0</v>
      </c>
      <c r="L259" s="17" t="s">
        <v>198</v>
      </c>
    </row>
    <row r="260" spans="2:12" ht="15.75" hidden="1" outlineLevel="1" x14ac:dyDescent="0.3">
      <c r="B260" s="17"/>
      <c r="C260" s="17"/>
      <c r="D260" s="17" t="s">
        <v>62</v>
      </c>
      <c r="E260" s="17"/>
      <c r="F260" s="38">
        <f>IF(NOT(ISBLANK('Referenz Plattenwerk'!$I64)),'Referenz Plattenwerk'!$I64,'Referenz Plattenwerk'!$F64)*IF(NOT(ISBLANK('Eingabe EF'!$AS49)),'Eingabe EF'!$AS49,'Eingabe EF'!$AQ49)*IF(NOT(ISBLANK('Referenz Plattenwerk'!$I$12)),'Referenz Plattenwerk'!$I$12,'Referenz Plattenwerk'!$F$12)</f>
        <v>0</v>
      </c>
      <c r="G260" s="38">
        <f>IF(NOT(ISBLANK('Referenz Plattenwerk'!$I64)),'Referenz Plattenwerk'!$I64,'Referenz Plattenwerk'!$F64)*IF(NOT(ISBLANK('Eingabe EF'!$AW49)),'Eingabe EF'!$AW49,'Eingabe EF'!$AU49)*IF(NOT(ISBLANK('Referenz Plattenwerk'!$I$12)),'Referenz Plattenwerk'!$I$12,'Referenz Plattenwerk'!$F$12)</f>
        <v>0</v>
      </c>
      <c r="H260" s="38">
        <f>IF(NOT(ISBLANK('Referenz Plattenwerk'!$I64)),'Referenz Plattenwerk'!$I64,'Referenz Plattenwerk'!$F64)*IF(NOT(ISBLANK('Eingabe EF'!$BA49)),'Eingabe EF'!$BA49,'Eingabe EF'!$AY49)*IF(NOT(ISBLANK('Referenz Plattenwerk'!$I$12)),'Referenz Plattenwerk'!$I$12,'Referenz Plattenwerk'!$F$12)</f>
        <v>80.47999999999999</v>
      </c>
      <c r="I260" s="17"/>
      <c r="J260" s="38">
        <f t="shared" ref="J260" si="109">F260+G260</f>
        <v>0</v>
      </c>
      <c r="K260" s="38">
        <f t="shared" ref="K260" si="110">SUM(F260:H260)</f>
        <v>80.47999999999999</v>
      </c>
      <c r="L260" s="17" t="s">
        <v>198</v>
      </c>
    </row>
    <row r="261" spans="2:12" ht="15.75" hidden="1" outlineLevel="1" x14ac:dyDescent="0.3">
      <c r="B261" s="17"/>
      <c r="C261" s="17"/>
      <c r="D261" s="17" t="s">
        <v>184</v>
      </c>
      <c r="E261" s="17"/>
      <c r="F261" s="38">
        <f>IF(NOT(ISBLANK('Referenz Plattenwerk'!$I65)),'Referenz Plattenwerk'!$I65,'Referenz Plattenwerk'!$F65)*IF(NOT(ISBLANK('Eingabe EF'!$AS50)),'Eingabe EF'!$AS50,0)*IF(NOT(ISBLANK('Referenz Plattenwerk'!$I$12)),'Referenz Plattenwerk'!$I$12,'Referenz Plattenwerk'!$F$12)</f>
        <v>0</v>
      </c>
      <c r="G261" s="38">
        <f>IF(NOT(ISBLANK('Referenz Plattenwerk'!$I65)),'Referenz Plattenwerk'!$I65,'Referenz Plattenwerk'!$F65)*IF(NOT(ISBLANK('Eingabe EF'!$AW50)),'Eingabe EF'!$AW50,0)*IF(NOT(ISBLANK('Referenz Plattenwerk'!$I$12)),'Referenz Plattenwerk'!$I$12,'Referenz Plattenwerk'!$F$12)</f>
        <v>0</v>
      </c>
      <c r="H261" s="38">
        <f>IF(NOT(ISBLANK('Referenz Plattenwerk'!$I65)),'Referenz Plattenwerk'!$I65,'Referenz Plattenwerk'!$F65)*IF(NOT(ISBLANK('Eingabe EF'!$BA50)),'Eingabe EF'!$BA50,0)*IF(NOT(ISBLANK('Referenz Plattenwerk'!$I$12)),'Referenz Plattenwerk'!$I$12,'Referenz Plattenwerk'!$F$12)</f>
        <v>0</v>
      </c>
      <c r="I261" s="17"/>
      <c r="J261" s="38">
        <f>F261+G261</f>
        <v>0</v>
      </c>
      <c r="K261" s="38">
        <f>SUM(F261:H261)</f>
        <v>0</v>
      </c>
      <c r="L261" s="17" t="s">
        <v>198</v>
      </c>
    </row>
    <row r="262" spans="2:12" hidden="1" outlineLevel="1" x14ac:dyDescent="0.2">
      <c r="B262" s="17"/>
      <c r="C262" s="17"/>
      <c r="D262" s="17"/>
      <c r="E262" s="17"/>
      <c r="F262" s="17"/>
      <c r="G262" s="17"/>
      <c r="H262" s="17"/>
      <c r="I262" s="17"/>
      <c r="J262" s="17"/>
      <c r="K262" s="17"/>
      <c r="L262" s="20"/>
    </row>
    <row r="263" spans="2:12" ht="14.25" hidden="1" outlineLevel="1" x14ac:dyDescent="0.25">
      <c r="B263" s="70"/>
      <c r="C263" s="70" t="s">
        <v>185</v>
      </c>
      <c r="D263" s="71"/>
      <c r="E263" s="71"/>
      <c r="F263" s="72">
        <f>SUM(F264:F266)</f>
        <v>0</v>
      </c>
      <c r="G263" s="72">
        <f t="shared" ref="G263" si="111">SUM(G264:G266)</f>
        <v>0</v>
      </c>
      <c r="H263" s="72">
        <f t="shared" ref="H263" si="112">SUM(H264:H266)</f>
        <v>60</v>
      </c>
      <c r="I263" s="71"/>
      <c r="J263" s="72">
        <f t="shared" ref="J263" si="113">F263+G263</f>
        <v>0</v>
      </c>
      <c r="K263" s="72">
        <f t="shared" ref="K263" si="114">SUM(F263:H263)</f>
        <v>60</v>
      </c>
      <c r="L263" s="77" t="s">
        <v>197</v>
      </c>
    </row>
    <row r="264" spans="2:12" ht="15.75" hidden="1" outlineLevel="1" x14ac:dyDescent="0.3">
      <c r="B264" s="17"/>
      <c r="C264" s="17"/>
      <c r="D264" s="17" t="s">
        <v>66</v>
      </c>
      <c r="E264" s="17"/>
      <c r="F264" s="44">
        <f>IF(NOT(ISBLANK('Referenz Plattenwerk'!$I68)),'Referenz Plattenwerk'!$I68,'Referenz Plattenwerk'!$F68)*IF(NOT(ISBLANK('Eingabe EF'!$AS53)),'Eingabe EF'!$AS53,'Eingabe EF'!$AQ53)</f>
        <v>0</v>
      </c>
      <c r="G264" s="44">
        <f>IF(NOT(ISBLANK('Referenz Plattenwerk'!$I68)),'Referenz Plattenwerk'!$I68,'Referenz Plattenwerk'!$F68)*IF(NOT(ISBLANK('Eingabe EF'!$AW53)),'Eingabe EF'!$AW53,'Eingabe EF'!$AU53)</f>
        <v>0</v>
      </c>
      <c r="H264" s="44">
        <f>IF(NOT(ISBLANK('Referenz Plattenwerk'!$I68)),'Referenz Plattenwerk'!$I68,'Referenz Plattenwerk'!$F68)*IF(NOT(ISBLANK('Eingabe EF'!$BA53)),'Eingabe EF'!$BA53,'Eingabe EF'!$AY53)</f>
        <v>60</v>
      </c>
      <c r="I264" s="17"/>
      <c r="J264" s="38">
        <f>F264+G264</f>
        <v>0</v>
      </c>
      <c r="K264" s="38">
        <f>SUM(F264:H264)</f>
        <v>60</v>
      </c>
      <c r="L264" s="17" t="s">
        <v>198</v>
      </c>
    </row>
    <row r="265" spans="2:12" ht="15.75" hidden="1" outlineLevel="1" x14ac:dyDescent="0.3">
      <c r="B265" s="17"/>
      <c r="C265" s="17"/>
      <c r="D265" s="17" t="s">
        <v>187</v>
      </c>
      <c r="E265" s="17"/>
      <c r="F265" s="44">
        <f>IF(NOT(ISBLANK('Referenz Plattenwerk'!$I69)),'Referenz Plattenwerk'!$I69,'Referenz Plattenwerk'!$F69)*IF(NOT(ISBLANK('Eingabe EF'!$AS54)),'Eingabe EF'!$AS54,0)</f>
        <v>0</v>
      </c>
      <c r="G265" s="44">
        <f>IF(NOT(ISBLANK('Referenz Plattenwerk'!$I69)),'Referenz Plattenwerk'!$I69,'Referenz Plattenwerk'!$F69)*IF(NOT(ISBLANK('Eingabe EF'!$AW54)),'Eingabe EF'!$AW54,0)</f>
        <v>0</v>
      </c>
      <c r="H265" s="44">
        <f>IF(NOT(ISBLANK('Referenz Plattenwerk'!$I69)),'Referenz Plattenwerk'!$I69,'Referenz Plattenwerk'!$F69)*IF(NOT(ISBLANK('Eingabe EF'!$BA54)),'Eingabe EF'!$BA54,0)</f>
        <v>0</v>
      </c>
      <c r="I265" s="17"/>
      <c r="J265" s="38">
        <f t="shared" ref="J265:J266" si="115">F265+G265</f>
        <v>0</v>
      </c>
      <c r="K265" s="38">
        <f t="shared" ref="K265:K266" si="116">SUM(F265:H265)</f>
        <v>0</v>
      </c>
      <c r="L265" s="17" t="s">
        <v>198</v>
      </c>
    </row>
    <row r="266" spans="2:12" ht="15.75" hidden="1" outlineLevel="1" x14ac:dyDescent="0.3">
      <c r="B266" s="17"/>
      <c r="C266" s="17"/>
      <c r="D266" s="17" t="s">
        <v>186</v>
      </c>
      <c r="E266" s="17"/>
      <c r="F266" s="44">
        <f>IF(NOT(ISBLANK('Referenz Plattenwerk'!$I70)),'Referenz Plattenwerk'!$I70,'Referenz Plattenwerk'!$F70)*IF(NOT(ISBLANK('Eingabe EF'!$AS55)),'Eingabe EF'!$AS55,0)</f>
        <v>0</v>
      </c>
      <c r="G266" s="44">
        <f>IF(NOT(ISBLANK('Referenz Plattenwerk'!$I70)),'Referenz Plattenwerk'!$I70,'Referenz Plattenwerk'!$F70)*IF(NOT(ISBLANK('Eingabe EF'!$AW55)),'Eingabe EF'!$AW55,0)</f>
        <v>0</v>
      </c>
      <c r="H266" s="44">
        <f>IF(NOT(ISBLANK('Referenz Plattenwerk'!$I70)),'Referenz Plattenwerk'!$I70,'Referenz Plattenwerk'!$F70)*IF(NOT(ISBLANK('Eingabe EF'!$BA55)),'Eingabe EF'!$BA55,0)</f>
        <v>0</v>
      </c>
      <c r="I266" s="17"/>
      <c r="J266" s="38">
        <f t="shared" si="115"/>
        <v>0</v>
      </c>
      <c r="K266" s="38">
        <f t="shared" si="116"/>
        <v>0</v>
      </c>
      <c r="L266" s="17" t="s">
        <v>198</v>
      </c>
    </row>
    <row r="267" spans="2:12" hidden="1" outlineLevel="1" x14ac:dyDescent="0.2">
      <c r="B267" s="17"/>
      <c r="C267" s="17"/>
      <c r="D267" s="17"/>
      <c r="E267" s="17"/>
      <c r="F267" s="17"/>
      <c r="G267" s="17"/>
      <c r="H267" s="17"/>
      <c r="I267" s="17"/>
      <c r="J267" s="17"/>
      <c r="K267" s="17"/>
      <c r="L267" s="20"/>
    </row>
    <row r="268" spans="2:12" ht="14.25" hidden="1" outlineLevel="1" x14ac:dyDescent="0.25">
      <c r="B268" s="17"/>
      <c r="C268" s="17"/>
      <c r="D268" s="21" t="s">
        <v>63</v>
      </c>
      <c r="E268" s="21"/>
      <c r="F268" s="76">
        <f>IF(NOT(ISBLANK('Referenz Plattenwerk'!$I72)),'Referenz Plattenwerk'!$I72,'Referenz Plattenwerk'!$F72)*IF(NOT(ISBLANK('Eingabe EF'!$AS57)),'Eingabe EF'!$AS57,'Eingabe EF'!$AQ57)</f>
        <v>0</v>
      </c>
      <c r="G268" s="76">
        <f>IF(NOT(ISBLANK('Referenz Plattenwerk'!$I72)),'Referenz Plattenwerk'!$I72,'Referenz Plattenwerk'!$F72)*IF(NOT(ISBLANK('Eingabe EF'!$AW57)),'Eingabe EF'!$AW57,'Eingabe EF'!$AU57)</f>
        <v>0</v>
      </c>
      <c r="H268" s="76">
        <f>IF(NOT(ISBLANK('Referenz Plattenwerk'!$I72)),'Referenz Plattenwerk'!$I72,'Referenz Plattenwerk'!$F72)*IF(NOT(ISBLANK('Eingabe EF'!$BA57)),'Eingabe EF'!$BA57,'Eingabe EF'!$AY57)</f>
        <v>64.48</v>
      </c>
      <c r="I268" s="21"/>
      <c r="J268" s="75">
        <f t="shared" ref="J268" si="117">F268+G268</f>
        <v>0</v>
      </c>
      <c r="K268" s="75">
        <f t="shared" ref="K268" si="118">SUM(F268:H268)</f>
        <v>64.48</v>
      </c>
      <c r="L268" s="21" t="s">
        <v>197</v>
      </c>
    </row>
    <row r="269" spans="2:12" hidden="1" outlineLevel="1" x14ac:dyDescent="0.2">
      <c r="B269" s="17"/>
      <c r="C269" s="17"/>
      <c r="D269" s="17"/>
      <c r="E269" s="17"/>
      <c r="F269" s="20"/>
      <c r="G269" s="20"/>
      <c r="H269" s="20"/>
      <c r="I269" s="17"/>
      <c r="J269" s="17"/>
      <c r="K269" s="20"/>
      <c r="L269" s="20"/>
    </row>
    <row r="270" spans="2:12" ht="15" hidden="1" outlineLevel="1" thickBot="1" x14ac:dyDescent="0.3">
      <c r="B270" s="17"/>
      <c r="C270" s="17"/>
      <c r="D270" s="68" t="s">
        <v>69</v>
      </c>
      <c r="E270" s="68"/>
      <c r="F270" s="69">
        <f>SUM(F213:F268)-F227-F231-F237-F244-F249-F258-F263</f>
        <v>82.681459059999995</v>
      </c>
      <c r="G270" s="69">
        <f t="shared" ref="G270:H270" si="119">SUM(G213:G268)-G227-G231-G237-G244-G249-G258-G263</f>
        <v>59.705978200727237</v>
      </c>
      <c r="H270" s="69">
        <f t="shared" si="119"/>
        <v>5813.029244455699</v>
      </c>
      <c r="I270" s="21"/>
      <c r="J270" s="69">
        <f t="shared" ref="J270:K270" si="120">SUM(J213:J268)-J227-J231-J237-J244-J249-J258-J263</f>
        <v>142.38743726072721</v>
      </c>
      <c r="K270" s="69">
        <f t="shared" si="120"/>
        <v>5955.4166817164269</v>
      </c>
      <c r="L270" s="69" t="s">
        <v>197</v>
      </c>
    </row>
    <row r="271" spans="2:12" ht="13.5" hidden="1" outlineLevel="1" thickTop="1" x14ac:dyDescent="0.2">
      <c r="B271" s="17"/>
      <c r="C271" s="17"/>
      <c r="D271" s="17"/>
      <c r="E271" s="17"/>
      <c r="F271" s="20"/>
      <c r="G271" s="20"/>
      <c r="H271" s="20"/>
      <c r="I271" s="17"/>
      <c r="J271" s="17"/>
      <c r="K271" s="20"/>
      <c r="L271" s="20"/>
    </row>
    <row r="272" spans="2:12" collapsed="1" x14ac:dyDescent="0.2"/>
  </sheetData>
  <sheetProtection algorithmName="SHA-512" hashValue="LfMasriprQFdjMeqI5PWE+tKqYOu9q9bZQLYkUfKtI95MLwMQceWwLY19YGBRgaP8xASIQoBP2bac8a1gZsX6w==" saltValue="e6H7cP11uPZAYtKdvQ5p0Q==" spinCount="100000" sheet="1" selectLockedCells="1"/>
  <mergeCells count="6">
    <mergeCell ref="D6:L6"/>
    <mergeCell ref="C70:C71"/>
    <mergeCell ref="S70:S71"/>
    <mergeCell ref="K79:K80"/>
    <mergeCell ref="E13:G13"/>
    <mergeCell ref="I13:K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523875</xdr:colOff>
                    <xdr:row>72</xdr:row>
                    <xdr:rowOff>28575</xdr:rowOff>
                  </from>
                  <to>
                    <xdr:col>2</xdr:col>
                    <xdr:colOff>704850</xdr:colOff>
                    <xdr:row>72</xdr:row>
                    <xdr:rowOff>190500</xdr:rowOff>
                  </to>
                </anchor>
              </controlPr>
            </control>
          </mc:Choice>
        </mc:AlternateContent>
        <mc:AlternateContent xmlns:mc="http://schemas.openxmlformats.org/markup-compatibility/2006">
          <mc:Choice Requires="x14">
            <control shapeId="30723" r:id="rId5" name="Check Box 3">
              <controlPr defaultSize="0" autoFill="0" autoLine="0" autoPict="0">
                <anchor moveWithCells="1">
                  <from>
                    <xdr:col>2</xdr:col>
                    <xdr:colOff>523875</xdr:colOff>
                    <xdr:row>73</xdr:row>
                    <xdr:rowOff>28575</xdr:rowOff>
                  </from>
                  <to>
                    <xdr:col>2</xdr:col>
                    <xdr:colOff>704850</xdr:colOff>
                    <xdr:row>73</xdr:row>
                    <xdr:rowOff>180975</xdr:rowOff>
                  </to>
                </anchor>
              </controlPr>
            </control>
          </mc:Choice>
        </mc:AlternateContent>
        <mc:AlternateContent xmlns:mc="http://schemas.openxmlformats.org/markup-compatibility/2006">
          <mc:Choice Requires="x14">
            <control shapeId="30724" r:id="rId6" name="Check Box 4">
              <controlPr defaultSize="0" autoFill="0" autoLine="0" autoPict="0">
                <anchor moveWithCells="1">
                  <from>
                    <xdr:col>2</xdr:col>
                    <xdr:colOff>523875</xdr:colOff>
                    <xdr:row>74</xdr:row>
                    <xdr:rowOff>19050</xdr:rowOff>
                  </from>
                  <to>
                    <xdr:col>2</xdr:col>
                    <xdr:colOff>704850</xdr:colOff>
                    <xdr:row>74</xdr:row>
                    <xdr:rowOff>190500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2</xdr:col>
                    <xdr:colOff>523875</xdr:colOff>
                    <xdr:row>75</xdr:row>
                    <xdr:rowOff>19050</xdr:rowOff>
                  </from>
                  <to>
                    <xdr:col>2</xdr:col>
                    <xdr:colOff>704850</xdr:colOff>
                    <xdr:row>75</xdr:row>
                    <xdr:rowOff>180975</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2</xdr:col>
                    <xdr:colOff>523875</xdr:colOff>
                    <xdr:row>76</xdr:row>
                    <xdr:rowOff>0</xdr:rowOff>
                  </from>
                  <to>
                    <xdr:col>2</xdr:col>
                    <xdr:colOff>704850</xdr:colOff>
                    <xdr:row>76</xdr:row>
                    <xdr:rowOff>180975</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2</xdr:col>
                    <xdr:colOff>523875</xdr:colOff>
                    <xdr:row>77</xdr:row>
                    <xdr:rowOff>9525</xdr:rowOff>
                  </from>
                  <to>
                    <xdr:col>2</xdr:col>
                    <xdr:colOff>704850</xdr:colOff>
                    <xdr:row>77</xdr:row>
                    <xdr:rowOff>190500</xdr:rowOff>
                  </to>
                </anchor>
              </controlPr>
            </control>
          </mc:Choice>
        </mc:AlternateContent>
        <mc:AlternateContent xmlns:mc="http://schemas.openxmlformats.org/markup-compatibility/2006">
          <mc:Choice Requires="x14">
            <control shapeId="30741" r:id="rId10" name="Check Box 21">
              <controlPr defaultSize="0" autoFill="0" autoLine="0" autoPict="0">
                <anchor moveWithCells="1">
                  <from>
                    <xdr:col>18</xdr:col>
                    <xdr:colOff>457200</xdr:colOff>
                    <xdr:row>82</xdr:row>
                    <xdr:rowOff>0</xdr:rowOff>
                  </from>
                  <to>
                    <xdr:col>18</xdr:col>
                    <xdr:colOff>666750</xdr:colOff>
                    <xdr:row>82</xdr:row>
                    <xdr:rowOff>180975</xdr:rowOff>
                  </to>
                </anchor>
              </controlPr>
            </control>
          </mc:Choice>
        </mc:AlternateContent>
        <mc:AlternateContent xmlns:mc="http://schemas.openxmlformats.org/markup-compatibility/2006">
          <mc:Choice Requires="x14">
            <control shapeId="30742" r:id="rId11" name="Check Box 22">
              <controlPr defaultSize="0" autoFill="0" autoLine="0" autoPict="0">
                <anchor moveWithCells="1">
                  <from>
                    <xdr:col>18</xdr:col>
                    <xdr:colOff>571500</xdr:colOff>
                    <xdr:row>83</xdr:row>
                    <xdr:rowOff>19050</xdr:rowOff>
                  </from>
                  <to>
                    <xdr:col>19</xdr:col>
                    <xdr:colOff>0</xdr:colOff>
                    <xdr:row>84</xdr:row>
                    <xdr:rowOff>0</xdr:rowOff>
                  </to>
                </anchor>
              </controlPr>
            </control>
          </mc:Choice>
        </mc:AlternateContent>
        <mc:AlternateContent xmlns:mc="http://schemas.openxmlformats.org/markup-compatibility/2006">
          <mc:Choice Requires="x14">
            <control shapeId="30743" r:id="rId12" name="Check Box 23">
              <controlPr defaultSize="0" autoFill="0" autoLine="0" autoPict="0">
                <anchor moveWithCells="1">
                  <from>
                    <xdr:col>18</xdr:col>
                    <xdr:colOff>571500</xdr:colOff>
                    <xdr:row>84</xdr:row>
                    <xdr:rowOff>19050</xdr:rowOff>
                  </from>
                  <to>
                    <xdr:col>19</xdr:col>
                    <xdr:colOff>0</xdr:colOff>
                    <xdr:row>85</xdr:row>
                    <xdr:rowOff>0</xdr:rowOff>
                  </to>
                </anchor>
              </controlPr>
            </control>
          </mc:Choice>
        </mc:AlternateContent>
        <mc:AlternateContent xmlns:mc="http://schemas.openxmlformats.org/markup-compatibility/2006">
          <mc:Choice Requires="x14">
            <control shapeId="30744" r:id="rId13" name="Check Box 24">
              <controlPr defaultSize="0" autoFill="0" autoLine="0" autoPict="0">
                <anchor moveWithCells="1">
                  <from>
                    <xdr:col>18</xdr:col>
                    <xdr:colOff>571500</xdr:colOff>
                    <xdr:row>85</xdr:row>
                    <xdr:rowOff>9525</xdr:rowOff>
                  </from>
                  <to>
                    <xdr:col>19</xdr:col>
                    <xdr:colOff>0</xdr:colOff>
                    <xdr:row>85</xdr:row>
                    <xdr:rowOff>190500</xdr:rowOff>
                  </to>
                </anchor>
              </controlPr>
            </control>
          </mc:Choice>
        </mc:AlternateContent>
        <mc:AlternateContent xmlns:mc="http://schemas.openxmlformats.org/markup-compatibility/2006">
          <mc:Choice Requires="x14">
            <control shapeId="30745" r:id="rId14" name="Check Box 25">
              <controlPr defaultSize="0" autoFill="0" autoLine="0" autoPict="0">
                <anchor moveWithCells="1">
                  <from>
                    <xdr:col>18</xdr:col>
                    <xdr:colOff>457200</xdr:colOff>
                    <xdr:row>80</xdr:row>
                    <xdr:rowOff>9525</xdr:rowOff>
                  </from>
                  <to>
                    <xdr:col>18</xdr:col>
                    <xdr:colOff>666750</xdr:colOff>
                    <xdr:row>81</xdr:row>
                    <xdr:rowOff>9525</xdr:rowOff>
                  </to>
                </anchor>
              </controlPr>
            </control>
          </mc:Choice>
        </mc:AlternateContent>
        <mc:AlternateContent xmlns:mc="http://schemas.openxmlformats.org/markup-compatibility/2006">
          <mc:Choice Requires="x14">
            <control shapeId="30746" r:id="rId15" name="Check Box 26">
              <controlPr defaultSize="0" autoFill="0" autoLine="0" autoPict="0">
                <anchor moveWithCells="1">
                  <from>
                    <xdr:col>18</xdr:col>
                    <xdr:colOff>457200</xdr:colOff>
                    <xdr:row>79</xdr:row>
                    <xdr:rowOff>0</xdr:rowOff>
                  </from>
                  <to>
                    <xdr:col>18</xdr:col>
                    <xdr:colOff>666750</xdr:colOff>
                    <xdr:row>80</xdr:row>
                    <xdr:rowOff>9525</xdr:rowOff>
                  </to>
                </anchor>
              </controlPr>
            </control>
          </mc:Choice>
        </mc:AlternateContent>
        <mc:AlternateContent xmlns:mc="http://schemas.openxmlformats.org/markup-compatibility/2006">
          <mc:Choice Requires="x14">
            <control shapeId="30747" r:id="rId16" name="Check Box 27">
              <controlPr defaultSize="0" autoFill="0" autoLine="0" autoPict="0">
                <anchor moveWithCells="1">
                  <from>
                    <xdr:col>18</xdr:col>
                    <xdr:colOff>457200</xdr:colOff>
                    <xdr:row>81</xdr:row>
                    <xdr:rowOff>9525</xdr:rowOff>
                  </from>
                  <to>
                    <xdr:col>18</xdr:col>
                    <xdr:colOff>666750</xdr:colOff>
                    <xdr:row>82</xdr:row>
                    <xdr:rowOff>0</xdr:rowOff>
                  </to>
                </anchor>
              </controlPr>
            </control>
          </mc:Choice>
        </mc:AlternateContent>
        <mc:AlternateContent xmlns:mc="http://schemas.openxmlformats.org/markup-compatibility/2006">
          <mc:Choice Requires="x14">
            <control shapeId="30721" r:id="rId17" name="Check Box 1">
              <controlPr defaultSize="0" autoFill="0" autoLine="0" autoPict="0">
                <anchor moveWithCells="1">
                  <from>
                    <xdr:col>2</xdr:col>
                    <xdr:colOff>523875</xdr:colOff>
                    <xdr:row>71</xdr:row>
                    <xdr:rowOff>28575</xdr:rowOff>
                  </from>
                  <to>
                    <xdr:col>2</xdr:col>
                    <xdr:colOff>704850</xdr:colOff>
                    <xdr:row>72</xdr:row>
                    <xdr:rowOff>0</xdr:rowOff>
                  </to>
                </anchor>
              </controlPr>
            </control>
          </mc:Choice>
        </mc:AlternateContent>
        <mc:AlternateContent xmlns:mc="http://schemas.openxmlformats.org/markup-compatibility/2006">
          <mc:Choice Requires="x14">
            <control shapeId="30748" r:id="rId18" name="Check Box 28">
              <controlPr defaultSize="0" autoFill="0" autoLine="0" autoPict="0">
                <anchor moveWithCells="1">
                  <from>
                    <xdr:col>10</xdr:col>
                    <xdr:colOff>514350</xdr:colOff>
                    <xdr:row>79</xdr:row>
                    <xdr:rowOff>152400</xdr:rowOff>
                  </from>
                  <to>
                    <xdr:col>10</xdr:col>
                    <xdr:colOff>723900</xdr:colOff>
                    <xdr:row>81</xdr:row>
                    <xdr:rowOff>0</xdr:rowOff>
                  </to>
                </anchor>
              </controlPr>
            </control>
          </mc:Choice>
        </mc:AlternateContent>
        <mc:AlternateContent xmlns:mc="http://schemas.openxmlformats.org/markup-compatibility/2006">
          <mc:Choice Requires="x14">
            <control shapeId="30749" r:id="rId19" name="Check Box 29">
              <controlPr defaultSize="0" autoFill="0" autoLine="0" autoPict="0">
                <anchor moveWithCells="1">
                  <from>
                    <xdr:col>10</xdr:col>
                    <xdr:colOff>514350</xdr:colOff>
                    <xdr:row>80</xdr:row>
                    <xdr:rowOff>171450</xdr:rowOff>
                  </from>
                  <to>
                    <xdr:col>10</xdr:col>
                    <xdr:colOff>723900</xdr:colOff>
                    <xdr:row>81</xdr:row>
                    <xdr:rowOff>190500</xdr:rowOff>
                  </to>
                </anchor>
              </controlPr>
            </control>
          </mc:Choice>
        </mc:AlternateContent>
        <mc:AlternateContent xmlns:mc="http://schemas.openxmlformats.org/markup-compatibility/2006">
          <mc:Choice Requires="x14">
            <control shapeId="30750" r:id="rId20" name="Check Box 30">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30751" r:id="rId21" name="Check Box 31">
              <controlPr defaultSize="0" autoFill="0" autoLine="0" autoPict="0">
                <anchor moveWithCells="1">
                  <from>
                    <xdr:col>10</xdr:col>
                    <xdr:colOff>514350</xdr:colOff>
                    <xdr:row>82</xdr:row>
                    <xdr:rowOff>180975</xdr:rowOff>
                  </from>
                  <to>
                    <xdr:col>10</xdr:col>
                    <xdr:colOff>723900</xdr:colOff>
                    <xdr:row>84</xdr:row>
                    <xdr:rowOff>0</xdr:rowOff>
                  </to>
                </anchor>
              </controlPr>
            </control>
          </mc:Choice>
        </mc:AlternateContent>
        <mc:AlternateContent xmlns:mc="http://schemas.openxmlformats.org/markup-compatibility/2006">
          <mc:Choice Requires="x14">
            <control shapeId="30752" r:id="rId22" name="Check Box 32">
              <controlPr defaultSize="0" autoFill="0" autoLine="0" autoPict="0">
                <anchor moveWithCells="1">
                  <from>
                    <xdr:col>10</xdr:col>
                    <xdr:colOff>514350</xdr:colOff>
                    <xdr:row>83</xdr:row>
                    <xdr:rowOff>180975</xdr:rowOff>
                  </from>
                  <to>
                    <xdr:col>10</xdr:col>
                    <xdr:colOff>723900</xdr:colOff>
                    <xdr:row>85</xdr:row>
                    <xdr:rowOff>0</xdr:rowOff>
                  </to>
                </anchor>
              </controlPr>
            </control>
          </mc:Choice>
        </mc:AlternateContent>
        <mc:AlternateContent xmlns:mc="http://schemas.openxmlformats.org/markup-compatibility/2006">
          <mc:Choice Requires="x14">
            <control shapeId="30753" r:id="rId23" name="Check Box 33">
              <controlPr defaultSize="0" autoFill="0" autoLine="0" autoPict="0">
                <anchor moveWithCells="1">
                  <from>
                    <xdr:col>10</xdr:col>
                    <xdr:colOff>514350</xdr:colOff>
                    <xdr:row>84</xdr:row>
                    <xdr:rowOff>180975</xdr:rowOff>
                  </from>
                  <to>
                    <xdr:col>10</xdr:col>
                    <xdr:colOff>723900</xdr:colOff>
                    <xdr:row>86</xdr:row>
                    <xdr:rowOff>0</xdr:rowOff>
                  </to>
                </anchor>
              </controlPr>
            </control>
          </mc:Choice>
        </mc:AlternateContent>
        <mc:AlternateContent xmlns:mc="http://schemas.openxmlformats.org/markup-compatibility/2006">
          <mc:Choice Requires="x14">
            <control shapeId="30754" r:id="rId24" name="Check Box 34">
              <controlPr defaultSize="0" autoFill="0" autoLine="0" autoPict="0">
                <anchor moveWithCells="1">
                  <from>
                    <xdr:col>10</xdr:col>
                    <xdr:colOff>514350</xdr:colOff>
                    <xdr:row>85</xdr:row>
                    <xdr:rowOff>180975</xdr:rowOff>
                  </from>
                  <to>
                    <xdr:col>10</xdr:col>
                    <xdr:colOff>723900</xdr:colOff>
                    <xdr:row>87</xdr:row>
                    <xdr:rowOff>0</xdr:rowOff>
                  </to>
                </anchor>
              </controlPr>
            </control>
          </mc:Choice>
        </mc:AlternateContent>
        <mc:AlternateContent xmlns:mc="http://schemas.openxmlformats.org/markup-compatibility/2006">
          <mc:Choice Requires="x14">
            <control shapeId="30755" r:id="rId25" name="Check Box 35">
              <controlPr defaultSize="0" autoFill="0" autoLine="0" autoPict="0">
                <anchor moveWithCells="1">
                  <from>
                    <xdr:col>10</xdr:col>
                    <xdr:colOff>514350</xdr:colOff>
                    <xdr:row>86</xdr:row>
                    <xdr:rowOff>190500</xdr:rowOff>
                  </from>
                  <to>
                    <xdr:col>10</xdr:col>
                    <xdr:colOff>723900</xdr:colOff>
                    <xdr:row>87</xdr:row>
                    <xdr:rowOff>190500</xdr:rowOff>
                  </to>
                </anchor>
              </controlPr>
            </control>
          </mc:Choice>
        </mc:AlternateContent>
        <mc:AlternateContent xmlns:mc="http://schemas.openxmlformats.org/markup-compatibility/2006">
          <mc:Choice Requires="x14">
            <control shapeId="30756" r:id="rId26" name="Check Box 36">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30757" r:id="rId27" name="Check Box 37">
              <controlPr defaultSize="0" autoFill="0" autoLine="0" autoPict="0">
                <anchor moveWithCells="1">
                  <from>
                    <xdr:col>10</xdr:col>
                    <xdr:colOff>514350</xdr:colOff>
                    <xdr:row>88</xdr:row>
                    <xdr:rowOff>171450</xdr:rowOff>
                  </from>
                  <to>
                    <xdr:col>10</xdr:col>
                    <xdr:colOff>723900</xdr:colOff>
                    <xdr:row>89</xdr:row>
                    <xdr:rowOff>180975</xdr:rowOff>
                  </to>
                </anchor>
              </controlPr>
            </control>
          </mc:Choice>
        </mc:AlternateContent>
        <mc:AlternateContent xmlns:mc="http://schemas.openxmlformats.org/markup-compatibility/2006">
          <mc:Choice Requires="x14">
            <control shapeId="30758" r:id="rId28" name="Check Box 38">
              <controlPr defaultSize="0" autoFill="0" autoLine="0" autoPict="0">
                <anchor moveWithCells="1">
                  <from>
                    <xdr:col>10</xdr:col>
                    <xdr:colOff>514350</xdr:colOff>
                    <xdr:row>89</xdr:row>
                    <xdr:rowOff>171450</xdr:rowOff>
                  </from>
                  <to>
                    <xdr:col>10</xdr:col>
                    <xdr:colOff>723900</xdr:colOff>
                    <xdr:row>90</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EA3A-0D7B-4401-A341-F7435986211A}">
  <sheetPr>
    <pageSetUpPr fitToPage="1"/>
  </sheetPr>
  <dimension ref="B2:AA281"/>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211</v>
      </c>
      <c r="E3" s="90"/>
      <c r="F3" s="90"/>
      <c r="G3" s="90"/>
      <c r="H3" s="90"/>
      <c r="I3" s="90"/>
      <c r="J3" s="90"/>
      <c r="K3" s="90"/>
      <c r="L3" s="90"/>
      <c r="M3" s="3"/>
    </row>
    <row r="4" spans="2:13" x14ac:dyDescent="0.2">
      <c r="B4" s="3"/>
      <c r="C4" s="90"/>
      <c r="D4" s="3"/>
      <c r="E4" s="3"/>
      <c r="F4" s="3"/>
      <c r="G4" s="3"/>
      <c r="H4" s="3"/>
      <c r="I4" s="3"/>
      <c r="J4" s="3"/>
      <c r="K4" s="3"/>
      <c r="L4" s="3"/>
      <c r="M4" s="3"/>
    </row>
    <row r="5" spans="2:13" ht="17.25" customHeight="1" x14ac:dyDescent="0.2">
      <c r="B5" s="3"/>
      <c r="C5" s="90"/>
      <c r="D5" s="104" t="s">
        <v>327</v>
      </c>
      <c r="E5" s="104"/>
      <c r="F5" s="104"/>
      <c r="G5" s="104"/>
      <c r="H5" s="104"/>
      <c r="I5" s="104"/>
      <c r="J5" s="104"/>
      <c r="K5" s="104"/>
      <c r="L5" s="104"/>
      <c r="M5" s="3"/>
    </row>
    <row r="6" spans="2:13" ht="168" customHeight="1" x14ac:dyDescent="0.2">
      <c r="B6" s="3"/>
      <c r="C6" s="94"/>
      <c r="D6" s="396" t="s">
        <v>467</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272</v>
      </c>
      <c r="E11" s="95"/>
      <c r="F11" s="96"/>
      <c r="G11" s="7"/>
      <c r="H11" s="7"/>
      <c r="I11" s="7"/>
      <c r="J11" s="7"/>
      <c r="K11" s="7"/>
      <c r="L11" s="3"/>
      <c r="M11" s="3"/>
    </row>
    <row r="12" spans="2:13" ht="18" x14ac:dyDescent="0.25">
      <c r="B12" s="3"/>
      <c r="C12" s="3"/>
      <c r="D12" s="86"/>
      <c r="E12" s="95"/>
      <c r="F12" s="96"/>
      <c r="G12" s="7"/>
      <c r="H12" s="7"/>
      <c r="I12" s="7"/>
      <c r="J12" s="7"/>
      <c r="K12" s="7"/>
      <c r="L12" s="3"/>
      <c r="M12" s="3"/>
    </row>
    <row r="13" spans="2:13" ht="15.75" x14ac:dyDescent="0.25">
      <c r="B13" s="3"/>
      <c r="C13" s="3"/>
      <c r="D13" s="86"/>
      <c r="E13" s="398">
        <v>2020</v>
      </c>
      <c r="F13" s="398"/>
      <c r="G13" s="398"/>
      <c r="H13" s="7"/>
      <c r="I13" s="7"/>
      <c r="J13" s="7"/>
      <c r="K13" s="7"/>
      <c r="L13" s="3"/>
      <c r="M13" s="3"/>
    </row>
    <row r="14" spans="2:13" ht="14.25" x14ac:dyDescent="0.2">
      <c r="B14" s="3"/>
      <c r="C14" s="3"/>
      <c r="D14" s="3"/>
      <c r="E14" s="102" t="s">
        <v>80</v>
      </c>
      <c r="F14" s="120"/>
      <c r="G14" s="102" t="s">
        <v>77</v>
      </c>
      <c r="H14" s="7"/>
      <c r="I14" s="7"/>
      <c r="J14" s="7"/>
      <c r="K14" s="7"/>
      <c r="L14" s="3"/>
      <c r="M14" s="3"/>
    </row>
    <row r="15" spans="2:13" ht="14.25" x14ac:dyDescent="0.2">
      <c r="B15" s="3"/>
      <c r="C15" s="3"/>
      <c r="D15" s="3"/>
      <c r="E15" s="13"/>
      <c r="F15" s="3"/>
      <c r="G15" s="13"/>
      <c r="H15" s="7"/>
      <c r="I15" s="7"/>
      <c r="J15" s="7"/>
      <c r="K15" s="7"/>
      <c r="L15" s="3"/>
      <c r="M15" s="3"/>
    </row>
    <row r="16" spans="2:13" ht="14.25" x14ac:dyDescent="0.2">
      <c r="B16" s="3"/>
      <c r="C16" s="3"/>
      <c r="D16" s="11" t="s">
        <v>273</v>
      </c>
      <c r="E16" s="3">
        <v>4</v>
      </c>
      <c r="F16" s="3"/>
      <c r="G16" s="115"/>
      <c r="H16" s="7"/>
      <c r="I16" s="7"/>
      <c r="J16" s="165" t="s">
        <v>220</v>
      </c>
      <c r="K16" s="3">
        <v>42.8</v>
      </c>
      <c r="L16" s="3" t="s">
        <v>308</v>
      </c>
      <c r="M16" s="3"/>
    </row>
    <row r="17" spans="2:13" ht="14.25" x14ac:dyDescent="0.2">
      <c r="B17" s="3"/>
      <c r="C17" s="3"/>
      <c r="D17" s="11" t="s">
        <v>216</v>
      </c>
      <c r="E17" s="9">
        <f>IF(NOT(ISBLANK('Referenz Plattenwerk'!I28)),'Referenz Plattenwerk'!I28,'Referenz Plattenwerk'!F28)/IF(NOT(ISBLANK(G16)),G16,E16)</f>
        <v>2750</v>
      </c>
      <c r="F17" s="3" t="s">
        <v>217</v>
      </c>
      <c r="G17" s="3"/>
      <c r="H17" s="3"/>
      <c r="I17" s="7"/>
      <c r="J17" s="165" t="s">
        <v>309</v>
      </c>
      <c r="K17" s="3">
        <v>0.84499999999999997</v>
      </c>
      <c r="L17" s="3" t="s">
        <v>307</v>
      </c>
      <c r="M17" s="3"/>
    </row>
    <row r="18" spans="2:13" ht="14.25" x14ac:dyDescent="0.2">
      <c r="B18" s="3"/>
      <c r="C18" s="3"/>
      <c r="D18" s="3"/>
      <c r="E18" s="9">
        <f>E17/1000*K17*K16/0.0036</f>
        <v>27626.805555555555</v>
      </c>
      <c r="F18" s="3" t="s">
        <v>219</v>
      </c>
      <c r="G18" s="9"/>
      <c r="H18" s="9"/>
      <c r="I18" s="7"/>
      <c r="J18" s="7"/>
      <c r="K18" s="7"/>
      <c r="L18" s="7"/>
      <c r="M18" s="3"/>
    </row>
    <row r="19" spans="2:13" ht="14.25" x14ac:dyDescent="0.2">
      <c r="B19" s="3"/>
      <c r="C19" s="3"/>
      <c r="D19" s="3"/>
      <c r="E19" s="3"/>
      <c r="F19" s="3"/>
      <c r="G19" s="3"/>
      <c r="H19" s="7"/>
      <c r="I19" s="7"/>
      <c r="J19" s="7"/>
      <c r="K19" s="7"/>
      <c r="L19" s="3"/>
      <c r="M19" s="3"/>
    </row>
    <row r="20" spans="2:13" ht="14.25" customHeight="1" x14ac:dyDescent="0.2">
      <c r="B20" s="3"/>
      <c r="C20" s="3"/>
      <c r="D20" s="8"/>
      <c r="E20" s="398">
        <v>2025</v>
      </c>
      <c r="F20" s="398"/>
      <c r="G20" s="398"/>
      <c r="H20" s="13"/>
      <c r="I20" s="398">
        <v>2030</v>
      </c>
      <c r="J20" s="398"/>
      <c r="K20" s="398"/>
      <c r="L20" s="8"/>
      <c r="M20" s="3"/>
    </row>
    <row r="21" spans="2:13" x14ac:dyDescent="0.2">
      <c r="B21" s="3"/>
      <c r="C21" s="3"/>
      <c r="D21" s="8"/>
      <c r="E21" s="102" t="s">
        <v>80</v>
      </c>
      <c r="F21" s="102"/>
      <c r="G21" s="102" t="s">
        <v>77</v>
      </c>
      <c r="H21" s="13"/>
      <c r="I21" s="102" t="s">
        <v>80</v>
      </c>
      <c r="J21" s="102"/>
      <c r="K21" s="102" t="s">
        <v>77</v>
      </c>
      <c r="L21" s="8"/>
      <c r="M21" s="3"/>
    </row>
    <row r="22" spans="2:13" x14ac:dyDescent="0.2">
      <c r="B22" s="3"/>
      <c r="C22" s="3"/>
      <c r="D22" s="3"/>
      <c r="E22" s="3"/>
      <c r="F22" s="3"/>
      <c r="G22" s="3"/>
      <c r="H22" s="3"/>
      <c r="I22" s="3"/>
      <c r="J22" s="3"/>
      <c r="K22" s="3"/>
      <c r="L22" s="3"/>
      <c r="M22" s="3"/>
    </row>
    <row r="23" spans="2:13" x14ac:dyDescent="0.2">
      <c r="B23" s="3"/>
      <c r="C23" s="3"/>
      <c r="D23" s="11" t="s">
        <v>274</v>
      </c>
      <c r="E23" s="3">
        <v>2</v>
      </c>
      <c r="F23" s="3"/>
      <c r="G23" s="115"/>
      <c r="H23" s="3"/>
      <c r="I23" s="3">
        <v>4</v>
      </c>
      <c r="J23" s="3"/>
      <c r="K23" s="115"/>
      <c r="L23" s="3"/>
      <c r="M23" s="3"/>
    </row>
    <row r="24" spans="2:13" ht="25.5" x14ac:dyDescent="0.2">
      <c r="B24" s="3"/>
      <c r="C24" s="3"/>
      <c r="D24" s="11" t="s">
        <v>214</v>
      </c>
      <c r="E24" s="80">
        <v>75</v>
      </c>
      <c r="F24" s="15" t="s">
        <v>99</v>
      </c>
      <c r="G24" s="115"/>
      <c r="H24" s="15" t="s">
        <v>99</v>
      </c>
      <c r="I24" s="80">
        <v>75</v>
      </c>
      <c r="J24" s="15" t="s">
        <v>99</v>
      </c>
      <c r="K24" s="115"/>
      <c r="L24" s="15" t="s">
        <v>99</v>
      </c>
      <c r="M24" s="3"/>
    </row>
    <row r="25" spans="2:13" x14ac:dyDescent="0.2">
      <c r="B25" s="3"/>
      <c r="C25" s="3"/>
      <c r="D25" s="11" t="s">
        <v>218</v>
      </c>
      <c r="E25" s="9">
        <f>E18*IF(NOT(ISBLANK(G24)),G24/100,E24/100)</f>
        <v>20720.104166666664</v>
      </c>
      <c r="F25" s="3" t="s">
        <v>219</v>
      </c>
      <c r="G25" s="15"/>
      <c r="H25" s="15"/>
      <c r="I25" s="9">
        <f>E18*IF(NOT(ISBLANK(K24)),K24/100,I24/100)</f>
        <v>20720.104166666664</v>
      </c>
      <c r="J25" s="3" t="s">
        <v>219</v>
      </c>
      <c r="K25" s="15"/>
      <c r="L25" s="15"/>
      <c r="M25" s="3"/>
    </row>
    <row r="26" spans="2:13" x14ac:dyDescent="0.2">
      <c r="B26" s="3"/>
      <c r="C26" s="3"/>
      <c r="D26" s="8"/>
      <c r="E26" s="81"/>
      <c r="F26" s="15"/>
      <c r="G26" s="15"/>
      <c r="H26" s="15"/>
      <c r="I26" s="81"/>
      <c r="J26" s="15"/>
      <c r="K26" s="15"/>
      <c r="L26" s="3"/>
      <c r="M26" s="3"/>
    </row>
    <row r="27" spans="2:13" x14ac:dyDescent="0.2">
      <c r="B27" s="3"/>
      <c r="C27" s="3"/>
      <c r="D27" s="12" t="s">
        <v>213</v>
      </c>
      <c r="E27" s="80">
        <v>150000</v>
      </c>
      <c r="F27" s="15" t="s">
        <v>105</v>
      </c>
      <c r="G27" s="274"/>
      <c r="H27" s="15" t="s">
        <v>105</v>
      </c>
      <c r="I27" s="80">
        <v>150000</v>
      </c>
      <c r="J27" s="15" t="s">
        <v>105</v>
      </c>
      <c r="K27" s="274"/>
      <c r="L27" s="3" t="s">
        <v>105</v>
      </c>
      <c r="M27" s="3"/>
    </row>
    <row r="28" spans="2:13" ht="14.25" x14ac:dyDescent="0.2">
      <c r="B28" s="3"/>
      <c r="C28" s="3"/>
      <c r="D28" s="79" t="s">
        <v>226</v>
      </c>
      <c r="E28" s="80">
        <v>0</v>
      </c>
      <c r="F28" s="15" t="s">
        <v>106</v>
      </c>
      <c r="G28" s="274"/>
      <c r="H28" s="15" t="s">
        <v>106</v>
      </c>
      <c r="I28" s="80">
        <v>0</v>
      </c>
      <c r="J28" s="15" t="s">
        <v>106</v>
      </c>
      <c r="K28" s="274"/>
      <c r="L28" s="3" t="s">
        <v>106</v>
      </c>
      <c r="M28" s="3"/>
    </row>
    <row r="29" spans="2:13" ht="14.25" x14ac:dyDescent="0.2">
      <c r="B29" s="3"/>
      <c r="C29" s="3"/>
      <c r="D29" s="79" t="s">
        <v>191</v>
      </c>
      <c r="E29" s="80">
        <v>0</v>
      </c>
      <c r="F29" s="15" t="s">
        <v>105</v>
      </c>
      <c r="G29" s="274"/>
      <c r="H29" s="15" t="s">
        <v>105</v>
      </c>
      <c r="I29" s="80">
        <v>0</v>
      </c>
      <c r="J29" s="15" t="s">
        <v>105</v>
      </c>
      <c r="K29" s="274"/>
      <c r="L29" s="3" t="s">
        <v>105</v>
      </c>
      <c r="M29" s="3"/>
    </row>
    <row r="30" spans="2:13" x14ac:dyDescent="0.2">
      <c r="B30" s="3"/>
      <c r="C30" s="3"/>
      <c r="D30" s="79"/>
      <c r="E30" s="81"/>
      <c r="F30" s="15"/>
      <c r="G30" s="15"/>
      <c r="H30" s="15"/>
      <c r="I30" s="15"/>
      <c r="J30" s="15"/>
      <c r="K30" s="15"/>
      <c r="L30" s="3"/>
      <c r="M30" s="3"/>
    </row>
    <row r="31" spans="2:13" x14ac:dyDescent="0.2">
      <c r="B31" s="3"/>
      <c r="C31" s="3"/>
      <c r="D31" s="79"/>
      <c r="E31" s="15"/>
      <c r="F31" s="15"/>
      <c r="G31" s="15"/>
      <c r="H31" s="15"/>
      <c r="I31" s="15"/>
      <c r="J31" s="15"/>
      <c r="K31" s="15"/>
      <c r="L31" s="15"/>
      <c r="M31" s="3"/>
    </row>
    <row r="32" spans="2:13" x14ac:dyDescent="0.2">
      <c r="B32" s="3"/>
      <c r="C32" s="3"/>
      <c r="D32" s="79" t="s">
        <v>25</v>
      </c>
      <c r="E32" s="80">
        <v>10</v>
      </c>
      <c r="F32" s="15" t="s">
        <v>98</v>
      </c>
      <c r="G32" s="115"/>
      <c r="H32" s="15" t="s">
        <v>98</v>
      </c>
      <c r="I32" s="80">
        <v>10</v>
      </c>
      <c r="J32" s="15" t="s">
        <v>98</v>
      </c>
      <c r="K32" s="115"/>
      <c r="L32" s="15" t="s">
        <v>98</v>
      </c>
      <c r="M32" s="3"/>
    </row>
    <row r="33" spans="2:27" x14ac:dyDescent="0.2">
      <c r="B33" s="3"/>
      <c r="C33" s="3"/>
      <c r="D33" s="79" t="s">
        <v>26</v>
      </c>
      <c r="E33" s="82">
        <v>8</v>
      </c>
      <c r="F33" s="15" t="s">
        <v>99</v>
      </c>
      <c r="G33" s="275"/>
      <c r="H33" s="15" t="s">
        <v>99</v>
      </c>
      <c r="I33" s="82">
        <v>8</v>
      </c>
      <c r="J33" s="15" t="s">
        <v>99</v>
      </c>
      <c r="K33" s="275"/>
      <c r="L33" s="15" t="s">
        <v>99</v>
      </c>
      <c r="M33" s="3"/>
    </row>
    <row r="34" spans="2:27" x14ac:dyDescent="0.2">
      <c r="B34" s="3"/>
      <c r="C34" s="3"/>
      <c r="D34" s="15"/>
      <c r="E34" s="82"/>
      <c r="F34" s="15"/>
      <c r="G34" s="15"/>
      <c r="H34" s="15"/>
      <c r="I34" s="81"/>
      <c r="J34" s="15"/>
      <c r="K34" s="15"/>
      <c r="L34" s="3"/>
      <c r="M34" s="3"/>
    </row>
    <row r="35" spans="2:27" x14ac:dyDescent="0.2">
      <c r="B35" s="3"/>
      <c r="C35" s="3"/>
      <c r="D35" s="15"/>
      <c r="E35" s="10"/>
      <c r="F35" s="3"/>
      <c r="G35" s="3"/>
      <c r="H35" s="3"/>
      <c r="I35" s="16"/>
      <c r="J35" s="3"/>
      <c r="K35" s="3"/>
      <c r="L35" s="3"/>
      <c r="M35" s="3"/>
    </row>
    <row r="36" spans="2:27" ht="13.5" x14ac:dyDescent="0.2">
      <c r="B36" s="3"/>
      <c r="C36" s="3"/>
      <c r="D36" s="66" t="s">
        <v>168</v>
      </c>
      <c r="E36" s="10"/>
      <c r="F36" s="3"/>
      <c r="G36" s="3"/>
      <c r="H36" s="3"/>
      <c r="I36" s="16"/>
      <c r="J36" s="3"/>
      <c r="K36" s="3"/>
      <c r="L36" s="3"/>
      <c r="M36" s="3"/>
    </row>
    <row r="37" spans="2:27" ht="13.5" x14ac:dyDescent="0.2">
      <c r="B37" s="3"/>
      <c r="C37" s="3"/>
      <c r="D37" s="66" t="s">
        <v>215</v>
      </c>
      <c r="E37" s="10"/>
      <c r="F37" s="3"/>
      <c r="G37" s="3"/>
      <c r="H37" s="3"/>
      <c r="I37" s="16"/>
      <c r="J37" s="3"/>
      <c r="K37" s="3"/>
      <c r="L37" s="3"/>
      <c r="M37" s="3"/>
    </row>
    <row r="38" spans="2:27" x14ac:dyDescent="0.2">
      <c r="B38" s="3"/>
      <c r="C38" s="3"/>
      <c r="D38" s="15"/>
      <c r="E38" s="10"/>
      <c r="F38" s="3"/>
      <c r="G38" s="3"/>
      <c r="H38" s="3"/>
      <c r="I38" s="16"/>
      <c r="J38" s="3"/>
      <c r="K38" s="3"/>
      <c r="L38" s="3"/>
      <c r="M38" s="3"/>
    </row>
    <row r="40" spans="2:27" x14ac:dyDescent="0.2">
      <c r="B40" s="3"/>
      <c r="C40" s="3"/>
      <c r="D40" s="14"/>
      <c r="E40" s="3"/>
      <c r="F40" s="3"/>
      <c r="G40" s="3"/>
      <c r="H40" s="3"/>
      <c r="I40" s="3"/>
      <c r="J40" s="3"/>
      <c r="K40" s="3"/>
      <c r="L40" s="3"/>
      <c r="M40" s="3"/>
      <c r="N40" s="3"/>
      <c r="O40" s="3"/>
      <c r="P40" s="3"/>
      <c r="Q40" s="3"/>
      <c r="R40" s="3"/>
      <c r="S40" s="3"/>
      <c r="T40" s="3"/>
      <c r="U40" s="3"/>
      <c r="V40" s="3"/>
      <c r="W40" s="3"/>
      <c r="X40" s="3"/>
      <c r="Y40" s="3"/>
      <c r="Z40" s="3"/>
      <c r="AA40" s="3"/>
    </row>
    <row r="41" spans="2:27" ht="18" x14ac:dyDescent="0.25">
      <c r="B41" s="3"/>
      <c r="C41" s="97" t="s">
        <v>212</v>
      </c>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14"/>
      <c r="E42" s="3"/>
      <c r="F42" s="3"/>
      <c r="G42" s="3"/>
      <c r="H42" s="3"/>
      <c r="I42" s="3"/>
      <c r="J42" s="3"/>
      <c r="K42" s="3"/>
      <c r="L42" s="3"/>
      <c r="M42" s="3"/>
      <c r="N42" s="3"/>
      <c r="O42" s="3"/>
      <c r="P42" s="3"/>
      <c r="Q42" s="3"/>
      <c r="R42" s="3"/>
      <c r="S42" s="3"/>
      <c r="T42" s="3"/>
      <c r="U42" s="3"/>
      <c r="V42" s="3"/>
      <c r="W42" s="3"/>
      <c r="X42" s="3"/>
      <c r="Y42" s="3"/>
      <c r="Z42" s="3"/>
      <c r="AA42" s="3"/>
    </row>
    <row r="43" spans="2:27" ht="15" x14ac:dyDescent="0.25">
      <c r="B43" s="3"/>
      <c r="C43" s="92" t="s">
        <v>112</v>
      </c>
      <c r="D43" s="3"/>
      <c r="E43" s="3"/>
      <c r="F43" s="3"/>
      <c r="G43" s="3"/>
      <c r="H43" s="3"/>
      <c r="I43" s="3"/>
      <c r="J43" s="3"/>
      <c r="K43" s="92" t="s">
        <v>116</v>
      </c>
      <c r="L43" s="3"/>
      <c r="M43" s="3"/>
      <c r="N43" s="3"/>
      <c r="O43" s="3"/>
      <c r="P43" s="3"/>
      <c r="Q43" s="3"/>
      <c r="R43" s="3"/>
      <c r="S43" s="93" t="s">
        <v>84</v>
      </c>
      <c r="T43" s="3"/>
      <c r="U43" s="3"/>
      <c r="V43" s="3"/>
      <c r="W43" s="3"/>
      <c r="X43" s="3"/>
      <c r="Y43" s="3"/>
      <c r="Z43" s="3"/>
      <c r="AA43" s="3"/>
    </row>
    <row r="44" spans="2:27" x14ac:dyDescent="0.2">
      <c r="B44" s="3"/>
      <c r="C44" s="3"/>
      <c r="D44" s="14"/>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ht="15" customHeight="1" x14ac:dyDescent="0.25">
      <c r="B75" s="3"/>
      <c r="C75" s="97"/>
      <c r="D75" s="62"/>
      <c r="E75" s="3"/>
      <c r="F75" s="3"/>
      <c r="G75" s="3"/>
      <c r="H75" s="3"/>
      <c r="I75" s="3"/>
      <c r="J75" s="3"/>
      <c r="K75" s="3"/>
      <c r="L75" s="3"/>
      <c r="M75" s="3"/>
      <c r="N75" s="3"/>
      <c r="O75" s="3"/>
      <c r="P75" s="3"/>
      <c r="Q75" s="3"/>
      <c r="R75" s="3"/>
      <c r="S75" s="3"/>
      <c r="T75" s="3"/>
      <c r="U75" s="3"/>
      <c r="V75" s="3"/>
      <c r="W75" s="3"/>
      <c r="X75" s="3"/>
      <c r="Y75" s="85"/>
      <c r="Z75" s="85"/>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84"/>
      <c r="Z76" s="84"/>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84"/>
      <c r="Z77" s="84"/>
      <c r="AA77" s="3"/>
    </row>
    <row r="78" spans="2:27" ht="15" customHeight="1" x14ac:dyDescent="0.25">
      <c r="B78" s="3"/>
      <c r="C78" s="3"/>
      <c r="D78" s="23" t="s">
        <v>113</v>
      </c>
      <c r="E78" s="24"/>
      <c r="F78" s="24"/>
      <c r="G78" s="24"/>
      <c r="H78" s="24"/>
      <c r="I78" s="3"/>
      <c r="J78" s="3"/>
      <c r="K78" s="3"/>
      <c r="L78" s="23" t="s">
        <v>194</v>
      </c>
      <c r="M78" s="24"/>
      <c r="N78" s="24"/>
      <c r="O78" s="24"/>
      <c r="P78" s="24"/>
      <c r="Q78" s="3"/>
      <c r="R78" s="3"/>
      <c r="S78" s="3"/>
      <c r="T78" s="23" t="s">
        <v>199</v>
      </c>
      <c r="U78" s="24"/>
      <c r="V78" s="24"/>
      <c r="W78" s="24"/>
      <c r="X78" s="3"/>
      <c r="Y78" s="84"/>
      <c r="Z78" s="84"/>
      <c r="AA78" s="3"/>
    </row>
    <row r="79" spans="2:27" ht="15" customHeight="1" x14ac:dyDescent="0.25">
      <c r="B79" s="3"/>
      <c r="C79" s="397" t="s">
        <v>145</v>
      </c>
      <c r="D79" s="46"/>
      <c r="E79" s="46">
        <v>2020</v>
      </c>
      <c r="F79" s="47">
        <v>2025</v>
      </c>
      <c r="G79" s="47">
        <v>2030</v>
      </c>
      <c r="H79" s="34"/>
      <c r="I79" s="3"/>
      <c r="J79" s="3"/>
      <c r="K79" s="3"/>
      <c r="L79" s="34"/>
      <c r="M79" s="46">
        <v>2020</v>
      </c>
      <c r="N79" s="47">
        <v>2025</v>
      </c>
      <c r="O79" s="47">
        <v>2030</v>
      </c>
      <c r="P79" s="34"/>
      <c r="Q79" s="3"/>
      <c r="R79" s="3"/>
      <c r="S79" s="397" t="s">
        <v>145</v>
      </c>
      <c r="T79" s="34"/>
      <c r="U79" s="47">
        <v>2020</v>
      </c>
      <c r="V79" s="47">
        <v>2025</v>
      </c>
      <c r="W79" s="47">
        <v>2030</v>
      </c>
      <c r="X79" s="3"/>
      <c r="Y79" s="84"/>
      <c r="Z79" s="84"/>
      <c r="AA79" s="63"/>
    </row>
    <row r="80" spans="2:27" x14ac:dyDescent="0.2">
      <c r="B80" s="3"/>
      <c r="C80" s="397"/>
      <c r="D80" s="24"/>
      <c r="E80" s="48" t="s">
        <v>89</v>
      </c>
      <c r="F80" s="49"/>
      <c r="G80" s="49"/>
      <c r="H80" s="24"/>
      <c r="I80" s="3"/>
      <c r="J80" s="3"/>
      <c r="K80" s="3"/>
      <c r="L80" s="24"/>
      <c r="M80" s="48" t="s">
        <v>89</v>
      </c>
      <c r="N80" s="49"/>
      <c r="O80" s="49"/>
      <c r="P80" s="24"/>
      <c r="Q80" s="3"/>
      <c r="R80" s="3"/>
      <c r="S80" s="397"/>
      <c r="T80" s="24"/>
      <c r="U80" s="50" t="s">
        <v>89</v>
      </c>
      <c r="V80" s="50"/>
      <c r="W80" s="59"/>
      <c r="X80" s="3"/>
      <c r="Y80" s="84"/>
      <c r="Z80" s="84"/>
      <c r="AA80" s="63"/>
    </row>
    <row r="81" spans="2:27" ht="15.75" x14ac:dyDescent="0.3">
      <c r="B81" s="3"/>
      <c r="C81" s="3"/>
      <c r="D81" s="29" t="s">
        <v>31</v>
      </c>
      <c r="E81" s="32">
        <f>'Referenz Plattenwerk'!$U$16+'Referenz Plattenwerk'!U21</f>
        <v>43.0426</v>
      </c>
      <c r="F81" s="32">
        <f>J154+J159</f>
        <v>43.0426</v>
      </c>
      <c r="G81" s="32">
        <f>J222+J227</f>
        <v>43.0426</v>
      </c>
      <c r="H81" s="25" t="s">
        <v>162</v>
      </c>
      <c r="I81" s="3"/>
      <c r="J81" s="3"/>
      <c r="K81" s="3"/>
      <c r="L81" s="29" t="s">
        <v>115</v>
      </c>
      <c r="M81" s="26">
        <f>'Referenz Plattenwerk'!Q74</f>
        <v>94.932355060000006</v>
      </c>
      <c r="N81" s="26">
        <f>F211</f>
        <v>80.312884479999994</v>
      </c>
      <c r="O81" s="26">
        <f>F279</f>
        <v>65.693413899999996</v>
      </c>
      <c r="P81" s="25" t="s">
        <v>162</v>
      </c>
      <c r="Q81" s="3"/>
      <c r="R81" s="3"/>
      <c r="S81" s="3"/>
      <c r="T81" s="57" t="s">
        <v>158</v>
      </c>
      <c r="U81" s="58">
        <f>SUM(U82:U88)</f>
        <v>109669</v>
      </c>
      <c r="V81" s="58">
        <f t="shared" ref="V81:W81" si="0">SUM(V82:V88)</f>
        <v>110614.71583333334</v>
      </c>
      <c r="W81" s="58">
        <f t="shared" si="0"/>
        <v>111560.43166666666</v>
      </c>
      <c r="X81" s="3"/>
      <c r="Y81" s="114"/>
      <c r="Z81" s="114"/>
      <c r="AA81" s="63"/>
    </row>
    <row r="82" spans="2:27" ht="15.75" x14ac:dyDescent="0.3">
      <c r="B82" s="3"/>
      <c r="C82" s="3"/>
      <c r="D82" s="8" t="s">
        <v>32</v>
      </c>
      <c r="E82" s="10">
        <f>'Referenz Plattenwerk'!$U$17+'Referenz Plattenwerk'!U22</f>
        <v>16.005600000000001</v>
      </c>
      <c r="F82" s="10">
        <f>J155+J160</f>
        <v>16.005600000000001</v>
      </c>
      <c r="G82" s="10">
        <f>J223+J228</f>
        <v>16.005600000000001</v>
      </c>
      <c r="H82" s="3" t="s">
        <v>162</v>
      </c>
      <c r="I82" s="3"/>
      <c r="J82" s="3"/>
      <c r="K82" s="3"/>
      <c r="L82" s="8" t="s">
        <v>28</v>
      </c>
      <c r="M82" s="9">
        <f>'Referenz Plattenwerk'!R74</f>
        <v>171.9</v>
      </c>
      <c r="N82" s="9">
        <f>G211</f>
        <v>136.39371159230473</v>
      </c>
      <c r="O82" s="9">
        <f>G279</f>
        <v>72.889224607318326</v>
      </c>
      <c r="P82" s="3" t="s">
        <v>162</v>
      </c>
      <c r="Q82" s="3"/>
      <c r="R82" s="3"/>
      <c r="S82" s="3"/>
      <c r="T82" s="31" t="s">
        <v>31</v>
      </c>
      <c r="U82" s="52">
        <f>'Referenz Plattenwerk'!AB16</f>
        <v>14335</v>
      </c>
      <c r="V82" s="52">
        <f>S154+S159</f>
        <v>14335</v>
      </c>
      <c r="W82" s="52">
        <f>S222+S227</f>
        <v>14335</v>
      </c>
      <c r="X82" s="3"/>
      <c r="Y82" s="114"/>
      <c r="Z82" s="114"/>
      <c r="AA82" s="63"/>
    </row>
    <row r="83" spans="2:27" ht="15.75" x14ac:dyDescent="0.3">
      <c r="B83" s="3"/>
      <c r="C83" s="3"/>
      <c r="D83" s="29" t="s">
        <v>33</v>
      </c>
      <c r="E83" s="32">
        <f>'Referenz Plattenwerk'!$U$18+'Referenz Plattenwerk'!R24</f>
        <v>171.9</v>
      </c>
      <c r="F83" s="32">
        <f>J156+J162</f>
        <v>136.39371159230473</v>
      </c>
      <c r="G83" s="32">
        <f>J224+J230</f>
        <v>72.889224607318326</v>
      </c>
      <c r="H83" s="25" t="s">
        <v>162</v>
      </c>
      <c r="I83" s="3"/>
      <c r="J83" s="3"/>
      <c r="K83" s="3"/>
      <c r="L83" s="29" t="s">
        <v>29</v>
      </c>
      <c r="M83" s="26">
        <f>'Referenz Plattenwerk'!S74</f>
        <v>5831.5296228095176</v>
      </c>
      <c r="N83" s="26">
        <f>H211</f>
        <v>5823.7415806870313</v>
      </c>
      <c r="O83" s="26">
        <f>H279</f>
        <v>5811.8490906055658</v>
      </c>
      <c r="P83" s="25" t="s">
        <v>162</v>
      </c>
      <c r="Q83" s="3"/>
      <c r="R83" s="3"/>
      <c r="S83" s="3"/>
      <c r="T83" s="31" t="s">
        <v>32</v>
      </c>
      <c r="U83" s="52">
        <f>'Referenz Plattenwerk'!AB17</f>
        <v>2760</v>
      </c>
      <c r="V83" s="52">
        <f>S155+S160</f>
        <v>2760</v>
      </c>
      <c r="W83" s="52">
        <f>S223+S228</f>
        <v>2760</v>
      </c>
      <c r="X83" s="3"/>
      <c r="Y83" s="114"/>
      <c r="Z83" s="114"/>
      <c r="AA83" s="63"/>
    </row>
    <row r="84" spans="2:27" ht="16.5" thickBot="1" x14ac:dyDescent="0.35">
      <c r="B84" s="3"/>
      <c r="C84" s="3"/>
      <c r="D84" s="8" t="s">
        <v>126</v>
      </c>
      <c r="E84" s="10">
        <f>'Referenz Plattenwerk'!$U$19</f>
        <v>0</v>
      </c>
      <c r="F84" s="10">
        <f>J157</f>
        <v>0</v>
      </c>
      <c r="G84" s="10">
        <f>J225</f>
        <v>0</v>
      </c>
      <c r="H84" s="3" t="s">
        <v>162</v>
      </c>
      <c r="I84" s="3"/>
      <c r="J84" s="3"/>
      <c r="K84" s="3"/>
      <c r="L84" s="27" t="s">
        <v>69</v>
      </c>
      <c r="M84" s="28">
        <f>SUM(M81:M83)</f>
        <v>6098.3619778695174</v>
      </c>
      <c r="N84" s="28">
        <f t="shared" ref="N84:O84" si="1">SUM(N81:N83)</f>
        <v>6040.4481767593361</v>
      </c>
      <c r="O84" s="28">
        <f t="shared" si="1"/>
        <v>5950.4317291128846</v>
      </c>
      <c r="P84" s="27" t="s">
        <v>163</v>
      </c>
      <c r="Q84" s="3"/>
      <c r="R84" s="3"/>
      <c r="S84" s="3"/>
      <c r="T84" s="31" t="s">
        <v>33</v>
      </c>
      <c r="U84" s="52">
        <f>'Referenz Plattenwerk'!AB18</f>
        <v>77400</v>
      </c>
      <c r="V84" s="52">
        <f>S156+S162</f>
        <v>84527.715833333335</v>
      </c>
      <c r="W84" s="52">
        <f>S224+S230</f>
        <v>91655.431666666656</v>
      </c>
      <c r="X84" s="3"/>
      <c r="Y84" s="114"/>
      <c r="Z84" s="114"/>
      <c r="AA84" s="63"/>
    </row>
    <row r="85" spans="2:27" ht="16.5" thickTop="1" x14ac:dyDescent="0.3">
      <c r="B85" s="3"/>
      <c r="C85" s="3"/>
      <c r="D85" s="29" t="s">
        <v>122</v>
      </c>
      <c r="E85" s="32">
        <f>'Referenz Plattenwerk'!$U$25</f>
        <v>0</v>
      </c>
      <c r="F85" s="32">
        <f>J163</f>
        <v>0</v>
      </c>
      <c r="G85" s="32">
        <f>J231</f>
        <v>0</v>
      </c>
      <c r="H85" s="25" t="s">
        <v>162</v>
      </c>
      <c r="I85" s="3"/>
      <c r="J85" s="3"/>
      <c r="K85" s="3"/>
      <c r="L85" s="3"/>
      <c r="M85" s="3"/>
      <c r="N85" s="3"/>
      <c r="O85" s="3"/>
      <c r="P85" s="3"/>
      <c r="Q85" s="3"/>
      <c r="R85" s="3"/>
      <c r="S85" s="3"/>
      <c r="T85" s="31" t="s">
        <v>122</v>
      </c>
      <c r="U85" s="52">
        <f>'Referenz Plattenwerk'!AB19</f>
        <v>0</v>
      </c>
      <c r="V85" s="52">
        <f>S163</f>
        <v>0</v>
      </c>
      <c r="W85" s="52">
        <f>S231</f>
        <v>0</v>
      </c>
      <c r="X85" s="3"/>
      <c r="Y85" s="114"/>
      <c r="Z85" s="114"/>
      <c r="AA85" s="63"/>
    </row>
    <row r="86" spans="2:27" ht="15.75" x14ac:dyDescent="0.3">
      <c r="B86" s="3"/>
      <c r="C86" s="3"/>
      <c r="D86" s="8" t="s">
        <v>149</v>
      </c>
      <c r="E86" s="10">
        <f>'Referenz Plattenwerk'!$U$26</f>
        <v>0</v>
      </c>
      <c r="F86" s="10">
        <f>J164</f>
        <v>0</v>
      </c>
      <c r="G86" s="10">
        <f>J232</f>
        <v>0</v>
      </c>
      <c r="H86" s="3" t="s">
        <v>162</v>
      </c>
      <c r="I86" s="3"/>
      <c r="J86" s="3"/>
      <c r="K86" s="3"/>
      <c r="L86" s="3"/>
      <c r="M86" s="3"/>
      <c r="N86" s="3"/>
      <c r="O86" s="3"/>
      <c r="P86" s="3"/>
      <c r="Q86" s="3"/>
      <c r="R86" s="3"/>
      <c r="S86" s="3"/>
      <c r="T86" s="31" t="s">
        <v>123</v>
      </c>
      <c r="U86" s="52">
        <f>'Referenz Plattenwerk'!AB20</f>
        <v>0</v>
      </c>
      <c r="V86" s="52">
        <f>S157</f>
        <v>0</v>
      </c>
      <c r="W86" s="52">
        <f>S225</f>
        <v>0</v>
      </c>
      <c r="X86" s="3"/>
      <c r="Y86" s="114"/>
      <c r="Z86" s="114"/>
      <c r="AA86" s="63"/>
    </row>
    <row r="87" spans="2:27" ht="15.75" x14ac:dyDescent="0.3">
      <c r="B87" s="3"/>
      <c r="C87" s="3"/>
      <c r="D87" s="29" t="s">
        <v>34</v>
      </c>
      <c r="E87" s="32">
        <f>'Referenz Plattenwerk'!$U$28+'Referenz Plattenwerk'!$U$29</f>
        <v>35.884155059999998</v>
      </c>
      <c r="F87" s="32">
        <f>J166+J167</f>
        <v>21.264684479999996</v>
      </c>
      <c r="G87" s="32">
        <f>J234+J235</f>
        <v>6.645213899999999</v>
      </c>
      <c r="H87" s="25" t="s">
        <v>162</v>
      </c>
      <c r="I87" s="3"/>
      <c r="J87" s="3"/>
      <c r="K87" s="3"/>
      <c r="L87" s="23" t="s">
        <v>192</v>
      </c>
      <c r="M87" s="24"/>
      <c r="N87" s="24"/>
      <c r="O87" s="24"/>
      <c r="P87" s="24"/>
      <c r="Q87" s="3"/>
      <c r="R87" s="3"/>
      <c r="S87" s="3"/>
      <c r="T87" s="31" t="s">
        <v>466</v>
      </c>
      <c r="U87" s="52">
        <f>'Referenz Plattenwerk'!AB21</f>
        <v>0</v>
      </c>
      <c r="V87" s="52">
        <f>S164</f>
        <v>0</v>
      </c>
      <c r="W87" s="52">
        <f>S232</f>
        <v>0</v>
      </c>
      <c r="X87" s="3"/>
      <c r="Y87" s="114"/>
      <c r="Z87" s="114"/>
      <c r="AA87" s="63"/>
    </row>
    <row r="88" spans="2:27" ht="15.75" thickBot="1" x14ac:dyDescent="0.3">
      <c r="B88" s="3"/>
      <c r="C88" s="3"/>
      <c r="D88" s="27" t="s">
        <v>69</v>
      </c>
      <c r="E88" s="33">
        <f>SUM(E81:E87)</f>
        <v>266.83235506</v>
      </c>
      <c r="F88" s="33">
        <f>SUM(F81:F87)</f>
        <v>216.70659607230473</v>
      </c>
      <c r="G88" s="33">
        <f>SUM(G81:G87)</f>
        <v>138.58263850731831</v>
      </c>
      <c r="H88" s="27" t="s">
        <v>163</v>
      </c>
      <c r="I88" s="3"/>
      <c r="J88" s="3"/>
      <c r="K88" s="397" t="s">
        <v>145</v>
      </c>
      <c r="L88" s="34"/>
      <c r="M88" s="46">
        <v>2020</v>
      </c>
      <c r="N88" s="47">
        <v>2025</v>
      </c>
      <c r="O88" s="47">
        <v>2030</v>
      </c>
      <c r="P88" s="34"/>
      <c r="Q88" s="3"/>
      <c r="R88" s="3"/>
      <c r="S88" s="3"/>
      <c r="T88" s="51" t="s">
        <v>34</v>
      </c>
      <c r="U88" s="53">
        <f>'Referenz Plattenwerk'!AB22</f>
        <v>15174.000000000002</v>
      </c>
      <c r="V88" s="54">
        <f>S166+S167</f>
        <v>8992.0000000000018</v>
      </c>
      <c r="W88" s="54">
        <f>S234+S235</f>
        <v>2810.0000000000005</v>
      </c>
      <c r="X88" s="3"/>
      <c r="Y88" s="114"/>
      <c r="Z88" s="114"/>
      <c r="AA88" s="63"/>
    </row>
    <row r="89" spans="2:27" ht="13.5" thickTop="1" x14ac:dyDescent="0.2">
      <c r="B89" s="3"/>
      <c r="C89" s="3"/>
      <c r="D89" s="3"/>
      <c r="E89" s="3"/>
      <c r="F89" s="3"/>
      <c r="G89" s="3"/>
      <c r="H89" s="3"/>
      <c r="I89" s="3"/>
      <c r="J89" s="3"/>
      <c r="K89" s="397"/>
      <c r="L89" s="24"/>
      <c r="M89" s="48" t="s">
        <v>89</v>
      </c>
      <c r="N89" s="49"/>
      <c r="O89" s="49"/>
      <c r="P89" s="24"/>
      <c r="Q89" s="3"/>
      <c r="R89" s="3"/>
      <c r="S89" s="3"/>
      <c r="T89" s="8" t="s">
        <v>30</v>
      </c>
      <c r="U89" s="55">
        <v>0</v>
      </c>
      <c r="V89" s="55">
        <f>S170</f>
        <v>54000</v>
      </c>
      <c r="W89" s="55">
        <f>S238</f>
        <v>108000</v>
      </c>
      <c r="X89" s="3"/>
      <c r="Y89" s="114"/>
      <c r="Z89" s="114"/>
      <c r="AA89" s="63"/>
    </row>
    <row r="90" spans="2:27" ht="15.75" x14ac:dyDescent="0.3">
      <c r="B90" s="3"/>
      <c r="C90" s="3"/>
      <c r="D90" s="3"/>
      <c r="E90" s="3"/>
      <c r="F90" s="3"/>
      <c r="G90" s="3"/>
      <c r="H90" s="3"/>
      <c r="I90" s="3"/>
      <c r="J90" s="3"/>
      <c r="K90" s="3"/>
      <c r="L90" s="29" t="str">
        <f>C152</f>
        <v>Energieträger gesamt</v>
      </c>
      <c r="M90" s="26">
        <f>SUM('Referenz Plattenwerk'!S16:S29)</f>
        <v>41.281733459999998</v>
      </c>
      <c r="N90" s="26">
        <f>H152</f>
        <v>33.493691337510647</v>
      </c>
      <c r="O90" s="26">
        <f>H220</f>
        <v>21.601201256046664</v>
      </c>
      <c r="P90" s="25" t="s">
        <v>162</v>
      </c>
      <c r="Q90" s="3"/>
      <c r="R90" s="3"/>
      <c r="S90" s="3"/>
      <c r="T90" s="8" t="s">
        <v>153</v>
      </c>
      <c r="U90" s="55">
        <v>0</v>
      </c>
      <c r="V90" s="55">
        <f>S171</f>
        <v>0</v>
      </c>
      <c r="W90" s="55">
        <f>S239</f>
        <v>0</v>
      </c>
      <c r="X90" s="3"/>
      <c r="Y90" s="114"/>
      <c r="Z90" s="114"/>
      <c r="AA90" s="63"/>
    </row>
    <row r="91" spans="2:27" ht="15.75" x14ac:dyDescent="0.3">
      <c r="B91" s="3"/>
      <c r="C91" s="3"/>
      <c r="D91" s="3"/>
      <c r="E91" s="3"/>
      <c r="F91" s="3"/>
      <c r="G91" s="3"/>
      <c r="H91" s="3"/>
      <c r="I91" s="3"/>
      <c r="J91" s="3"/>
      <c r="K91" s="3"/>
      <c r="L91" s="8" t="str">
        <f>C168</f>
        <v>Transport gesamt</v>
      </c>
      <c r="M91" s="9">
        <f>'Referenz Plattenwerk'!S32+'Referenz Plattenwerk'!S33</f>
        <v>469.15642799999995</v>
      </c>
      <c r="N91" s="9">
        <f>H168</f>
        <v>469.15642799999995</v>
      </c>
      <c r="O91" s="9">
        <f>H236</f>
        <v>469.15642799999995</v>
      </c>
      <c r="P91" s="3" t="s">
        <v>162</v>
      </c>
      <c r="Q91" s="3"/>
      <c r="R91" s="3"/>
      <c r="S91" s="3"/>
      <c r="T91" s="59" t="s">
        <v>160</v>
      </c>
      <c r="U91" s="61">
        <v>0</v>
      </c>
      <c r="V91" s="61">
        <f>S172</f>
        <v>0</v>
      </c>
      <c r="W91" s="61">
        <f>S240</f>
        <v>0</v>
      </c>
      <c r="X91" s="3"/>
      <c r="Y91" s="114"/>
      <c r="Z91" s="114"/>
      <c r="AA91" s="63"/>
    </row>
    <row r="92" spans="2:27" ht="15.75" x14ac:dyDescent="0.3">
      <c r="B92" s="3"/>
      <c r="C92" s="3"/>
      <c r="D92" s="3"/>
      <c r="E92" s="3"/>
      <c r="F92" s="3"/>
      <c r="G92" s="3"/>
      <c r="H92" s="3"/>
      <c r="I92" s="3"/>
      <c r="J92" s="3"/>
      <c r="K92" s="3"/>
      <c r="L92" s="29" t="str">
        <f>C172</f>
        <v>Zement</v>
      </c>
      <c r="M92" s="26">
        <f>'Referenz Plattenwerk'!S35</f>
        <v>4548.5439999999999</v>
      </c>
      <c r="N92" s="26">
        <f>H172</f>
        <v>4548.5439999999999</v>
      </c>
      <c r="O92" s="26">
        <f>H240</f>
        <v>4548.5439999999999</v>
      </c>
      <c r="P92" s="25" t="s">
        <v>162</v>
      </c>
      <c r="Q92" s="3"/>
      <c r="R92" s="3"/>
      <c r="S92" s="3"/>
      <c r="T92" s="57" t="s">
        <v>154</v>
      </c>
      <c r="U92" s="58">
        <f>SUM(U93:U95)</f>
        <v>152459.04944673795</v>
      </c>
      <c r="V92" s="58">
        <f t="shared" ref="V92:W92" si="2">SUM(V93:V95)</f>
        <v>271820.16795417015</v>
      </c>
      <c r="W92" s="58">
        <f t="shared" si="2"/>
        <v>476034.53832903074</v>
      </c>
      <c r="X92" s="3"/>
      <c r="Y92" s="114"/>
      <c r="Z92" s="114"/>
      <c r="AA92" s="63"/>
    </row>
    <row r="93" spans="2:27" ht="15.75" x14ac:dyDescent="0.3">
      <c r="B93" s="3"/>
      <c r="C93" s="3"/>
      <c r="D93" s="3"/>
      <c r="E93" s="3"/>
      <c r="F93" s="3"/>
      <c r="G93" s="3"/>
      <c r="H93" s="3"/>
      <c r="I93" s="3"/>
      <c r="J93" s="3"/>
      <c r="K93" s="3"/>
      <c r="L93" s="8" t="str">
        <f>C178</f>
        <v>Gesteinskörnungen (Zuschlagsstoffe)</v>
      </c>
      <c r="M93" s="9">
        <f>'Referenz Plattenwerk'!S41</f>
        <v>129.59200000000001</v>
      </c>
      <c r="N93" s="9">
        <f>H178</f>
        <v>129.59200000000001</v>
      </c>
      <c r="O93" s="9">
        <f>H246</f>
        <v>129.59200000000001</v>
      </c>
      <c r="P93" s="3" t="s">
        <v>162</v>
      </c>
      <c r="Q93" s="3"/>
      <c r="R93" s="3"/>
      <c r="S93" s="3"/>
      <c r="T93" s="31" t="s">
        <v>155</v>
      </c>
      <c r="U93" s="52">
        <f>'Referenz Plattenwerk'!AB26</f>
        <v>2373.3088765000002</v>
      </c>
      <c r="V93" s="52">
        <f>S175</f>
        <v>3614.0798015999999</v>
      </c>
      <c r="W93" s="52">
        <f>S243</f>
        <v>5255.4731119999997</v>
      </c>
      <c r="X93" s="3"/>
      <c r="Y93" s="114"/>
      <c r="Z93" s="114"/>
      <c r="AA93" s="63"/>
    </row>
    <row r="94" spans="2:27" ht="15.75" x14ac:dyDescent="0.3">
      <c r="B94" s="3"/>
      <c r="C94" s="3"/>
      <c r="D94" s="3"/>
      <c r="E94" s="3"/>
      <c r="F94" s="3"/>
      <c r="G94" s="3"/>
      <c r="H94" s="3"/>
      <c r="I94" s="3"/>
      <c r="J94" s="3"/>
      <c r="K94" s="3"/>
      <c r="L94" s="29" t="str">
        <f>D183</f>
        <v>Farben</v>
      </c>
      <c r="M94" s="26">
        <f>'Referenz Plattenwerk'!S46</f>
        <v>208</v>
      </c>
      <c r="N94" s="26">
        <f>H183</f>
        <v>208</v>
      </c>
      <c r="O94" s="26">
        <f>H251</f>
        <v>208</v>
      </c>
      <c r="P94" s="25" t="s">
        <v>162</v>
      </c>
      <c r="Q94" s="3"/>
      <c r="R94" s="3"/>
      <c r="S94" s="3"/>
      <c r="T94" s="31" t="s">
        <v>156</v>
      </c>
      <c r="U94" s="52">
        <f>'Referenz Plattenwerk'!AB27</f>
        <v>4297.5</v>
      </c>
      <c r="V94" s="52">
        <f>S176</f>
        <v>6137.7170216537124</v>
      </c>
      <c r="W94" s="52">
        <f>S244</f>
        <v>5831.1379685854663</v>
      </c>
      <c r="X94" s="3"/>
      <c r="Y94" s="114"/>
      <c r="Z94" s="114"/>
      <c r="AA94" s="63"/>
    </row>
    <row r="95" spans="2:27" ht="15.75" x14ac:dyDescent="0.3">
      <c r="B95" s="3"/>
      <c r="C95" s="3"/>
      <c r="D95" s="3"/>
      <c r="E95" s="3"/>
      <c r="F95" s="3"/>
      <c r="G95" s="3"/>
      <c r="H95" s="3"/>
      <c r="I95" s="3"/>
      <c r="J95" s="3"/>
      <c r="K95" s="3"/>
      <c r="L95" s="8" t="str">
        <f>C185</f>
        <v>Zusatzstoffe (Füllstoffe)</v>
      </c>
      <c r="M95" s="9">
        <f>'Referenz Plattenwerk'!S48</f>
        <v>81.003999999999991</v>
      </c>
      <c r="N95" s="9">
        <f>H185</f>
        <v>81.003999999999991</v>
      </c>
      <c r="O95" s="9">
        <f>H253</f>
        <v>81.003999999999991</v>
      </c>
      <c r="P95" s="3" t="s">
        <v>162</v>
      </c>
      <c r="Q95" s="3"/>
      <c r="R95" s="3"/>
      <c r="S95" s="3"/>
      <c r="T95" s="31" t="s">
        <v>157</v>
      </c>
      <c r="U95" s="52">
        <f>'Referenz Plattenwerk'!AB28</f>
        <v>145788.24057023795</v>
      </c>
      <c r="V95" s="52">
        <f>S177</f>
        <v>262068.37113091641</v>
      </c>
      <c r="W95" s="52">
        <f>S245</f>
        <v>464947.92724844528</v>
      </c>
      <c r="X95" s="3"/>
      <c r="Y95" s="114"/>
      <c r="Z95" s="114"/>
      <c r="AA95" s="63"/>
    </row>
    <row r="96" spans="2:27" ht="16.5" thickBot="1" x14ac:dyDescent="0.35">
      <c r="B96" s="3"/>
      <c r="C96" s="3"/>
      <c r="D96" s="3"/>
      <c r="E96" s="3"/>
      <c r="F96" s="3"/>
      <c r="G96" s="3"/>
      <c r="H96" s="3"/>
      <c r="I96" s="3"/>
      <c r="J96" s="3"/>
      <c r="K96" s="3"/>
      <c r="L96" s="29" t="str">
        <f>C190</f>
        <v>Zusatzmittel</v>
      </c>
      <c r="M96" s="26">
        <f>'Referenz Plattenwerk'!S53</f>
        <v>148.44746134951595</v>
      </c>
      <c r="N96" s="26">
        <f>H190</f>
        <v>148.44746134951595</v>
      </c>
      <c r="O96" s="26">
        <f>H258</f>
        <v>148.44746134951595</v>
      </c>
      <c r="P96" s="25" t="s">
        <v>162</v>
      </c>
      <c r="Q96" s="3"/>
      <c r="R96" s="3"/>
      <c r="S96" s="3"/>
      <c r="T96" s="27" t="s">
        <v>69</v>
      </c>
      <c r="U96" s="56">
        <f>U92+U91+U90+U89+U81</f>
        <v>262128.04944673795</v>
      </c>
      <c r="V96" s="56">
        <f t="shared" ref="V96:W96" si="3">V92+V91+V90+V89+V81</f>
        <v>436434.88378750347</v>
      </c>
      <c r="W96" s="56">
        <f t="shared" si="3"/>
        <v>695594.96999569738</v>
      </c>
      <c r="X96" s="3"/>
      <c r="Y96" s="114"/>
      <c r="Z96" s="114"/>
      <c r="AA96" s="63"/>
    </row>
    <row r="97" spans="2:27" ht="16.5" thickTop="1" x14ac:dyDescent="0.3">
      <c r="B97" s="3"/>
      <c r="C97" s="3"/>
      <c r="D97" s="3"/>
      <c r="E97" s="3"/>
      <c r="F97" s="3"/>
      <c r="G97" s="3"/>
      <c r="H97" s="3"/>
      <c r="I97" s="3"/>
      <c r="J97" s="3"/>
      <c r="K97" s="3"/>
      <c r="L97" s="8" t="s">
        <v>193</v>
      </c>
      <c r="M97" s="9">
        <f>'Referenz Plattenwerk'!S59+'Referenz Plattenwerk'!S60</f>
        <v>0.54400000000000004</v>
      </c>
      <c r="N97" s="9">
        <f>H196+H197</f>
        <v>0.54400000000000004</v>
      </c>
      <c r="O97" s="9">
        <f>H264+H265</f>
        <v>0.54400000000000004</v>
      </c>
      <c r="P97" s="3" t="s">
        <v>162</v>
      </c>
      <c r="Q97" s="3"/>
      <c r="R97" s="3"/>
      <c r="S97" s="3"/>
      <c r="T97" s="3"/>
      <c r="U97" s="3"/>
      <c r="V97" s="3"/>
      <c r="W97" s="3"/>
      <c r="X97" s="3"/>
      <c r="Y97" s="63"/>
      <c r="Z97" s="63"/>
      <c r="AA97" s="63"/>
    </row>
    <row r="98" spans="2:27" ht="16.5" thickBot="1" x14ac:dyDescent="0.35">
      <c r="B98" s="3"/>
      <c r="C98" s="3"/>
      <c r="D98" s="3"/>
      <c r="E98" s="3"/>
      <c r="F98" s="3"/>
      <c r="G98" s="3"/>
      <c r="H98" s="3"/>
      <c r="I98" s="3"/>
      <c r="J98" s="3"/>
      <c r="K98" s="3"/>
      <c r="L98" s="29" t="str">
        <f>C199</f>
        <v>Oberflächenschutzsysteme</v>
      </c>
      <c r="M98" s="26">
        <f>'Referenz Plattenwerk'!S62</f>
        <v>80.47999999999999</v>
      </c>
      <c r="N98" s="26">
        <f>H199</f>
        <v>80.47999999999999</v>
      </c>
      <c r="O98" s="26">
        <f>H267</f>
        <v>80.47999999999999</v>
      </c>
      <c r="P98" s="25" t="s">
        <v>162</v>
      </c>
      <c r="Q98" s="3"/>
      <c r="R98" s="3"/>
      <c r="S98" s="3"/>
      <c r="T98" s="105" t="s">
        <v>210</v>
      </c>
      <c r="U98" s="106">
        <f>U96-U95</f>
        <v>116339.8088765</v>
      </c>
      <c r="V98" s="106">
        <f>V96-V95</f>
        <v>174366.51265658706</v>
      </c>
      <c r="W98" s="106">
        <f>W96-W95</f>
        <v>230647.0427472521</v>
      </c>
      <c r="X98" s="3"/>
      <c r="Y98" s="3"/>
      <c r="Z98" s="3"/>
      <c r="AA98" s="3"/>
    </row>
    <row r="99" spans="2:27" ht="16.5" thickBot="1" x14ac:dyDescent="0.35">
      <c r="B99" s="3"/>
      <c r="C99" s="3"/>
      <c r="D99" s="3"/>
      <c r="E99" s="3"/>
      <c r="F99" s="3"/>
      <c r="G99" s="3"/>
      <c r="H99" s="3"/>
      <c r="I99" s="3"/>
      <c r="J99" s="3"/>
      <c r="K99" s="3"/>
      <c r="L99" s="8" t="str">
        <f>C204</f>
        <v>Oberflächenbearbeitung (vor/nach Erhärtung)</v>
      </c>
      <c r="M99" s="9">
        <f>'Referenz Plattenwerk'!S67</f>
        <v>60</v>
      </c>
      <c r="N99" s="9">
        <f>H204</f>
        <v>60</v>
      </c>
      <c r="O99" s="9">
        <f>H272</f>
        <v>60</v>
      </c>
      <c r="P99" s="3" t="s">
        <v>162</v>
      </c>
      <c r="Q99" s="3"/>
      <c r="R99" s="3"/>
      <c r="S99" s="3"/>
      <c r="T99" s="107" t="s">
        <v>159</v>
      </c>
      <c r="U99" s="108">
        <f>U96-U92</f>
        <v>109669</v>
      </c>
      <c r="V99" s="108">
        <f>V96-V92</f>
        <v>164614.71583333332</v>
      </c>
      <c r="W99" s="108">
        <f>W96-W92</f>
        <v>219560.43166666664</v>
      </c>
      <c r="X99" s="3"/>
      <c r="Y99" s="3"/>
      <c r="Z99" s="3"/>
      <c r="AA99" s="3"/>
    </row>
    <row r="100" spans="2:27" ht="15.75" x14ac:dyDescent="0.3">
      <c r="B100" s="3"/>
      <c r="C100" s="3"/>
      <c r="D100" s="3"/>
      <c r="E100" s="3"/>
      <c r="F100" s="3"/>
      <c r="G100" s="3"/>
      <c r="H100" s="3"/>
      <c r="I100" s="3"/>
      <c r="J100" s="3"/>
      <c r="K100" s="3"/>
      <c r="L100" s="29" t="str">
        <f>D209</f>
        <v>Verpackungsmaterial</v>
      </c>
      <c r="M100" s="26">
        <f>'Referenz Plattenwerk'!S72</f>
        <v>64.48</v>
      </c>
      <c r="N100" s="26">
        <f>H209</f>
        <v>64.48</v>
      </c>
      <c r="O100" s="26">
        <f>H277</f>
        <v>64.48</v>
      </c>
      <c r="P100" s="25" t="s">
        <v>162</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69</v>
      </c>
      <c r="M101" s="28">
        <f>SUM(M90:M100)</f>
        <v>5831.529622809514</v>
      </c>
      <c r="N101" s="28">
        <f t="shared" ref="N101" si="4">SUM(N90:N100)</f>
        <v>5823.7415806870249</v>
      </c>
      <c r="O101" s="28">
        <f>SUM(O90:O100)</f>
        <v>5811.8490906055604</v>
      </c>
      <c r="P101" s="27" t="s">
        <v>163</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8"/>
      <c r="M102" s="83"/>
      <c r="N102" s="83"/>
      <c r="O102" s="83"/>
      <c r="P102" s="8"/>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8"/>
      <c r="M103" s="83"/>
      <c r="N103" s="83"/>
      <c r="O103" s="83"/>
      <c r="P103" s="8"/>
      <c r="Q103" s="3"/>
      <c r="R103" s="3"/>
      <c r="S103" s="3"/>
      <c r="T103" s="3"/>
      <c r="U103" s="3"/>
      <c r="V103" s="3"/>
      <c r="W103" s="3"/>
      <c r="X103" s="3"/>
      <c r="Y103" s="3"/>
      <c r="Z103" s="3"/>
      <c r="AA103" s="3"/>
    </row>
    <row r="104" spans="2:27" ht="15" x14ac:dyDescent="0.25">
      <c r="B104" s="3"/>
      <c r="C104" s="3"/>
      <c r="D104" s="3"/>
      <c r="E104" s="3"/>
      <c r="F104" s="3"/>
      <c r="G104" s="3"/>
      <c r="H104" s="3"/>
      <c r="I104" s="3"/>
      <c r="J104" s="3"/>
      <c r="K104" s="3"/>
      <c r="L104" s="23" t="s">
        <v>208</v>
      </c>
      <c r="M104" s="3"/>
      <c r="N104" s="3"/>
      <c r="O104" s="3"/>
      <c r="P104" s="3"/>
      <c r="Q104" s="3"/>
      <c r="R104" s="3"/>
      <c r="S104" s="3"/>
      <c r="T104" s="3"/>
      <c r="U104" s="3"/>
      <c r="V104" s="3"/>
      <c r="W104" s="3"/>
      <c r="X104" s="3"/>
      <c r="Y104" s="3"/>
      <c r="Z104" s="3"/>
      <c r="AA104" s="3"/>
    </row>
    <row r="105" spans="2:27" ht="15" x14ac:dyDescent="0.25">
      <c r="B105" s="3"/>
      <c r="C105" s="3"/>
      <c r="D105" s="3"/>
      <c r="E105" s="3"/>
      <c r="F105" s="3"/>
      <c r="G105" s="3"/>
      <c r="H105" s="3"/>
      <c r="I105" s="3"/>
      <c r="J105" s="3"/>
      <c r="K105" s="3"/>
      <c r="L105" s="34"/>
      <c r="M105" s="46">
        <v>2020</v>
      </c>
      <c r="N105" s="47">
        <v>2025</v>
      </c>
      <c r="O105" s="47">
        <v>2030</v>
      </c>
      <c r="P105" s="34"/>
      <c r="Q105" s="3"/>
      <c r="R105" s="3"/>
      <c r="S105" s="3"/>
      <c r="T105" s="3"/>
      <c r="U105" s="3"/>
      <c r="V105" s="3"/>
      <c r="W105" s="3"/>
      <c r="X105" s="3"/>
      <c r="Y105" s="3"/>
      <c r="Z105" s="3"/>
      <c r="AA105" s="3"/>
    </row>
    <row r="106" spans="2:27" x14ac:dyDescent="0.2">
      <c r="B106" s="3"/>
      <c r="C106" s="3"/>
      <c r="D106" s="3"/>
      <c r="E106" s="3"/>
      <c r="F106" s="3"/>
      <c r="G106" s="3"/>
      <c r="H106" s="3"/>
      <c r="I106" s="3"/>
      <c r="J106" s="3"/>
      <c r="K106" s="3"/>
      <c r="L106" s="24"/>
      <c r="M106" s="48" t="s">
        <v>89</v>
      </c>
      <c r="N106" s="49"/>
      <c r="O106" s="49"/>
      <c r="P106" s="24"/>
      <c r="Q106" s="3"/>
      <c r="R106" s="3"/>
      <c r="S106" s="3"/>
      <c r="T106" s="3"/>
      <c r="U106" s="3"/>
      <c r="V106" s="3"/>
      <c r="W106" s="3"/>
      <c r="X106" s="3"/>
      <c r="Y106" s="3"/>
      <c r="Z106" s="3"/>
      <c r="AA106" s="3"/>
    </row>
    <row r="107" spans="2:27" ht="15.75" x14ac:dyDescent="0.3">
      <c r="B107" s="3"/>
      <c r="C107" s="3"/>
      <c r="D107" s="3"/>
      <c r="E107" s="3"/>
      <c r="F107" s="3"/>
      <c r="G107" s="3"/>
      <c r="H107" s="3"/>
      <c r="I107" s="3"/>
      <c r="J107" s="3"/>
      <c r="K107" s="3"/>
      <c r="L107" s="29" t="s">
        <v>115</v>
      </c>
      <c r="M107" s="98">
        <f>M81/IF(NOT(ISBLANK('Referenz Plattenwerk'!$I$12)),'Referenz Plattenwerk'!$I$12,'Referenz Plattenwerk'!$F$12)</f>
        <v>2.3733088764999999E-3</v>
      </c>
      <c r="N107" s="98">
        <f>N81/IF(NOT(ISBLANK('Referenz Plattenwerk'!$I$12)),'Referenz Plattenwerk'!$I$12,'Referenz Plattenwerk'!$F$12)</f>
        <v>2.0078221119999998E-3</v>
      </c>
      <c r="O107" s="98">
        <f>O81/IF(NOT(ISBLANK('Referenz Plattenwerk'!$I$12)),'Referenz Plattenwerk'!$I$12,'Referenz Plattenwerk'!$F$12)</f>
        <v>1.6423353474999999E-3</v>
      </c>
      <c r="P107" s="25" t="s">
        <v>207</v>
      </c>
      <c r="Q107" s="3"/>
      <c r="R107" s="3"/>
      <c r="S107" s="3"/>
      <c r="T107" s="3"/>
      <c r="U107" s="3"/>
      <c r="V107" s="3"/>
      <c r="W107" s="3"/>
      <c r="X107" s="3"/>
      <c r="Y107" s="3"/>
      <c r="Z107" s="3"/>
      <c r="AA107" s="3"/>
    </row>
    <row r="108" spans="2:27" ht="15.75" x14ac:dyDescent="0.3">
      <c r="B108" s="3"/>
      <c r="C108" s="3"/>
      <c r="D108" s="3"/>
      <c r="E108" s="3"/>
      <c r="F108" s="3"/>
      <c r="G108" s="3"/>
      <c r="H108" s="3"/>
      <c r="I108" s="3"/>
      <c r="J108" s="3"/>
      <c r="K108" s="3"/>
      <c r="L108" s="8" t="s">
        <v>28</v>
      </c>
      <c r="M108" s="99">
        <f>M82/IF(NOT(ISBLANK('Referenz Plattenwerk'!$I$12)),'Referenz Plattenwerk'!$I$12,'Referenz Plattenwerk'!$F$12)</f>
        <v>4.2975000000000001E-3</v>
      </c>
      <c r="N108" s="99">
        <f>N82/IF(NOT(ISBLANK('Referenz Plattenwerk'!$I$12)),'Referenz Plattenwerk'!$I$12,'Referenz Plattenwerk'!$F$12)</f>
        <v>3.4098427898076183E-3</v>
      </c>
      <c r="O108" s="99">
        <f>O82/IF(NOT(ISBLANK('Referenz Plattenwerk'!$I$12)),'Referenz Plattenwerk'!$I$12,'Referenz Plattenwerk'!$F$12)</f>
        <v>1.8222306151829582E-3</v>
      </c>
      <c r="P108" s="3" t="s">
        <v>207</v>
      </c>
      <c r="Q108" s="3"/>
      <c r="R108" s="3"/>
      <c r="S108" s="3"/>
      <c r="T108" s="3"/>
      <c r="U108" s="3"/>
      <c r="V108" s="3"/>
      <c r="W108" s="3"/>
      <c r="X108" s="3"/>
      <c r="Y108" s="3"/>
      <c r="Z108" s="3"/>
      <c r="AA108" s="3"/>
    </row>
    <row r="109" spans="2:27" ht="15.75" x14ac:dyDescent="0.3">
      <c r="B109" s="3"/>
      <c r="C109" s="3"/>
      <c r="D109" s="3"/>
      <c r="E109" s="3"/>
      <c r="F109" s="3"/>
      <c r="G109" s="3"/>
      <c r="H109" s="3"/>
      <c r="I109" s="3"/>
      <c r="J109" s="3"/>
      <c r="K109" s="3"/>
      <c r="L109" s="29" t="s">
        <v>29</v>
      </c>
      <c r="M109" s="98">
        <f>M83/IF(NOT(ISBLANK('Referenz Plattenwerk'!$I$12)),'Referenz Plattenwerk'!$I$12,'Referenz Plattenwerk'!$F$12)</f>
        <v>0.14578824057023795</v>
      </c>
      <c r="N109" s="98">
        <f>N83/IF(NOT(ISBLANK('Referenz Plattenwerk'!$I$12)),'Referenz Plattenwerk'!$I$12,'Referenz Plattenwerk'!$F$12)</f>
        <v>0.14559353951717577</v>
      </c>
      <c r="O109" s="98">
        <f>O83/IF(NOT(ISBLANK('Referenz Plattenwerk'!$I$12)),'Referenz Plattenwerk'!$I$12,'Referenz Plattenwerk'!$F$12)</f>
        <v>0.14529622726513913</v>
      </c>
      <c r="P109" s="25" t="s">
        <v>207</v>
      </c>
      <c r="Q109" s="3"/>
      <c r="R109" s="3"/>
      <c r="S109" s="3"/>
      <c r="T109" s="3"/>
      <c r="U109" s="3"/>
      <c r="V109" s="3"/>
      <c r="W109" s="3"/>
      <c r="X109" s="3"/>
      <c r="Y109" s="3"/>
      <c r="Z109" s="3"/>
      <c r="AA109" s="3"/>
    </row>
    <row r="110" spans="2:27" ht="15" thickBot="1" x14ac:dyDescent="0.3">
      <c r="B110" s="3"/>
      <c r="C110" s="3"/>
      <c r="D110" s="3"/>
      <c r="E110" s="3"/>
      <c r="F110" s="3"/>
      <c r="G110" s="3"/>
      <c r="H110" s="3"/>
      <c r="I110" s="3"/>
      <c r="J110" s="3"/>
      <c r="K110" s="3"/>
      <c r="L110" s="27" t="s">
        <v>69</v>
      </c>
      <c r="M110" s="100">
        <f>M84/IF(NOT(ISBLANK('Referenz Plattenwerk'!$I$12)),'Referenz Plattenwerk'!$I$12,'Referenz Plattenwerk'!$F$12)</f>
        <v>0.15245904944673794</v>
      </c>
      <c r="N110" s="100">
        <f>N84/IF(NOT(ISBLANK('Referenz Plattenwerk'!$I$12)),'Referenz Plattenwerk'!$I$12,'Referenz Plattenwerk'!$F$12)</f>
        <v>0.15101120441898341</v>
      </c>
      <c r="O110" s="100">
        <f>O84/IF(NOT(ISBLANK('Referenz Plattenwerk'!$I$12)),'Referenz Plattenwerk'!$I$12,'Referenz Plattenwerk'!$F$12)</f>
        <v>0.14876079322782212</v>
      </c>
      <c r="P110" s="27" t="s">
        <v>209</v>
      </c>
      <c r="Q110" s="3"/>
      <c r="R110" s="3"/>
      <c r="S110" s="3"/>
      <c r="T110" s="3"/>
      <c r="U110" s="3"/>
      <c r="V110" s="3"/>
      <c r="W110" s="3"/>
      <c r="X110" s="3"/>
      <c r="Y110" s="3"/>
      <c r="Z110" s="3"/>
      <c r="AA110" s="3"/>
    </row>
    <row r="111" spans="2:27" ht="13.5" thickTop="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6" spans="2:27" hidden="1" outlineLevel="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7" ht="15.75" hidden="1" outlineLevel="1" x14ac:dyDescent="0.25">
      <c r="B117" s="3"/>
      <c r="C117" s="3"/>
      <c r="D117" s="62" t="s">
        <v>144</v>
      </c>
      <c r="E117" s="3"/>
      <c r="F117" s="3"/>
      <c r="G117" s="3"/>
      <c r="H117" s="3"/>
      <c r="I117" s="3"/>
      <c r="J117" s="3"/>
      <c r="K117" s="3"/>
      <c r="L117" s="62" t="s">
        <v>144</v>
      </c>
      <c r="M117" s="3"/>
      <c r="N117" s="3"/>
      <c r="O117" s="3"/>
      <c r="P117" s="3"/>
      <c r="Q117" s="3"/>
      <c r="R117" s="3"/>
      <c r="S117" s="62" t="s">
        <v>144</v>
      </c>
      <c r="T117" s="24"/>
      <c r="U117" s="24"/>
      <c r="V117" s="24"/>
      <c r="W117" s="24"/>
      <c r="X117" s="3"/>
      <c r="Y117" s="3"/>
    </row>
    <row r="118" spans="2:27" ht="15" hidden="1" outlineLevel="1" x14ac:dyDescent="0.25">
      <c r="B118" s="3"/>
      <c r="C118" s="3"/>
      <c r="D118" s="35" t="s">
        <v>113</v>
      </c>
      <c r="E118" s="35">
        <v>2020</v>
      </c>
      <c r="F118" s="35">
        <v>2025</v>
      </c>
      <c r="G118" s="35">
        <v>2030</v>
      </c>
      <c r="H118" s="34"/>
      <c r="I118" s="3"/>
      <c r="J118" s="3"/>
      <c r="K118" s="3"/>
      <c r="L118" s="35" t="s">
        <v>264</v>
      </c>
      <c r="M118" s="35">
        <v>2020</v>
      </c>
      <c r="N118" s="35">
        <v>2025</v>
      </c>
      <c r="O118" s="35">
        <v>2030</v>
      </c>
      <c r="P118" s="34"/>
      <c r="Q118" s="3"/>
      <c r="R118" s="3"/>
      <c r="S118" s="3"/>
      <c r="T118" s="46" t="s">
        <v>199</v>
      </c>
      <c r="U118" s="47">
        <v>2020</v>
      </c>
      <c r="V118" s="47">
        <v>2025</v>
      </c>
      <c r="W118" s="47">
        <v>2030</v>
      </c>
      <c r="X118" s="3"/>
      <c r="Y118" s="3"/>
    </row>
    <row r="119" spans="2:27" hidden="1" outlineLevel="1" x14ac:dyDescent="0.2">
      <c r="B119" s="3"/>
      <c r="C119" s="3"/>
      <c r="D119" s="24"/>
      <c r="E119" s="60" t="s">
        <v>89</v>
      </c>
      <c r="F119" s="59"/>
      <c r="G119" s="59"/>
      <c r="H119" s="24"/>
      <c r="I119" s="3"/>
      <c r="J119" s="3"/>
      <c r="K119" s="3"/>
      <c r="L119" s="24"/>
      <c r="M119" s="60" t="s">
        <v>89</v>
      </c>
      <c r="N119" s="59"/>
      <c r="O119" s="59"/>
      <c r="P119" s="24"/>
      <c r="Q119" s="3"/>
      <c r="R119" s="3"/>
      <c r="S119" s="3"/>
      <c r="T119" s="24"/>
      <c r="U119" s="50" t="s">
        <v>89</v>
      </c>
      <c r="V119" s="50"/>
      <c r="W119" s="59"/>
      <c r="X119" s="3"/>
      <c r="Y119" s="3"/>
    </row>
    <row r="120" spans="2:27" ht="15.75" hidden="1" outlineLevel="1" x14ac:dyDescent="0.3">
      <c r="B120" s="3"/>
      <c r="C120" s="3"/>
      <c r="D120" s="3" t="str">
        <f t="shared" ref="D120:D126" si="5">IF($I120,D81,"")</f>
        <v>Erdgas</v>
      </c>
      <c r="E120" s="10">
        <f t="shared" ref="E120:G126" si="6">IF($I120,E81,NA())</f>
        <v>43.0426</v>
      </c>
      <c r="F120" s="10">
        <f t="shared" si="6"/>
        <v>43.0426</v>
      </c>
      <c r="G120" s="10">
        <f t="shared" si="6"/>
        <v>43.0426</v>
      </c>
      <c r="H120" s="3" t="s">
        <v>162</v>
      </c>
      <c r="I120" s="381" t="b">
        <v>1</v>
      </c>
      <c r="J120" s="3"/>
      <c r="K120" s="3"/>
      <c r="L120" s="3" t="str">
        <f t="shared" ref="L120:L130" si="7">IF($Q120,L90,"")</f>
        <v>Energieträger gesamt</v>
      </c>
      <c r="M120" s="9">
        <f>IF($Q120,M90,NA())</f>
        <v>41.281733459999998</v>
      </c>
      <c r="N120" s="9">
        <f>IF($Q120,N90,NA())</f>
        <v>33.493691337510647</v>
      </c>
      <c r="O120" s="9">
        <f t="shared" ref="O120" si="8">IF($Q120,O90,NA())</f>
        <v>21.601201256046664</v>
      </c>
      <c r="P120" s="3" t="s">
        <v>162</v>
      </c>
      <c r="Q120" s="381" t="b">
        <v>1</v>
      </c>
      <c r="R120" s="3"/>
      <c r="S120" s="3"/>
      <c r="T120" s="57" t="s">
        <v>158</v>
      </c>
      <c r="U120" s="58">
        <f>SUM(U121:U127)</f>
        <v>109669</v>
      </c>
      <c r="V120" s="58">
        <f t="shared" ref="V120:W120" si="9">SUM(V121:V127)</f>
        <v>110614.71583333334</v>
      </c>
      <c r="W120" s="58">
        <f t="shared" si="9"/>
        <v>111560.43166666666</v>
      </c>
      <c r="X120" s="3"/>
      <c r="Y120" s="3"/>
    </row>
    <row r="121" spans="2:27" ht="15.75" hidden="1" outlineLevel="1" x14ac:dyDescent="0.3">
      <c r="B121" s="3"/>
      <c r="C121" s="3"/>
      <c r="D121" s="3" t="str">
        <f t="shared" si="5"/>
        <v>Heizöl</v>
      </c>
      <c r="E121" s="10">
        <f t="shared" si="6"/>
        <v>16.005600000000001</v>
      </c>
      <c r="F121" s="10">
        <f t="shared" si="6"/>
        <v>16.005600000000001</v>
      </c>
      <c r="G121" s="10">
        <f t="shared" si="6"/>
        <v>16.005600000000001</v>
      </c>
      <c r="H121" s="3" t="s">
        <v>162</v>
      </c>
      <c r="I121" s="381" t="b">
        <v>1</v>
      </c>
      <c r="J121" s="3"/>
      <c r="K121" s="3"/>
      <c r="L121" s="3" t="str">
        <f t="shared" si="7"/>
        <v>Transport gesamt</v>
      </c>
      <c r="M121" s="9">
        <f t="shared" ref="M121:O130" si="10">IF($Q121,M91,NA())</f>
        <v>469.15642799999995</v>
      </c>
      <c r="N121" s="9">
        <f t="shared" si="10"/>
        <v>469.15642799999995</v>
      </c>
      <c r="O121" s="9">
        <f t="shared" si="10"/>
        <v>469.15642799999995</v>
      </c>
      <c r="P121" s="3" t="s">
        <v>162</v>
      </c>
      <c r="Q121" s="381" t="b">
        <v>1</v>
      </c>
      <c r="R121" s="3"/>
      <c r="S121" s="3"/>
      <c r="T121" s="31" t="s">
        <v>31</v>
      </c>
      <c r="U121" s="52">
        <f>U82</f>
        <v>14335</v>
      </c>
      <c r="V121" s="52">
        <f t="shared" ref="V121:W121" si="11">V82</f>
        <v>14335</v>
      </c>
      <c r="W121" s="52">
        <f t="shared" si="11"/>
        <v>14335</v>
      </c>
      <c r="X121" s="3"/>
      <c r="Y121" s="3"/>
    </row>
    <row r="122" spans="2:27" ht="15.75" hidden="1" outlineLevel="1" x14ac:dyDescent="0.3">
      <c r="B122" s="3"/>
      <c r="C122" s="3"/>
      <c r="D122" s="3" t="str">
        <f t="shared" si="5"/>
        <v>Strom</v>
      </c>
      <c r="E122" s="10">
        <f t="shared" si="6"/>
        <v>171.9</v>
      </c>
      <c r="F122" s="10">
        <f t="shared" si="6"/>
        <v>136.39371159230473</v>
      </c>
      <c r="G122" s="10">
        <f t="shared" si="6"/>
        <v>72.889224607318326</v>
      </c>
      <c r="H122" s="3" t="s">
        <v>162</v>
      </c>
      <c r="I122" s="381" t="b">
        <v>1</v>
      </c>
      <c r="J122" s="3"/>
      <c r="K122" s="3"/>
      <c r="L122" s="3" t="str">
        <f t="shared" si="7"/>
        <v>Zement</v>
      </c>
      <c r="M122" s="9">
        <f t="shared" si="10"/>
        <v>4548.5439999999999</v>
      </c>
      <c r="N122" s="9">
        <f t="shared" si="10"/>
        <v>4548.5439999999999</v>
      </c>
      <c r="O122" s="9">
        <f t="shared" si="10"/>
        <v>4548.5439999999999</v>
      </c>
      <c r="P122" s="3" t="s">
        <v>162</v>
      </c>
      <c r="Q122" s="381" t="b">
        <v>1</v>
      </c>
      <c r="R122" s="3"/>
      <c r="S122" s="3"/>
      <c r="T122" s="31" t="s">
        <v>32</v>
      </c>
      <c r="U122" s="52">
        <f t="shared" ref="U122:W127" si="12">U83</f>
        <v>2760</v>
      </c>
      <c r="V122" s="52">
        <f t="shared" si="12"/>
        <v>2760</v>
      </c>
      <c r="W122" s="52">
        <f t="shared" si="12"/>
        <v>2760</v>
      </c>
      <c r="X122" s="3"/>
      <c r="Y122" s="3"/>
    </row>
    <row r="123" spans="2:27" ht="15.75" hidden="1" outlineLevel="1" x14ac:dyDescent="0.3">
      <c r="B123" s="3"/>
      <c r="C123" s="3"/>
      <c r="D123" s="3" t="str">
        <f t="shared" si="5"/>
        <v/>
      </c>
      <c r="E123" s="10" t="e">
        <f t="shared" si="6"/>
        <v>#N/A</v>
      </c>
      <c r="F123" s="10" t="e">
        <f t="shared" si="6"/>
        <v>#N/A</v>
      </c>
      <c r="G123" s="10" t="e">
        <f t="shared" si="6"/>
        <v>#N/A</v>
      </c>
      <c r="H123" s="3" t="s">
        <v>162</v>
      </c>
      <c r="I123" s="381" t="b">
        <v>0</v>
      </c>
      <c r="J123" s="3"/>
      <c r="K123" s="3"/>
      <c r="L123" s="3" t="str">
        <f t="shared" si="7"/>
        <v>Gesteinskörnungen (Zuschlagsstoffe)</v>
      </c>
      <c r="M123" s="9">
        <f t="shared" si="10"/>
        <v>129.59200000000001</v>
      </c>
      <c r="N123" s="9">
        <f t="shared" si="10"/>
        <v>129.59200000000001</v>
      </c>
      <c r="O123" s="9">
        <f t="shared" si="10"/>
        <v>129.59200000000001</v>
      </c>
      <c r="P123" s="3" t="s">
        <v>162</v>
      </c>
      <c r="Q123" s="381" t="b">
        <v>1</v>
      </c>
      <c r="R123" s="3"/>
      <c r="S123" s="3"/>
      <c r="T123" s="31" t="s">
        <v>33</v>
      </c>
      <c r="U123" s="52">
        <f t="shared" si="12"/>
        <v>77400</v>
      </c>
      <c r="V123" s="52">
        <f t="shared" si="12"/>
        <v>84527.715833333335</v>
      </c>
      <c r="W123" s="52">
        <f t="shared" si="12"/>
        <v>91655.431666666656</v>
      </c>
      <c r="X123" s="3"/>
      <c r="Y123" s="3"/>
    </row>
    <row r="124" spans="2:27" ht="15.75" hidden="1" outlineLevel="1" x14ac:dyDescent="0.3">
      <c r="B124" s="3"/>
      <c r="C124" s="3"/>
      <c r="D124" s="3" t="str">
        <f t="shared" si="5"/>
        <v/>
      </c>
      <c r="E124" s="10" t="e">
        <f t="shared" si="6"/>
        <v>#N/A</v>
      </c>
      <c r="F124" s="10" t="e">
        <f t="shared" si="6"/>
        <v>#N/A</v>
      </c>
      <c r="G124" s="10" t="e">
        <f t="shared" si="6"/>
        <v>#N/A</v>
      </c>
      <c r="H124" s="3" t="s">
        <v>162</v>
      </c>
      <c r="I124" s="381" t="b">
        <v>0</v>
      </c>
      <c r="J124" s="3"/>
      <c r="K124" s="3"/>
      <c r="L124" s="3" t="str">
        <f t="shared" si="7"/>
        <v>Farben</v>
      </c>
      <c r="M124" s="9">
        <f t="shared" si="10"/>
        <v>208</v>
      </c>
      <c r="N124" s="9">
        <f t="shared" si="10"/>
        <v>208</v>
      </c>
      <c r="O124" s="9">
        <f t="shared" si="10"/>
        <v>208</v>
      </c>
      <c r="P124" s="3" t="s">
        <v>162</v>
      </c>
      <c r="Q124" s="381" t="b">
        <v>1</v>
      </c>
      <c r="R124" s="3"/>
      <c r="S124" s="3"/>
      <c r="T124" s="31" t="s">
        <v>122</v>
      </c>
      <c r="U124" s="52">
        <f t="shared" si="12"/>
        <v>0</v>
      </c>
      <c r="V124" s="52">
        <f t="shared" si="12"/>
        <v>0</v>
      </c>
      <c r="W124" s="52">
        <f t="shared" si="12"/>
        <v>0</v>
      </c>
      <c r="X124" s="3"/>
      <c r="Y124" s="3"/>
    </row>
    <row r="125" spans="2:27" ht="15.75" hidden="1" outlineLevel="1" x14ac:dyDescent="0.3">
      <c r="B125" s="3"/>
      <c r="C125" s="3"/>
      <c r="D125" s="3" t="str">
        <f t="shared" si="5"/>
        <v/>
      </c>
      <c r="E125" s="10" t="e">
        <f t="shared" si="6"/>
        <v>#N/A</v>
      </c>
      <c r="F125" s="10" t="e">
        <f t="shared" si="6"/>
        <v>#N/A</v>
      </c>
      <c r="G125" s="10" t="e">
        <f t="shared" si="6"/>
        <v>#N/A</v>
      </c>
      <c r="H125" s="3" t="s">
        <v>162</v>
      </c>
      <c r="I125" s="381" t="b">
        <v>0</v>
      </c>
      <c r="J125" s="3"/>
      <c r="K125" s="3"/>
      <c r="L125" s="3" t="str">
        <f t="shared" si="7"/>
        <v>Zusatzstoffe (Füllstoffe)</v>
      </c>
      <c r="M125" s="9">
        <f t="shared" si="10"/>
        <v>81.003999999999991</v>
      </c>
      <c r="N125" s="9">
        <f t="shared" si="10"/>
        <v>81.003999999999991</v>
      </c>
      <c r="O125" s="9">
        <f t="shared" si="10"/>
        <v>81.003999999999991</v>
      </c>
      <c r="P125" s="3" t="s">
        <v>162</v>
      </c>
      <c r="Q125" s="381" t="b">
        <v>1</v>
      </c>
      <c r="R125" s="3"/>
      <c r="S125" s="3"/>
      <c r="T125" s="31" t="s">
        <v>123</v>
      </c>
      <c r="U125" s="52">
        <f t="shared" si="12"/>
        <v>0</v>
      </c>
      <c r="V125" s="52">
        <f t="shared" si="12"/>
        <v>0</v>
      </c>
      <c r="W125" s="52">
        <f t="shared" si="12"/>
        <v>0</v>
      </c>
      <c r="X125" s="3"/>
      <c r="Y125" s="3"/>
    </row>
    <row r="126" spans="2:27" ht="15.75" hidden="1" outlineLevel="1" x14ac:dyDescent="0.3">
      <c r="B126" s="3"/>
      <c r="C126" s="3"/>
      <c r="D126" s="3" t="str">
        <f t="shared" si="5"/>
        <v>Diesel</v>
      </c>
      <c r="E126" s="10">
        <f t="shared" si="6"/>
        <v>35.884155059999998</v>
      </c>
      <c r="F126" s="10">
        <f t="shared" si="6"/>
        <v>21.264684479999996</v>
      </c>
      <c r="G126" s="10">
        <f>IF($I126,G87,NA())</f>
        <v>6.645213899999999</v>
      </c>
      <c r="H126" s="3" t="s">
        <v>162</v>
      </c>
      <c r="I126" s="381" t="b">
        <v>1</v>
      </c>
      <c r="J126" s="3"/>
      <c r="K126" s="3"/>
      <c r="L126" s="3" t="str">
        <f t="shared" si="7"/>
        <v>Zusatzmittel</v>
      </c>
      <c r="M126" s="9">
        <f t="shared" si="10"/>
        <v>148.44746134951595</v>
      </c>
      <c r="N126" s="9">
        <f t="shared" si="10"/>
        <v>148.44746134951595</v>
      </c>
      <c r="O126" s="9">
        <f t="shared" si="10"/>
        <v>148.44746134951595</v>
      </c>
      <c r="P126" s="3" t="s">
        <v>162</v>
      </c>
      <c r="Q126" s="381" t="b">
        <v>1</v>
      </c>
      <c r="R126" s="3"/>
      <c r="S126" s="3"/>
      <c r="T126" s="31" t="s">
        <v>124</v>
      </c>
      <c r="U126" s="52">
        <f t="shared" si="12"/>
        <v>0</v>
      </c>
      <c r="V126" s="52">
        <f t="shared" si="12"/>
        <v>0</v>
      </c>
      <c r="W126" s="52">
        <f t="shared" si="12"/>
        <v>0</v>
      </c>
      <c r="X126" s="3"/>
      <c r="Y126" s="3"/>
    </row>
    <row r="127" spans="2:27" ht="16.5" hidden="1" outlineLevel="1" thickBot="1" x14ac:dyDescent="0.35">
      <c r="B127" s="3"/>
      <c r="C127" s="3"/>
      <c r="D127" s="27" t="s">
        <v>69</v>
      </c>
      <c r="E127" s="33">
        <f>SUMIF($I$120:$I$126,"WAHR",E120:E126)</f>
        <v>266.83235506</v>
      </c>
      <c r="F127" s="33">
        <f>SUMIF($I$120:$I$126,"WAHR",F120:F126)</f>
        <v>216.70659607230473</v>
      </c>
      <c r="G127" s="33">
        <f>SUMIF($I$120:$I$126,"WAHR",G120:G126)</f>
        <v>138.58263850731831</v>
      </c>
      <c r="H127" s="27" t="s">
        <v>163</v>
      </c>
      <c r="I127" s="3"/>
      <c r="J127" s="3"/>
      <c r="K127" s="3"/>
      <c r="L127" s="3" t="str">
        <f t="shared" si="7"/>
        <v/>
      </c>
      <c r="M127" s="9" t="e">
        <f t="shared" si="10"/>
        <v>#N/A</v>
      </c>
      <c r="N127" s="9" t="e">
        <f t="shared" si="10"/>
        <v>#N/A</v>
      </c>
      <c r="O127" s="9" t="e">
        <f t="shared" si="10"/>
        <v>#N/A</v>
      </c>
      <c r="P127" s="3" t="s">
        <v>162</v>
      </c>
      <c r="Q127" s="381" t="b">
        <v>0</v>
      </c>
      <c r="R127" s="3"/>
      <c r="S127" s="3"/>
      <c r="T127" s="51" t="s">
        <v>34</v>
      </c>
      <c r="U127" s="53">
        <f t="shared" si="12"/>
        <v>15174.000000000002</v>
      </c>
      <c r="V127" s="54">
        <f t="shared" si="12"/>
        <v>8992.0000000000018</v>
      </c>
      <c r="W127" s="54">
        <f t="shared" si="12"/>
        <v>2810.0000000000005</v>
      </c>
      <c r="X127" s="3"/>
      <c r="Y127" s="3"/>
    </row>
    <row r="128" spans="2:27" ht="16.5" hidden="1" outlineLevel="1" thickTop="1" x14ac:dyDescent="0.3">
      <c r="B128" s="3"/>
      <c r="C128" s="3"/>
      <c r="D128" s="3"/>
      <c r="E128" s="3"/>
      <c r="F128" s="3"/>
      <c r="G128" s="3"/>
      <c r="H128" s="3"/>
      <c r="I128" s="3"/>
      <c r="J128" s="3"/>
      <c r="K128" s="3"/>
      <c r="L128" s="3" t="str">
        <f t="shared" si="7"/>
        <v/>
      </c>
      <c r="M128" s="9" t="e">
        <f t="shared" si="10"/>
        <v>#N/A</v>
      </c>
      <c r="N128" s="9" t="e">
        <f t="shared" si="10"/>
        <v>#N/A</v>
      </c>
      <c r="O128" s="9" t="e">
        <f t="shared" si="10"/>
        <v>#N/A</v>
      </c>
      <c r="P128" s="3" t="s">
        <v>162</v>
      </c>
      <c r="Q128" s="381" t="b">
        <v>0</v>
      </c>
      <c r="R128" s="3"/>
      <c r="S128" s="3"/>
      <c r="T128" s="8" t="str">
        <f>IF(X128,"CAPEX","")</f>
        <v>CAPEX</v>
      </c>
      <c r="U128" s="55">
        <f>IF($X128,U89,NA())</f>
        <v>0</v>
      </c>
      <c r="V128" s="55">
        <f t="shared" ref="V128:W130" si="13">IF($X128,V89,NA())</f>
        <v>54000</v>
      </c>
      <c r="W128" s="55">
        <f t="shared" si="13"/>
        <v>108000</v>
      </c>
      <c r="X128" s="381" t="b">
        <v>1</v>
      </c>
      <c r="Y128" s="3"/>
    </row>
    <row r="129" spans="2:25" ht="15.75" hidden="1" outlineLevel="1" x14ac:dyDescent="0.3">
      <c r="B129" s="3"/>
      <c r="C129" s="3"/>
      <c r="D129" s="3"/>
      <c r="E129" s="3"/>
      <c r="F129" s="3"/>
      <c r="G129" s="3"/>
      <c r="H129" s="3"/>
      <c r="I129" s="3"/>
      <c r="J129" s="3"/>
      <c r="K129" s="3"/>
      <c r="L129" s="3" t="str">
        <f t="shared" si="7"/>
        <v/>
      </c>
      <c r="M129" s="9" t="e">
        <f t="shared" si="10"/>
        <v>#N/A</v>
      </c>
      <c r="N129" s="9" t="e">
        <f t="shared" si="10"/>
        <v>#N/A</v>
      </c>
      <c r="O129" s="9" t="e">
        <f t="shared" si="10"/>
        <v>#N/A</v>
      </c>
      <c r="P129" s="3" t="s">
        <v>162</v>
      </c>
      <c r="Q129" s="381" t="b">
        <v>0</v>
      </c>
      <c r="R129" s="3"/>
      <c r="S129" s="3"/>
      <c r="T129" s="8" t="str">
        <f>IF(X129,"Zusätzliche jährliche Kosten","")</f>
        <v/>
      </c>
      <c r="U129" s="55" t="e">
        <f>IF($X129,U90,NA())</f>
        <v>#N/A</v>
      </c>
      <c r="V129" s="55" t="e">
        <f t="shared" si="13"/>
        <v>#N/A</v>
      </c>
      <c r="W129" s="55" t="e">
        <f t="shared" si="13"/>
        <v>#N/A</v>
      </c>
      <c r="X129" s="381" t="b">
        <v>0</v>
      </c>
      <c r="Y129" s="3"/>
    </row>
    <row r="130" spans="2:25" ht="15.75" hidden="1" outlineLevel="1" x14ac:dyDescent="0.3">
      <c r="B130" s="3"/>
      <c r="C130" s="3"/>
      <c r="D130" s="3"/>
      <c r="E130" s="3"/>
      <c r="F130" s="3"/>
      <c r="G130" s="3"/>
      <c r="H130" s="3"/>
      <c r="I130" s="3"/>
      <c r="J130" s="3"/>
      <c r="K130" s="3"/>
      <c r="L130" s="3" t="str">
        <f t="shared" si="7"/>
        <v>Verpackungsmaterial</v>
      </c>
      <c r="M130" s="9">
        <f t="shared" si="10"/>
        <v>64.48</v>
      </c>
      <c r="N130" s="9">
        <f t="shared" si="10"/>
        <v>64.48</v>
      </c>
      <c r="O130" s="9">
        <f t="shared" si="10"/>
        <v>64.48</v>
      </c>
      <c r="P130" s="3" t="s">
        <v>162</v>
      </c>
      <c r="Q130" s="381" t="b">
        <v>1</v>
      </c>
      <c r="R130" s="3"/>
      <c r="S130" s="3"/>
      <c r="T130" s="59" t="str">
        <f>IF(X130,"Einmalige Kosten","")</f>
        <v/>
      </c>
      <c r="U130" s="55" t="e">
        <f>IF($X130,U91,NA())</f>
        <v>#N/A</v>
      </c>
      <c r="V130" s="55" t="e">
        <f t="shared" si="13"/>
        <v>#N/A</v>
      </c>
      <c r="W130" s="55" t="e">
        <f t="shared" si="13"/>
        <v>#N/A</v>
      </c>
      <c r="X130" s="381" t="b">
        <v>0</v>
      </c>
      <c r="Y130" s="3"/>
    </row>
    <row r="131" spans="2:25" ht="15" hidden="1" outlineLevel="1" thickBot="1" x14ac:dyDescent="0.3">
      <c r="B131" s="3"/>
      <c r="C131" s="3"/>
      <c r="D131" s="3"/>
      <c r="E131" s="3"/>
      <c r="F131" s="3"/>
      <c r="G131" s="3"/>
      <c r="H131" s="3"/>
      <c r="I131" s="3"/>
      <c r="J131" s="3"/>
      <c r="K131" s="3"/>
      <c r="L131" s="27" t="s">
        <v>69</v>
      </c>
      <c r="M131" s="28">
        <f>SUMIF($Q$120:$Q$130,"WAHR",M120:M130)</f>
        <v>5690.5056228095145</v>
      </c>
      <c r="N131" s="28">
        <f t="shared" ref="N131:O131" si="14">SUMIF($Q$120:$Q$130,"WAHR",N120:N130)</f>
        <v>5682.7175806870255</v>
      </c>
      <c r="O131" s="28">
        <f t="shared" si="14"/>
        <v>5670.8250906055609</v>
      </c>
      <c r="P131" s="27" t="s">
        <v>163</v>
      </c>
      <c r="Q131" s="3"/>
      <c r="R131" s="3"/>
      <c r="S131" s="3"/>
      <c r="T131" s="57" t="str">
        <f>IF(X131,"CO2-Kosten","")</f>
        <v>CO2-Kosten</v>
      </c>
      <c r="U131" s="58">
        <f>IF($X$131,SUMIF($X$132:$X$134,"WAHR",U132:U134),NA())</f>
        <v>152459.04944673795</v>
      </c>
      <c r="V131" s="58">
        <f t="shared" ref="V131:W131" si="15">IF($X$131,SUMIF($X$132:$X$134,"WAHR",V132:V134),NA())</f>
        <v>271820.16795417015</v>
      </c>
      <c r="W131" s="58">
        <f t="shared" si="15"/>
        <v>476034.53832903074</v>
      </c>
      <c r="X131" s="381" t="b">
        <v>1</v>
      </c>
      <c r="Y131" s="3"/>
    </row>
    <row r="132" spans="2:25" ht="16.5" hidden="1" outlineLevel="1" thickTop="1" x14ac:dyDescent="0.3">
      <c r="B132" s="3"/>
      <c r="C132" s="3"/>
      <c r="D132" s="3"/>
      <c r="E132" s="3"/>
      <c r="F132" s="3"/>
      <c r="G132" s="3"/>
      <c r="H132" s="3"/>
      <c r="I132" s="3"/>
      <c r="J132" s="3"/>
      <c r="K132" s="3"/>
      <c r="L132" s="3"/>
      <c r="M132" s="3"/>
      <c r="N132" s="3"/>
      <c r="O132" s="3"/>
      <c r="P132" s="3"/>
      <c r="Q132" s="3"/>
      <c r="R132" s="3"/>
      <c r="S132" s="3"/>
      <c r="T132" s="31" t="s">
        <v>155</v>
      </c>
      <c r="U132" s="52">
        <f>IF($X132,U93,NA())</f>
        <v>2373.3088765000002</v>
      </c>
      <c r="V132" s="52">
        <f t="shared" ref="V132:W132" si="16">IF($X132,V93,NA())</f>
        <v>3614.0798015999999</v>
      </c>
      <c r="W132" s="52">
        <f t="shared" si="16"/>
        <v>5255.4731119999997</v>
      </c>
      <c r="X132" s="381" t="b">
        <v>1</v>
      </c>
      <c r="Y132" s="3"/>
    </row>
    <row r="133" spans="2:25" ht="15.75" hidden="1" outlineLevel="1" x14ac:dyDescent="0.3">
      <c r="B133" s="3"/>
      <c r="C133" s="3"/>
      <c r="D133" s="3"/>
      <c r="E133" s="3"/>
      <c r="F133" s="3"/>
      <c r="G133" s="3"/>
      <c r="H133" s="3"/>
      <c r="I133" s="3"/>
      <c r="J133" s="3"/>
      <c r="K133" s="3"/>
      <c r="L133" s="3"/>
      <c r="M133" s="3"/>
      <c r="N133" s="3"/>
      <c r="O133" s="3"/>
      <c r="P133" s="3"/>
      <c r="Q133" s="3"/>
      <c r="R133" s="3"/>
      <c r="S133" s="3"/>
      <c r="T133" s="31" t="s">
        <v>156</v>
      </c>
      <c r="U133" s="52">
        <f t="shared" ref="U133:W134" si="17">IF($X133,U94,NA())</f>
        <v>4297.5</v>
      </c>
      <c r="V133" s="52">
        <f t="shared" si="17"/>
        <v>6137.7170216537124</v>
      </c>
      <c r="W133" s="52">
        <f t="shared" si="17"/>
        <v>5831.1379685854663</v>
      </c>
      <c r="X133" s="381" t="b">
        <v>1</v>
      </c>
      <c r="Y133" s="3"/>
    </row>
    <row r="134" spans="2:25" ht="15.75" hidden="1" outlineLevel="1" x14ac:dyDescent="0.3">
      <c r="B134" s="3"/>
      <c r="C134" s="3"/>
      <c r="D134" s="3"/>
      <c r="E134" s="3"/>
      <c r="F134" s="3"/>
      <c r="G134" s="3"/>
      <c r="H134" s="3"/>
      <c r="I134" s="3"/>
      <c r="J134" s="3"/>
      <c r="K134" s="3"/>
      <c r="L134" s="3"/>
      <c r="M134" s="3"/>
      <c r="N134" s="3"/>
      <c r="O134" s="3"/>
      <c r="P134" s="3"/>
      <c r="Q134" s="3"/>
      <c r="R134" s="3"/>
      <c r="S134" s="3"/>
      <c r="T134" s="31" t="s">
        <v>157</v>
      </c>
      <c r="U134" s="52">
        <f t="shared" si="17"/>
        <v>145788.24057023795</v>
      </c>
      <c r="V134" s="52">
        <f t="shared" si="17"/>
        <v>262068.37113091641</v>
      </c>
      <c r="W134" s="52">
        <f t="shared" si="17"/>
        <v>464947.92724844528</v>
      </c>
      <c r="X134" s="381" t="b">
        <v>1</v>
      </c>
      <c r="Y134" s="3"/>
    </row>
    <row r="135" spans="2:25" ht="13.5" hidden="1" outlineLevel="1" thickBot="1" x14ac:dyDescent="0.25">
      <c r="B135" s="3"/>
      <c r="C135" s="3"/>
      <c r="D135" s="103" t="str">
        <f>IF($G$16&gt;0,"Bitte den Handeingabewert 'Umstellung Dieselstapler' für 2030 und ggf. 2025 auch anpassen. Diese Werte dürfen nicht größer Ihrer Handeingabe 'Anzahl Dieselstapler im Werk' sein. Ansonsten ist die Berechnung fehlerhaft.","")</f>
        <v/>
      </c>
      <c r="E135" s="3"/>
      <c r="F135" s="3"/>
      <c r="G135" s="3"/>
      <c r="H135" s="3"/>
      <c r="I135" s="3"/>
      <c r="J135" s="3"/>
      <c r="K135" s="3"/>
      <c r="L135" s="3"/>
      <c r="M135" s="3"/>
      <c r="N135" s="3"/>
      <c r="O135" s="3"/>
      <c r="P135" s="3"/>
      <c r="Q135" s="3"/>
      <c r="R135" s="3"/>
      <c r="S135" s="3"/>
      <c r="T135" s="27" t="s">
        <v>69</v>
      </c>
      <c r="U135" s="56">
        <f>IF($X$131,U131,0)+IF($X$130,U130,0)+IF($X$129,U129,0)+IF($X$128,U128,0)+U120</f>
        <v>262128.04944673795</v>
      </c>
      <c r="V135" s="56">
        <f t="shared" ref="V135:W135" si="18">IF($X$131,V131,0)+IF($X$130,V130,0)+IF($X$129,V129,0)+IF($X$128,V128,0)+V120</f>
        <v>436434.88378750347</v>
      </c>
      <c r="W135" s="56">
        <f t="shared" si="18"/>
        <v>695594.96999569738</v>
      </c>
      <c r="X135" s="3"/>
      <c r="Y135" s="3"/>
    </row>
    <row r="136" spans="2:25" ht="13.5" hidden="1" outlineLevel="1" thickTop="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hidden="1" outlineLevel="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hidden="1" outlineLevel="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ollapsed="1" x14ac:dyDescent="0.2"/>
    <row r="146" spans="2:20" ht="15.75" hidden="1" outlineLevel="1" x14ac:dyDescent="0.25">
      <c r="B146" s="22"/>
      <c r="C146" s="22" t="s">
        <v>114</v>
      </c>
      <c r="D146" s="17"/>
      <c r="E146" s="17"/>
      <c r="F146" s="17"/>
      <c r="G146" s="17"/>
      <c r="H146" s="17"/>
      <c r="I146" s="17"/>
      <c r="J146" s="17"/>
      <c r="K146" s="17"/>
      <c r="L146" s="17"/>
      <c r="N146" s="22" t="s">
        <v>117</v>
      </c>
      <c r="O146" s="17"/>
      <c r="P146" s="17"/>
      <c r="Q146" s="17"/>
      <c r="R146" s="17"/>
      <c r="S146" s="17"/>
      <c r="T146" s="17"/>
    </row>
    <row r="147" spans="2:20" ht="15" hidden="1" outlineLevel="1" x14ac:dyDescent="0.25">
      <c r="B147" s="65"/>
      <c r="C147" s="65">
        <v>2025</v>
      </c>
      <c r="D147" s="17"/>
      <c r="E147" s="17"/>
      <c r="F147" s="17"/>
      <c r="G147" s="17"/>
      <c r="H147" s="17"/>
      <c r="I147" s="17"/>
      <c r="J147" s="17"/>
      <c r="K147" s="17"/>
      <c r="L147" s="17"/>
      <c r="N147" s="65">
        <v>2025</v>
      </c>
      <c r="O147" s="17"/>
      <c r="P147" s="17"/>
      <c r="Q147" s="17"/>
      <c r="R147" s="17"/>
      <c r="S147" s="17"/>
      <c r="T147" s="17"/>
    </row>
    <row r="148" spans="2:20" hidden="1" outlineLevel="1" x14ac:dyDescent="0.2">
      <c r="B148" s="276"/>
      <c r="C148" s="17"/>
      <c r="D148" s="17" t="s">
        <v>230</v>
      </c>
      <c r="E148" s="42">
        <f>IF(NOT(ISBLANK(G23)),G23,E23)</f>
        <v>2</v>
      </c>
      <c r="F148" s="17"/>
      <c r="G148" s="17"/>
      <c r="H148" s="17"/>
      <c r="I148" s="17"/>
      <c r="J148" s="17"/>
      <c r="K148" s="17"/>
      <c r="L148" s="17"/>
      <c r="N148" s="21"/>
      <c r="O148" s="17"/>
      <c r="P148" s="17"/>
      <c r="Q148" s="17"/>
      <c r="R148" s="17"/>
      <c r="S148" s="17"/>
      <c r="T148" s="17"/>
    </row>
    <row r="149" spans="2:20" hidden="1" outlineLevel="1" x14ac:dyDescent="0.2">
      <c r="B149" s="17"/>
      <c r="C149" s="17"/>
      <c r="D149" s="17"/>
      <c r="E149" s="17"/>
      <c r="F149" s="20"/>
      <c r="G149" s="20"/>
      <c r="H149" s="20"/>
      <c r="I149" s="17"/>
      <c r="J149" s="17"/>
      <c r="K149" s="17"/>
      <c r="L149" s="17"/>
      <c r="N149" s="17"/>
      <c r="O149" s="17"/>
      <c r="P149" s="17"/>
      <c r="Q149" s="17"/>
      <c r="R149" s="17"/>
      <c r="S149" s="17"/>
      <c r="T149" s="17"/>
    </row>
    <row r="150" spans="2:20" hidden="1" outlineLevel="1" x14ac:dyDescent="0.2">
      <c r="B150" s="17"/>
      <c r="C150" s="17"/>
      <c r="D150" s="17"/>
      <c r="E150" s="17"/>
      <c r="F150" s="20"/>
      <c r="G150" s="20"/>
      <c r="H150" s="20"/>
      <c r="I150" s="17"/>
      <c r="J150" s="17"/>
      <c r="K150" s="17"/>
      <c r="L150" s="17"/>
      <c r="N150" s="17"/>
      <c r="O150" s="17"/>
      <c r="P150" s="17"/>
      <c r="Q150" s="17"/>
      <c r="R150" s="17"/>
      <c r="S150" s="17"/>
      <c r="T150" s="17"/>
    </row>
    <row r="151" spans="2:20" ht="25.5" hidden="1" outlineLevel="1" x14ac:dyDescent="0.2">
      <c r="B151" s="17"/>
      <c r="C151" s="17"/>
      <c r="D151" s="17"/>
      <c r="E151" s="17"/>
      <c r="F151" s="36" t="s">
        <v>27</v>
      </c>
      <c r="G151" s="36" t="s">
        <v>82</v>
      </c>
      <c r="H151" s="36" t="s">
        <v>29</v>
      </c>
      <c r="I151" s="17"/>
      <c r="J151" s="40" t="s">
        <v>111</v>
      </c>
      <c r="K151" s="41" t="s">
        <v>39</v>
      </c>
      <c r="L151" s="17"/>
      <c r="N151" s="17"/>
      <c r="O151" s="17"/>
      <c r="P151" s="17"/>
      <c r="Q151" s="18"/>
      <c r="R151" s="18"/>
      <c r="S151" s="18"/>
      <c r="T151" s="18"/>
    </row>
    <row r="152" spans="2:20" ht="14.25" hidden="1" outlineLevel="1" x14ac:dyDescent="0.25">
      <c r="B152" s="77"/>
      <c r="C152" s="77" t="s">
        <v>190</v>
      </c>
      <c r="D152" s="77"/>
      <c r="E152" s="77"/>
      <c r="F152" s="78">
        <f>SUM(F154:F167)</f>
        <v>80.312884479999994</v>
      </c>
      <c r="G152" s="78">
        <f t="shared" ref="G152:H152" si="19">SUM(G154:G167)</f>
        <v>136.39371159230473</v>
      </c>
      <c r="H152" s="78">
        <f t="shared" si="19"/>
        <v>33.493691337510647</v>
      </c>
      <c r="I152" s="77"/>
      <c r="J152" s="78">
        <f>F152+G152</f>
        <v>216.70659607230471</v>
      </c>
      <c r="K152" s="78">
        <f>SUM(F152:H152)</f>
        <v>250.20028740981536</v>
      </c>
      <c r="L152" s="77" t="s">
        <v>197</v>
      </c>
      <c r="N152" s="17"/>
      <c r="O152" s="17"/>
      <c r="P152" s="17"/>
      <c r="Q152" s="18"/>
      <c r="R152" s="18"/>
      <c r="S152" s="18"/>
      <c r="T152" s="18"/>
    </row>
    <row r="153" spans="2:20" hidden="1" outlineLevel="1" x14ac:dyDescent="0.2">
      <c r="B153" s="277"/>
      <c r="C153" s="17" t="s">
        <v>146</v>
      </c>
      <c r="D153" s="17"/>
      <c r="E153" s="17"/>
      <c r="F153" s="17"/>
      <c r="G153" s="17"/>
      <c r="H153" s="17"/>
      <c r="I153" s="17"/>
      <c r="J153" s="17"/>
      <c r="K153" s="17"/>
      <c r="L153" s="17"/>
      <c r="N153" s="17" t="s">
        <v>146</v>
      </c>
      <c r="O153" s="17"/>
      <c r="P153" s="17"/>
      <c r="Q153" s="18"/>
      <c r="R153" s="18"/>
      <c r="S153" s="18"/>
      <c r="T153" s="18"/>
    </row>
    <row r="154" spans="2:20" ht="15.75" hidden="1" outlineLevel="1" x14ac:dyDescent="0.3">
      <c r="B154" s="277"/>
      <c r="C154" s="17"/>
      <c r="D154" s="17" t="s">
        <v>125</v>
      </c>
      <c r="E154" s="17"/>
      <c r="F154" s="38">
        <f>IF(NOT(ISBLANK('Referenz Plattenwerk'!$I16)),'Referenz Plattenwerk'!$I16,'Referenz Plattenwerk'!$F16)*IF(NOT(ISBLANK('Eingabe EF'!$AA9)),'Eingabe EF'!$AA9,'Eingabe EF'!$Y9)</f>
        <v>34.434080000000002</v>
      </c>
      <c r="G154" s="38">
        <f>IF(NOT(ISBLANK('Referenz Plattenwerk'!$I16)),'Referenz Plattenwerk'!$I16,'Referenz Plattenwerk'!$F16)*IF(NOT(ISBLANK('Eingabe EF'!$AE9)),'Eingabe EF'!$AE9,'Eingabe EF'!$AC9)</f>
        <v>0</v>
      </c>
      <c r="H154" s="38">
        <f>IF(NOT(ISBLANK('Referenz Plattenwerk'!$I16)),'Referenz Plattenwerk'!$I16,'Referenz Plattenwerk'!$F16)*IF(NOT(ISBLANK('Eingabe EF'!$AI9)),'Eingabe EF'!$AI9,'Eingabe EF'!$AG9)</f>
        <v>5.8938000000000006</v>
      </c>
      <c r="I154" s="17"/>
      <c r="J154" s="38">
        <f>F154+G154</f>
        <v>34.434080000000002</v>
      </c>
      <c r="K154" s="38">
        <f>SUM(F154:H154)</f>
        <v>40.32788</v>
      </c>
      <c r="L154" s="17" t="s">
        <v>198</v>
      </c>
      <c r="N154" s="17"/>
      <c r="O154" s="17" t="s">
        <v>125</v>
      </c>
      <c r="P154" s="17"/>
      <c r="Q154" s="19"/>
      <c r="R154" s="20"/>
      <c r="S154" s="42">
        <f>IF(NOT(ISBLANK('Referenz Plattenwerk'!$I16)),'Referenz Plattenwerk'!$I16,'Referenz Plattenwerk'!$F16)/1000*IF(NOT(ISBLANK('Eingabe Preise'!$K10)),'Eingabe Preise'!$K10,'Eingabe Preise'!$I10)</f>
        <v>11468</v>
      </c>
      <c r="T154" s="20" t="s">
        <v>106</v>
      </c>
    </row>
    <row r="155" spans="2:20" ht="15.75" hidden="1" outlineLevel="1" x14ac:dyDescent="0.3">
      <c r="B155" s="277"/>
      <c r="C155" s="17"/>
      <c r="D155" s="17" t="s">
        <v>165</v>
      </c>
      <c r="E155" s="17"/>
      <c r="F155" s="38">
        <f>IF(NOT(ISBLANK('Referenz Plattenwerk'!$I17)),'Referenz Plattenwerk'!$I17,'Referenz Plattenwerk'!$F17)*IF(NOT(ISBLANK('Eingabe EF'!$AA10)),'Eingabe EF'!$AA10,'Eingabe EF'!$Y10)</f>
        <v>6.4022399999999999</v>
      </c>
      <c r="G155" s="38">
        <f>IF(NOT(ISBLANK('Referenz Plattenwerk'!$I17)),'Referenz Plattenwerk'!$I17,'Referenz Plattenwerk'!$F17)*IF(NOT(ISBLANK('Eingabe EF'!$AE10)),'Eingabe EF'!$AE10,'Eingabe EF'!$AC10)</f>
        <v>0</v>
      </c>
      <c r="H155" s="38">
        <f>IF(NOT(ISBLANK('Referenz Plattenwerk'!$I17)),'Referenz Plattenwerk'!$I17,'Referenz Plattenwerk'!$F17)*IF(NOT(ISBLANK('Eingabe EF'!$AI10)),'Eingabe EF'!$AI10,'Eingabe EF'!$AG10)</f>
        <v>0.949824</v>
      </c>
      <c r="I155" s="17"/>
      <c r="J155" s="38">
        <f>F155+G155</f>
        <v>6.4022399999999999</v>
      </c>
      <c r="K155" s="38">
        <f>SUM(F155:H155)</f>
        <v>7.3520640000000004</v>
      </c>
      <c r="L155" s="17" t="s">
        <v>198</v>
      </c>
      <c r="N155" s="17"/>
      <c r="O155" s="17" t="s">
        <v>165</v>
      </c>
      <c r="P155" s="17"/>
      <c r="Q155" s="20"/>
      <c r="R155" s="20"/>
      <c r="S155" s="42">
        <f>IF(NOT(ISBLANK('Referenz Plattenwerk'!$I17)),'Referenz Plattenwerk'!$I17,'Referenz Plattenwerk'!$F17)/1000*IF(NOT(ISBLANK('Eingabe Preise'!$K11)),'Eingabe Preise'!$K11,'Eingabe Preise'!$I11)</f>
        <v>1104</v>
      </c>
      <c r="T155" s="20" t="s">
        <v>106</v>
      </c>
    </row>
    <row r="156" spans="2:20" ht="15.75" hidden="1" outlineLevel="1" x14ac:dyDescent="0.3">
      <c r="B156" s="277"/>
      <c r="C156" s="17"/>
      <c r="D156" s="17" t="s">
        <v>166</v>
      </c>
      <c r="E156" s="17"/>
      <c r="F156" s="38">
        <f>IF(NOT(ISBLANK('Referenz Plattenwerk'!$I18)),'Referenz Plattenwerk'!$I18,'Referenz Plattenwerk'!$F18)*IF(NOT(ISBLANK('Eingabe EF'!$AA11)),'Eingabe EF'!$AA11,'Eingabe EF'!$Y11)</f>
        <v>0</v>
      </c>
      <c r="G156" s="38">
        <f>IF(NOT(ISBLANK('Referenz Plattenwerk'!$I18)),'Referenz Plattenwerk'!$I18,'Referenz Plattenwerk'!$F18)*IF(NOT(ISBLANK('Eingabe EF'!$AE11)),'Eingabe EF'!$AE11,'Eingabe EF'!$AC11)</f>
        <v>12.48924470887134</v>
      </c>
      <c r="H156" s="38">
        <f>IF(NOT(ISBLANK('Referenz Plattenwerk'!$I18)),'Referenz Plattenwerk'!$I18,'Referenz Plattenwerk'!$F18)*IF(NOT(ISBLANK('Eingabe EF'!$AI11)),'Eingabe EF'!$AI11,'Eingabe EF'!$AG11)</f>
        <v>1.8308840410910865</v>
      </c>
      <c r="I156" s="17"/>
      <c r="J156" s="38">
        <f>F156+G156</f>
        <v>12.48924470887134</v>
      </c>
      <c r="K156" s="38">
        <f>SUM(F156:H156)</f>
        <v>14.320128749962427</v>
      </c>
      <c r="L156" s="17" t="s">
        <v>198</v>
      </c>
      <c r="N156" s="17"/>
      <c r="O156" s="17" t="s">
        <v>166</v>
      </c>
      <c r="P156" s="17"/>
      <c r="Q156" s="20"/>
      <c r="R156" s="20"/>
      <c r="S156" s="42">
        <f>IF(NOT(ISBLANK('Referenz Plattenwerk'!$I18)),'Referenz Plattenwerk'!$I18,'Referenz Plattenwerk'!$F18)/1000*IF(NOT(ISBLANK('Eingabe Preise'!$K12)),'Eingabe Preise'!$K12,'Eingabe Preise'!$I12)</f>
        <v>7740</v>
      </c>
      <c r="T156" s="20" t="s">
        <v>106</v>
      </c>
    </row>
    <row r="157" spans="2:20" ht="15.75" hidden="1" outlineLevel="1" x14ac:dyDescent="0.3">
      <c r="B157" s="277"/>
      <c r="C157" s="17"/>
      <c r="D157" s="17" t="s">
        <v>126</v>
      </c>
      <c r="E157" s="17"/>
      <c r="F157" s="44">
        <f>IF(NOT(ISBLANK('Referenz Plattenwerk'!$I19)),'Referenz Plattenwerk'!$I19,'Referenz Plattenwerk'!$F19)*IF(NOT(ISBLANK('Eingabe EF'!$AA12)),'Eingabe EF'!$AA12,0)</f>
        <v>0</v>
      </c>
      <c r="G157" s="44">
        <f>IF(NOT(ISBLANK('Referenz Plattenwerk'!$I19)),'Referenz Plattenwerk'!$I19,'Referenz Plattenwerk'!$F19)*IF(NOT(ISBLANK('Eingabe EF'!$AE12)),'Eingabe EF'!$AE12,0)</f>
        <v>0</v>
      </c>
      <c r="H157" s="44">
        <f>IF(NOT(ISBLANK('Referenz Plattenwerk'!$I19)),'Referenz Plattenwerk'!$I19,'Referenz Plattenwerk'!$F19)*IF(NOT(ISBLANK('Eingabe EF'!$AI12)),'Eingabe EF'!$AI12,0)</f>
        <v>0</v>
      </c>
      <c r="I157" s="17"/>
      <c r="J157" s="38">
        <f>F157+G157</f>
        <v>0</v>
      </c>
      <c r="K157" s="38">
        <f>SUM(F157:H157)</f>
        <v>0</v>
      </c>
      <c r="L157" s="17" t="s">
        <v>198</v>
      </c>
      <c r="N157" s="17"/>
      <c r="O157" s="17" t="s">
        <v>126</v>
      </c>
      <c r="P157" s="17"/>
      <c r="Q157" s="20"/>
      <c r="R157" s="20"/>
      <c r="S157" s="42">
        <f>IF(NOT(ISBLANK('Referenz Plattenwerk'!$I19)),'Referenz Plattenwerk'!$I19,'Referenz Plattenwerk'!$F19)/1000*IF(NOT(ISBLANK('Eingabe Preise'!$K16)),'Eingabe Preise'!$K16,0)</f>
        <v>0</v>
      </c>
      <c r="T157" s="20" t="s">
        <v>106</v>
      </c>
    </row>
    <row r="158" spans="2:20" hidden="1" outlineLevel="1" x14ac:dyDescent="0.2">
      <c r="B158" s="277"/>
      <c r="C158" s="17" t="s">
        <v>147</v>
      </c>
      <c r="D158" s="17"/>
      <c r="E158" s="17"/>
      <c r="F158" s="20"/>
      <c r="G158" s="20"/>
      <c r="H158" s="20"/>
      <c r="I158" s="17"/>
      <c r="J158" s="17"/>
      <c r="K158" s="17"/>
      <c r="L158" s="17"/>
      <c r="N158" s="17" t="s">
        <v>147</v>
      </c>
      <c r="O158" s="17"/>
      <c r="P158" s="17"/>
      <c r="Q158" s="20"/>
      <c r="R158" s="20"/>
      <c r="S158" s="20"/>
      <c r="T158" s="20"/>
    </row>
    <row r="159" spans="2:20" ht="15.75" hidden="1" outlineLevel="1" x14ac:dyDescent="0.3">
      <c r="B159" s="277"/>
      <c r="C159" s="17"/>
      <c r="D159" s="17" t="s">
        <v>31</v>
      </c>
      <c r="E159" s="17"/>
      <c r="F159" s="38">
        <f>IF(NOT(ISBLANK('Referenz Plattenwerk'!$I21)),'Referenz Plattenwerk'!$I21,'Referenz Plattenwerk'!$F21)*IF(NOT(ISBLANK('Eingabe EF'!$AA9)),'Eingabe EF'!$AA9,'Eingabe EF'!$Y9)</f>
        <v>8.6085200000000004</v>
      </c>
      <c r="G159" s="38">
        <f>IF(NOT(ISBLANK('Referenz Plattenwerk'!$I21)),'Referenz Plattenwerk'!$I21,'Referenz Plattenwerk'!$F21)*IF(NOT(ISBLANK('Eingabe EF'!$AE9)),'Eingabe EF'!$AE9,'Eingabe EF'!$AC9)</f>
        <v>0</v>
      </c>
      <c r="H159" s="38">
        <f>IF(NOT(ISBLANK('Referenz Plattenwerk'!$I21)),'Referenz Plattenwerk'!$I21,'Referenz Plattenwerk'!$F21)*IF(NOT(ISBLANK('Eingabe EF'!$AG9)),'Eingabe EF'!$AG9,'Eingabe EF'!$AIC9)</f>
        <v>1.4734500000000001</v>
      </c>
      <c r="I159" s="17"/>
      <c r="J159" s="38">
        <f t="shared" ref="J159:J160" si="20">F159+G159</f>
        <v>8.6085200000000004</v>
      </c>
      <c r="K159" s="38">
        <f t="shared" ref="K159:K170" si="21">SUM(F159:H159)</f>
        <v>10.08197</v>
      </c>
      <c r="L159" s="17" t="s">
        <v>198</v>
      </c>
      <c r="M159" s="43"/>
      <c r="N159" s="17"/>
      <c r="O159" s="17" t="s">
        <v>31</v>
      </c>
      <c r="P159" s="17"/>
      <c r="Q159" s="20"/>
      <c r="R159" s="20"/>
      <c r="S159" s="42">
        <f>IF(NOT(ISBLANK('Referenz Plattenwerk'!$I21)),'Referenz Plattenwerk'!$I21,'Referenz Plattenwerk'!$F21)/1000*IF(NOT(ISBLANK('Eingabe Preise'!$K10)),'Eingabe Preise'!$K10,'Eingabe Preise'!$I10)</f>
        <v>2867</v>
      </c>
      <c r="T159" s="20" t="s">
        <v>106</v>
      </c>
    </row>
    <row r="160" spans="2:20" ht="15.75" hidden="1" outlineLevel="1" x14ac:dyDescent="0.3">
      <c r="B160" s="277"/>
      <c r="C160" s="17"/>
      <c r="D160" s="17" t="s">
        <v>32</v>
      </c>
      <c r="E160" s="17"/>
      <c r="F160" s="38">
        <f>IF(NOT(ISBLANK('Referenz Plattenwerk'!$I22)),'Referenz Plattenwerk'!$I22,'Referenz Plattenwerk'!$F22)*IF(NOT(ISBLANK('Eingabe EF'!$AA10)),'Eingabe EF'!$AA10,'Eingabe EF'!$Y10)</f>
        <v>9.6033600000000003</v>
      </c>
      <c r="G160" s="38">
        <f>IF(NOT(ISBLANK('Referenz Plattenwerk'!$I22)),'Referenz Plattenwerk'!$I22,'Referenz Plattenwerk'!$F22)*IF(NOT(ISBLANK('Eingabe EF'!$AE10)),'Eingabe EF'!$AE10,'Eingabe EF'!$AC10)</f>
        <v>0</v>
      </c>
      <c r="H160" s="38">
        <f>IF(NOT(ISBLANK('Referenz Plattenwerk'!$I22)),'Referenz Plattenwerk'!$I22,'Referenz Plattenwerk'!$F22)*IF(NOT(ISBLANK('Eingabe EF'!$AG10)),'Eingabe EF'!$AG10,'Eingabe EF'!$AIC10)</f>
        <v>1.424736</v>
      </c>
      <c r="I160" s="17"/>
      <c r="J160" s="38">
        <f t="shared" si="20"/>
        <v>9.6033600000000003</v>
      </c>
      <c r="K160" s="38">
        <f t="shared" si="21"/>
        <v>11.028096</v>
      </c>
      <c r="L160" s="17" t="s">
        <v>198</v>
      </c>
      <c r="M160" s="43"/>
      <c r="N160" s="17"/>
      <c r="O160" s="17" t="s">
        <v>32</v>
      </c>
      <c r="P160" s="17"/>
      <c r="Q160" s="20"/>
      <c r="R160" s="20"/>
      <c r="S160" s="42">
        <f>IF(NOT(ISBLANK('Referenz Plattenwerk'!$I22)),'Referenz Plattenwerk'!$I22,'Referenz Plattenwerk'!$F22)/1000*IF(NOT(ISBLANK('Eingabe Preise'!$K11)),'Eingabe Preise'!$K11,'Eingabe Preise'!$I11)</f>
        <v>1656</v>
      </c>
      <c r="T160" s="20" t="s">
        <v>106</v>
      </c>
    </row>
    <row r="161" spans="2:21" hidden="1" outlineLevel="1" x14ac:dyDescent="0.2">
      <c r="B161" s="277"/>
      <c r="C161" s="17" t="s">
        <v>148</v>
      </c>
      <c r="D161" s="17"/>
      <c r="E161" s="17"/>
      <c r="F161" s="20"/>
      <c r="G161" s="20"/>
      <c r="H161" s="20"/>
      <c r="I161" s="17"/>
      <c r="J161" s="17"/>
      <c r="K161" s="17"/>
      <c r="L161" s="17"/>
      <c r="N161" s="17" t="s">
        <v>148</v>
      </c>
      <c r="O161" s="17"/>
      <c r="P161" s="17"/>
      <c r="Q161" s="20"/>
      <c r="R161" s="20"/>
      <c r="S161" s="20"/>
      <c r="T161" s="20"/>
    </row>
    <row r="162" spans="2:21" ht="15.75" hidden="1" outlineLevel="1" x14ac:dyDescent="0.3">
      <c r="B162" s="276"/>
      <c r="C162" s="17"/>
      <c r="D162" s="17" t="s">
        <v>150</v>
      </c>
      <c r="E162" s="17"/>
      <c r="F162" s="38">
        <f>(IF(NOT(ISBLANK('Referenz Plattenwerk'!$I24)),'Referenz Plattenwerk'!$I24,'Referenz Plattenwerk'!$F24)+E148*E25)*IF(NOT(ISBLANK('Eingabe EF'!$AA11)),'Eingabe EF'!$AA11,'Eingabe EF'!$Y11)</f>
        <v>0</v>
      </c>
      <c r="G162" s="38">
        <f>(IF(NOT(ISBLANK('Referenz Plattenwerk'!$I24)),'Referenz Plattenwerk'!$I24,'Referenz Plattenwerk'!$F24)+E148*E25)*IF(NOT(ISBLANK('Eingabe EF'!$AE11)),'Eingabe EF'!$AE11,'Eingabe EF'!$AC11)</f>
        <v>123.90446688343337</v>
      </c>
      <c r="H162" s="38">
        <f>(IF(NOT(ISBLANK('Referenz Plattenwerk'!$I24)),'Referenz Plattenwerk'!$I24,'Referenz Plattenwerk'!$F24)+E148*E25)*IF(NOT(ISBLANK('Eingabe EF'!$AI11)),'Eingabe EF'!$AI11,'Eingabe EF'!$AG11)</f>
        <v>18.164005616419555</v>
      </c>
      <c r="I162" s="17"/>
      <c r="J162" s="38">
        <f t="shared" ref="J162:J170" si="22">F162+G162</f>
        <v>123.90446688343337</v>
      </c>
      <c r="K162" s="38">
        <f t="shared" si="21"/>
        <v>142.06847249985293</v>
      </c>
      <c r="L162" s="17" t="s">
        <v>198</v>
      </c>
      <c r="M162" s="43"/>
      <c r="N162" s="276"/>
      <c r="O162" s="17" t="s">
        <v>167</v>
      </c>
      <c r="P162" s="17"/>
      <c r="Q162" s="20"/>
      <c r="R162" s="20"/>
      <c r="S162" s="42">
        <f>(IF(NOT(ISBLANK('Referenz Plattenwerk'!$I24)),'Referenz Plattenwerk'!$I24,'Referenz Plattenwerk'!$F24)+E148*E25)/1000*IF(NOT(ISBLANK('Eingabe Preise'!$K12)),'Eingabe Preise'!$K12,'Eingabe Preise'!$I12)</f>
        <v>76787.715833333335</v>
      </c>
      <c r="T162" s="20" t="s">
        <v>106</v>
      </c>
    </row>
    <row r="163" spans="2:21" ht="15.75" hidden="1" outlineLevel="1" x14ac:dyDescent="0.3">
      <c r="B163" s="277"/>
      <c r="C163" s="17"/>
      <c r="D163" s="17" t="s">
        <v>122</v>
      </c>
      <c r="E163" s="17"/>
      <c r="F163" s="38">
        <f>IF(NOT(ISBLANK('Referenz Plattenwerk'!$I25)),'Referenz Plattenwerk'!$I25,'Referenz Plattenwerk'!$F25)*IF(NOT(ISBLANK('Eingabe EF'!$AA13)),'Eingabe EF'!$AA13,'Eingabe EF'!$Y13)</f>
        <v>0</v>
      </c>
      <c r="G163" s="38">
        <f>IF(NOT(ISBLANK('Referenz Plattenwerk'!$I25)),'Referenz Plattenwerk'!$I25,'Referenz Plattenwerk'!$F25)*IF(NOT(ISBLANK('Eingabe EF'!$AE13)),'Eingabe EF'!$AE13,'Eingabe EF'!$AC13)</f>
        <v>0</v>
      </c>
      <c r="H163" s="38">
        <f>IF(NOT(ISBLANK('Referenz Plattenwerk'!$I25)),'Referenz Plattenwerk'!$I25,'Referenz Plattenwerk'!$F25)*IF(NOT(ISBLANK('Eingabe EF'!$AI13)),'Eingabe EF'!$AI13,'Eingabe EF'!$AG13)</f>
        <v>0</v>
      </c>
      <c r="I163" s="17"/>
      <c r="J163" s="38">
        <f t="shared" si="22"/>
        <v>0</v>
      </c>
      <c r="K163" s="38">
        <f t="shared" si="21"/>
        <v>0</v>
      </c>
      <c r="L163" s="17" t="s">
        <v>198</v>
      </c>
      <c r="M163" s="43"/>
      <c r="N163" s="17"/>
      <c r="O163" s="17" t="s">
        <v>122</v>
      </c>
      <c r="P163" s="17"/>
      <c r="Q163" s="20"/>
      <c r="R163" s="20"/>
      <c r="S163" s="42">
        <f>IF(NOT(ISBLANK('Referenz Plattenwerk'!$I25)),'Referenz Plattenwerk'!$I25,'Referenz Plattenwerk'!$F25)/1000*IF(NOT(ISBLANK('Eingabe Preise'!$K13)),'Eingabe Preise'!$K13,'Eingabe Preise'!$I13)</f>
        <v>0</v>
      </c>
      <c r="T163" s="20" t="s">
        <v>106</v>
      </c>
    </row>
    <row r="164" spans="2:21" ht="15.75" hidden="1" outlineLevel="1" x14ac:dyDescent="0.3">
      <c r="B164" s="277"/>
      <c r="C164" s="17"/>
      <c r="D164" s="17" t="s">
        <v>149</v>
      </c>
      <c r="E164" s="17"/>
      <c r="F164" s="38">
        <f>IF(NOT(ISBLANK('Referenz Plattenwerk'!$I26)),'Referenz Plattenwerk'!$I26,'Referenz Plattenwerk'!$F26)*IF(NOT(ISBLANK('Eingabe EF'!$AA14)),'Eingabe EF'!$AA14,0)</f>
        <v>0</v>
      </c>
      <c r="G164" s="38">
        <f>IF(NOT(ISBLANK('Referenz Plattenwerk'!$I26)),'Referenz Plattenwerk'!$I26,'Referenz Plattenwerk'!$F26)*IF(NOT(ISBLANK('Eingabe EF'!$AE14)),'Eingabe EF'!$AE14,0)</f>
        <v>0</v>
      </c>
      <c r="H164" s="38">
        <f>IF(NOT(ISBLANK('Referenz Plattenwerk'!$I26)),'Referenz Plattenwerk'!$I26,'Referenz Plattenwerk'!$F26)*IF(NOT(ISBLANK('Eingabe EF'!$AI14)),'Eingabe EF'!$AI14,0)</f>
        <v>0</v>
      </c>
      <c r="I164" s="17"/>
      <c r="J164" s="38">
        <f t="shared" si="22"/>
        <v>0</v>
      </c>
      <c r="K164" s="38">
        <f t="shared" si="21"/>
        <v>0</v>
      </c>
      <c r="L164" s="17" t="s">
        <v>198</v>
      </c>
      <c r="M164" s="43"/>
      <c r="N164" s="17"/>
      <c r="O164" s="17" t="s">
        <v>149</v>
      </c>
      <c r="P164" s="17"/>
      <c r="Q164" s="30"/>
      <c r="R164" s="17"/>
      <c r="S164" s="42">
        <f>IF(NOT(ISBLANK('Referenz Plattenwerk'!$I26)),'Referenz Plattenwerk'!$I26,'Referenz Plattenwerk'!$F26)/1000*IF(NOT(ISBLANK('Eingabe Preise'!$K17)),'Eingabe Preise'!$K17,0)</f>
        <v>0</v>
      </c>
      <c r="T164" s="20" t="s">
        <v>106</v>
      </c>
    </row>
    <row r="165" spans="2:21" hidden="1" outlineLevel="1" x14ac:dyDescent="0.2">
      <c r="B165" s="277"/>
      <c r="C165" s="17"/>
      <c r="D165" s="17"/>
      <c r="E165" s="17"/>
      <c r="F165" s="20"/>
      <c r="G165" s="20"/>
      <c r="H165" s="20"/>
      <c r="I165" s="17"/>
      <c r="J165" s="17"/>
      <c r="K165" s="17"/>
      <c r="L165" s="17"/>
      <c r="N165" s="17"/>
      <c r="O165" s="17"/>
      <c r="P165" s="17"/>
      <c r="Q165" s="30"/>
      <c r="R165" s="17"/>
      <c r="S165" s="17"/>
      <c r="T165" s="17"/>
    </row>
    <row r="166" spans="2:21" ht="15.75" hidden="1" outlineLevel="1" x14ac:dyDescent="0.3">
      <c r="B166" s="276"/>
      <c r="C166" s="17" t="s">
        <v>464</v>
      </c>
      <c r="D166" s="17" t="s">
        <v>34</v>
      </c>
      <c r="E166" s="17"/>
      <c r="F166" s="38">
        <f>(IF(NOT(ISBLANK('Referenz Plattenwerk'!$I28)),'Referenz Plattenwerk'!$I28,'Referenz Plattenwerk'!$F28)-E148*E17)*IF(NOT(ISBLANK('Eingabe EF'!$AA15)),'Eingabe EF'!$AA15,'Eingabe EF'!$Y15)</f>
        <v>14.619470579999998</v>
      </c>
      <c r="G166" s="38">
        <f>(IF(NOT(ISBLANK('Referenz Plattenwerk'!$I28)),'Referenz Plattenwerk'!$I28,'Referenz Plattenwerk'!$F28)-E148*E17)*IF(NOT(ISBLANK('Eingabe EF'!$AE15)),'Eingabe EF'!$AE15,'Eingabe EF'!$AC15)</f>
        <v>0</v>
      </c>
      <c r="H166" s="38">
        <f>(IF(NOT(ISBLANK('Referenz Plattenwerk'!$I28)),'Referenz Plattenwerk'!$I28,'Referenz Plattenwerk'!$F28)-E148*E17)*IF(NOT(ISBLANK('Eingabe EF'!$AI15)),'Eingabe EF'!$AI15,'Eingabe EF'!$AG15)</f>
        <v>2.5829317800000005</v>
      </c>
      <c r="I166" s="17"/>
      <c r="J166" s="38">
        <f t="shared" si="22"/>
        <v>14.619470579999998</v>
      </c>
      <c r="K166" s="38">
        <f t="shared" si="21"/>
        <v>17.202402359999997</v>
      </c>
      <c r="L166" s="17" t="s">
        <v>198</v>
      </c>
      <c r="M166" s="43"/>
      <c r="N166" s="276"/>
      <c r="O166" s="17" t="s">
        <v>34</v>
      </c>
      <c r="P166" s="17" t="s">
        <v>464</v>
      </c>
      <c r="Q166" s="30"/>
      <c r="R166" s="17"/>
      <c r="S166" s="42">
        <f>(IF(NOT(ISBLANK('Referenz Plattenwerk'!$I28)),'Referenz Plattenwerk'!$I28,'Referenz Plattenwerk'!$F28)-E148*E17)*IF(NOT(ISBLANK('Eingabe Preise'!$K14)),'Eingabe Preise'!$K14,'Eingabe Preise'!$I14)</f>
        <v>6182.0000000000009</v>
      </c>
      <c r="T166" s="20" t="s">
        <v>106</v>
      </c>
    </row>
    <row r="167" spans="2:21" ht="15.75" hidden="1" outlineLevel="1" x14ac:dyDescent="0.3">
      <c r="B167" s="277"/>
      <c r="C167" s="17" t="s">
        <v>75</v>
      </c>
      <c r="D167" s="17" t="s">
        <v>34</v>
      </c>
      <c r="E167" s="17"/>
      <c r="F167" s="38">
        <f>IF(NOT(ISBLANK('Referenz Plattenwerk'!$I29)),'Referenz Plattenwerk'!$I29,'Referenz Plattenwerk'!$F29)*IF(NOT(ISBLANK('Eingabe EF'!$AA15)),'Eingabe EF'!$AA15,'Eingabe EF'!$Y15)</f>
        <v>6.645213899999999</v>
      </c>
      <c r="G167" s="38">
        <f>IF(NOT(ISBLANK('Referenz Plattenwerk'!$I29)),'Referenz Plattenwerk'!$I29,'Referenz Plattenwerk'!$F29)*IF(NOT(ISBLANK('Eingabe EF'!$AE15)),'Eingabe EF'!$AE15,'Eingabe EF'!$AC15)</f>
        <v>0</v>
      </c>
      <c r="H167" s="38">
        <f>IF(NOT(ISBLANK('Referenz Plattenwerk'!$I29)),'Referenz Plattenwerk'!$I29,'Referenz Plattenwerk'!$F29)*IF(NOT(ISBLANK('Eingabe EF'!$AI15)),'Eingabe EF'!$AI15,'Eingabe EF'!$AG15)</f>
        <v>1.1740599000000003</v>
      </c>
      <c r="I167" s="17"/>
      <c r="J167" s="38">
        <f t="shared" si="22"/>
        <v>6.645213899999999</v>
      </c>
      <c r="K167" s="38">
        <f t="shared" si="21"/>
        <v>7.8192737999999995</v>
      </c>
      <c r="L167" s="17" t="s">
        <v>198</v>
      </c>
      <c r="M167" s="43"/>
      <c r="N167" s="21"/>
      <c r="O167" s="17" t="s">
        <v>34</v>
      </c>
      <c r="P167" s="17" t="s">
        <v>75</v>
      </c>
      <c r="Q167" s="30"/>
      <c r="R167" s="17"/>
      <c r="S167" s="42">
        <f>IF(NOT(ISBLANK('Referenz Plattenwerk'!$I29)),'Referenz Plattenwerk'!$I29,'Referenz Plattenwerk'!$F29)*IF(NOT(ISBLANK('Eingabe Preise'!$K14)),'Eingabe Preise'!$K14,'Eingabe Preise'!$I14)</f>
        <v>2810.0000000000005</v>
      </c>
      <c r="T167" s="20" t="s">
        <v>106</v>
      </c>
    </row>
    <row r="168" spans="2:21" s="73" customFormat="1" ht="14.25" hidden="1" outlineLevel="1" x14ac:dyDescent="0.25">
      <c r="B168" s="70"/>
      <c r="C168" s="70" t="s">
        <v>189</v>
      </c>
      <c r="D168" s="70"/>
      <c r="E168" s="70"/>
      <c r="F168" s="72">
        <f>F169+F170</f>
        <v>0</v>
      </c>
      <c r="G168" s="72">
        <f t="shared" ref="G168:H168" si="23">G169+G170</f>
        <v>0</v>
      </c>
      <c r="H168" s="72">
        <f t="shared" si="23"/>
        <v>469.15642799999995</v>
      </c>
      <c r="I168" s="70"/>
      <c r="J168" s="72">
        <f t="shared" si="22"/>
        <v>0</v>
      </c>
      <c r="K168" s="72">
        <f t="shared" si="21"/>
        <v>469.15642799999995</v>
      </c>
      <c r="L168" s="77" t="s">
        <v>197</v>
      </c>
      <c r="N168" s="21"/>
      <c r="O168" s="21"/>
      <c r="P168" s="21"/>
      <c r="Q168" s="74"/>
      <c r="R168" s="21"/>
      <c r="S168" s="21"/>
      <c r="T168" s="21"/>
      <c r="U168" s="6"/>
    </row>
    <row r="169" spans="2:21" ht="15.75" hidden="1" outlineLevel="1" x14ac:dyDescent="0.3">
      <c r="B169" s="17"/>
      <c r="C169" s="17"/>
      <c r="D169" s="17" t="s">
        <v>45</v>
      </c>
      <c r="E169" s="17"/>
      <c r="F169" s="38">
        <f>IF(NOT(ISBLANK('Referenz Plattenwerk'!$I32)),'Referenz Plattenwerk'!$I32,'Referenz Plattenwerk'!$F32)*IF(NOT(ISBLANK('Eingabe EF'!$AA17)),'Eingabe EF'!$AA17,'Eingabe EF'!$Y17)</f>
        <v>0</v>
      </c>
      <c r="G169" s="38">
        <f>IF(NOT(ISBLANK('Referenz Plattenwerk'!$I32)),'Referenz Plattenwerk'!$I32,'Referenz Plattenwerk'!$F32)*IF(NOT(ISBLANK('Eingabe EF'!$AE17)),'Eingabe EF'!$AE17,'Eingabe EF'!$AC17)</f>
        <v>0</v>
      </c>
      <c r="H169" s="38">
        <f>IF(NOT(ISBLANK('Referenz Plattenwerk'!$I32)),'Referenz Plattenwerk'!$I32,'Referenz Plattenwerk'!$F32)*IF(NOT(ISBLANK('Eingabe EF'!$AI17)),'Eingabe EF'!$AI17,'Eingabe EF'!$AG17)</f>
        <v>109.4698332</v>
      </c>
      <c r="I169" s="17"/>
      <c r="J169" s="38">
        <f t="shared" si="22"/>
        <v>0</v>
      </c>
      <c r="K169" s="38">
        <f t="shared" si="21"/>
        <v>109.4698332</v>
      </c>
      <c r="L169" s="17" t="s">
        <v>198</v>
      </c>
      <c r="M169" s="43"/>
      <c r="N169" s="17"/>
      <c r="O169" s="17"/>
      <c r="P169" s="17"/>
      <c r="Q169" s="30"/>
      <c r="R169" s="17"/>
      <c r="S169" s="17"/>
      <c r="T169" s="17"/>
    </row>
    <row r="170" spans="2:21" ht="15.75" hidden="1" outlineLevel="1" x14ac:dyDescent="0.3">
      <c r="B170" s="17"/>
      <c r="C170" s="17"/>
      <c r="D170" s="17" t="s">
        <v>46</v>
      </c>
      <c r="E170" s="17"/>
      <c r="F170" s="38">
        <f>IF(NOT(ISBLANK('Referenz Plattenwerk'!$I33)),'Referenz Plattenwerk'!$I33,'Referenz Plattenwerk'!$F33)*IF(NOT(ISBLANK('Eingabe EF'!$AA18)),'Eingabe EF'!$AA18,'Eingabe EF'!$Y18)</f>
        <v>0</v>
      </c>
      <c r="G170" s="38">
        <f>IF(NOT(ISBLANK('Referenz Plattenwerk'!$I33)),'Referenz Plattenwerk'!$I33,'Referenz Plattenwerk'!$F33)*IF(NOT(ISBLANK('Eingabe EF'!$AE18)),'Eingabe EF'!$AE18,'Eingabe EF'!$AC18)</f>
        <v>0</v>
      </c>
      <c r="H170" s="38">
        <f>IF(NOT(ISBLANK('Referenz Plattenwerk'!$I33)),'Referenz Plattenwerk'!$I33,'Referenz Plattenwerk'!$F33)*IF(NOT(ISBLANK('Eingabe EF'!$AI18)),'Eingabe EF'!$AI18,'Eingabe EF'!$AG18)</f>
        <v>359.68659479999997</v>
      </c>
      <c r="I170" s="17"/>
      <c r="J170" s="38">
        <f t="shared" si="22"/>
        <v>0</v>
      </c>
      <c r="K170" s="38">
        <f t="shared" si="21"/>
        <v>359.68659479999997</v>
      </c>
      <c r="L170" s="17" t="s">
        <v>198</v>
      </c>
      <c r="M170" s="43"/>
      <c r="N170" s="276"/>
      <c r="O170" s="17" t="s">
        <v>30</v>
      </c>
      <c r="P170" s="17"/>
      <c r="Q170" s="30"/>
      <c r="R170" s="17"/>
      <c r="S170" s="42">
        <f>(IF(NOT(ISBLANK($G$27)),$G$27,$E$27)/IF(NOT(ISBLANK($G$32)),$G$32,$E$32)+IF(NOT(ISBLANK($G$27)),$G$27,$E$27)*(IF(NOT(ISBLANK($G$33)),$G$33,$E$33)/100))*E148</f>
        <v>54000</v>
      </c>
      <c r="T170" s="20" t="s">
        <v>106</v>
      </c>
    </row>
    <row r="171" spans="2:21" hidden="1" outlineLevel="1" x14ac:dyDescent="0.2">
      <c r="B171" s="17"/>
      <c r="C171" s="17"/>
      <c r="D171" s="17"/>
      <c r="E171" s="17"/>
      <c r="F171" s="20"/>
      <c r="G171" s="20"/>
      <c r="H171" s="20"/>
      <c r="I171" s="17"/>
      <c r="J171" s="20"/>
      <c r="K171" s="20"/>
      <c r="L171" s="17"/>
      <c r="N171" s="17"/>
      <c r="O171" s="45" t="s">
        <v>153</v>
      </c>
      <c r="P171" s="17"/>
      <c r="Q171" s="30"/>
      <c r="R171" s="17"/>
      <c r="S171" s="42">
        <f>IF(NOT(ISBLANK($G$28)),$G$28,$E$28)</f>
        <v>0</v>
      </c>
      <c r="T171" s="20" t="s">
        <v>106</v>
      </c>
    </row>
    <row r="172" spans="2:21" ht="14.25" hidden="1" outlineLevel="1" x14ac:dyDescent="0.25">
      <c r="B172" s="70"/>
      <c r="C172" s="70" t="s">
        <v>68</v>
      </c>
      <c r="D172" s="71"/>
      <c r="E172" s="71"/>
      <c r="F172" s="72">
        <f>SUM(F173:F176)</f>
        <v>0</v>
      </c>
      <c r="G172" s="72">
        <f>SUM(G173:G176)</f>
        <v>0</v>
      </c>
      <c r="H172" s="72">
        <f>SUM(H173:H176)</f>
        <v>4548.5439999999999</v>
      </c>
      <c r="I172" s="71"/>
      <c r="J172" s="72">
        <f t="shared" ref="J172:J176" si="24">F172+G172</f>
        <v>0</v>
      </c>
      <c r="K172" s="72">
        <f t="shared" ref="K172:K175" si="25">SUM(F172:H172)</f>
        <v>4548.5439999999999</v>
      </c>
      <c r="L172" s="77" t="s">
        <v>197</v>
      </c>
      <c r="N172" s="17"/>
      <c r="O172" s="45" t="s">
        <v>160</v>
      </c>
      <c r="P172" s="17"/>
      <c r="Q172" s="30"/>
      <c r="R172" s="17"/>
      <c r="S172" s="42">
        <f>IF(NOT(ISBLANK($G$29)),$G$29,$E$29)/IF(NOT(ISBLANK($G$32)),$G$32,$E$32)+IF(NOT(ISBLANK($G$29)),$G$29,$E$29)*(IF(NOT(ISBLANK($G$33)),$G$33,$E$33)/100)</f>
        <v>0</v>
      </c>
      <c r="T172" s="20" t="s">
        <v>106</v>
      </c>
    </row>
    <row r="173" spans="2:21" ht="15.75" hidden="1" outlineLevel="1" x14ac:dyDescent="0.3">
      <c r="B173" s="17"/>
      <c r="C173" s="17"/>
      <c r="D173" s="17" t="s">
        <v>47</v>
      </c>
      <c r="E173" s="17"/>
      <c r="F173" s="38">
        <f>IF(NOT(ISBLANK('Referenz Plattenwerk'!$I36)),'Referenz Plattenwerk'!$I36,'Referenz Plattenwerk'!$F36)*IF(NOT(ISBLANK('Eingabe EF'!$AA21)),'Eingabe EF'!$AA21,'Eingabe EF'!$Y21)*IF(NOT(ISBLANK('Referenz Plattenwerk'!$I$12)),'Referenz Plattenwerk'!$I$12,'Referenz Plattenwerk'!$F$12)</f>
        <v>0</v>
      </c>
      <c r="G173" s="38">
        <f>IF(NOT(ISBLANK('Referenz Plattenwerk'!$I36)),'Referenz Plattenwerk'!$I36,'Referenz Plattenwerk'!$F36)*IF(NOT(ISBLANK('Eingabe EF'!$AE21)),'Eingabe EF'!$AE21,'Eingabe EF'!$AC21)*IF(NOT(ISBLANK('Referenz Plattenwerk'!$I$12)),'Referenz Plattenwerk'!$I$12,'Referenz Plattenwerk'!$F$12)</f>
        <v>0</v>
      </c>
      <c r="H173" s="38">
        <f>IF(NOT(ISBLANK('Referenz Plattenwerk'!$I36)),'Referenz Plattenwerk'!$I36,'Referenz Plattenwerk'!$F36)*IF(NOT(ISBLANK('Eingabe EF'!$AI21)),'Eingabe EF'!$AI21,'Eingabe EF'!$AG21)*IF(NOT(ISBLANK('Referenz Plattenwerk'!$I$12)),'Referenz Plattenwerk'!$I$12,'Referenz Plattenwerk'!$F$12)</f>
        <v>1210.3</v>
      </c>
      <c r="I173" s="17"/>
      <c r="J173" s="38">
        <f t="shared" si="24"/>
        <v>0</v>
      </c>
      <c r="K173" s="38">
        <f t="shared" si="25"/>
        <v>1210.3</v>
      </c>
      <c r="L173" s="17" t="s">
        <v>198</v>
      </c>
      <c r="M173" s="43"/>
      <c r="N173" s="17"/>
      <c r="O173" s="17"/>
      <c r="P173" s="17"/>
      <c r="Q173" s="17"/>
      <c r="R173" s="17"/>
      <c r="S173" s="17"/>
      <c r="T173" s="17"/>
    </row>
    <row r="174" spans="2:21" ht="15.75" hidden="1" outlineLevel="1" x14ac:dyDescent="0.3">
      <c r="B174" s="17"/>
      <c r="C174" s="17"/>
      <c r="D174" s="17" t="s">
        <v>49</v>
      </c>
      <c r="E174" s="17"/>
      <c r="F174" s="38">
        <f>IF(NOT(ISBLANK('Referenz Plattenwerk'!$I37)),'Referenz Plattenwerk'!$I37,'Referenz Plattenwerk'!$F37)*IF(NOT(ISBLANK('Eingabe EF'!$AA22)),'Eingabe EF'!$AA22,'Eingabe EF'!$Y22)*IF(NOT(ISBLANK('Referenz Plattenwerk'!$I$12)),'Referenz Plattenwerk'!$I$12,'Referenz Plattenwerk'!$F$12)</f>
        <v>0</v>
      </c>
      <c r="G174" s="38">
        <f>IF(NOT(ISBLANK('Referenz Plattenwerk'!$I37)),'Referenz Plattenwerk'!$I37,'Referenz Plattenwerk'!$F37)*IF(NOT(ISBLANK('Eingabe EF'!$AE22)),'Eingabe EF'!$AE22,'Eingabe EF'!$AC22)*IF(NOT(ISBLANK('Referenz Plattenwerk'!$I$12)),'Referenz Plattenwerk'!$I$12,'Referenz Plattenwerk'!$F$12)</f>
        <v>0</v>
      </c>
      <c r="H174" s="38">
        <f>IF(NOT(ISBLANK('Referenz Plattenwerk'!$I37)),'Referenz Plattenwerk'!$I37,'Referenz Plattenwerk'!$F37)*IF(NOT(ISBLANK('Eingabe EF'!$AI22)),'Eingabe EF'!$AI22,'Eingabe EF'!$AG22)*IF(NOT(ISBLANK('Referenz Plattenwerk'!$I$12)),'Referenz Plattenwerk'!$I$12,'Referenz Plattenwerk'!$F$12)</f>
        <v>2415.5039999999999</v>
      </c>
      <c r="I174" s="17"/>
      <c r="J174" s="38">
        <f t="shared" si="24"/>
        <v>0</v>
      </c>
      <c r="K174" s="38">
        <f t="shared" si="25"/>
        <v>2415.5039999999999</v>
      </c>
      <c r="L174" s="17" t="s">
        <v>198</v>
      </c>
      <c r="M174" s="43"/>
      <c r="N174" s="17"/>
      <c r="O174" s="17"/>
      <c r="P174" s="17"/>
      <c r="Q174" s="17"/>
      <c r="R174" s="17"/>
      <c r="S174" s="17"/>
      <c r="T174" s="17"/>
    </row>
    <row r="175" spans="2:21" ht="15.75" hidden="1" outlineLevel="1" x14ac:dyDescent="0.3">
      <c r="B175" s="17"/>
      <c r="C175" s="17"/>
      <c r="D175" s="17" t="s">
        <v>50</v>
      </c>
      <c r="E175" s="17"/>
      <c r="F175" s="38">
        <f>IF(NOT(ISBLANK('Referenz Plattenwerk'!$I38)),'Referenz Plattenwerk'!$I38,'Referenz Plattenwerk'!$F38)*IF(NOT(ISBLANK('Eingabe EF'!$AA23)),'Eingabe EF'!$AA23,'Eingabe EF'!$Y23)*IF(NOT(ISBLANK('Referenz Plattenwerk'!$I$12)),'Referenz Plattenwerk'!$I$12,'Referenz Plattenwerk'!$F$12)</f>
        <v>0</v>
      </c>
      <c r="G175" s="38">
        <f>IF(NOT(ISBLANK('Referenz Plattenwerk'!$I38)),'Referenz Plattenwerk'!$I38,'Referenz Plattenwerk'!$F38)*IF(NOT(ISBLANK('Eingabe EF'!$AE23)),'Eingabe EF'!$AE23,'Eingabe EF'!$AC23)*IF(NOT(ISBLANK('Referenz Plattenwerk'!$I$12)),'Referenz Plattenwerk'!$I$12,'Referenz Plattenwerk'!$F$12)</f>
        <v>0</v>
      </c>
      <c r="H175" s="38">
        <f>IF(NOT(ISBLANK('Referenz Plattenwerk'!$I38)),'Referenz Plattenwerk'!$I38,'Referenz Plattenwerk'!$F38)*IF(NOT(ISBLANK('Eingabe EF'!$AI23)),'Eingabe EF'!$AI23,'Eingabe EF'!$AG23)*IF(NOT(ISBLANK('Referenz Plattenwerk'!$I$12)),'Referenz Plattenwerk'!$I$12,'Referenz Plattenwerk'!$F$12)</f>
        <v>922.7399999999999</v>
      </c>
      <c r="I175" s="17"/>
      <c r="J175" s="38">
        <f t="shared" si="24"/>
        <v>0</v>
      </c>
      <c r="K175" s="38">
        <f t="shared" si="25"/>
        <v>922.7399999999999</v>
      </c>
      <c r="L175" s="17" t="s">
        <v>198</v>
      </c>
      <c r="M175" s="43"/>
      <c r="N175" s="17"/>
      <c r="O175" s="17" t="s">
        <v>200</v>
      </c>
      <c r="P175" s="17"/>
      <c r="Q175" s="30"/>
      <c r="R175" s="17"/>
      <c r="S175" s="42">
        <f>F211*IF(NOT(ISBLANK('Eingabe Preise'!$K21)),'Eingabe Preise'!$K21,'Eingabe Preise'!$I21)</f>
        <v>3614.0798015999999</v>
      </c>
      <c r="T175" s="20" t="s">
        <v>106</v>
      </c>
    </row>
    <row r="176" spans="2:21" ht="15.75" hidden="1" outlineLevel="1" x14ac:dyDescent="0.3">
      <c r="B176" s="17"/>
      <c r="C176" s="17"/>
      <c r="D176" s="17" t="s">
        <v>161</v>
      </c>
      <c r="E176" s="17"/>
      <c r="F176" s="38">
        <f>IF(NOT(ISBLANK('Referenz Plattenwerk'!$I39)),'Referenz Plattenwerk'!$I39,'Referenz Plattenwerk'!$F39)*IF(NOT(ISBLANK('Eingabe EF'!$AA24)),'Eingabe EF'!$AA24,0)*IF(NOT(ISBLANK('Referenz Plattenwerk'!$I$12)),'Referenz Plattenwerk'!$I$12,'Referenz Plattenwerk'!$F$12)</f>
        <v>0</v>
      </c>
      <c r="G176" s="38">
        <f>IF(NOT(ISBLANK('Referenz Plattenwerk'!$I39)),'Referenz Plattenwerk'!$I39,'Referenz Plattenwerk'!$F39)*IF(NOT(ISBLANK('Eingabe EF'!$AE24)),'Eingabe EF'!$AE24,0)*IF(NOT(ISBLANK('Referenz Plattenwerk'!$I$12)),'Referenz Plattenwerk'!$I$12,'Referenz Plattenwerk'!$F$12)</f>
        <v>0</v>
      </c>
      <c r="H176" s="38">
        <f>IF(NOT(ISBLANK('Referenz Plattenwerk'!$I39)),'Referenz Plattenwerk'!$I39,'Referenz Plattenwerk'!$F39)*IF(NOT(ISBLANK('Eingabe EF'!$AI24)),'Eingabe EF'!$AI24,0)*IF(NOT(ISBLANK('Referenz Plattenwerk'!$I$12)),'Referenz Plattenwerk'!$I$12,'Referenz Plattenwerk'!$F$12)</f>
        <v>0</v>
      </c>
      <c r="I176" s="17"/>
      <c r="J176" s="38">
        <f t="shared" si="24"/>
        <v>0</v>
      </c>
      <c r="K176" s="38">
        <f t="shared" ref="K176" si="26">SUM(F176:H176)</f>
        <v>0</v>
      </c>
      <c r="L176" s="17" t="s">
        <v>198</v>
      </c>
      <c r="M176" s="43"/>
      <c r="N176" s="17"/>
      <c r="O176" s="17" t="s">
        <v>201</v>
      </c>
      <c r="P176" s="17"/>
      <c r="Q176" s="30"/>
      <c r="R176" s="17"/>
      <c r="S176" s="42">
        <f>G211*IF(NOT(ISBLANK('Eingabe Preise'!$K22)),'Eingabe Preise'!$K22,'Eingabe Preise'!$I22)</f>
        <v>6137.7170216537124</v>
      </c>
      <c r="T176" s="20" t="s">
        <v>106</v>
      </c>
    </row>
    <row r="177" spans="2:20" ht="15.75" hidden="1" outlineLevel="1" x14ac:dyDescent="0.3">
      <c r="B177" s="17"/>
      <c r="C177" s="17"/>
      <c r="D177" s="17"/>
      <c r="E177" s="17"/>
      <c r="F177" s="20"/>
      <c r="G177" s="20"/>
      <c r="H177" s="20"/>
      <c r="I177" s="17"/>
      <c r="J177" s="17"/>
      <c r="K177" s="20"/>
      <c r="L177" s="20"/>
      <c r="M177" s="43"/>
      <c r="N177" s="17"/>
      <c r="O177" s="17" t="s">
        <v>202</v>
      </c>
      <c r="P177" s="17"/>
      <c r="Q177" s="30"/>
      <c r="R177" s="17"/>
      <c r="S177" s="42">
        <f>H211*IF(NOT(ISBLANK('Eingabe Preise'!$K23)),'Eingabe Preise'!$K23,'Eingabe Preise'!$I23)</f>
        <v>262068.37113091641</v>
      </c>
      <c r="T177" s="20" t="s">
        <v>106</v>
      </c>
    </row>
    <row r="178" spans="2:20" ht="14.25" hidden="1" outlineLevel="1" x14ac:dyDescent="0.25">
      <c r="B178" s="70"/>
      <c r="C178" s="70" t="s">
        <v>177</v>
      </c>
      <c r="D178" s="71"/>
      <c r="E178" s="71"/>
      <c r="F178" s="72">
        <f>SUM(F179:F181)</f>
        <v>0</v>
      </c>
      <c r="G178" s="72">
        <f>SUM(G179:G181)</f>
        <v>0</v>
      </c>
      <c r="H178" s="72">
        <f>SUM(H179:H181)</f>
        <v>129.59200000000001</v>
      </c>
      <c r="I178" s="71"/>
      <c r="J178" s="72">
        <f t="shared" ref="J178" si="27">F178+G178</f>
        <v>0</v>
      </c>
      <c r="K178" s="72">
        <f t="shared" ref="K178" si="28">SUM(F178:H178)</f>
        <v>129.59200000000001</v>
      </c>
      <c r="L178" s="77" t="s">
        <v>197</v>
      </c>
      <c r="M178" s="43"/>
      <c r="N178" s="17"/>
      <c r="O178" s="17"/>
      <c r="P178" s="17"/>
      <c r="Q178" s="30"/>
      <c r="R178" s="17"/>
      <c r="S178" s="67"/>
      <c r="T178" s="17"/>
    </row>
    <row r="179" spans="2:20" ht="15.75" hidden="1" outlineLevel="1" x14ac:dyDescent="0.3">
      <c r="B179" s="17"/>
      <c r="C179" s="17"/>
      <c r="D179" s="17" t="s">
        <v>178</v>
      </c>
      <c r="E179" s="17"/>
      <c r="F179" s="38">
        <f>IF(NOT(ISBLANK('Referenz Plattenwerk'!$I42)),'Referenz Plattenwerk'!$I42,'Referenz Plattenwerk'!$F42)*IF(NOT(ISBLANK('Eingabe EF'!$AA27)),'Eingabe EF'!$AA27,'Eingabe EF'!$Y27)*IF(NOT(ISBLANK('Referenz Plattenwerk'!$I$12)),'Referenz Plattenwerk'!$I$12,'Referenz Plattenwerk'!$F$12)</f>
        <v>0</v>
      </c>
      <c r="G179" s="38">
        <f>IF(NOT(ISBLANK('Referenz Plattenwerk'!$I42)),'Referenz Plattenwerk'!$I42,'Referenz Plattenwerk'!$F42)*IF(NOT(ISBLANK('Eingabe EF'!$AE27)),'Eingabe EF'!$AE27,'Eingabe EF'!$AC27)*IF(NOT(ISBLANK('Referenz Plattenwerk'!$I$12)),'Referenz Plattenwerk'!$I$12,'Referenz Plattenwerk'!$F$12)</f>
        <v>0</v>
      </c>
      <c r="H179" s="38">
        <f>IF(NOT(ISBLANK('Referenz Plattenwerk'!$I42)),'Referenz Plattenwerk'!$I42,'Referenz Plattenwerk'!$F42)*IF(NOT(ISBLANK('Eingabe EF'!$AI27)),'Eingabe EF'!$AI27,'Eingabe EF'!$AG27)*IF(NOT(ISBLANK('Referenz Plattenwerk'!$I$12)),'Referenz Plattenwerk'!$I$12,'Referenz Plattenwerk'!$F$12)</f>
        <v>129.59200000000001</v>
      </c>
      <c r="I179" s="17"/>
      <c r="J179" s="38">
        <f>F179+G179</f>
        <v>0</v>
      </c>
      <c r="K179" s="38">
        <f>SUM(F179:H179)</f>
        <v>129.59200000000001</v>
      </c>
      <c r="L179" s="17" t="s">
        <v>198</v>
      </c>
      <c r="M179" s="43"/>
      <c r="N179" s="17"/>
      <c r="O179" s="17"/>
      <c r="P179" s="17"/>
      <c r="Q179" s="17"/>
      <c r="R179" s="17"/>
      <c r="S179" s="17"/>
      <c r="T179" s="17"/>
    </row>
    <row r="180" spans="2:20" ht="15.75" hidden="1" outlineLevel="1" x14ac:dyDescent="0.3">
      <c r="B180" s="17"/>
      <c r="C180" s="17"/>
      <c r="D180" s="17" t="s">
        <v>179</v>
      </c>
      <c r="E180" s="17"/>
      <c r="F180" s="38">
        <f>IF(NOT(ISBLANK('Referenz Plattenwerk'!$I43)),'Referenz Plattenwerk'!$I43,'Referenz Plattenwerk'!$F43)*IF(NOT(ISBLANK('Eingabe EF'!$AA28)),'Eingabe EF'!$AA28,0)*IF(NOT(ISBLANK('Referenz Plattenwerk'!$I$12)),'Referenz Plattenwerk'!$I$12,'Referenz Plattenwerk'!$F$12)</f>
        <v>0</v>
      </c>
      <c r="G180" s="38">
        <f>IF(NOT(ISBLANK('Referenz Plattenwerk'!$I43)),'Referenz Plattenwerk'!$I43,'Referenz Plattenwerk'!$F43)*IF(NOT(ISBLANK('Eingabe EF'!$AE28)),'Eingabe EF'!$AE28,0)*IF(NOT(ISBLANK('Referenz Plattenwerk'!$I$12)),'Referenz Plattenwerk'!$I$12,'Referenz Plattenwerk'!$F$12)</f>
        <v>0</v>
      </c>
      <c r="H180" s="38">
        <f>IF(NOT(ISBLANK('Referenz Plattenwerk'!$I43)),'Referenz Plattenwerk'!$I43,'Referenz Plattenwerk'!$F43)*IF(NOT(ISBLANK('Eingabe EF'!$AI28)),'Eingabe EF'!$AI28,0)*IF(NOT(ISBLANK('Referenz Plattenwerk'!$I$12)),'Referenz Plattenwerk'!$I$12,'Referenz Plattenwerk'!$F$12)</f>
        <v>0</v>
      </c>
      <c r="I180" s="17"/>
      <c r="J180" s="38">
        <f t="shared" ref="J180:J181" si="29">F180+G180</f>
        <v>0</v>
      </c>
      <c r="K180" s="38">
        <f t="shared" ref="K180:K181" si="30">SUM(F180:H180)</f>
        <v>0</v>
      </c>
      <c r="L180" s="17" t="s">
        <v>198</v>
      </c>
      <c r="M180" s="43"/>
      <c r="N180" s="17"/>
      <c r="O180" s="17"/>
      <c r="P180" s="17"/>
      <c r="Q180" s="30"/>
      <c r="R180" s="17"/>
      <c r="S180" s="67"/>
      <c r="T180" s="17"/>
    </row>
    <row r="181" spans="2:20" ht="15.75" hidden="1" outlineLevel="1" x14ac:dyDescent="0.3">
      <c r="B181" s="17"/>
      <c r="C181" s="17"/>
      <c r="D181" s="17" t="s">
        <v>180</v>
      </c>
      <c r="E181" s="17"/>
      <c r="F181" s="38">
        <f>IF(NOT(ISBLANK('Referenz Plattenwerk'!$I44)),'Referenz Plattenwerk'!$I44,'Referenz Plattenwerk'!$F44)*IF(NOT(ISBLANK('Eingabe EF'!$AA29)),'Eingabe EF'!$AA29,0)*IF(NOT(ISBLANK('Referenz Plattenwerk'!$I$12)),'Referenz Plattenwerk'!$I$12,'Referenz Plattenwerk'!$F$12)</f>
        <v>0</v>
      </c>
      <c r="G181" s="38">
        <f>IF(NOT(ISBLANK('Referenz Plattenwerk'!$I44)),'Referenz Plattenwerk'!$I44,'Referenz Plattenwerk'!$F44)*IF(NOT(ISBLANK('Eingabe EF'!$AE29)),'Eingabe EF'!$AE29,0)*IF(NOT(ISBLANK('Referenz Plattenwerk'!$I$12)),'Referenz Plattenwerk'!$I$12,'Referenz Plattenwerk'!$F$12)</f>
        <v>0</v>
      </c>
      <c r="H181" s="38">
        <f>IF(NOT(ISBLANK('Referenz Plattenwerk'!$I44)),'Referenz Plattenwerk'!$I44,'Referenz Plattenwerk'!$F44)*IF(NOT(ISBLANK('Eingabe EF'!$AI29)),'Eingabe EF'!$AI29,0)*IF(NOT(ISBLANK('Referenz Plattenwerk'!$I$12)),'Referenz Plattenwerk'!$I$12,'Referenz Plattenwerk'!$F$12)</f>
        <v>0</v>
      </c>
      <c r="I181" s="17"/>
      <c r="J181" s="38">
        <f t="shared" si="29"/>
        <v>0</v>
      </c>
      <c r="K181" s="38">
        <f t="shared" si="30"/>
        <v>0</v>
      </c>
      <c r="L181" s="17" t="s">
        <v>198</v>
      </c>
      <c r="M181" s="43"/>
      <c r="N181" s="43"/>
      <c r="O181" s="43"/>
      <c r="P181" s="43"/>
      <c r="Q181" s="43"/>
      <c r="R181" s="43"/>
      <c r="S181" s="43"/>
    </row>
    <row r="182" spans="2:20" hidden="1" outlineLevel="1" x14ac:dyDescent="0.2">
      <c r="B182" s="17"/>
      <c r="C182" s="17"/>
      <c r="D182" s="17"/>
      <c r="E182" s="17"/>
      <c r="F182" s="20"/>
      <c r="G182" s="20"/>
      <c r="H182" s="20"/>
      <c r="I182" s="17"/>
      <c r="J182" s="17"/>
      <c r="K182" s="20"/>
      <c r="L182" s="20"/>
      <c r="M182" s="43"/>
      <c r="N182" s="43"/>
      <c r="O182" s="43"/>
      <c r="P182" s="43"/>
      <c r="Q182" s="43"/>
      <c r="R182" s="43"/>
      <c r="S182" s="43"/>
    </row>
    <row r="183" spans="2:20" ht="14.25" hidden="1" outlineLevel="1" x14ac:dyDescent="0.25">
      <c r="B183" s="17"/>
      <c r="C183" s="17"/>
      <c r="D183" s="21" t="s">
        <v>57</v>
      </c>
      <c r="E183" s="21"/>
      <c r="F183" s="75">
        <f>IF(NOT(ISBLANK('Referenz Plattenwerk'!$I46)),'Referenz Plattenwerk'!$I46,'Referenz Plattenwerk'!$F46)*IF(NOT(ISBLANK('Eingabe EF'!$AA31)),'Eingabe EF'!$AA31,'Eingabe EF'!$Y31)*IF(NOT(ISBLANK('Referenz Plattenwerk'!$I$12)),'Referenz Plattenwerk'!$I$12,'Referenz Plattenwerk'!$F$12)</f>
        <v>0</v>
      </c>
      <c r="G183" s="75">
        <f>IF(NOT(ISBLANK('Referenz Plattenwerk'!$I46)),'Referenz Plattenwerk'!$I46,'Referenz Plattenwerk'!$F46)*IF(NOT(ISBLANK('Eingabe EF'!$AE31)),'Eingabe EF'!$AE31,'Eingabe EF'!$AC31)*IF(NOT(ISBLANK('Referenz Plattenwerk'!$I$12)),'Referenz Plattenwerk'!$I$12,'Referenz Plattenwerk'!$F$12)</f>
        <v>0</v>
      </c>
      <c r="H183" s="75">
        <f>IF(NOT(ISBLANK('Referenz Plattenwerk'!$I46)),'Referenz Plattenwerk'!$I46,'Referenz Plattenwerk'!$F46)*IF(NOT(ISBLANK('Eingabe EF'!$AI31)),'Eingabe EF'!$AI31,'Eingabe EF'!$AG31)*IF(NOT(ISBLANK('Referenz Plattenwerk'!$I$12)),'Referenz Plattenwerk'!$I$12,'Referenz Plattenwerk'!$F$12)</f>
        <v>208</v>
      </c>
      <c r="I183" s="21"/>
      <c r="J183" s="75">
        <f>F183+G183</f>
        <v>0</v>
      </c>
      <c r="K183" s="75">
        <f t="shared" ref="K183" si="31">SUM(F183:H183)</f>
        <v>208</v>
      </c>
      <c r="L183" s="21" t="s">
        <v>197</v>
      </c>
      <c r="M183" s="43"/>
      <c r="N183" s="43"/>
      <c r="O183" s="43"/>
      <c r="P183" s="43"/>
      <c r="Q183" s="43"/>
      <c r="R183" s="43"/>
      <c r="S183" s="43"/>
    </row>
    <row r="184" spans="2:20" hidden="1" outlineLevel="1" x14ac:dyDescent="0.2">
      <c r="B184" s="17"/>
      <c r="C184" s="17"/>
      <c r="D184" s="17"/>
      <c r="E184" s="17"/>
      <c r="F184" s="20"/>
      <c r="G184" s="20"/>
      <c r="H184" s="20"/>
      <c r="I184" s="17"/>
      <c r="J184" s="17"/>
      <c r="K184" s="20"/>
      <c r="L184" s="20"/>
      <c r="M184" s="43"/>
      <c r="N184" s="43"/>
      <c r="O184" s="43"/>
      <c r="P184" s="43"/>
      <c r="Q184" s="43"/>
      <c r="R184" s="43"/>
      <c r="S184" s="43"/>
    </row>
    <row r="185" spans="2:20" ht="14.25" hidden="1" outlineLevel="1" x14ac:dyDescent="0.25">
      <c r="B185" s="70"/>
      <c r="C185" s="70" t="s">
        <v>181</v>
      </c>
      <c r="D185" s="71"/>
      <c r="E185" s="71"/>
      <c r="F185" s="72">
        <f>SUM(F186:F188)</f>
        <v>0</v>
      </c>
      <c r="G185" s="72">
        <f>SUM(G186:G188)</f>
        <v>0</v>
      </c>
      <c r="H185" s="72">
        <f>SUM(H186:H188)</f>
        <v>81.003999999999991</v>
      </c>
      <c r="I185" s="71"/>
      <c r="J185" s="72">
        <f t="shared" ref="J185" si="32">F185+G185</f>
        <v>0</v>
      </c>
      <c r="K185" s="72">
        <f t="shared" ref="K185" si="33">SUM(F185:H185)</f>
        <v>81.003999999999991</v>
      </c>
      <c r="L185" s="77" t="s">
        <v>197</v>
      </c>
      <c r="M185" s="43"/>
      <c r="N185" s="43"/>
      <c r="O185" s="43"/>
      <c r="P185" s="43"/>
      <c r="Q185" s="43"/>
      <c r="R185" s="43"/>
      <c r="S185" s="43"/>
    </row>
    <row r="186" spans="2:20" ht="15.75" hidden="1" outlineLevel="1" x14ac:dyDescent="0.3">
      <c r="B186" s="17"/>
      <c r="C186" s="17"/>
      <c r="D186" s="17" t="s">
        <v>59</v>
      </c>
      <c r="E186" s="17"/>
      <c r="F186" s="38">
        <f>IF(NOT(ISBLANK('Referenz Plattenwerk'!$I49)),'Referenz Plattenwerk'!$I49,'Referenz Plattenwerk'!$F49)*IF(NOT(ISBLANK('Eingabe EF'!$AA34)),'Eingabe EF'!$AA34,'Eingabe EF'!$Y34)*IF(NOT(ISBLANK('Referenz Plattenwerk'!$I$12)),'Referenz Plattenwerk'!$I$12,'Referenz Plattenwerk'!$F$12)</f>
        <v>0</v>
      </c>
      <c r="G186" s="38">
        <f>IF(NOT(ISBLANK('Referenz Plattenwerk'!$I49)),'Referenz Plattenwerk'!$I49,'Referenz Plattenwerk'!$F49)*IF(NOT(ISBLANK('Eingabe EF'!$AE34)),'Eingabe EF'!$AE34,'Eingabe EF'!$AC34)*IF(NOT(ISBLANK('Referenz Plattenwerk'!$I$12)),'Referenz Plattenwerk'!$I$12,'Referenz Plattenwerk'!$F$12)</f>
        <v>0</v>
      </c>
      <c r="H186" s="38">
        <f>IF(NOT(ISBLANK('Referenz Plattenwerk'!$I49)),'Referenz Plattenwerk'!$I49,'Referenz Plattenwerk'!$F49)*IF(NOT(ISBLANK('Eingabe EF'!$AI34)),'Eingabe EF'!$AI34,'Eingabe EF'!$AG34)*IF(NOT(ISBLANK('Referenz Plattenwerk'!$I$12)),'Referenz Plattenwerk'!$I$12,'Referenz Plattenwerk'!$F$12)</f>
        <v>0</v>
      </c>
      <c r="I186" s="17"/>
      <c r="J186" s="38">
        <f>F186+G186</f>
        <v>0</v>
      </c>
      <c r="K186" s="38">
        <f>SUM(F186:H186)</f>
        <v>0</v>
      </c>
      <c r="L186" s="17" t="s">
        <v>198</v>
      </c>
      <c r="M186" s="43"/>
      <c r="N186" s="43"/>
      <c r="O186" s="43"/>
      <c r="P186" s="43"/>
      <c r="Q186" s="43"/>
      <c r="R186" s="43"/>
      <c r="S186" s="43"/>
    </row>
    <row r="187" spans="2:20" ht="15.75" hidden="1" outlineLevel="1" x14ac:dyDescent="0.3">
      <c r="B187" s="17"/>
      <c r="C187" s="17"/>
      <c r="D187" s="17" t="s">
        <v>60</v>
      </c>
      <c r="E187" s="17"/>
      <c r="F187" s="38">
        <f>IF(NOT(ISBLANK('Referenz Plattenwerk'!$I50)),'Referenz Plattenwerk'!$I50,'Referenz Plattenwerk'!$F50)*IF(NOT(ISBLANK('Eingabe EF'!$AA35)),'Eingabe EF'!$AA35,'Eingabe EF'!$Y35)*IF(NOT(ISBLANK('Referenz Plattenwerk'!$I$12)),'Referenz Plattenwerk'!$I$12,'Referenz Plattenwerk'!$F$12)</f>
        <v>0</v>
      </c>
      <c r="G187" s="38">
        <f>IF(NOT(ISBLANK('Referenz Plattenwerk'!$I50)),'Referenz Plattenwerk'!$I50,'Referenz Plattenwerk'!$F50)*IF(NOT(ISBLANK('Eingabe EF'!$AE35)),'Eingabe EF'!$AE35,'Eingabe EF'!$AC35)*IF(NOT(ISBLANK('Referenz Plattenwerk'!$I$12)),'Referenz Plattenwerk'!$I$12,'Referenz Plattenwerk'!$F$12)</f>
        <v>0</v>
      </c>
      <c r="H187" s="38">
        <f>IF(NOT(ISBLANK('Referenz Plattenwerk'!$I50)),'Referenz Plattenwerk'!$I50,'Referenz Plattenwerk'!$F50)*IF(NOT(ISBLANK('Eingabe EF'!$AI35)),'Eingabe EF'!$AI35,'Eingabe EF'!$AG35)*IF(NOT(ISBLANK('Referenz Plattenwerk'!$I$12)),'Referenz Plattenwerk'!$I$12,'Referenz Plattenwerk'!$F$12)</f>
        <v>8.6840000000000011</v>
      </c>
      <c r="I187" s="17"/>
      <c r="J187" s="38">
        <f>F187+G187</f>
        <v>0</v>
      </c>
      <c r="K187" s="38">
        <f>SUM(F187:H187)</f>
        <v>8.6840000000000011</v>
      </c>
      <c r="L187" s="17" t="s">
        <v>198</v>
      </c>
      <c r="M187" s="43"/>
      <c r="N187" s="43"/>
      <c r="O187" s="43"/>
      <c r="P187" s="43"/>
      <c r="Q187" s="43"/>
      <c r="R187" s="43"/>
      <c r="S187" s="43"/>
    </row>
    <row r="188" spans="2:20" ht="15.75" hidden="1" outlineLevel="1" x14ac:dyDescent="0.3">
      <c r="B188" s="17"/>
      <c r="C188" s="17"/>
      <c r="D188" s="17" t="s">
        <v>61</v>
      </c>
      <c r="E188" s="17"/>
      <c r="F188" s="38">
        <f>IF(NOT(ISBLANK('Referenz Plattenwerk'!$I51)),'Referenz Plattenwerk'!$I51,'Referenz Plattenwerk'!$F51)*IF(NOT(ISBLANK('Eingabe EF'!$AA36)),'Eingabe EF'!$AA36,'Eingabe EF'!$Y36)*IF(NOT(ISBLANK('Referenz Plattenwerk'!$I$12)),'Referenz Plattenwerk'!$I$12,'Referenz Plattenwerk'!$F$12)</f>
        <v>0</v>
      </c>
      <c r="G188" s="38">
        <f>IF(NOT(ISBLANK('Referenz Plattenwerk'!$I51)),'Referenz Plattenwerk'!$I51,'Referenz Plattenwerk'!$F51)*IF(NOT(ISBLANK('Eingabe EF'!$AE36)),'Eingabe EF'!$AE36,'Eingabe EF'!$AC36)*IF(NOT(ISBLANK('Referenz Plattenwerk'!$I$12)),'Referenz Plattenwerk'!$I$12,'Referenz Plattenwerk'!$F$12)</f>
        <v>0</v>
      </c>
      <c r="H188" s="38">
        <f>IF(NOT(ISBLANK('Referenz Plattenwerk'!$I51)),'Referenz Plattenwerk'!$I51,'Referenz Plattenwerk'!$F51)*IF(NOT(ISBLANK('Eingabe EF'!$AI36)),'Eingabe EF'!$AI36,'Eingabe EF'!$AG36)*IF(NOT(ISBLANK('Referenz Plattenwerk'!$I$12)),'Referenz Plattenwerk'!$I$12,'Referenz Plattenwerk'!$F$12)</f>
        <v>72.319999999999993</v>
      </c>
      <c r="I188" s="17"/>
      <c r="J188" s="38">
        <f>F188+G188</f>
        <v>0</v>
      </c>
      <c r="K188" s="38">
        <f>SUM(F188:H188)</f>
        <v>72.319999999999993</v>
      </c>
      <c r="L188" s="17" t="s">
        <v>198</v>
      </c>
      <c r="M188" s="43"/>
      <c r="N188" s="43"/>
      <c r="O188" s="43"/>
      <c r="P188" s="43"/>
      <c r="Q188" s="43"/>
      <c r="R188" s="43"/>
      <c r="S188" s="43"/>
    </row>
    <row r="189" spans="2:20" hidden="1" outlineLevel="1" x14ac:dyDescent="0.2">
      <c r="B189" s="17"/>
      <c r="C189" s="17"/>
      <c r="D189" s="17"/>
      <c r="E189" s="17"/>
      <c r="F189" s="20"/>
      <c r="G189" s="20"/>
      <c r="H189" s="20"/>
      <c r="I189" s="17"/>
      <c r="J189" s="17"/>
      <c r="K189" s="20"/>
      <c r="L189" s="20"/>
      <c r="M189" s="43"/>
      <c r="N189" s="43"/>
      <c r="O189" s="43"/>
      <c r="P189" s="43"/>
      <c r="Q189" s="43"/>
      <c r="R189" s="43"/>
      <c r="S189" s="43"/>
    </row>
    <row r="190" spans="2:20" ht="14.25" hidden="1" outlineLevel="1" x14ac:dyDescent="0.25">
      <c r="B190" s="70"/>
      <c r="C190" s="70" t="s">
        <v>51</v>
      </c>
      <c r="D190" s="71"/>
      <c r="E190" s="71"/>
      <c r="F190" s="72">
        <f>SUM(F191:F194)</f>
        <v>0</v>
      </c>
      <c r="G190" s="72">
        <f>SUM(G191:G194)</f>
        <v>0</v>
      </c>
      <c r="H190" s="72">
        <f>SUM(H191:H194)</f>
        <v>148.44746134951595</v>
      </c>
      <c r="I190" s="71"/>
      <c r="J190" s="72">
        <f t="shared" ref="J190:J194" si="34">F190+G190</f>
        <v>0</v>
      </c>
      <c r="K190" s="72">
        <f t="shared" ref="K190" si="35">SUM(F190:H190)</f>
        <v>148.44746134951595</v>
      </c>
      <c r="L190" s="77" t="s">
        <v>197</v>
      </c>
      <c r="M190" s="43"/>
      <c r="N190" s="43"/>
      <c r="O190" s="43"/>
      <c r="P190" s="43"/>
      <c r="Q190" s="43"/>
      <c r="R190" s="43"/>
      <c r="S190" s="43"/>
    </row>
    <row r="191" spans="2:20" ht="15.75" hidden="1" outlineLevel="1" x14ac:dyDescent="0.3">
      <c r="B191" s="17"/>
      <c r="C191" s="17"/>
      <c r="D191" s="17" t="s">
        <v>52</v>
      </c>
      <c r="E191" s="17"/>
      <c r="F191"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91"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91"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91" s="17"/>
      <c r="J191" s="38">
        <f t="shared" si="34"/>
        <v>0</v>
      </c>
      <c r="K191" s="38">
        <f t="shared" ref="K191:K194" si="36">SUM(F191:H191)</f>
        <v>47.997919375812742</v>
      </c>
      <c r="L191" s="17" t="s">
        <v>198</v>
      </c>
      <c r="M191" s="43"/>
      <c r="N191" s="43"/>
      <c r="O191" s="43"/>
      <c r="P191" s="43"/>
      <c r="Q191" s="43"/>
      <c r="R191" s="43"/>
      <c r="S191" s="43"/>
    </row>
    <row r="192" spans="2:20" ht="15.75" hidden="1" outlineLevel="1" x14ac:dyDescent="0.3">
      <c r="B192" s="17"/>
      <c r="C192" s="17"/>
      <c r="D192" s="17" t="s">
        <v>54</v>
      </c>
      <c r="E192" s="17"/>
      <c r="F192"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92"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92"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92" s="17"/>
      <c r="J192" s="38">
        <f t="shared" si="34"/>
        <v>0</v>
      </c>
      <c r="K192" s="38">
        <f t="shared" si="36"/>
        <v>5.7797543707556596</v>
      </c>
      <c r="L192" s="17" t="s">
        <v>198</v>
      </c>
      <c r="M192" s="43"/>
      <c r="N192" s="43"/>
      <c r="O192" s="43"/>
      <c r="P192" s="43"/>
      <c r="Q192" s="43"/>
      <c r="R192" s="43"/>
      <c r="S192" s="43"/>
    </row>
    <row r="193" spans="2:19" ht="15.75" hidden="1" outlineLevel="1" x14ac:dyDescent="0.3">
      <c r="B193" s="17"/>
      <c r="C193" s="17"/>
      <c r="D193" s="17" t="s">
        <v>55</v>
      </c>
      <c r="E193" s="17"/>
      <c r="F193"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93"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93"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93" s="17"/>
      <c r="J193" s="38">
        <f t="shared" si="34"/>
        <v>0</v>
      </c>
      <c r="K193" s="38">
        <f t="shared" si="36"/>
        <v>1.4217598612917211E-2</v>
      </c>
      <c r="L193" s="17" t="s">
        <v>198</v>
      </c>
      <c r="M193" s="43"/>
      <c r="N193" s="43"/>
      <c r="O193" s="43"/>
      <c r="P193" s="43"/>
      <c r="Q193" s="43"/>
      <c r="R193" s="43"/>
      <c r="S193" s="43"/>
    </row>
    <row r="194" spans="2:19" ht="15.75" hidden="1" outlineLevel="1" x14ac:dyDescent="0.3">
      <c r="B194" s="17"/>
      <c r="C194" s="17"/>
      <c r="D194" s="17" t="s">
        <v>56</v>
      </c>
      <c r="E194" s="17"/>
      <c r="F194"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94"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94"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94" s="17"/>
      <c r="J194" s="38">
        <f t="shared" si="34"/>
        <v>0</v>
      </c>
      <c r="K194" s="38">
        <f t="shared" si="36"/>
        <v>94.655570004334635</v>
      </c>
      <c r="L194" s="17" t="s">
        <v>198</v>
      </c>
      <c r="M194" s="43"/>
      <c r="N194" s="43"/>
      <c r="O194" s="43"/>
      <c r="P194" s="43"/>
      <c r="Q194" s="43"/>
      <c r="R194" s="43"/>
      <c r="S194" s="43"/>
    </row>
    <row r="195" spans="2:19" hidden="1" outlineLevel="1" x14ac:dyDescent="0.2">
      <c r="B195" s="17"/>
      <c r="C195" s="17"/>
      <c r="D195" s="17"/>
      <c r="E195" s="17"/>
      <c r="F195" s="20"/>
      <c r="G195" s="20"/>
      <c r="H195" s="20"/>
      <c r="I195" s="17"/>
      <c r="J195" s="20"/>
      <c r="K195" s="20"/>
      <c r="L195" s="17"/>
      <c r="M195" s="43"/>
      <c r="N195" s="43"/>
      <c r="O195" s="43"/>
      <c r="P195" s="43"/>
      <c r="Q195" s="43"/>
      <c r="R195" s="43"/>
      <c r="S195" s="43"/>
    </row>
    <row r="196" spans="2:19" ht="14.25" hidden="1" outlineLevel="1" x14ac:dyDescent="0.25">
      <c r="B196" s="17"/>
      <c r="C196" s="17"/>
      <c r="D196" s="21" t="s">
        <v>110</v>
      </c>
      <c r="E196" s="21"/>
      <c r="F196" s="75">
        <f>IF(NOT(ISBLANK('Referenz Plattenwerk'!$I59)),'Referenz Plattenwerk'!$I59,'Referenz Plattenwerk'!$F59)*IF(NOT(ISBLANK('Eingabe EF'!$AA44)),'Eingabe EF'!$AA44,0)*IF(NOT(ISBLANK('Referenz Plattenwerk'!$I$12)),'Referenz Plattenwerk'!$I$12,'Referenz Plattenwerk'!$F$12)</f>
        <v>0</v>
      </c>
      <c r="G196" s="75">
        <f>IF(NOT(ISBLANK('Referenz Plattenwerk'!$I59)),'Referenz Plattenwerk'!$I59,'Referenz Plattenwerk'!$F59)*IF(NOT(ISBLANK('Eingabe EF'!$AE44)),'Eingabe EF'!$AE44,0)*IF(NOT(ISBLANK('Referenz Plattenwerk'!$I$12)),'Referenz Plattenwerk'!$I$12,'Referenz Plattenwerk'!$F$12)</f>
        <v>0</v>
      </c>
      <c r="H196" s="75">
        <f>IF(NOT(ISBLANK('Referenz Plattenwerk'!$I59)),'Referenz Plattenwerk'!$I59,'Referenz Plattenwerk'!$F59)*IF(NOT(ISBLANK('Eingabe EF'!$AI44)),'Eingabe EF'!$AI44,0)*IF(NOT(ISBLANK('Referenz Plattenwerk'!$I$12)),'Referenz Plattenwerk'!$I$12,'Referenz Plattenwerk'!$F$12)</f>
        <v>0</v>
      </c>
      <c r="I196" s="21"/>
      <c r="J196" s="75">
        <f>F196+G196</f>
        <v>0</v>
      </c>
      <c r="K196" s="75">
        <f>SUM(F196:H196)</f>
        <v>0</v>
      </c>
      <c r="L196" s="21" t="s">
        <v>197</v>
      </c>
      <c r="M196" s="43"/>
      <c r="N196" s="43"/>
      <c r="O196" s="43"/>
      <c r="P196" s="43"/>
      <c r="Q196" s="43"/>
      <c r="R196" s="43"/>
      <c r="S196" s="43"/>
    </row>
    <row r="197" spans="2:19" ht="14.25" hidden="1" outlineLevel="1" x14ac:dyDescent="0.25">
      <c r="B197" s="17"/>
      <c r="C197" s="17"/>
      <c r="D197" s="21" t="s">
        <v>64</v>
      </c>
      <c r="E197" s="21"/>
      <c r="F197" s="75">
        <f>IF(NOT(ISBLANK('Referenz Plattenwerk'!$I60)),'Referenz Plattenwerk'!$I60,'Referenz Plattenwerk'!$F60)*IF(NOT(ISBLANK('Eingabe EF'!$AA45)),'Eingabe EF'!$AA45,'Eingabe EF'!$Y45)</f>
        <v>0</v>
      </c>
      <c r="G197" s="75">
        <f>IF(NOT(ISBLANK('Referenz Plattenwerk'!$I60)),'Referenz Plattenwerk'!$I60,'Referenz Plattenwerk'!$F60)*IF(NOT(ISBLANK('Eingabe EF'!$AE45)),'Eingabe EF'!$AE45,'Eingabe EF'!$AC45)</f>
        <v>0</v>
      </c>
      <c r="H197" s="75">
        <f>IF(NOT(ISBLANK('Referenz Plattenwerk'!$I60)),'Referenz Plattenwerk'!$I60,'Referenz Plattenwerk'!$F60)*IF(NOT(ISBLANK('Eingabe EF'!$AI45)),'Eingabe EF'!$AI45,'Eingabe EF'!$AG45)</f>
        <v>0.54400000000000004</v>
      </c>
      <c r="I197" s="21"/>
      <c r="J197" s="75">
        <f>F197+G197</f>
        <v>0</v>
      </c>
      <c r="K197" s="75">
        <f>SUM(F197:H197)</f>
        <v>0.54400000000000004</v>
      </c>
      <c r="L197" s="21" t="s">
        <v>197</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70"/>
      <c r="C199" s="70" t="s">
        <v>182</v>
      </c>
      <c r="D199" s="71"/>
      <c r="E199" s="71"/>
      <c r="F199" s="72">
        <f>SUM(F200:F202)</f>
        <v>0</v>
      </c>
      <c r="G199" s="72">
        <f>SUM(G200:G202)</f>
        <v>0</v>
      </c>
      <c r="H199" s="72">
        <f>SUM(H200:H202)</f>
        <v>80.47999999999999</v>
      </c>
      <c r="I199" s="71"/>
      <c r="J199" s="72">
        <f t="shared" ref="J199:J202" si="37">F199+G199</f>
        <v>0</v>
      </c>
      <c r="K199" s="72">
        <f t="shared" ref="K199" si="38">SUM(F199:H199)</f>
        <v>80.47999999999999</v>
      </c>
      <c r="L199" s="77" t="s">
        <v>197</v>
      </c>
      <c r="M199" s="43"/>
      <c r="N199" s="43"/>
      <c r="O199" s="43"/>
      <c r="P199" s="43"/>
      <c r="Q199" s="43"/>
      <c r="R199" s="43"/>
      <c r="S199" s="43"/>
    </row>
    <row r="200" spans="2:19" ht="15.75" hidden="1" outlineLevel="1" x14ac:dyDescent="0.3">
      <c r="B200" s="17"/>
      <c r="C200" s="17"/>
      <c r="D200" s="17" t="s">
        <v>183</v>
      </c>
      <c r="E200" s="17"/>
      <c r="F200" s="38">
        <f>IF(NOT(ISBLANK('Referenz Plattenwerk'!$I63)),'Referenz Plattenwerk'!$I63,'Referenz Plattenwerk'!$F63)*IF(NOT(ISBLANK('Eingabe EF'!$AA48)),'Eingabe EF'!$AA48,0)*IF(NOT(ISBLANK('Referenz Plattenwerk'!$I$12)),'Referenz Plattenwerk'!$I$12,'Referenz Plattenwerk'!$F$12)</f>
        <v>0</v>
      </c>
      <c r="G200" s="38">
        <f>IF(NOT(ISBLANK('Referenz Plattenwerk'!$I63)),'Referenz Plattenwerk'!$I63,'Referenz Plattenwerk'!$F63)*IF(NOT(ISBLANK('Eingabe EF'!$AE48)),'Eingabe EF'!$AE48,0)*IF(NOT(ISBLANK('Referenz Plattenwerk'!$I$12)),'Referenz Plattenwerk'!$I$12,'Referenz Plattenwerk'!$F$12)</f>
        <v>0</v>
      </c>
      <c r="H200" s="38">
        <f>IF(NOT(ISBLANK('Referenz Plattenwerk'!$I63)),'Referenz Plattenwerk'!$I63,'Referenz Plattenwerk'!$F63)*IF(NOT(ISBLANK('Eingabe EF'!$AI48)),'Eingabe EF'!$AI48,0)*IF(NOT(ISBLANK('Referenz Plattenwerk'!$I$12)),'Referenz Plattenwerk'!$I$12,'Referenz Plattenwerk'!$F$12)</f>
        <v>0</v>
      </c>
      <c r="I200" s="17"/>
      <c r="J200" s="38">
        <f t="shared" si="37"/>
        <v>0</v>
      </c>
      <c r="K200" s="38">
        <f t="shared" ref="K200:K202" si="39">SUM(F200:H200)</f>
        <v>0</v>
      </c>
      <c r="L200" s="17" t="s">
        <v>198</v>
      </c>
      <c r="M200" s="43"/>
      <c r="N200" s="43"/>
      <c r="O200" s="43"/>
      <c r="P200" s="43"/>
      <c r="Q200" s="43"/>
      <c r="R200" s="43"/>
      <c r="S200" s="43"/>
    </row>
    <row r="201" spans="2:19" ht="15.75" hidden="1" outlineLevel="1" x14ac:dyDescent="0.3">
      <c r="B201" s="17"/>
      <c r="C201" s="17"/>
      <c r="D201" s="17" t="s">
        <v>62</v>
      </c>
      <c r="E201" s="17"/>
      <c r="F201" s="38">
        <f>IF(NOT(ISBLANK('Referenz Plattenwerk'!$I64)),'Referenz Plattenwerk'!$I64,'Referenz Plattenwerk'!$F64)*IF(NOT(ISBLANK('Eingabe EF'!$AA49)),'Eingabe EF'!$AA49,'Eingabe EF'!$Y49)*IF(NOT(ISBLANK('Referenz Plattenwerk'!$I$12)),'Referenz Plattenwerk'!$I$12,'Referenz Plattenwerk'!$F$12)</f>
        <v>0</v>
      </c>
      <c r="G201" s="38">
        <f>IF(NOT(ISBLANK('Referenz Plattenwerk'!$I64)),'Referenz Plattenwerk'!$I64,'Referenz Plattenwerk'!$F64)*IF(NOT(ISBLANK('Eingabe EF'!$AE49)),'Eingabe EF'!$AE49,'Eingabe EF'!$AC49)*IF(NOT(ISBLANK('Referenz Plattenwerk'!$I$12)),'Referenz Plattenwerk'!$I$12,'Referenz Plattenwerk'!$F$12)</f>
        <v>0</v>
      </c>
      <c r="H201" s="38">
        <f>IF(NOT(ISBLANK('Referenz Plattenwerk'!$I64)),'Referenz Plattenwerk'!$I64,'Referenz Plattenwerk'!$F64)*IF(NOT(ISBLANK('Eingabe EF'!$AI49)),'Eingabe EF'!$AI49,'Eingabe EF'!$AG49)*IF(NOT(ISBLANK('Referenz Plattenwerk'!$I$12)),'Referenz Plattenwerk'!$I$12,'Referenz Plattenwerk'!$F$12)</f>
        <v>80.47999999999999</v>
      </c>
      <c r="I201" s="17"/>
      <c r="J201" s="38">
        <f t="shared" si="37"/>
        <v>0</v>
      </c>
      <c r="K201" s="38">
        <f t="shared" si="39"/>
        <v>80.47999999999999</v>
      </c>
      <c r="L201" s="17" t="s">
        <v>198</v>
      </c>
      <c r="M201" s="43"/>
      <c r="N201" s="43"/>
      <c r="O201" s="43"/>
      <c r="P201" s="43"/>
      <c r="Q201" s="43"/>
      <c r="R201" s="43"/>
      <c r="S201" s="43"/>
    </row>
    <row r="202" spans="2:19" ht="15.75" hidden="1" outlineLevel="1" x14ac:dyDescent="0.3">
      <c r="B202" s="17"/>
      <c r="C202" s="17"/>
      <c r="D202" s="17" t="s">
        <v>184</v>
      </c>
      <c r="E202" s="17"/>
      <c r="F202" s="38">
        <f>IF(NOT(ISBLANK('Referenz Plattenwerk'!$I65)),'Referenz Plattenwerk'!$I65,'Referenz Plattenwerk'!$F65)*IF(NOT(ISBLANK('Eingabe EF'!$AA50)),'Eingabe EF'!$AA50,0)*IF(NOT(ISBLANK('Referenz Plattenwerk'!$I$12)),'Referenz Plattenwerk'!$I$12,'Referenz Plattenwerk'!$F$12)</f>
        <v>0</v>
      </c>
      <c r="G202" s="38">
        <f>IF(NOT(ISBLANK('Referenz Plattenwerk'!$I65)),'Referenz Plattenwerk'!$I65,'Referenz Plattenwerk'!$F65)*IF(NOT(ISBLANK('Eingabe EF'!$AE50)),'Eingabe EF'!$AE50,0)*IF(NOT(ISBLANK('Referenz Plattenwerk'!$I$12)),'Referenz Plattenwerk'!$I$12,'Referenz Plattenwerk'!$F$12)</f>
        <v>0</v>
      </c>
      <c r="H202" s="38">
        <f>IF(NOT(ISBLANK('Referenz Plattenwerk'!$I65)),'Referenz Plattenwerk'!$I65,'Referenz Plattenwerk'!$F65)*IF(NOT(ISBLANK('Eingabe EF'!$AI50)),'Eingabe EF'!$AI50,0)*IF(NOT(ISBLANK('Referenz Plattenwerk'!$I$12)),'Referenz Plattenwerk'!$I$12,'Referenz Plattenwerk'!$F$12)</f>
        <v>0</v>
      </c>
      <c r="I202" s="17"/>
      <c r="J202" s="38">
        <f t="shared" si="37"/>
        <v>0</v>
      </c>
      <c r="K202" s="38">
        <f t="shared" si="39"/>
        <v>0</v>
      </c>
      <c r="L202" s="17" t="s">
        <v>198</v>
      </c>
      <c r="M202" s="43"/>
      <c r="N202" s="43"/>
      <c r="O202" s="43"/>
      <c r="P202" s="43"/>
      <c r="Q202" s="43"/>
      <c r="R202" s="43"/>
      <c r="S202" s="43"/>
    </row>
    <row r="203" spans="2:19" hidden="1" outlineLevel="1" x14ac:dyDescent="0.2">
      <c r="B203" s="17"/>
      <c r="C203" s="17"/>
      <c r="D203" s="17"/>
      <c r="E203" s="17"/>
      <c r="F203" s="20"/>
      <c r="G203" s="20"/>
      <c r="H203" s="20"/>
      <c r="I203" s="17"/>
      <c r="J203" s="17"/>
      <c r="K203" s="17"/>
      <c r="L203" s="20"/>
      <c r="M203" s="43"/>
      <c r="N203" s="43"/>
      <c r="O203" s="43"/>
      <c r="P203" s="43"/>
      <c r="Q203" s="43"/>
      <c r="R203" s="43"/>
      <c r="S203" s="43"/>
    </row>
    <row r="204" spans="2:19" ht="14.25" hidden="1" outlineLevel="1" x14ac:dyDescent="0.25">
      <c r="B204" s="70"/>
      <c r="C204" s="70" t="s">
        <v>185</v>
      </c>
      <c r="D204" s="71"/>
      <c r="E204" s="71"/>
      <c r="F204" s="72">
        <f>SUM(F205:F207)</f>
        <v>0</v>
      </c>
      <c r="G204" s="72">
        <f>SUM(G205:G207)</f>
        <v>0</v>
      </c>
      <c r="H204" s="72">
        <f>SUM(H205:H207)</f>
        <v>60</v>
      </c>
      <c r="I204" s="71"/>
      <c r="J204" s="72">
        <f>F204+G204</f>
        <v>0</v>
      </c>
      <c r="K204" s="72">
        <f t="shared" ref="K204" si="40">SUM(F204:H204)</f>
        <v>60</v>
      </c>
      <c r="L204" s="77" t="s">
        <v>197</v>
      </c>
      <c r="M204" s="43"/>
      <c r="N204" s="43"/>
      <c r="O204" s="43"/>
      <c r="P204" s="43"/>
      <c r="Q204" s="43"/>
      <c r="R204" s="43"/>
      <c r="S204" s="43"/>
    </row>
    <row r="205" spans="2:19" ht="15.75" hidden="1" outlineLevel="1" x14ac:dyDescent="0.3">
      <c r="B205" s="17"/>
      <c r="C205" s="17"/>
      <c r="D205" s="17" t="s">
        <v>66</v>
      </c>
      <c r="E205" s="17"/>
      <c r="F205" s="38">
        <f>IF(NOT(ISBLANK('Referenz Plattenwerk'!$I68)),'Referenz Plattenwerk'!$I68,'Referenz Plattenwerk'!$F68)*IF(NOT(ISBLANK('Eingabe EF'!$AA53)),'Eingabe EF'!$AA53,'Eingabe EF'!$Y53)</f>
        <v>0</v>
      </c>
      <c r="G205" s="38">
        <f>IF(NOT(ISBLANK('Referenz Plattenwerk'!$I68)),'Referenz Plattenwerk'!$I68,'Referenz Plattenwerk'!$F68)*IF(NOT(ISBLANK('Eingabe EF'!$AE53)),'Eingabe EF'!$AE53,'Eingabe EF'!$AC53)</f>
        <v>0</v>
      </c>
      <c r="H205" s="38">
        <f>IF(NOT(ISBLANK('Referenz Plattenwerk'!$I68)),'Referenz Plattenwerk'!$I68,'Referenz Plattenwerk'!$F68)*IF(NOT(ISBLANK('Eingabe EF'!$AI53)),'Eingabe EF'!$AI53,'Eingabe EF'!$AG53)</f>
        <v>60</v>
      </c>
      <c r="I205" s="17"/>
      <c r="J205" s="38">
        <f>F205+G205</f>
        <v>0</v>
      </c>
      <c r="K205" s="38">
        <f>SUM(F205:H205)</f>
        <v>60</v>
      </c>
      <c r="L205" s="17" t="s">
        <v>198</v>
      </c>
      <c r="M205" s="43"/>
      <c r="N205" s="43"/>
      <c r="O205" s="43"/>
      <c r="P205" s="43"/>
      <c r="Q205" s="43"/>
      <c r="R205" s="43"/>
      <c r="S205" s="43"/>
    </row>
    <row r="206" spans="2:19" ht="15.75" hidden="1" outlineLevel="1" x14ac:dyDescent="0.3">
      <c r="B206" s="17"/>
      <c r="C206" s="17"/>
      <c r="D206" s="17" t="s">
        <v>187</v>
      </c>
      <c r="E206" s="17"/>
      <c r="F206" s="38">
        <f>IF(NOT(ISBLANK('Referenz Plattenwerk'!$I69)),'Referenz Plattenwerk'!$I69,'Referenz Plattenwerk'!$F69)*IF(NOT(ISBLANK('Eingabe EF'!$AA54)),'Eingabe EF'!$AA54,0)</f>
        <v>0</v>
      </c>
      <c r="G206" s="38">
        <f>IF(NOT(ISBLANK('Referenz Plattenwerk'!$I69)),'Referenz Plattenwerk'!$I69,'Referenz Plattenwerk'!$F69)*IF(NOT(ISBLANK('Eingabe EF'!$AE54)),'Eingabe EF'!$AE54,0)</f>
        <v>0</v>
      </c>
      <c r="H206" s="38">
        <f>IF(NOT(ISBLANK('Referenz Plattenwerk'!$I69)),'Referenz Plattenwerk'!$I69,'Referenz Plattenwerk'!$F69)*IF(NOT(ISBLANK('Eingabe EF'!$AI54)),'Eingabe EF'!$AI54,0)</f>
        <v>0</v>
      </c>
      <c r="I206" s="17"/>
      <c r="J206" s="38">
        <f t="shared" ref="J206:J207" si="41">F206+G206</f>
        <v>0</v>
      </c>
      <c r="K206" s="38">
        <f t="shared" ref="K206:K207" si="42">SUM(F206:H206)</f>
        <v>0</v>
      </c>
      <c r="L206" s="17" t="s">
        <v>198</v>
      </c>
      <c r="M206" s="43"/>
      <c r="N206" s="43"/>
      <c r="O206" s="43"/>
      <c r="P206" s="43"/>
      <c r="Q206" s="43"/>
      <c r="R206" s="43"/>
      <c r="S206" s="43"/>
    </row>
    <row r="207" spans="2:19" ht="15.75" hidden="1" outlineLevel="1" x14ac:dyDescent="0.3">
      <c r="B207" s="17"/>
      <c r="C207" s="17"/>
      <c r="D207" s="17" t="s">
        <v>186</v>
      </c>
      <c r="E207" s="17"/>
      <c r="F207" s="38">
        <f>IF(NOT(ISBLANK('Referenz Plattenwerk'!$I70)),'Referenz Plattenwerk'!$I70,'Referenz Plattenwerk'!$F70)*IF(NOT(ISBLANK('Eingabe EF'!$AA55)),'Eingabe EF'!$AA55,0)</f>
        <v>0</v>
      </c>
      <c r="G207" s="38">
        <f>IF(NOT(ISBLANK('Referenz Plattenwerk'!$I70)),'Referenz Plattenwerk'!$I70,'Referenz Plattenwerk'!$F70)*IF(NOT(ISBLANK('Eingabe EF'!$AE55)),'Eingabe EF'!$AE55,0)</f>
        <v>0</v>
      </c>
      <c r="H207" s="38">
        <f>IF(NOT(ISBLANK('Referenz Plattenwerk'!$I70)),'Referenz Plattenwerk'!$I70,'Referenz Plattenwerk'!$F70)*IF(NOT(ISBLANK('Eingabe EF'!$AI55)),'Eingabe EF'!$AI55,0)</f>
        <v>0</v>
      </c>
      <c r="I207" s="17"/>
      <c r="J207" s="38">
        <f t="shared" si="41"/>
        <v>0</v>
      </c>
      <c r="K207" s="38">
        <f t="shared" si="42"/>
        <v>0</v>
      </c>
      <c r="L207" s="17" t="s">
        <v>198</v>
      </c>
      <c r="M207" s="43"/>
      <c r="N207" s="43"/>
      <c r="O207" s="43"/>
      <c r="P207" s="43"/>
      <c r="Q207" s="43"/>
      <c r="R207" s="43"/>
      <c r="S207" s="43"/>
    </row>
    <row r="208" spans="2:19" hidden="1" outlineLevel="1" x14ac:dyDescent="0.2">
      <c r="B208" s="17"/>
      <c r="C208" s="17"/>
      <c r="D208" s="17"/>
      <c r="E208" s="17"/>
      <c r="F208" s="20"/>
      <c r="G208" s="20"/>
      <c r="H208" s="20"/>
      <c r="I208" s="17"/>
      <c r="J208" s="17"/>
      <c r="K208" s="17"/>
      <c r="L208" s="20"/>
      <c r="M208" s="43"/>
      <c r="N208" s="43"/>
      <c r="O208" s="43"/>
      <c r="P208" s="43"/>
      <c r="Q208" s="43"/>
      <c r="R208" s="43"/>
      <c r="S208" s="43"/>
    </row>
    <row r="209" spans="2:20" ht="14.25" hidden="1" outlineLevel="1" x14ac:dyDescent="0.25">
      <c r="B209" s="17"/>
      <c r="C209" s="17"/>
      <c r="D209" s="21" t="s">
        <v>63</v>
      </c>
      <c r="E209" s="21"/>
      <c r="F209" s="75">
        <f>IF(NOT(ISBLANK('Referenz Plattenwerk'!$I72)),'Referenz Plattenwerk'!$I72,'Referenz Plattenwerk'!$F72)*IF(NOT(ISBLANK('Eingabe EF'!$AA57)),'Eingabe EF'!$AA57,'Eingabe EF'!$Y57)</f>
        <v>0</v>
      </c>
      <c r="G209" s="75">
        <f>IF(NOT(ISBLANK('Referenz Plattenwerk'!$I72)),'Referenz Plattenwerk'!$I72,'Referenz Plattenwerk'!$F72)*IF(NOT(ISBLANK('Eingabe EF'!$AE57)),'Eingabe EF'!$AE57,'Eingabe EF'!$AC57)</f>
        <v>0</v>
      </c>
      <c r="H209" s="75">
        <f>IF(NOT(ISBLANK('Referenz Plattenwerk'!$I72)),'Referenz Plattenwerk'!$I72,'Referenz Plattenwerk'!$F72)*IF(NOT(ISBLANK('Eingabe EF'!$AI57)),'Eingabe EF'!$AI57,'Eingabe EF'!$AG57)</f>
        <v>64.48</v>
      </c>
      <c r="I209" s="21"/>
      <c r="J209" s="75">
        <f t="shared" ref="J209" si="43">F209+G209</f>
        <v>0</v>
      </c>
      <c r="K209" s="75">
        <f t="shared" ref="K209" si="44">SUM(F209:H209)</f>
        <v>64.48</v>
      </c>
      <c r="L209" s="21" t="s">
        <v>197</v>
      </c>
      <c r="M209" s="43"/>
      <c r="N209" s="43"/>
      <c r="O209" s="43"/>
      <c r="P209" s="43"/>
      <c r="Q209" s="43"/>
      <c r="R209" s="43"/>
      <c r="S209" s="43"/>
    </row>
    <row r="210" spans="2:20" hidden="1" outlineLevel="1" x14ac:dyDescent="0.2">
      <c r="B210" s="17"/>
      <c r="C210" s="17"/>
      <c r="D210" s="17"/>
      <c r="E210" s="17"/>
      <c r="F210" s="20"/>
      <c r="G210" s="20"/>
      <c r="H210" s="20"/>
      <c r="I210" s="17"/>
      <c r="J210" s="17"/>
      <c r="K210" s="17"/>
      <c r="L210" s="20"/>
      <c r="M210" s="43"/>
      <c r="N210" s="43"/>
      <c r="O210" s="43"/>
      <c r="P210" s="43"/>
      <c r="Q210" s="43"/>
      <c r="R210" s="43"/>
      <c r="S210" s="43"/>
    </row>
    <row r="211" spans="2:20" ht="15" hidden="1" outlineLevel="1" thickBot="1" x14ac:dyDescent="0.3">
      <c r="B211" s="17"/>
      <c r="C211" s="17"/>
      <c r="D211" s="68" t="s">
        <v>69</v>
      </c>
      <c r="E211" s="68"/>
      <c r="F211" s="69">
        <f>SUM(F154:F209)-F168-F172-F178-F185-F190-F199-F204</f>
        <v>80.312884479999994</v>
      </c>
      <c r="G211" s="69">
        <f>SUM(G154:G209)-G168-G172-G178-G185-G190-G199-G204</f>
        <v>136.39371159230473</v>
      </c>
      <c r="H211" s="69">
        <f>SUM(H154:H209)-H168-H172-H178-H185-H190-H199-H204</f>
        <v>5823.7415806870313</v>
      </c>
      <c r="I211" s="21"/>
      <c r="J211" s="69">
        <f t="shared" ref="J211" si="45">SUM(J154:J209)-J168-J172-J178-J185-J190-J199-J204</f>
        <v>216.70659607230471</v>
      </c>
      <c r="K211" s="69">
        <f>SUM(K154:K209)-K168-K172-K178-K185-K190-K199-K204</f>
        <v>6040.4481767593343</v>
      </c>
      <c r="L211" s="69" t="s">
        <v>197</v>
      </c>
      <c r="M211" s="43"/>
      <c r="N211" s="43"/>
      <c r="O211" s="43"/>
      <c r="P211" s="43"/>
      <c r="Q211" s="43"/>
      <c r="R211" s="43"/>
      <c r="S211" s="43"/>
    </row>
    <row r="212" spans="2:20" ht="13.5" hidden="1" outlineLevel="1" thickTop="1" x14ac:dyDescent="0.2">
      <c r="B212" s="17"/>
      <c r="C212" s="17"/>
      <c r="D212" s="17"/>
      <c r="E212" s="17"/>
      <c r="F212" s="20"/>
      <c r="G212" s="20"/>
      <c r="H212" s="20"/>
      <c r="I212" s="17"/>
      <c r="J212" s="17"/>
      <c r="K212" s="17"/>
      <c r="L212" s="20"/>
      <c r="M212" s="43"/>
      <c r="N212" s="43"/>
      <c r="O212" s="43"/>
      <c r="P212" s="43"/>
      <c r="Q212" s="43"/>
      <c r="R212" s="43"/>
      <c r="S212" s="43"/>
    </row>
    <row r="213" spans="2:20" collapsed="1" x14ac:dyDescent="0.2"/>
    <row r="215" spans="2:20" ht="15.75" hidden="1" outlineLevel="1" x14ac:dyDescent="0.25">
      <c r="B215" s="22"/>
      <c r="C215" s="22" t="s">
        <v>114</v>
      </c>
      <c r="D215" s="17"/>
      <c r="E215" s="17"/>
      <c r="F215" s="17"/>
      <c r="G215" s="17"/>
      <c r="H215" s="17"/>
      <c r="I215" s="17"/>
      <c r="J215" s="17"/>
      <c r="K215" s="17"/>
      <c r="L215" s="17"/>
      <c r="N215" s="22" t="s">
        <v>117</v>
      </c>
      <c r="O215" s="17"/>
      <c r="P215" s="17"/>
      <c r="Q215" s="17"/>
      <c r="R215" s="17"/>
      <c r="S215" s="17"/>
      <c r="T215" s="17"/>
    </row>
    <row r="216" spans="2:20" ht="15" hidden="1" outlineLevel="1" x14ac:dyDescent="0.25">
      <c r="B216" s="65"/>
      <c r="C216" s="65">
        <v>2030</v>
      </c>
      <c r="D216" s="25"/>
      <c r="E216" s="25"/>
      <c r="F216" s="25"/>
      <c r="G216" s="25"/>
      <c r="H216" s="25"/>
      <c r="I216" s="25"/>
      <c r="J216" s="25"/>
      <c r="K216" s="25"/>
      <c r="L216" s="25"/>
      <c r="N216" s="65">
        <v>2030</v>
      </c>
      <c r="O216" s="17"/>
      <c r="P216" s="17"/>
      <c r="Q216" s="17"/>
      <c r="R216" s="17"/>
      <c r="S216" s="17"/>
      <c r="T216" s="17"/>
    </row>
    <row r="217" spans="2:20" hidden="1" outlineLevel="1" x14ac:dyDescent="0.2">
      <c r="B217" s="276"/>
      <c r="C217" s="17"/>
      <c r="D217" s="17" t="s">
        <v>229</v>
      </c>
      <c r="E217" s="42">
        <f>IF(NOT(ISBLANK(K23)),K23,I23)-IF(NOT(ISBLANK(G23)),G23,E23)</f>
        <v>2</v>
      </c>
      <c r="F217" s="17"/>
      <c r="G217" s="17"/>
      <c r="H217" s="17"/>
      <c r="I217" s="17"/>
      <c r="J217" s="17"/>
      <c r="K217" s="17"/>
      <c r="L217" s="17"/>
      <c r="N217" s="17"/>
      <c r="O217" s="17"/>
      <c r="P217" s="17"/>
      <c r="Q217" s="17"/>
      <c r="R217" s="17"/>
      <c r="S217" s="17"/>
      <c r="T217" s="17"/>
    </row>
    <row r="218" spans="2:20" hidden="1" outlineLevel="1" x14ac:dyDescent="0.2">
      <c r="B218" s="17"/>
      <c r="C218" s="17"/>
      <c r="D218" s="17"/>
      <c r="E218" s="17"/>
      <c r="F218" s="17"/>
      <c r="G218" s="17"/>
      <c r="H218" s="17"/>
      <c r="I218" s="17"/>
      <c r="J218" s="17"/>
      <c r="K218" s="17"/>
      <c r="L218" s="17"/>
      <c r="N218" s="17"/>
      <c r="O218" s="17"/>
      <c r="P218" s="17"/>
      <c r="Q218" s="17"/>
      <c r="R218" s="17"/>
      <c r="S218" s="17"/>
      <c r="T218" s="17"/>
    </row>
    <row r="219" spans="2:20" ht="25.5" hidden="1" outlineLevel="1" x14ac:dyDescent="0.2">
      <c r="B219" s="17"/>
      <c r="C219" s="17"/>
      <c r="D219" s="17"/>
      <c r="E219" s="17"/>
      <c r="F219" s="36" t="s">
        <v>27</v>
      </c>
      <c r="G219" s="36" t="s">
        <v>82</v>
      </c>
      <c r="H219" s="36" t="s">
        <v>29</v>
      </c>
      <c r="I219" s="17"/>
      <c r="J219" s="40" t="s">
        <v>111</v>
      </c>
      <c r="K219" s="41" t="s">
        <v>39</v>
      </c>
      <c r="L219" s="17"/>
      <c r="N219" s="17"/>
      <c r="O219" s="17"/>
      <c r="P219" s="17"/>
      <c r="Q219" s="18"/>
      <c r="R219" s="17"/>
      <c r="S219" s="18"/>
      <c r="T219" s="18"/>
    </row>
    <row r="220" spans="2:20" ht="14.25" hidden="1" outlineLevel="1" x14ac:dyDescent="0.25">
      <c r="B220" s="77"/>
      <c r="C220" s="77" t="s">
        <v>190</v>
      </c>
      <c r="D220" s="77"/>
      <c r="E220" s="77"/>
      <c r="F220" s="78">
        <f>SUM(F222:F235)</f>
        <v>65.693413899999996</v>
      </c>
      <c r="G220" s="78">
        <f>SUM(G222:G235)</f>
        <v>72.889224607318326</v>
      </c>
      <c r="H220" s="78">
        <f>SUM(H222:H235)</f>
        <v>21.601201256046664</v>
      </c>
      <c r="I220" s="77"/>
      <c r="J220" s="78">
        <f>F220+G220</f>
        <v>138.58263850731834</v>
      </c>
      <c r="K220" s="78">
        <f>SUM(F220:H220)</f>
        <v>160.183839763365</v>
      </c>
      <c r="L220" s="77" t="s">
        <v>197</v>
      </c>
      <c r="N220" s="17"/>
      <c r="O220" s="17"/>
      <c r="P220" s="17"/>
      <c r="Q220" s="18"/>
      <c r="R220" s="17"/>
      <c r="S220" s="18"/>
      <c r="T220" s="18"/>
    </row>
    <row r="221" spans="2:20" hidden="1" outlineLevel="1" x14ac:dyDescent="0.2">
      <c r="B221" s="17"/>
      <c r="C221" s="17" t="s">
        <v>146</v>
      </c>
      <c r="D221" s="17"/>
      <c r="E221" s="17"/>
      <c r="F221" s="17"/>
      <c r="G221" s="17"/>
      <c r="H221" s="17"/>
      <c r="I221" s="17"/>
      <c r="J221" s="17"/>
      <c r="K221" s="17"/>
      <c r="L221" s="17"/>
      <c r="N221" s="17" t="s">
        <v>146</v>
      </c>
      <c r="O221" s="17"/>
      <c r="P221" s="17"/>
      <c r="Q221" s="18"/>
      <c r="R221" s="17"/>
      <c r="S221" s="18"/>
      <c r="T221" s="18"/>
    </row>
    <row r="222" spans="2:20" ht="15.75" hidden="1" outlineLevel="1" x14ac:dyDescent="0.3">
      <c r="B222" s="17"/>
      <c r="C222" s="17"/>
      <c r="D222" s="17" t="s">
        <v>125</v>
      </c>
      <c r="E222" s="17"/>
      <c r="F222" s="38">
        <f>IF(NOT(ISBLANK('Referenz Plattenwerk'!$I16)),'Referenz Plattenwerk'!$I16,'Referenz Plattenwerk'!$F16)*IF(NOT(ISBLANK('Eingabe EF'!$AS9)),'Eingabe EF'!$AS9,'Eingabe EF'!$AQ9)</f>
        <v>34.434080000000002</v>
      </c>
      <c r="G222" s="38">
        <f>IF(NOT(ISBLANK('Referenz Plattenwerk'!$I16)),'Referenz Plattenwerk'!$I16,'Referenz Plattenwerk'!$F16)*IF(NOT(ISBLANK('Eingabe EF'!$AW9)),'Eingabe EF'!$AW9,'Eingabe EF'!$AU9)</f>
        <v>0</v>
      </c>
      <c r="H222" s="38">
        <f>IF(NOT(ISBLANK('Referenz Plattenwerk'!$I16)),'Referenz Plattenwerk'!$I16,'Referenz Plattenwerk'!$F16)*IF(NOT(ISBLANK('Eingabe EF'!$BA9)),'Eingabe EF'!$BA9,'Eingabe EF'!$AY9)</f>
        <v>5.8938000000000006</v>
      </c>
      <c r="I222" s="17"/>
      <c r="J222" s="38">
        <f>F222+G222</f>
        <v>34.434080000000002</v>
      </c>
      <c r="K222" s="38">
        <f>SUM(F222:H222)</f>
        <v>40.32788</v>
      </c>
      <c r="L222" s="17" t="s">
        <v>198</v>
      </c>
      <c r="N222" s="17"/>
      <c r="O222" s="17" t="s">
        <v>125</v>
      </c>
      <c r="P222" s="17"/>
      <c r="Q222" s="19"/>
      <c r="R222" s="17"/>
      <c r="S222" s="42">
        <f>IF(NOT(ISBLANK('Referenz Plattenwerk'!$I16)),'Referenz Plattenwerk'!$I16,'Referenz Plattenwerk'!$F16)/1000*IF(NOT(ISBLANK('Eingabe Preise'!$O10)),'Eingabe Preise'!$O10,'Eingabe Preise'!$M10)</f>
        <v>11468</v>
      </c>
      <c r="T222" s="20" t="s">
        <v>106</v>
      </c>
    </row>
    <row r="223" spans="2:20" ht="15.75" hidden="1" outlineLevel="1" x14ac:dyDescent="0.3">
      <c r="B223" s="17"/>
      <c r="C223" s="17"/>
      <c r="D223" s="17" t="s">
        <v>165</v>
      </c>
      <c r="E223" s="17"/>
      <c r="F223" s="38">
        <f>IF(NOT(ISBLANK('Referenz Plattenwerk'!$I17)),'Referenz Plattenwerk'!$I17,'Referenz Plattenwerk'!$F17)*IF(NOT(ISBLANK('Eingabe EF'!$AS10)),'Eingabe EF'!$AS10,'Eingabe EF'!$AQ10)</f>
        <v>6.4022399999999999</v>
      </c>
      <c r="G223" s="38">
        <f>IF(NOT(ISBLANK('Referenz Plattenwerk'!$I17)),'Referenz Plattenwerk'!$I17,'Referenz Plattenwerk'!$F17)*IF(NOT(ISBLANK('Eingabe EF'!$AW10)),'Eingabe EF'!$AW10,'Eingabe EF'!$AU10)</f>
        <v>0</v>
      </c>
      <c r="H223" s="38">
        <f>IF(NOT(ISBLANK('Referenz Plattenwerk'!$I17)),'Referenz Plattenwerk'!$I17,'Referenz Plattenwerk'!$F17)*IF(NOT(ISBLANK('Eingabe EF'!$BA10)),'Eingabe EF'!$BA10,'Eingabe EF'!$AY10)</f>
        <v>0.949824</v>
      </c>
      <c r="I223" s="17"/>
      <c r="J223" s="38">
        <f>F223+G223</f>
        <v>6.4022399999999999</v>
      </c>
      <c r="K223" s="38">
        <f>SUM(F223:H223)</f>
        <v>7.3520640000000004</v>
      </c>
      <c r="L223" s="17" t="s">
        <v>198</v>
      </c>
      <c r="N223" s="17"/>
      <c r="O223" s="17" t="s">
        <v>165</v>
      </c>
      <c r="P223" s="17"/>
      <c r="Q223" s="20"/>
      <c r="R223" s="17"/>
      <c r="S223" s="42">
        <f>IF(NOT(ISBLANK('Referenz Plattenwerk'!$I17)),'Referenz Plattenwerk'!$I17,'Referenz Plattenwerk'!$F17)/1000*IF(NOT(ISBLANK('Eingabe Preise'!$O11)),'Eingabe Preise'!$O11,'Eingabe Preise'!$M11)</f>
        <v>1104</v>
      </c>
      <c r="T223" s="20" t="s">
        <v>106</v>
      </c>
    </row>
    <row r="224" spans="2:20" ht="15.75" hidden="1" outlineLevel="1" x14ac:dyDescent="0.3">
      <c r="B224" s="17"/>
      <c r="C224" s="17"/>
      <c r="D224" s="17" t="s">
        <v>152</v>
      </c>
      <c r="E224" s="17"/>
      <c r="F224" s="38">
        <f>IF(NOT(ISBLANK('Referenz Plattenwerk'!$I18)),'Referenz Plattenwerk'!$I18,'Referenz Plattenwerk'!$F18)*IF(NOT(ISBLANK('Eingabe EF'!$AS11)),'Eingabe EF'!$AS11,'Eingabe EF'!$AQ11)</f>
        <v>0</v>
      </c>
      <c r="G224" s="38">
        <f>IF(NOT(ISBLANK('Referenz Plattenwerk'!$I18)),'Referenz Plattenwerk'!$I18,'Referenz Plattenwerk'!$F18)*IF(NOT(ISBLANK('Eingabe EF'!$AW11)),'Eingabe EF'!$AW11,'Eingabe EF'!$AU11)</f>
        <v>6.1552554846110556</v>
      </c>
      <c r="H224" s="38">
        <f>IF(NOT(ISBLANK('Referenz Plattenwerk'!$I18)),'Referenz Plattenwerk'!$I18,'Referenz Plattenwerk'!$F18)*IF(NOT(ISBLANK('Eingabe EF'!$BA11)),'Eingabe EF'!$BA11,'Eingabe EF'!$AY11)</f>
        <v>0.90234111816287721</v>
      </c>
      <c r="I224" s="17"/>
      <c r="J224" s="38">
        <f>F224+G224</f>
        <v>6.1552554846110556</v>
      </c>
      <c r="K224" s="38">
        <f>SUM(F224:H224)</f>
        <v>7.0575966027739332</v>
      </c>
      <c r="L224" s="17" t="s">
        <v>198</v>
      </c>
      <c r="N224" s="17"/>
      <c r="O224" s="17" t="s">
        <v>152</v>
      </c>
      <c r="P224" s="17"/>
      <c r="Q224" s="20"/>
      <c r="R224" s="17"/>
      <c r="S224" s="42">
        <f>IF(NOT(ISBLANK('Referenz Plattenwerk'!$I18)),'Referenz Plattenwerk'!$I18,'Referenz Plattenwerk'!$F18)/1000*IF(NOT(ISBLANK('Eingabe Preise'!$O12)),'Eingabe Preise'!$O12,'Eingabe Preise'!$M12)</f>
        <v>7740</v>
      </c>
      <c r="T224" s="20" t="s">
        <v>106</v>
      </c>
    </row>
    <row r="225" spans="2:20" ht="15.75" hidden="1" outlineLevel="1" x14ac:dyDescent="0.3">
      <c r="B225" s="17"/>
      <c r="C225" s="17"/>
      <c r="D225" s="17" t="s">
        <v>126</v>
      </c>
      <c r="E225" s="17"/>
      <c r="F225" s="44">
        <f>IF(NOT(ISBLANK('Referenz Plattenwerk'!$I19)),'Referenz Plattenwerk'!$I19,'Referenz Plattenwerk'!$F19)*IF(NOT(ISBLANK('Eingabe EF'!$AS12)),'Eingabe EF'!$AS12,0)</f>
        <v>0</v>
      </c>
      <c r="G225" s="44">
        <f>IF(NOT(ISBLANK('Referenz Plattenwerk'!$I19)),'Referenz Plattenwerk'!$I19,'Referenz Plattenwerk'!$F19)*IF(NOT(ISBLANK('Eingabe EF'!$AW12)),'Eingabe EF'!$AW12,0)</f>
        <v>0</v>
      </c>
      <c r="H225" s="44">
        <f>IF(NOT(ISBLANK('Referenz Plattenwerk'!$I19)),'Referenz Plattenwerk'!$I19,'Referenz Plattenwerk'!$F19)*IF(NOT(ISBLANK('Eingabe EF'!$BA12)),'Eingabe EF'!$BA12,0)</f>
        <v>0</v>
      </c>
      <c r="I225" s="17"/>
      <c r="J225" s="38">
        <f>F225+G225</f>
        <v>0</v>
      </c>
      <c r="K225" s="38">
        <f>SUM(F225:H225)</f>
        <v>0</v>
      </c>
      <c r="L225" s="17" t="s">
        <v>198</v>
      </c>
      <c r="N225" s="17"/>
      <c r="O225" s="17" t="s">
        <v>126</v>
      </c>
      <c r="P225" s="17"/>
      <c r="Q225" s="20"/>
      <c r="R225" s="17"/>
      <c r="S225" s="42">
        <f>IF(NOT(ISBLANK('Referenz Plattenwerk'!$I19)),'Referenz Plattenwerk'!$I19,'Referenz Plattenwerk'!$F19)/1000*IF(NOT(ISBLANK('Eingabe Preise'!$O16)),'Eingabe Preise'!$O16,0)</f>
        <v>0</v>
      </c>
      <c r="T225" s="20" t="s">
        <v>106</v>
      </c>
    </row>
    <row r="226" spans="2:20" hidden="1" outlineLevel="1" x14ac:dyDescent="0.2">
      <c r="B226" s="17"/>
      <c r="C226" s="17" t="s">
        <v>147</v>
      </c>
      <c r="D226" s="17"/>
      <c r="E226" s="17"/>
      <c r="F226" s="17"/>
      <c r="G226" s="17"/>
      <c r="H226" s="17"/>
      <c r="I226" s="17"/>
      <c r="J226" s="17"/>
      <c r="K226" s="17"/>
      <c r="L226" s="17"/>
      <c r="N226" s="17" t="s">
        <v>147</v>
      </c>
      <c r="O226" s="17"/>
      <c r="P226" s="17"/>
      <c r="Q226" s="20"/>
      <c r="R226" s="17"/>
      <c r="S226" s="20"/>
      <c r="T226" s="20"/>
    </row>
    <row r="227" spans="2:20" ht="15.75" hidden="1" outlineLevel="1" x14ac:dyDescent="0.3">
      <c r="B227" s="17"/>
      <c r="C227" s="17"/>
      <c r="D227" s="17" t="s">
        <v>31</v>
      </c>
      <c r="E227" s="17"/>
      <c r="F227" s="44">
        <f>IF(NOT(ISBLANK('Referenz Plattenwerk'!$I21)),'Referenz Plattenwerk'!$I21,'Referenz Plattenwerk'!$F21)*IF(NOT(ISBLANK('Eingabe EF'!$AS9)),'Eingabe EF'!$AS9,'Eingabe EF'!$AQ9)</f>
        <v>8.6085200000000004</v>
      </c>
      <c r="G227" s="44">
        <f>IF(NOT(ISBLANK('Referenz Plattenwerk'!$I21)),'Referenz Plattenwerk'!$I21,'Referenz Plattenwerk'!$F21)*IF(NOT(ISBLANK('Eingabe EF'!$AW9)),'Eingabe EF'!$AW9,'Eingabe EF'!$AU9)</f>
        <v>0</v>
      </c>
      <c r="H227" s="44">
        <f>IF(NOT(ISBLANK('Referenz Plattenwerk'!$I21)),'Referenz Plattenwerk'!$I21,'Referenz Plattenwerk'!$F21)*IF(NOT(ISBLANK('Eingabe EF'!$BA9)),'Eingabe EF'!$BA9,'Eingabe EF'!$AY9)</f>
        <v>1.4734500000000001</v>
      </c>
      <c r="I227" s="17"/>
      <c r="J227" s="38">
        <f t="shared" ref="J227:J228" si="46">F227+G227</f>
        <v>8.6085200000000004</v>
      </c>
      <c r="K227" s="38">
        <f t="shared" ref="K227:K228" si="47">SUM(F227:H227)</f>
        <v>10.08197</v>
      </c>
      <c r="L227" s="17" t="s">
        <v>198</v>
      </c>
      <c r="N227" s="17"/>
      <c r="O227" s="17" t="s">
        <v>31</v>
      </c>
      <c r="P227" s="17"/>
      <c r="Q227" s="20"/>
      <c r="R227" s="17"/>
      <c r="S227" s="42">
        <f>IF(NOT(ISBLANK('Referenz Plattenwerk'!$I21)),'Referenz Plattenwerk'!$I21,'Referenz Plattenwerk'!$F21)/1000*IF(NOT(ISBLANK('Eingabe Preise'!$O10)),'Eingabe Preise'!$O10,'Eingabe Preise'!$M10)</f>
        <v>2867</v>
      </c>
      <c r="T227" s="20" t="s">
        <v>106</v>
      </c>
    </row>
    <row r="228" spans="2:20" ht="15.75" hidden="1" outlineLevel="1" x14ac:dyDescent="0.3">
      <c r="B228" s="17"/>
      <c r="C228" s="17"/>
      <c r="D228" s="17" t="s">
        <v>32</v>
      </c>
      <c r="E228" s="17"/>
      <c r="F228" s="44">
        <f>IF(NOT(ISBLANK('Referenz Plattenwerk'!$I22)),'Referenz Plattenwerk'!$I22,'Referenz Plattenwerk'!$F22)*IF(NOT(ISBLANK('Eingabe EF'!$AS10)),'Eingabe EF'!$AS10,'Eingabe EF'!$AQ10)</f>
        <v>9.6033600000000003</v>
      </c>
      <c r="G228" s="44">
        <f>IF(NOT(ISBLANK('Referenz Plattenwerk'!$I22)),'Referenz Plattenwerk'!$I22,'Referenz Plattenwerk'!$F22)*IF(NOT(ISBLANK('Eingabe EF'!$AW10)),'Eingabe EF'!$AW10,'Eingabe EF'!$AU10)</f>
        <v>0</v>
      </c>
      <c r="H228" s="44">
        <f>IF(NOT(ISBLANK('Referenz Plattenwerk'!$I22)),'Referenz Plattenwerk'!$I22,'Referenz Plattenwerk'!$F22)*IF(NOT(ISBLANK('Eingabe EF'!$BA10)),'Eingabe EF'!$BA10,'Eingabe EF'!$AY10)</f>
        <v>1.424736</v>
      </c>
      <c r="I228" s="17"/>
      <c r="J228" s="38">
        <f t="shared" si="46"/>
        <v>9.6033600000000003</v>
      </c>
      <c r="K228" s="38">
        <f t="shared" si="47"/>
        <v>11.028096</v>
      </c>
      <c r="L228" s="17" t="s">
        <v>198</v>
      </c>
      <c r="N228" s="17"/>
      <c r="O228" s="17" t="s">
        <v>32</v>
      </c>
      <c r="P228" s="17"/>
      <c r="Q228" s="20"/>
      <c r="R228" s="17"/>
      <c r="S228" s="42">
        <f>IF(NOT(ISBLANK('Referenz Plattenwerk'!$I22)),'Referenz Plattenwerk'!$I22,'Referenz Plattenwerk'!$F22)/1000*IF(NOT(ISBLANK('Eingabe Preise'!$O11)),'Eingabe Preise'!$O11,'Eingabe Preise'!$M11)</f>
        <v>1656</v>
      </c>
      <c r="T228" s="20" t="s">
        <v>106</v>
      </c>
    </row>
    <row r="229" spans="2:20" hidden="1" outlineLevel="1" x14ac:dyDescent="0.2">
      <c r="B229" s="17"/>
      <c r="C229" s="17" t="s">
        <v>148</v>
      </c>
      <c r="D229" s="17"/>
      <c r="E229" s="17"/>
      <c r="F229" s="17"/>
      <c r="G229" s="17"/>
      <c r="H229" s="17"/>
      <c r="I229" s="17"/>
      <c r="J229" s="17"/>
      <c r="K229" s="17"/>
      <c r="L229" s="17"/>
      <c r="N229" s="17" t="s">
        <v>148</v>
      </c>
      <c r="O229" s="17"/>
      <c r="P229" s="17"/>
      <c r="Q229" s="20"/>
      <c r="R229" s="17"/>
      <c r="S229" s="20"/>
      <c r="T229" s="20"/>
    </row>
    <row r="230" spans="2:20" ht="15.75" hidden="1" outlineLevel="1" x14ac:dyDescent="0.3">
      <c r="B230" s="276"/>
      <c r="C230" s="17"/>
      <c r="D230" s="17" t="s">
        <v>150</v>
      </c>
      <c r="E230" s="17"/>
      <c r="F230" s="44">
        <f>(IF(NOT(ISBLANK('Referenz Plattenwerk'!$I24)),'Referenz Plattenwerk'!$I24,'Referenz Plattenwerk'!$F24)+E148*E25+E217*I25)*IF(NOT(ISBLANK('Eingabe EF'!$AS11)),'Eingabe EF'!$AS11,'Eingabe EF'!$AQ11)</f>
        <v>0</v>
      </c>
      <c r="G230" s="44">
        <f>(IF(NOT(ISBLANK('Referenz Plattenwerk'!$I24)),'Referenz Plattenwerk'!$I24,'Referenz Plattenwerk'!$F24)+E148*E25+E217*I25)*IF(NOT(ISBLANK('Eingabe EF'!$AW11)),'Eingabe EF'!$AW11,'Eingabe EF'!$AU11)</f>
        <v>66.733969122707265</v>
      </c>
      <c r="H230" s="44">
        <f>(IF(NOT(ISBLANK('Referenz Plattenwerk'!$I24)),'Referenz Plattenwerk'!$I24,'Referenz Plattenwerk'!$F24)+E148*E25+E217*I25)*IF(NOT(ISBLANK('Eingabe EF'!$BA11)),'Eingabe EF'!$BA11,'Eingabe EF'!$AY11)</f>
        <v>9.7829902378837872</v>
      </c>
      <c r="I230" s="17"/>
      <c r="J230" s="38">
        <f t="shared" ref="J230:J238" si="48">F230+G230</f>
        <v>66.733969122707265</v>
      </c>
      <c r="K230" s="38">
        <f t="shared" ref="K230:K238" si="49">SUM(F230:H230)</f>
        <v>76.516959360591045</v>
      </c>
      <c r="L230" s="17" t="s">
        <v>198</v>
      </c>
      <c r="N230" s="276"/>
      <c r="O230" s="17" t="s">
        <v>150</v>
      </c>
      <c r="P230" s="17"/>
      <c r="Q230" s="20"/>
      <c r="R230" s="17"/>
      <c r="S230" s="42">
        <f>(IF(NOT(ISBLANK('Referenz Plattenwerk'!$I24)),'Referenz Plattenwerk'!$I24,'Referenz Plattenwerk'!$F24)+E148*E25+E217*I25)/1000*IF(NOT(ISBLANK('Eingabe Preise'!$O12)),'Eingabe Preise'!$O12,'Eingabe Preise'!$M12)</f>
        <v>83915.431666666656</v>
      </c>
      <c r="T230" s="20" t="s">
        <v>106</v>
      </c>
    </row>
    <row r="231" spans="2:20" ht="15.75" hidden="1" outlineLevel="1" x14ac:dyDescent="0.3">
      <c r="B231" s="17"/>
      <c r="C231" s="17"/>
      <c r="D231" s="17" t="s">
        <v>122</v>
      </c>
      <c r="E231" s="17"/>
      <c r="F231" s="44">
        <f>IF(NOT(ISBLANK('Referenz Plattenwerk'!$I25)),'Referenz Plattenwerk'!$I25,'Referenz Plattenwerk'!$F25)*IF(NOT(ISBLANK('Eingabe EF'!$AS13)),'Eingabe EF'!$AS13,'Eingabe EF'!$AQ13)</f>
        <v>0</v>
      </c>
      <c r="G231" s="44">
        <f>IF(NOT(ISBLANK('Referenz Plattenwerk'!$I25)),'Referenz Plattenwerk'!$I25,'Referenz Plattenwerk'!$F25)*IF(NOT(ISBLANK('Eingabe EF'!$AW13)),'Eingabe EF'!$AW13,'Eingabe EF'!$AU13)</f>
        <v>0</v>
      </c>
      <c r="H231" s="44">
        <f>IF(NOT(ISBLANK('Referenz Plattenwerk'!$I25)),'Referenz Plattenwerk'!$I25,'Referenz Plattenwerk'!$F25)*IF(NOT(ISBLANK('Eingabe EF'!$BA13)),'Eingabe EF'!$BA13,'Eingabe EF'!$AY13)</f>
        <v>0</v>
      </c>
      <c r="I231" s="17"/>
      <c r="J231" s="38">
        <f t="shared" si="48"/>
        <v>0</v>
      </c>
      <c r="K231" s="38">
        <f t="shared" si="49"/>
        <v>0</v>
      </c>
      <c r="L231" s="17" t="s">
        <v>198</v>
      </c>
      <c r="N231" s="17"/>
      <c r="O231" s="17" t="s">
        <v>122</v>
      </c>
      <c r="P231" s="17"/>
      <c r="Q231" s="20"/>
      <c r="R231" s="17"/>
      <c r="S231" s="42">
        <f>IF(NOT(ISBLANK('Referenz Plattenwerk'!$I25)),'Referenz Plattenwerk'!$I25,'Referenz Plattenwerk'!$F25)/1000*IF(NOT(ISBLANK('Eingabe Preise'!$O13)),'Eingabe Preise'!$O13,'Eingabe Preise'!$M13)</f>
        <v>0</v>
      </c>
      <c r="T231" s="20" t="s">
        <v>106</v>
      </c>
    </row>
    <row r="232" spans="2:20" ht="15.75" hidden="1" outlineLevel="1" x14ac:dyDescent="0.3">
      <c r="B232" s="17"/>
      <c r="C232" s="17"/>
      <c r="D232" s="17" t="s">
        <v>149</v>
      </c>
      <c r="E232" s="17"/>
      <c r="F232" s="44">
        <f>IF(NOT(ISBLANK('Referenz Plattenwerk'!$I26)),'Referenz Plattenwerk'!$I26,'Referenz Plattenwerk'!$F26)*IF(NOT(ISBLANK('Eingabe EF'!$AS14)),'Eingabe EF'!$AS14,0)</f>
        <v>0</v>
      </c>
      <c r="G232" s="44">
        <f>IF(NOT(ISBLANK('Referenz Plattenwerk'!$I26)),'Referenz Plattenwerk'!$I26,'Referenz Plattenwerk'!$F26)*IF(NOT(ISBLANK('Eingabe EF'!$AW14)),'Eingabe EF'!$AW14,0)</f>
        <v>0</v>
      </c>
      <c r="H232" s="44">
        <f>IF(NOT(ISBLANK('Referenz Plattenwerk'!$I26)),'Referenz Plattenwerk'!$I26,'Referenz Plattenwerk'!$F26)*IF(NOT(ISBLANK('Eingabe EF'!$BA14)),'Eingabe EF'!$BA14,0)</f>
        <v>0</v>
      </c>
      <c r="I232" s="17"/>
      <c r="J232" s="38">
        <f t="shared" si="48"/>
        <v>0</v>
      </c>
      <c r="K232" s="38">
        <f t="shared" si="49"/>
        <v>0</v>
      </c>
      <c r="L232" s="17" t="s">
        <v>198</v>
      </c>
      <c r="N232" s="17"/>
      <c r="O232" s="17" t="s">
        <v>149</v>
      </c>
      <c r="P232" s="17"/>
      <c r="Q232" s="30"/>
      <c r="R232" s="17"/>
      <c r="S232" s="42">
        <f>IF(NOT(ISBLANK('Referenz Plattenwerk'!$I26)),'Referenz Plattenwerk'!$I26,'Referenz Plattenwerk'!$F26)/1000*IF(NOT(ISBLANK('Eingabe Preise'!$O17)),'Eingabe Preise'!$O17,0)</f>
        <v>0</v>
      </c>
      <c r="T232" s="20" t="s">
        <v>106</v>
      </c>
    </row>
    <row r="233" spans="2:20" hidden="1" outlineLevel="1" x14ac:dyDescent="0.2">
      <c r="B233" s="17"/>
      <c r="C233" s="17"/>
      <c r="D233" s="17"/>
      <c r="E233" s="17"/>
      <c r="F233" s="17"/>
      <c r="G233" s="17"/>
      <c r="H233" s="17"/>
      <c r="I233" s="17"/>
      <c r="J233" s="17"/>
      <c r="K233" s="17"/>
      <c r="L233" s="17"/>
      <c r="N233" s="17"/>
      <c r="O233" s="17"/>
      <c r="P233" s="17"/>
      <c r="Q233" s="30"/>
      <c r="R233" s="17"/>
      <c r="S233" s="17"/>
      <c r="T233" s="17"/>
    </row>
    <row r="234" spans="2:20" ht="15.75" hidden="1" outlineLevel="1" x14ac:dyDescent="0.3">
      <c r="B234" s="276"/>
      <c r="C234" s="17" t="s">
        <v>464</v>
      </c>
      <c r="D234" s="17" t="s">
        <v>34</v>
      </c>
      <c r="E234" s="17"/>
      <c r="F234" s="44">
        <f>(IF(NOT(ISBLANK('Referenz Plattenwerk'!$I28)),'Referenz Plattenwerk'!$I28,'Referenz Plattenwerk'!$F28)-(E217+E148)*E17)*IF(NOT(ISBLANK('Eingabe EF'!$AS15)),'Eingabe EF'!$AS15,'Eingabe EF'!$AQ15)</f>
        <v>0</v>
      </c>
      <c r="G234" s="44">
        <f>(IF(NOT(ISBLANK('Referenz Plattenwerk'!$I28)),'Referenz Plattenwerk'!$I28,'Referenz Plattenwerk'!$F28)-(E217+E148)*E17)*IF(NOT(ISBLANK('Eingabe EF'!$AW15)),'Eingabe EF'!$AW15,'Eingabe EF'!$AU15)</f>
        <v>0</v>
      </c>
      <c r="H234" s="44">
        <f>(IF(NOT(ISBLANK('Referenz Plattenwerk'!$I28)),'Referenz Plattenwerk'!$I28,'Referenz Plattenwerk'!$F28)-(E217+E148)*E17)*IF(NOT(ISBLANK('Eingabe EF'!$BA15)),'Eingabe EF'!$BA15,'Eingabe EF'!$AY15)</f>
        <v>0</v>
      </c>
      <c r="I234" s="17"/>
      <c r="J234" s="38">
        <f t="shared" ref="J234:J236" si="50">F234+G234</f>
        <v>0</v>
      </c>
      <c r="K234" s="38">
        <f t="shared" ref="K234:K236" si="51">SUM(F234:H234)</f>
        <v>0</v>
      </c>
      <c r="L234" s="17" t="s">
        <v>198</v>
      </c>
      <c r="N234" s="276"/>
      <c r="O234" s="17" t="s">
        <v>34</v>
      </c>
      <c r="P234" s="17" t="s">
        <v>464</v>
      </c>
      <c r="Q234" s="30"/>
      <c r="R234" s="17"/>
      <c r="S234" s="42">
        <f>(IF(NOT(ISBLANK('Referenz Plattenwerk'!$I28)),'Referenz Plattenwerk'!$I28,'Referenz Plattenwerk'!$F28)-(E217+E148)*E17)*IF(NOT(ISBLANK('Eingabe Preise'!$O14)),'Eingabe Preise'!$O14,'Eingabe Preise'!$M14)</f>
        <v>0</v>
      </c>
      <c r="T234" s="20" t="s">
        <v>106</v>
      </c>
    </row>
    <row r="235" spans="2:20" ht="15.75" hidden="1" outlineLevel="1" x14ac:dyDescent="0.3">
      <c r="B235" s="17"/>
      <c r="C235" s="17" t="s">
        <v>75</v>
      </c>
      <c r="D235" s="17" t="s">
        <v>34</v>
      </c>
      <c r="E235" s="17"/>
      <c r="F235" s="44">
        <f>IF(NOT(ISBLANK('Referenz Plattenwerk'!$I29)),'Referenz Plattenwerk'!$I29,'Referenz Plattenwerk'!$F29)*IF(NOT(ISBLANK('Eingabe EF'!$AS15)),'Eingabe EF'!$AS15,'Eingabe EF'!$AQ15)</f>
        <v>6.645213899999999</v>
      </c>
      <c r="G235" s="44">
        <f>IF(NOT(ISBLANK('Referenz Plattenwerk'!$I29)),'Referenz Plattenwerk'!$I29,'Referenz Plattenwerk'!$F29)*IF(NOT(ISBLANK('Eingabe EF'!$AW15)),'Eingabe EF'!$AW15,'Eingabe EF'!$AU15)</f>
        <v>0</v>
      </c>
      <c r="H235" s="44">
        <f>IF(NOT(ISBLANK('Referenz Plattenwerk'!$I29)),'Referenz Plattenwerk'!$I29,'Referenz Plattenwerk'!$F29)*IF(NOT(ISBLANK('Eingabe EF'!$BA15)),'Eingabe EF'!$BA15,'Eingabe EF'!$AY15)</f>
        <v>1.1740599000000003</v>
      </c>
      <c r="I235" s="17"/>
      <c r="J235" s="38">
        <f t="shared" si="50"/>
        <v>6.645213899999999</v>
      </c>
      <c r="K235" s="38">
        <f t="shared" si="51"/>
        <v>7.8192737999999995</v>
      </c>
      <c r="L235" s="17" t="s">
        <v>198</v>
      </c>
      <c r="N235" s="17"/>
      <c r="O235" s="17" t="s">
        <v>34</v>
      </c>
      <c r="P235" s="17" t="s">
        <v>75</v>
      </c>
      <c r="Q235" s="30"/>
      <c r="R235" s="17"/>
      <c r="S235" s="42">
        <f>IF(NOT(ISBLANK('Referenz Plattenwerk'!$I29)),'Referenz Plattenwerk'!$I29,'Referenz Plattenwerk'!$F29)*IF(NOT(ISBLANK('Eingabe Preise'!$O14)),'Eingabe Preise'!$O14,'Eingabe Preise'!$M14)</f>
        <v>2810.0000000000005</v>
      </c>
      <c r="T235" s="20" t="s">
        <v>106</v>
      </c>
    </row>
    <row r="236" spans="2:20" ht="14.25" hidden="1" outlineLevel="1" x14ac:dyDescent="0.25">
      <c r="B236" s="70"/>
      <c r="C236" s="70" t="s">
        <v>189</v>
      </c>
      <c r="D236" s="70"/>
      <c r="E236" s="70"/>
      <c r="F236" s="72">
        <f>F237+F238</f>
        <v>0</v>
      </c>
      <c r="G236" s="72">
        <f t="shared" ref="G236:H236" si="52">G237+G238</f>
        <v>0</v>
      </c>
      <c r="H236" s="72">
        <f t="shared" si="52"/>
        <v>469.15642799999995</v>
      </c>
      <c r="I236" s="70"/>
      <c r="J236" s="72">
        <f t="shared" si="50"/>
        <v>0</v>
      </c>
      <c r="K236" s="72">
        <f t="shared" si="51"/>
        <v>469.15642799999995</v>
      </c>
      <c r="L236" s="77" t="s">
        <v>197</v>
      </c>
      <c r="N236" s="17"/>
      <c r="O236" s="17"/>
      <c r="P236" s="17"/>
      <c r="Q236" s="30"/>
      <c r="R236" s="17"/>
      <c r="S236" s="17"/>
      <c r="T236" s="17"/>
    </row>
    <row r="237" spans="2:20" ht="15.75" hidden="1" outlineLevel="1" x14ac:dyDescent="0.3">
      <c r="B237" s="17"/>
      <c r="C237" s="17"/>
      <c r="D237" s="17" t="s">
        <v>45</v>
      </c>
      <c r="E237" s="17"/>
      <c r="F237" s="44">
        <f>IF(NOT(ISBLANK('Referenz Plattenwerk'!$I32)),'Referenz Plattenwerk'!$I32,'Referenz Plattenwerk'!$F32)*IF(NOT(ISBLANK('Eingabe EF'!$AS17)),'Eingabe EF'!$AS17,'Eingabe EF'!$AQ17)</f>
        <v>0</v>
      </c>
      <c r="G237" s="44">
        <f>IF(NOT(ISBLANK('Referenz Plattenwerk'!$I32)),'Referenz Plattenwerk'!$I32,'Referenz Plattenwerk'!$F32)*IF(NOT(ISBLANK('Eingabe EF'!$AW17)),'Eingabe EF'!$AW17,'Eingabe EF'!$AU17)</f>
        <v>0</v>
      </c>
      <c r="H237" s="44">
        <f>IF(NOT(ISBLANK('Referenz Plattenwerk'!$I32)),'Referenz Plattenwerk'!$I32,'Referenz Plattenwerk'!$F32)*IF(NOT(ISBLANK('Eingabe EF'!$BA17)),'Eingabe EF'!$BA17,'Eingabe EF'!$AY17)</f>
        <v>109.4698332</v>
      </c>
      <c r="I237" s="17"/>
      <c r="J237" s="38">
        <f t="shared" si="48"/>
        <v>0</v>
      </c>
      <c r="K237" s="38">
        <f t="shared" si="49"/>
        <v>109.4698332</v>
      </c>
      <c r="L237" s="17" t="s">
        <v>198</v>
      </c>
      <c r="N237" s="17"/>
      <c r="O237" s="17"/>
      <c r="P237" s="17"/>
      <c r="Q237" s="30"/>
      <c r="R237" s="17"/>
      <c r="S237" s="17"/>
      <c r="T237" s="17"/>
    </row>
    <row r="238" spans="2:20" ht="15.75" hidden="1" outlineLevel="1" x14ac:dyDescent="0.3">
      <c r="B238" s="17"/>
      <c r="C238" s="17"/>
      <c r="D238" s="17" t="s">
        <v>46</v>
      </c>
      <c r="E238" s="17"/>
      <c r="F238" s="44">
        <f>IF(NOT(ISBLANK('Referenz Plattenwerk'!$I33)),'Referenz Plattenwerk'!$I33,'Referenz Plattenwerk'!$F33)*IF(NOT(ISBLANK('Eingabe EF'!$AS18)),'Eingabe EF'!$AS18,'Eingabe EF'!$AQ18)</f>
        <v>0</v>
      </c>
      <c r="G238" s="44">
        <f>IF(NOT(ISBLANK('Referenz Plattenwerk'!$I33)),'Referenz Plattenwerk'!$I33,'Referenz Plattenwerk'!$F33)*IF(NOT(ISBLANK('Eingabe EF'!$AW18)),'Eingabe EF'!$AW18,'Eingabe EF'!$AU18)</f>
        <v>0</v>
      </c>
      <c r="H238" s="44">
        <f>IF(NOT(ISBLANK('Referenz Plattenwerk'!$I33)),'Referenz Plattenwerk'!$I33,'Referenz Plattenwerk'!$F33)*IF(NOT(ISBLANK('Eingabe EF'!$BA18)),'Eingabe EF'!$BA18,'Eingabe EF'!$AY18)</f>
        <v>359.68659479999997</v>
      </c>
      <c r="I238" s="17"/>
      <c r="J238" s="38">
        <f t="shared" si="48"/>
        <v>0</v>
      </c>
      <c r="K238" s="38">
        <f t="shared" si="49"/>
        <v>359.68659479999997</v>
      </c>
      <c r="L238" s="17" t="s">
        <v>198</v>
      </c>
      <c r="N238" s="17"/>
      <c r="O238" s="17" t="s">
        <v>30</v>
      </c>
      <c r="P238" s="17"/>
      <c r="Q238" s="30"/>
      <c r="R238" s="17"/>
      <c r="S238" s="42">
        <f>S251+S252</f>
        <v>108000</v>
      </c>
      <c r="T238" s="20" t="s">
        <v>106</v>
      </c>
    </row>
    <row r="239" spans="2:20" hidden="1" outlineLevel="1" x14ac:dyDescent="0.2">
      <c r="B239" s="17"/>
      <c r="C239" s="17"/>
      <c r="D239" s="17"/>
      <c r="E239" s="17"/>
      <c r="F239" s="20"/>
      <c r="G239" s="20"/>
      <c r="H239" s="20"/>
      <c r="I239" s="17"/>
      <c r="J239" s="20"/>
      <c r="K239" s="20"/>
      <c r="L239" s="17"/>
      <c r="N239" s="17"/>
      <c r="O239" s="45" t="s">
        <v>153</v>
      </c>
      <c r="P239" s="17"/>
      <c r="Q239" s="30"/>
      <c r="R239" s="17"/>
      <c r="S239" s="42">
        <f>IF(NOT(ISBLANK($K$28)),$K$28,$I$28)</f>
        <v>0</v>
      </c>
      <c r="T239" s="20" t="s">
        <v>106</v>
      </c>
    </row>
    <row r="240" spans="2:20" ht="14.25" hidden="1" outlineLevel="1" x14ac:dyDescent="0.25">
      <c r="B240" s="70"/>
      <c r="C240" s="70" t="s">
        <v>68</v>
      </c>
      <c r="D240" s="71"/>
      <c r="E240" s="71"/>
      <c r="F240" s="72">
        <f>SUM(F241:F244)</f>
        <v>0</v>
      </c>
      <c r="G240" s="72">
        <f t="shared" ref="G240" si="53">SUM(G241:G244)</f>
        <v>0</v>
      </c>
      <c r="H240" s="72">
        <f>SUM(H241:H244)</f>
        <v>4548.5439999999999</v>
      </c>
      <c r="I240" s="71"/>
      <c r="J240" s="72">
        <f t="shared" ref="J240:J244" si="54">F240+G240</f>
        <v>0</v>
      </c>
      <c r="K240" s="72">
        <f t="shared" ref="K240" si="55">SUM(F240:H240)</f>
        <v>4548.5439999999999</v>
      </c>
      <c r="L240" s="77" t="s">
        <v>197</v>
      </c>
      <c r="N240" s="17"/>
      <c r="O240" s="45" t="s">
        <v>160</v>
      </c>
      <c r="P240" s="17"/>
      <c r="Q240" s="30"/>
      <c r="R240" s="17"/>
      <c r="S240" s="42">
        <f>S254+S255</f>
        <v>0</v>
      </c>
      <c r="T240" s="20" t="s">
        <v>106</v>
      </c>
    </row>
    <row r="241" spans="2:20" ht="15.75" hidden="1" outlineLevel="1" x14ac:dyDescent="0.3">
      <c r="B241" s="17"/>
      <c r="C241" s="17"/>
      <c r="D241" s="17" t="s">
        <v>47</v>
      </c>
      <c r="E241" s="17"/>
      <c r="F241" s="38">
        <f>IF(NOT(ISBLANK('Referenz Plattenwerk'!$I36)),'Referenz Plattenwerk'!$I36,'Referenz Plattenwerk'!$F36)*IF(NOT(ISBLANK('Eingabe EF'!$AS21)),'Eingabe EF'!$AS21,'Eingabe EF'!$AQ21)*IF(NOT(ISBLANK('Referenz Plattenwerk'!$I$12)),'Referenz Plattenwerk'!$I$12,'Referenz Plattenwerk'!$F$12)</f>
        <v>0</v>
      </c>
      <c r="G241" s="38">
        <f>IF(NOT(ISBLANK('Referenz Plattenwerk'!$I36)),'Referenz Plattenwerk'!$I36,'Referenz Plattenwerk'!$F36)*IF(NOT(ISBLANK('Eingabe EF'!$AW21)),'Eingabe EF'!$AW21,'Eingabe EF'!$AU21)*IF(NOT(ISBLANK('Referenz Plattenwerk'!$I$12)),'Referenz Plattenwerk'!$I$12,'Referenz Plattenwerk'!$F$12)</f>
        <v>0</v>
      </c>
      <c r="H241" s="38">
        <f>IF(NOT(ISBLANK('Referenz Plattenwerk'!$I36)),'Referenz Plattenwerk'!$I36,'Referenz Plattenwerk'!$F36)*IF(NOT(ISBLANK('Eingabe EF'!$BA21)),'Eingabe EF'!$BA21,'Eingabe EF'!$AY21)*IF(NOT(ISBLANK('Referenz Plattenwerk'!$I$12)),'Referenz Plattenwerk'!$I$12,'Referenz Plattenwerk'!$F$12)</f>
        <v>1210.3</v>
      </c>
      <c r="I241" s="17"/>
      <c r="J241" s="38">
        <f t="shared" si="54"/>
        <v>0</v>
      </c>
      <c r="K241" s="38">
        <f t="shared" ref="K241:K244" si="56">SUM(F241:H241)</f>
        <v>1210.3</v>
      </c>
      <c r="L241" s="17" t="s">
        <v>198</v>
      </c>
      <c r="N241" s="17"/>
      <c r="O241" s="17"/>
      <c r="P241" s="17"/>
      <c r="Q241" s="17"/>
      <c r="R241" s="17"/>
      <c r="S241" s="17"/>
      <c r="T241" s="17"/>
    </row>
    <row r="242" spans="2:20" ht="15.75" hidden="1" outlineLevel="1" x14ac:dyDescent="0.3">
      <c r="B242" s="17"/>
      <c r="C242" s="17"/>
      <c r="D242" s="17" t="s">
        <v>49</v>
      </c>
      <c r="E242" s="17"/>
      <c r="F242" s="38">
        <f>IF(NOT(ISBLANK('Referenz Plattenwerk'!$I37)),'Referenz Plattenwerk'!$I37,'Referenz Plattenwerk'!$F37)*IF(NOT(ISBLANK('Eingabe EF'!$AS22)),'Eingabe EF'!$AS22,'Eingabe EF'!$AQ22)*IF(NOT(ISBLANK('Referenz Plattenwerk'!$I$12)),'Referenz Plattenwerk'!$I$12,'Referenz Plattenwerk'!$F$12)</f>
        <v>0</v>
      </c>
      <c r="G242" s="38">
        <f>IF(NOT(ISBLANK('Referenz Plattenwerk'!$I37)),'Referenz Plattenwerk'!$I37,'Referenz Plattenwerk'!$F37)*IF(NOT(ISBLANK('Eingabe EF'!$AW22)),'Eingabe EF'!$AW22,'Eingabe EF'!$AU22)*IF(NOT(ISBLANK('Referenz Plattenwerk'!$I$12)),'Referenz Plattenwerk'!$I$12,'Referenz Plattenwerk'!$F$12)</f>
        <v>0</v>
      </c>
      <c r="H242" s="38">
        <f>IF(NOT(ISBLANK('Referenz Plattenwerk'!$I37)),'Referenz Plattenwerk'!$I37,'Referenz Plattenwerk'!$F37)*IF(NOT(ISBLANK('Eingabe EF'!$BA22)),'Eingabe EF'!$BA22,'Eingabe EF'!$AY22)*IF(NOT(ISBLANK('Referenz Plattenwerk'!$I$12)),'Referenz Plattenwerk'!$I$12,'Referenz Plattenwerk'!$F$12)</f>
        <v>2415.5039999999999</v>
      </c>
      <c r="I242" s="17"/>
      <c r="J242" s="38">
        <f t="shared" si="54"/>
        <v>0</v>
      </c>
      <c r="K242" s="38">
        <f t="shared" si="56"/>
        <v>2415.5039999999999</v>
      </c>
      <c r="L242" s="17" t="s">
        <v>198</v>
      </c>
      <c r="N242" s="17"/>
      <c r="O242" s="17"/>
      <c r="P242" s="17"/>
      <c r="Q242" s="17"/>
      <c r="R242" s="17"/>
      <c r="S242" s="17"/>
      <c r="T242" s="17"/>
    </row>
    <row r="243" spans="2:20" ht="15.75" hidden="1" outlineLevel="1" x14ac:dyDescent="0.3">
      <c r="B243" s="17"/>
      <c r="C243" s="17"/>
      <c r="D243" s="17" t="s">
        <v>50</v>
      </c>
      <c r="E243" s="17"/>
      <c r="F243" s="38">
        <f>IF(NOT(ISBLANK('Referenz Plattenwerk'!$I38)),'Referenz Plattenwerk'!$I38,'Referenz Plattenwerk'!$F38)*IF(NOT(ISBLANK('Eingabe EF'!$AS23)),'Eingabe EF'!$AS23,'Eingabe EF'!$AQ23)*IF(NOT(ISBLANK('Referenz Plattenwerk'!$I$12)),'Referenz Plattenwerk'!$I$12,'Referenz Plattenwerk'!$F$12)</f>
        <v>0</v>
      </c>
      <c r="G243" s="38">
        <f>IF(NOT(ISBLANK('Referenz Plattenwerk'!$I38)),'Referenz Plattenwerk'!$I38,'Referenz Plattenwerk'!$F38)*IF(NOT(ISBLANK('Eingabe EF'!$AW23)),'Eingabe EF'!$AW23,'Eingabe EF'!$AU23)*IF(NOT(ISBLANK('Referenz Plattenwerk'!$I$12)),'Referenz Plattenwerk'!$I$12,'Referenz Plattenwerk'!$F$12)</f>
        <v>0</v>
      </c>
      <c r="H243" s="38">
        <f>IF(NOT(ISBLANK('Referenz Plattenwerk'!$I38)),'Referenz Plattenwerk'!$I38,'Referenz Plattenwerk'!$F38)*IF(NOT(ISBLANK('Eingabe EF'!$BA23)),'Eingabe EF'!$BA23,'Eingabe EF'!$AY23)*IF(NOT(ISBLANK('Referenz Plattenwerk'!$I$12)),'Referenz Plattenwerk'!$I$12,'Referenz Plattenwerk'!$F$12)</f>
        <v>922.7399999999999</v>
      </c>
      <c r="I243" s="17"/>
      <c r="J243" s="38">
        <f t="shared" si="54"/>
        <v>0</v>
      </c>
      <c r="K243" s="38">
        <f t="shared" si="56"/>
        <v>922.7399999999999</v>
      </c>
      <c r="L243" s="17" t="s">
        <v>198</v>
      </c>
      <c r="N243" s="17"/>
      <c r="O243" s="17" t="s">
        <v>200</v>
      </c>
      <c r="P243" s="17"/>
      <c r="Q243" s="30"/>
      <c r="R243" s="17"/>
      <c r="S243" s="42">
        <f>F279*IF(NOT(ISBLANK('Eingabe Preise'!$O21)),'Eingabe Preise'!$O21,'Eingabe Preise'!$M21)</f>
        <v>5255.4731119999997</v>
      </c>
      <c r="T243" s="20" t="s">
        <v>106</v>
      </c>
    </row>
    <row r="244" spans="2:20" ht="15.75" hidden="1" outlineLevel="1" x14ac:dyDescent="0.3">
      <c r="B244" s="17"/>
      <c r="C244" s="17"/>
      <c r="D244" s="17" t="s">
        <v>161</v>
      </c>
      <c r="E244" s="17"/>
      <c r="F244" s="38">
        <f>IF(NOT(ISBLANK('Referenz Plattenwerk'!$I39)),'Referenz Plattenwerk'!$I39,'Referenz Plattenwerk'!$F39)*IF(NOT(ISBLANK('Eingabe EF'!$AS24)),'Eingabe EF'!$AS24,0)*IF(NOT(ISBLANK('Referenz Plattenwerk'!$I$12)),'Referenz Plattenwerk'!$I$12,'Referenz Plattenwerk'!$F$12)</f>
        <v>0</v>
      </c>
      <c r="G244" s="38">
        <f>IF(NOT(ISBLANK('Referenz Plattenwerk'!$I39)),'Referenz Plattenwerk'!$I39,'Referenz Plattenwerk'!$F39)*IF(NOT(ISBLANK('Eingabe EF'!$AW24)),'Eingabe EF'!$AW24,0)*IF(NOT(ISBLANK('Referenz Plattenwerk'!$I$12)),'Referenz Plattenwerk'!$I$12,'Referenz Plattenwerk'!$F$12)</f>
        <v>0</v>
      </c>
      <c r="H244" s="38">
        <f>IF(NOT(ISBLANK('Referenz Plattenwerk'!$I39)),'Referenz Plattenwerk'!$I39,'Referenz Plattenwerk'!$F39)*IF(NOT(ISBLANK('Eingabe EF'!$BA24)),'Eingabe EF'!$BA24,0)*IF(NOT(ISBLANK('Referenz Plattenwerk'!$I$12)),'Referenz Plattenwerk'!$I$12,'Referenz Plattenwerk'!$F$12)</f>
        <v>0</v>
      </c>
      <c r="I244" s="17"/>
      <c r="J244" s="38">
        <f t="shared" si="54"/>
        <v>0</v>
      </c>
      <c r="K244" s="38">
        <f t="shared" si="56"/>
        <v>0</v>
      </c>
      <c r="L244" s="17" t="s">
        <v>198</v>
      </c>
      <c r="N244" s="17"/>
      <c r="O244" s="17" t="s">
        <v>201</v>
      </c>
      <c r="P244" s="17"/>
      <c r="Q244" s="30"/>
      <c r="R244" s="17"/>
      <c r="S244" s="42">
        <f>G279*IF(NOT(ISBLANK('Eingabe Preise'!$O22)),'Eingabe Preise'!$O22,'Eingabe Preise'!$M22)</f>
        <v>5831.1379685854663</v>
      </c>
      <c r="T244" s="20" t="s">
        <v>106</v>
      </c>
    </row>
    <row r="245" spans="2:20" ht="15.75" hidden="1" outlineLevel="1" x14ac:dyDescent="0.3">
      <c r="B245" s="17"/>
      <c r="C245" s="17"/>
      <c r="D245" s="17"/>
      <c r="E245" s="17"/>
      <c r="F245" s="17"/>
      <c r="G245" s="17"/>
      <c r="H245" s="17"/>
      <c r="I245" s="17"/>
      <c r="J245" s="20"/>
      <c r="K245" s="20"/>
      <c r="L245" s="17"/>
      <c r="N245" s="17"/>
      <c r="O245" s="17" t="s">
        <v>202</v>
      </c>
      <c r="P245" s="17"/>
      <c r="Q245" s="30"/>
      <c r="R245" s="17"/>
      <c r="S245" s="42">
        <f>H279*IF(NOT(ISBLANK('Eingabe Preise'!$O23)),'Eingabe Preise'!$O23,'Eingabe Preise'!$M23)</f>
        <v>464947.92724844528</v>
      </c>
      <c r="T245" s="20" t="s">
        <v>106</v>
      </c>
    </row>
    <row r="246" spans="2:20" ht="14.25" hidden="1" outlineLevel="1" x14ac:dyDescent="0.25">
      <c r="B246" s="70"/>
      <c r="C246" s="70" t="s">
        <v>177</v>
      </c>
      <c r="D246" s="71"/>
      <c r="E246" s="71"/>
      <c r="F246" s="72">
        <f>SUM(F247:F249)</f>
        <v>0</v>
      </c>
      <c r="G246" s="72">
        <f t="shared" ref="G246:H246" si="57">SUM(G247:G249)</f>
        <v>0</v>
      </c>
      <c r="H246" s="72">
        <f t="shared" si="57"/>
        <v>129.59200000000001</v>
      </c>
      <c r="I246" s="71"/>
      <c r="J246" s="72">
        <f t="shared" ref="J246" si="58">F246+G246</f>
        <v>0</v>
      </c>
      <c r="K246" s="72">
        <f t="shared" ref="K246" si="59">SUM(F246:H246)</f>
        <v>129.59200000000001</v>
      </c>
      <c r="L246" s="77" t="s">
        <v>197</v>
      </c>
      <c r="N246" s="17"/>
      <c r="O246" s="17"/>
      <c r="P246" s="17"/>
      <c r="Q246" s="17"/>
      <c r="R246" s="17"/>
      <c r="S246" s="17"/>
      <c r="T246" s="17"/>
    </row>
    <row r="247" spans="2:20" ht="15.75" hidden="1" outlineLevel="1" x14ac:dyDescent="0.3">
      <c r="B247" s="17"/>
      <c r="C247" s="17"/>
      <c r="D247" s="17" t="s">
        <v>178</v>
      </c>
      <c r="E247" s="17"/>
      <c r="F247" s="38">
        <f>IF(NOT(ISBLANK('Referenz Plattenwerk'!$I42)),'Referenz Plattenwerk'!$I42,'Referenz Plattenwerk'!$F42)*IF(NOT(ISBLANK('Eingabe EF'!$AS27)),'Eingabe EF'!$AS27,'Eingabe EF'!$AQ27)*IF(NOT(ISBLANK('Referenz Plattenwerk'!$I$12)),'Referenz Plattenwerk'!$I$12,'Referenz Plattenwerk'!$F$12)</f>
        <v>0</v>
      </c>
      <c r="G247" s="38">
        <f>IF(NOT(ISBLANK('Referenz Plattenwerk'!$I42)),'Referenz Plattenwerk'!$I42,'Referenz Plattenwerk'!$F42)*IF(NOT(ISBLANK('Eingabe EF'!$AW27)),'Eingabe EF'!$AW27,'Eingabe EF'!$AU27)*IF(NOT(ISBLANK('Referenz Plattenwerk'!$I$12)),'Referenz Plattenwerk'!$I$12,'Referenz Plattenwerk'!$F$12)</f>
        <v>0</v>
      </c>
      <c r="H247" s="38">
        <f>IF(NOT(ISBLANK('Referenz Plattenwerk'!$I42)),'Referenz Plattenwerk'!$I42,'Referenz Plattenwerk'!$F42)*IF(NOT(ISBLANK('Eingabe EF'!$BA27)),'Eingabe EF'!$BA27,'Eingabe EF'!$AY27)*IF(NOT(ISBLANK('Referenz Plattenwerk'!$I$12)),'Referenz Plattenwerk'!$I$12,'Referenz Plattenwerk'!$F$12)</f>
        <v>129.59200000000001</v>
      </c>
      <c r="I247" s="17"/>
      <c r="J247" s="38">
        <f>F247+G247</f>
        <v>0</v>
      </c>
      <c r="K247" s="38">
        <f>SUM(F247:H247)</f>
        <v>129.59200000000001</v>
      </c>
      <c r="L247" s="17" t="s">
        <v>198</v>
      </c>
      <c r="N247" s="17"/>
      <c r="O247" s="17"/>
      <c r="P247" s="17"/>
      <c r="Q247" s="17"/>
      <c r="R247" s="17"/>
      <c r="S247" s="17"/>
      <c r="T247" s="17"/>
    </row>
    <row r="248" spans="2:20" ht="15.75" hidden="1" outlineLevel="1" x14ac:dyDescent="0.3">
      <c r="B248" s="17"/>
      <c r="C248" s="17"/>
      <c r="D248" s="17" t="s">
        <v>179</v>
      </c>
      <c r="E248" s="17"/>
      <c r="F248" s="38">
        <f>IF(NOT(ISBLANK('Referenz Plattenwerk'!$I43)),'Referenz Plattenwerk'!$I43,'Referenz Plattenwerk'!$F43)*IF(NOT(ISBLANK('Eingabe EF'!$AS28)),'Eingabe EF'!$AS28,0)*IF(NOT(ISBLANK('Referenz Plattenwerk'!$I$12)),'Referenz Plattenwerk'!$I$12,'Referenz Plattenwerk'!$F$12)</f>
        <v>0</v>
      </c>
      <c r="G248" s="38">
        <f>IF(NOT(ISBLANK('Referenz Plattenwerk'!$I43)),'Referenz Plattenwerk'!$I43,'Referenz Plattenwerk'!$F43)*IF(NOT(ISBLANK('Eingabe EF'!$AW28)),'Eingabe EF'!$AW28,0)*IF(NOT(ISBLANK('Referenz Plattenwerk'!$I$12)),'Referenz Plattenwerk'!$I$12,'Referenz Plattenwerk'!$F$12)</f>
        <v>0</v>
      </c>
      <c r="H248" s="38">
        <f>IF(NOT(ISBLANK('Referenz Plattenwerk'!$I43)),'Referenz Plattenwerk'!$I43,'Referenz Plattenwerk'!$F43)*IF(NOT(ISBLANK('Eingabe EF'!$BA28)),'Eingabe EF'!$BA28,0)*IF(NOT(ISBLANK('Referenz Plattenwerk'!$I$12)),'Referenz Plattenwerk'!$I$12,'Referenz Plattenwerk'!$F$12)</f>
        <v>0</v>
      </c>
      <c r="I248" s="17"/>
      <c r="J248" s="38">
        <f>F248+G248</f>
        <v>0</v>
      </c>
      <c r="K248" s="38">
        <f t="shared" ref="K248:K249" si="60">SUM(F248:H248)</f>
        <v>0</v>
      </c>
      <c r="L248" s="17" t="s">
        <v>198</v>
      </c>
      <c r="N248" s="17"/>
      <c r="O248" s="17"/>
      <c r="P248" s="17"/>
      <c r="Q248" s="17"/>
      <c r="R248" s="17"/>
      <c r="S248" s="17"/>
      <c r="T248" s="17"/>
    </row>
    <row r="249" spans="2:20" ht="15.75" hidden="1" outlineLevel="1" x14ac:dyDescent="0.3">
      <c r="B249" s="17"/>
      <c r="C249" s="17"/>
      <c r="D249" s="17" t="s">
        <v>180</v>
      </c>
      <c r="E249" s="17"/>
      <c r="F249" s="38">
        <f>IF(NOT(ISBLANK('Referenz Plattenwerk'!$I44)),'Referenz Plattenwerk'!$I44,'Referenz Plattenwerk'!$F44)*IF(NOT(ISBLANK('Eingabe EF'!$AS29)),'Eingabe EF'!$AS29,0)*IF(NOT(ISBLANK('Referenz Plattenwerk'!$I$12)),'Referenz Plattenwerk'!$I$12,'Referenz Plattenwerk'!$F$12)</f>
        <v>0</v>
      </c>
      <c r="G249" s="38">
        <f>IF(NOT(ISBLANK('Referenz Plattenwerk'!$I44)),'Referenz Plattenwerk'!$I44,'Referenz Plattenwerk'!$F44)*IF(NOT(ISBLANK('Eingabe EF'!$AW29)),'Eingabe EF'!$AW29,0)*IF(NOT(ISBLANK('Referenz Plattenwerk'!$I$12)),'Referenz Plattenwerk'!$I$12,'Referenz Plattenwerk'!$F$12)</f>
        <v>0</v>
      </c>
      <c r="H249" s="38">
        <f>IF(NOT(ISBLANK('Referenz Plattenwerk'!$I44)),'Referenz Plattenwerk'!$I44,'Referenz Plattenwerk'!$F44)*IF(NOT(ISBLANK('Eingabe EF'!$BA29)),'Eingabe EF'!$BA29,0)*IF(NOT(ISBLANK('Referenz Plattenwerk'!$I$12)),'Referenz Plattenwerk'!$I$12,'Referenz Plattenwerk'!$F$12)</f>
        <v>0</v>
      </c>
      <c r="I249" s="17"/>
      <c r="J249" s="38">
        <f t="shared" ref="J249" si="61">F249+G249</f>
        <v>0</v>
      </c>
      <c r="K249" s="38">
        <f t="shared" si="60"/>
        <v>0</v>
      </c>
      <c r="L249" s="17" t="s">
        <v>198</v>
      </c>
      <c r="N249" s="17"/>
      <c r="O249" s="17"/>
      <c r="P249" s="17"/>
      <c r="Q249" s="18"/>
      <c r="R249" s="17"/>
      <c r="S249" s="18"/>
      <c r="T249" s="18"/>
    </row>
    <row r="250" spans="2:20" hidden="1" outlineLevel="1" x14ac:dyDescent="0.2">
      <c r="B250" s="17"/>
      <c r="C250" s="17"/>
      <c r="D250" s="17"/>
      <c r="E250" s="17"/>
      <c r="F250" s="17"/>
      <c r="G250" s="17"/>
      <c r="H250" s="17"/>
      <c r="I250" s="17"/>
      <c r="J250" s="20"/>
      <c r="K250" s="20"/>
      <c r="L250" s="17"/>
      <c r="N250" s="21" t="s">
        <v>223</v>
      </c>
      <c r="O250" s="17"/>
      <c r="P250" s="17"/>
      <c r="Q250" s="17"/>
      <c r="R250" s="17"/>
      <c r="S250" s="17"/>
      <c r="T250" s="17"/>
    </row>
    <row r="251" spans="2:20" ht="14.25" hidden="1" outlineLevel="1" x14ac:dyDescent="0.25">
      <c r="B251" s="17"/>
      <c r="C251" s="17"/>
      <c r="D251" s="21" t="s">
        <v>57</v>
      </c>
      <c r="E251" s="21"/>
      <c r="F251" s="75">
        <f>IF(NOT(ISBLANK('Referenz Plattenwerk'!$I46)),'Referenz Plattenwerk'!$I46,'Referenz Plattenwerk'!$F46)*IF(NOT(ISBLANK('Eingabe EF'!$AS31)),'Eingabe EF'!$AS31,'Eingabe EF'!$AQ31)*IF(NOT(ISBLANK('Referenz Plattenwerk'!$I$12)),'Referenz Plattenwerk'!$I$12,'Referenz Plattenwerk'!$F$12)</f>
        <v>0</v>
      </c>
      <c r="G251" s="75">
        <f>IF(NOT(ISBLANK('Referenz Plattenwerk'!$I46)),'Referenz Plattenwerk'!$I46,'Referenz Plattenwerk'!$F46)*IF(NOT(ISBLANK('Eingabe EF'!$AW31)),'Eingabe EF'!$AW31,'Eingabe EF'!$AU31)*IF(NOT(ISBLANK('Referenz Plattenwerk'!$I$12)),'Referenz Plattenwerk'!$I$12,'Referenz Plattenwerk'!$F$12)</f>
        <v>0</v>
      </c>
      <c r="H251" s="75">
        <f>IF(NOT(ISBLANK('Referenz Plattenwerk'!$I46)),'Referenz Plattenwerk'!$I46,'Referenz Plattenwerk'!$F46)*IF(NOT(ISBLANK('Eingabe EF'!$BA31)),'Eingabe EF'!$BA31,'Eingabe EF'!$AY31)*IF(NOT(ISBLANK('Referenz Plattenwerk'!$I$12)),'Referenz Plattenwerk'!$I$12,'Referenz Plattenwerk'!$F$12)</f>
        <v>208</v>
      </c>
      <c r="I251" s="21"/>
      <c r="J251" s="75">
        <f>F251+G251</f>
        <v>0</v>
      </c>
      <c r="K251" s="75">
        <f t="shared" ref="K251" si="62">SUM(F251:H251)</f>
        <v>208</v>
      </c>
      <c r="L251" s="21" t="s">
        <v>197</v>
      </c>
      <c r="N251" s="276"/>
      <c r="O251" s="17" t="s">
        <v>224</v>
      </c>
      <c r="P251" s="17"/>
      <c r="Q251" s="18"/>
      <c r="R251" s="17"/>
      <c r="S251" s="42">
        <f>IF(IF(NOT(ISBLANK($G$32)),$G$32,$E$32)&gt;5,S170,0)</f>
        <v>54000</v>
      </c>
      <c r="T251" s="20" t="s">
        <v>106</v>
      </c>
    </row>
    <row r="252" spans="2:20" hidden="1" outlineLevel="1" x14ac:dyDescent="0.2">
      <c r="B252" s="17"/>
      <c r="C252" s="17"/>
      <c r="D252" s="17"/>
      <c r="E252" s="17"/>
      <c r="F252" s="17"/>
      <c r="G252" s="17"/>
      <c r="H252" s="17"/>
      <c r="I252" s="17"/>
      <c r="J252" s="20"/>
      <c r="K252" s="20"/>
      <c r="L252" s="17"/>
      <c r="N252" s="276"/>
      <c r="O252" s="17" t="s">
        <v>225</v>
      </c>
      <c r="P252" s="17"/>
      <c r="Q252" s="17"/>
      <c r="R252" s="17"/>
      <c r="S252" s="42">
        <f>(IF(NOT(ISBLANK($K$27)),$K$27,$I$27)/IF(NOT(ISBLANK($K$32)),$K$32,$I$32)+IF(NOT(ISBLANK($K$27)),$K$27,$I$27)*(IF(NOT(ISBLANK($K$33)),$K$33,$I$33)/100))*E217</f>
        <v>54000</v>
      </c>
      <c r="T252" s="20" t="s">
        <v>106</v>
      </c>
    </row>
    <row r="253" spans="2:20" ht="14.25" hidden="1" outlineLevel="1" x14ac:dyDescent="0.25">
      <c r="B253" s="70"/>
      <c r="C253" s="70" t="s">
        <v>181</v>
      </c>
      <c r="D253" s="71"/>
      <c r="E253" s="71"/>
      <c r="F253" s="72">
        <f>SUM(F254:F256)</f>
        <v>0</v>
      </c>
      <c r="G253" s="72">
        <f t="shared" ref="G253:H253" si="63">SUM(G254:G256)</f>
        <v>0</v>
      </c>
      <c r="H253" s="72">
        <f t="shared" si="63"/>
        <v>81.003999999999991</v>
      </c>
      <c r="I253" s="71"/>
      <c r="J253" s="72">
        <f t="shared" ref="J253" si="64">F253+G253</f>
        <v>0</v>
      </c>
      <c r="K253" s="72">
        <f t="shared" ref="K253" si="65">SUM(F253:H253)</f>
        <v>81.003999999999991</v>
      </c>
      <c r="L253" s="77" t="s">
        <v>197</v>
      </c>
      <c r="N253" s="17"/>
      <c r="O253" s="17"/>
      <c r="P253" s="17"/>
      <c r="Q253" s="18"/>
      <c r="R253" s="17"/>
      <c r="S253" s="18"/>
      <c r="T253" s="18"/>
    </row>
    <row r="254" spans="2:20" ht="15.75" hidden="1" outlineLevel="1" x14ac:dyDescent="0.3">
      <c r="B254" s="17"/>
      <c r="C254" s="17"/>
      <c r="D254" s="17" t="s">
        <v>59</v>
      </c>
      <c r="E254" s="17"/>
      <c r="F254" s="38">
        <f>IF(NOT(ISBLANK('Referenz Plattenwerk'!$I49)),'Referenz Plattenwerk'!$I49,'Referenz Plattenwerk'!$F49)*IF(NOT(ISBLANK('Eingabe EF'!$AS34)),'Eingabe EF'!$AS34,'Eingabe EF'!$AQ34)*IF(NOT(ISBLANK('Referenz Plattenwerk'!$I$12)),'Referenz Plattenwerk'!$I$12,'Referenz Plattenwerk'!$F$12)</f>
        <v>0</v>
      </c>
      <c r="G254" s="38">
        <f>IF(NOT(ISBLANK('Referenz Plattenwerk'!$I49)),'Referenz Plattenwerk'!$I49,'Referenz Plattenwerk'!$F49)*IF(NOT(ISBLANK('Eingabe EF'!$AW34)),'Eingabe EF'!$AW34,'Eingabe EF'!$AU34)*IF(NOT(ISBLANK('Referenz Plattenwerk'!$I$12)),'Referenz Plattenwerk'!$I$12,'Referenz Plattenwerk'!$F$12)</f>
        <v>0</v>
      </c>
      <c r="H254" s="38">
        <f>IF(NOT(ISBLANK('Referenz Plattenwerk'!$I49)),'Referenz Plattenwerk'!$I49,'Referenz Plattenwerk'!$F49)*IF(NOT(ISBLANK('Eingabe EF'!$BA34)),'Eingabe EF'!$BA34,'Eingabe EF'!$AY34)*IF(NOT(ISBLANK('Referenz Plattenwerk'!$I$12)),'Referenz Plattenwerk'!$I$12,'Referenz Plattenwerk'!$F$12)</f>
        <v>0</v>
      </c>
      <c r="I254" s="17"/>
      <c r="J254" s="38">
        <f>F254+G254</f>
        <v>0</v>
      </c>
      <c r="K254" s="38">
        <f>SUM(F254:H254)</f>
        <v>0</v>
      </c>
      <c r="L254" s="17" t="s">
        <v>198</v>
      </c>
      <c r="N254" s="276"/>
      <c r="O254" s="17" t="s">
        <v>227</v>
      </c>
      <c r="P254" s="17"/>
      <c r="Q254" s="17"/>
      <c r="R254" s="17"/>
      <c r="S254" s="42">
        <f>IF(IF(NOT(ISBLANK($G$32)),$G$32,$E$32)&gt;5,S172,0)</f>
        <v>0</v>
      </c>
      <c r="T254" s="20" t="s">
        <v>106</v>
      </c>
    </row>
    <row r="255" spans="2:20" ht="15.75" hidden="1" outlineLevel="1" x14ac:dyDescent="0.3">
      <c r="B255" s="17"/>
      <c r="C255" s="17"/>
      <c r="D255" s="17" t="s">
        <v>60</v>
      </c>
      <c r="E255" s="17"/>
      <c r="F255" s="38">
        <f>IF(NOT(ISBLANK('Referenz Plattenwerk'!$I50)),'Referenz Plattenwerk'!$I50,'Referenz Plattenwerk'!$F50)*IF(NOT(ISBLANK('Eingabe EF'!$AS35)),'Eingabe EF'!$AS35,'Eingabe EF'!$AQ35)*IF(NOT(ISBLANK('Referenz Plattenwerk'!$I$12)),'Referenz Plattenwerk'!$I$12,'Referenz Plattenwerk'!$F$12)</f>
        <v>0</v>
      </c>
      <c r="G255" s="38">
        <f>IF(NOT(ISBLANK('Referenz Plattenwerk'!$I50)),'Referenz Plattenwerk'!$I50,'Referenz Plattenwerk'!$F50)*IF(NOT(ISBLANK('Eingabe EF'!$AW35)),'Eingabe EF'!$AW35,'Eingabe EF'!$AU35)*IF(NOT(ISBLANK('Referenz Plattenwerk'!$I$12)),'Referenz Plattenwerk'!$I$12,'Referenz Plattenwerk'!$F$12)</f>
        <v>0</v>
      </c>
      <c r="H255" s="38">
        <f>IF(NOT(ISBLANK('Referenz Plattenwerk'!$I50)),'Referenz Plattenwerk'!$I50,'Referenz Plattenwerk'!$F50)*IF(NOT(ISBLANK('Eingabe EF'!$BA35)),'Eingabe EF'!$BA35,'Eingabe EF'!$AY35)*IF(NOT(ISBLANK('Referenz Plattenwerk'!$I$12)),'Referenz Plattenwerk'!$I$12,'Referenz Plattenwerk'!$F$12)</f>
        <v>8.6840000000000011</v>
      </c>
      <c r="I255" s="17"/>
      <c r="J255" s="38">
        <f>F255+G255</f>
        <v>0</v>
      </c>
      <c r="K255" s="38">
        <f>SUM(F255:H255)</f>
        <v>8.6840000000000011</v>
      </c>
      <c r="L255" s="17" t="s">
        <v>198</v>
      </c>
      <c r="N255" s="276"/>
      <c r="O255" s="17" t="s">
        <v>228</v>
      </c>
      <c r="P255" s="17"/>
      <c r="Q255" s="18"/>
      <c r="R255" s="17"/>
      <c r="S255" s="42">
        <f>IF(NOT(ISBLANK($K$29)),$K$29,$I$29)/IF(NOT(ISBLANK($K$32)),$K$32,$I$32)+IF(NOT(ISBLANK($K$29)),$K$29,$I$29)*(IF(NOT(ISBLANK($K$33)),$K$33,$I$33)/100)</f>
        <v>0</v>
      </c>
      <c r="T255" s="20" t="s">
        <v>106</v>
      </c>
    </row>
    <row r="256" spans="2:20" ht="15.75" hidden="1" outlineLevel="1" x14ac:dyDescent="0.3">
      <c r="B256" s="17"/>
      <c r="C256" s="17"/>
      <c r="D256" s="17" t="s">
        <v>61</v>
      </c>
      <c r="E256" s="17"/>
      <c r="F256" s="38">
        <f>IF(NOT(ISBLANK('Referenz Plattenwerk'!$I51)),'Referenz Plattenwerk'!$I51,'Referenz Plattenwerk'!$F51)*IF(NOT(ISBLANK('Eingabe EF'!$AS36)),'Eingabe EF'!$AS36,'Eingabe EF'!$AQ36)*IF(NOT(ISBLANK('Referenz Plattenwerk'!$I$12)),'Referenz Plattenwerk'!$I$12,'Referenz Plattenwerk'!$F$12)</f>
        <v>0</v>
      </c>
      <c r="G256" s="38">
        <f>IF(NOT(ISBLANK('Referenz Plattenwerk'!$I51)),'Referenz Plattenwerk'!$I51,'Referenz Plattenwerk'!$F51)*IF(NOT(ISBLANK('Eingabe EF'!$AW36)),'Eingabe EF'!$AW36,'Eingabe EF'!$AU36)*IF(NOT(ISBLANK('Referenz Plattenwerk'!$I$12)),'Referenz Plattenwerk'!$I$12,'Referenz Plattenwerk'!$F$12)</f>
        <v>0</v>
      </c>
      <c r="H256" s="38">
        <f>IF(NOT(ISBLANK('Referenz Plattenwerk'!$I51)),'Referenz Plattenwerk'!$I51,'Referenz Plattenwerk'!$F51)*IF(NOT(ISBLANK('Eingabe EF'!$BA36)),'Eingabe EF'!$BA36,'Eingabe EF'!$AY36)*IF(NOT(ISBLANK('Referenz Plattenwerk'!$I$12)),'Referenz Plattenwerk'!$I$12,'Referenz Plattenwerk'!$F$12)</f>
        <v>72.319999999999993</v>
      </c>
      <c r="I256" s="17"/>
      <c r="J256" s="38">
        <f>F256+G256</f>
        <v>0</v>
      </c>
      <c r="K256" s="38">
        <f>SUM(F256:H256)</f>
        <v>72.319999999999993</v>
      </c>
      <c r="L256" s="17" t="s">
        <v>198</v>
      </c>
      <c r="N256" s="17"/>
      <c r="O256" s="17"/>
      <c r="P256" s="17"/>
      <c r="Q256" s="18"/>
      <c r="R256" s="17"/>
      <c r="S256" s="18"/>
      <c r="T256" s="18"/>
    </row>
    <row r="257" spans="2:20" hidden="1" outlineLevel="1" x14ac:dyDescent="0.2">
      <c r="B257" s="17"/>
      <c r="C257" s="17"/>
      <c r="D257" s="17"/>
      <c r="E257" s="17"/>
      <c r="F257" s="17"/>
      <c r="G257" s="17"/>
      <c r="H257" s="17"/>
      <c r="I257" s="17"/>
      <c r="J257" s="17"/>
      <c r="K257" s="20"/>
      <c r="L257" s="20"/>
      <c r="N257" s="17"/>
      <c r="O257" s="17"/>
      <c r="P257" s="17"/>
      <c r="Q257" s="17"/>
      <c r="R257" s="17"/>
      <c r="S257" s="17"/>
      <c r="T257" s="17"/>
    </row>
    <row r="258" spans="2:20" ht="14.25" hidden="1" outlineLevel="1" x14ac:dyDescent="0.25">
      <c r="B258" s="70"/>
      <c r="C258" s="70" t="s">
        <v>51</v>
      </c>
      <c r="D258" s="71"/>
      <c r="E258" s="71"/>
      <c r="F258" s="72">
        <f>SUM(F259:F262)</f>
        <v>0</v>
      </c>
      <c r="G258" s="72">
        <f t="shared" ref="G258:H258" si="66">SUM(G259:G262)</f>
        <v>0</v>
      </c>
      <c r="H258" s="72">
        <f t="shared" si="66"/>
        <v>148.44746134951595</v>
      </c>
      <c r="I258" s="71"/>
      <c r="J258" s="72">
        <f t="shared" ref="J258:J262" si="67">F258+G258</f>
        <v>0</v>
      </c>
      <c r="K258" s="72">
        <f t="shared" ref="K258" si="68">SUM(F258:H258)</f>
        <v>148.44746134951595</v>
      </c>
      <c r="L258" s="77" t="s">
        <v>197</v>
      </c>
      <c r="N258" s="17"/>
      <c r="O258" s="17"/>
      <c r="P258" s="17"/>
      <c r="Q258" s="18"/>
      <c r="R258" s="17"/>
      <c r="S258" s="18"/>
      <c r="T258" s="18"/>
    </row>
    <row r="259" spans="2:20" ht="15.75" hidden="1" outlineLevel="1" x14ac:dyDescent="0.3">
      <c r="B259" s="17"/>
      <c r="C259" s="17"/>
      <c r="D259" s="17" t="s">
        <v>52</v>
      </c>
      <c r="E259" s="17"/>
      <c r="F259"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59"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59"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59" s="17"/>
      <c r="J259" s="38">
        <f t="shared" si="67"/>
        <v>0</v>
      </c>
      <c r="K259" s="38">
        <f t="shared" ref="K259:K262" si="69">SUM(F259:H259)</f>
        <v>47.997919375812742</v>
      </c>
      <c r="L259" s="17" t="s">
        <v>198</v>
      </c>
    </row>
    <row r="260" spans="2:20" ht="15.75" hidden="1" outlineLevel="1" x14ac:dyDescent="0.3">
      <c r="B260" s="17"/>
      <c r="C260" s="17"/>
      <c r="D260" s="17" t="s">
        <v>54</v>
      </c>
      <c r="E260" s="17"/>
      <c r="F260"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60"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60"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60" s="17"/>
      <c r="J260" s="38">
        <f t="shared" si="67"/>
        <v>0</v>
      </c>
      <c r="K260" s="38">
        <f t="shared" si="69"/>
        <v>5.7797543707556596</v>
      </c>
      <c r="L260" s="17" t="s">
        <v>198</v>
      </c>
    </row>
    <row r="261" spans="2:20" ht="15.75" hidden="1" outlineLevel="1" x14ac:dyDescent="0.3">
      <c r="B261" s="17"/>
      <c r="C261" s="17"/>
      <c r="D261" s="17" t="s">
        <v>55</v>
      </c>
      <c r="E261" s="17"/>
      <c r="F261"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61"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61"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61" s="17"/>
      <c r="J261" s="38">
        <f t="shared" si="67"/>
        <v>0</v>
      </c>
      <c r="K261" s="38">
        <f t="shared" si="69"/>
        <v>1.4217598612917211E-2</v>
      </c>
      <c r="L261" s="17" t="s">
        <v>198</v>
      </c>
    </row>
    <row r="262" spans="2:20" ht="15.75" hidden="1" outlineLevel="1" x14ac:dyDescent="0.3">
      <c r="B262" s="17"/>
      <c r="C262" s="17"/>
      <c r="D262" s="17" t="s">
        <v>56</v>
      </c>
      <c r="E262" s="17"/>
      <c r="F262"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62"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62"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62" s="17"/>
      <c r="J262" s="38">
        <f t="shared" si="67"/>
        <v>0</v>
      </c>
      <c r="K262" s="38">
        <f t="shared" si="69"/>
        <v>94.655570004334635</v>
      </c>
      <c r="L262" s="17" t="s">
        <v>198</v>
      </c>
    </row>
    <row r="263" spans="2:20" hidden="1" outlineLevel="1" x14ac:dyDescent="0.2">
      <c r="B263" s="17"/>
      <c r="C263" s="17"/>
      <c r="D263" s="17"/>
      <c r="E263" s="17"/>
      <c r="F263" s="17"/>
      <c r="G263" s="17"/>
      <c r="H263" s="17"/>
      <c r="I263" s="17"/>
      <c r="J263" s="17"/>
      <c r="K263" s="17"/>
      <c r="L263" s="20"/>
    </row>
    <row r="264" spans="2:20" ht="14.25" hidden="1" outlineLevel="1" x14ac:dyDescent="0.25">
      <c r="B264" s="17"/>
      <c r="C264" s="17"/>
      <c r="D264" s="21" t="s">
        <v>110</v>
      </c>
      <c r="E264" s="21"/>
      <c r="F264" s="75">
        <f>IF(NOT(ISBLANK('Referenz Plattenwerk'!$I59)),'Referenz Plattenwerk'!$I59,'Referenz Plattenwerk'!$F59)*IF(NOT(ISBLANK('Eingabe EF'!$AS44)),'Eingabe EF'!$AS44,0)*IF(NOT(ISBLANK('Referenz Plattenwerk'!$I$12)),'Referenz Plattenwerk'!$I$12,'Referenz Plattenwerk'!$F$12)</f>
        <v>0</v>
      </c>
      <c r="G264" s="75">
        <f>IF(NOT(ISBLANK('Referenz Plattenwerk'!$I59)),'Referenz Plattenwerk'!$I59,'Referenz Plattenwerk'!$F59)*IF(NOT(ISBLANK('Eingabe EF'!$AW44)),'Eingabe EF'!$AW44,0)*IF(NOT(ISBLANK('Referenz Plattenwerk'!$I$12)),'Referenz Plattenwerk'!$I$12,'Referenz Plattenwerk'!$F$12)</f>
        <v>0</v>
      </c>
      <c r="H264" s="75">
        <f>IF(NOT(ISBLANK('Referenz Plattenwerk'!$I59)),'Referenz Plattenwerk'!$I59,'Referenz Plattenwerk'!$F59)*IF(NOT(ISBLANK('Eingabe EF'!$BA44)),'Eingabe EF'!$BA44,0)*IF(NOT(ISBLANK('Referenz Plattenwerk'!$I$12)),'Referenz Plattenwerk'!$I$12,'Referenz Plattenwerk'!$F$12)</f>
        <v>0</v>
      </c>
      <c r="I264" s="21"/>
      <c r="J264" s="75">
        <f>F264+G264</f>
        <v>0</v>
      </c>
      <c r="K264" s="75">
        <f>SUM(F264:H264)</f>
        <v>0</v>
      </c>
      <c r="L264" s="21" t="s">
        <v>197</v>
      </c>
    </row>
    <row r="265" spans="2:20" ht="14.25" hidden="1" outlineLevel="1" x14ac:dyDescent="0.25">
      <c r="B265" s="17"/>
      <c r="C265" s="17"/>
      <c r="D265" s="21" t="s">
        <v>64</v>
      </c>
      <c r="E265" s="21"/>
      <c r="F265" s="76">
        <f>IF(NOT(ISBLANK('Referenz Plattenwerk'!$I60)),'Referenz Plattenwerk'!$I60,'Referenz Plattenwerk'!$F60)*IF(NOT(ISBLANK('Eingabe EF'!$AS45)),'Eingabe EF'!$AS45,'Eingabe EF'!$AQ45)</f>
        <v>0</v>
      </c>
      <c r="G265" s="76">
        <f>IF(NOT(ISBLANK('Referenz Plattenwerk'!$I60)),'Referenz Plattenwerk'!$I60,'Referenz Plattenwerk'!$F60)*IF(NOT(ISBLANK('Eingabe EF'!$AW45)),'Eingabe EF'!$AW45,'Eingabe EF'!$AU45)</f>
        <v>0</v>
      </c>
      <c r="H265" s="76">
        <f>IF(NOT(ISBLANK('Referenz Plattenwerk'!$I60)),'Referenz Plattenwerk'!$I60,'Referenz Plattenwerk'!$F60)*IF(NOT(ISBLANK('Eingabe EF'!$BA45)),'Eingabe EF'!$BA45,'Eingabe EF'!$AY45)</f>
        <v>0.54400000000000004</v>
      </c>
      <c r="I265" s="21"/>
      <c r="J265" s="75">
        <f>F265+G265</f>
        <v>0</v>
      </c>
      <c r="K265" s="75">
        <f>SUM(F265:H265)</f>
        <v>0.54400000000000004</v>
      </c>
      <c r="L265" s="21" t="s">
        <v>197</v>
      </c>
    </row>
    <row r="266" spans="2:20" hidden="1" outlineLevel="1" x14ac:dyDescent="0.2">
      <c r="B266" s="17"/>
      <c r="C266" s="17"/>
      <c r="D266" s="17"/>
      <c r="E266" s="17"/>
      <c r="F266" s="17"/>
      <c r="G266" s="17"/>
      <c r="H266" s="17"/>
      <c r="I266" s="17"/>
      <c r="J266" s="17"/>
      <c r="K266" s="17"/>
      <c r="L266" s="20"/>
    </row>
    <row r="267" spans="2:20" ht="14.25" hidden="1" outlineLevel="1" x14ac:dyDescent="0.25">
      <c r="B267" s="70"/>
      <c r="C267" s="70" t="s">
        <v>182</v>
      </c>
      <c r="D267" s="71"/>
      <c r="E267" s="71"/>
      <c r="F267" s="72">
        <f>SUM(F268:F270)</f>
        <v>0</v>
      </c>
      <c r="G267" s="72">
        <f t="shared" ref="G267:H267" si="70">SUM(G268:G270)</f>
        <v>0</v>
      </c>
      <c r="H267" s="72">
        <f t="shared" si="70"/>
        <v>80.47999999999999</v>
      </c>
      <c r="I267" s="71"/>
      <c r="J267" s="72">
        <f t="shared" ref="J267" si="71">F267+G267</f>
        <v>0</v>
      </c>
      <c r="K267" s="72">
        <f t="shared" ref="K267" si="72">SUM(F267:H267)</f>
        <v>80.47999999999999</v>
      </c>
      <c r="L267" s="77" t="s">
        <v>197</v>
      </c>
    </row>
    <row r="268" spans="2:20" ht="15.75" hidden="1" outlineLevel="1" x14ac:dyDescent="0.3">
      <c r="B268" s="17"/>
      <c r="C268" s="17"/>
      <c r="D268" s="17" t="s">
        <v>183</v>
      </c>
      <c r="E268" s="17"/>
      <c r="F268" s="38">
        <f>IF(NOT(ISBLANK('Referenz Plattenwerk'!$I63)),'Referenz Plattenwerk'!$I63,'Referenz Plattenwerk'!$F63)*IF(NOT(ISBLANK('Eingabe EF'!$AS48)),'Eingabe EF'!$AS48,0)*IF(NOT(ISBLANK('Referenz Plattenwerk'!$I$12)),'Referenz Plattenwerk'!$I$12,'Referenz Plattenwerk'!$F$12)</f>
        <v>0</v>
      </c>
      <c r="G268" s="38">
        <f>IF(NOT(ISBLANK('Referenz Plattenwerk'!$I63)),'Referenz Plattenwerk'!$I63,'Referenz Plattenwerk'!$F63)*IF(NOT(ISBLANK('Eingabe EF'!$AW48)),'Eingabe EF'!$AW48,0)*IF(NOT(ISBLANK('Referenz Plattenwerk'!$I$12)),'Referenz Plattenwerk'!$I$12,'Referenz Plattenwerk'!$F$12)</f>
        <v>0</v>
      </c>
      <c r="H268" s="38">
        <f>IF(NOT(ISBLANK('Referenz Plattenwerk'!$I63)),'Referenz Plattenwerk'!$I63,'Referenz Plattenwerk'!$F63)*IF(NOT(ISBLANK('Eingabe EF'!$BA48)),'Eingabe EF'!$BA48,0)*IF(NOT(ISBLANK('Referenz Plattenwerk'!$I$12)),'Referenz Plattenwerk'!$I$12,'Referenz Plattenwerk'!$F$12)</f>
        <v>0</v>
      </c>
      <c r="I268" s="17"/>
      <c r="J268" s="38">
        <f>F268+G268</f>
        <v>0</v>
      </c>
      <c r="K268" s="38">
        <f>SUM(F268:H268)</f>
        <v>0</v>
      </c>
      <c r="L268" s="17" t="s">
        <v>198</v>
      </c>
    </row>
    <row r="269" spans="2:20" ht="15.75" hidden="1" outlineLevel="1" x14ac:dyDescent="0.3">
      <c r="B269" s="17"/>
      <c r="C269" s="17"/>
      <c r="D269" s="17" t="s">
        <v>62</v>
      </c>
      <c r="E269" s="17"/>
      <c r="F269" s="38">
        <f>IF(NOT(ISBLANK('Referenz Plattenwerk'!$I64)),'Referenz Plattenwerk'!$I64,'Referenz Plattenwerk'!$F64)*IF(NOT(ISBLANK('Eingabe EF'!$AS49)),'Eingabe EF'!$AS49,'Eingabe EF'!$AQ49)*IF(NOT(ISBLANK('Referenz Plattenwerk'!$I$12)),'Referenz Plattenwerk'!$I$12,'Referenz Plattenwerk'!$F$12)</f>
        <v>0</v>
      </c>
      <c r="G269" s="38">
        <f>IF(NOT(ISBLANK('Referenz Plattenwerk'!$I64)),'Referenz Plattenwerk'!$I64,'Referenz Plattenwerk'!$F64)*IF(NOT(ISBLANK('Eingabe EF'!$AW49)),'Eingabe EF'!$AW49,'Eingabe EF'!$AU49)*IF(NOT(ISBLANK('Referenz Plattenwerk'!$I$12)),'Referenz Plattenwerk'!$I$12,'Referenz Plattenwerk'!$F$12)</f>
        <v>0</v>
      </c>
      <c r="H269" s="38">
        <f>IF(NOT(ISBLANK('Referenz Plattenwerk'!$I64)),'Referenz Plattenwerk'!$I64,'Referenz Plattenwerk'!$F64)*IF(NOT(ISBLANK('Eingabe EF'!$BA49)),'Eingabe EF'!$BA49,'Eingabe EF'!$AY49)*IF(NOT(ISBLANK('Referenz Plattenwerk'!$I$12)),'Referenz Plattenwerk'!$I$12,'Referenz Plattenwerk'!$F$12)</f>
        <v>80.47999999999999</v>
      </c>
      <c r="I269" s="17"/>
      <c r="J269" s="38">
        <f t="shared" ref="J269" si="73">F269+G269</f>
        <v>0</v>
      </c>
      <c r="K269" s="38">
        <f t="shared" ref="K269" si="74">SUM(F269:H269)</f>
        <v>80.47999999999999</v>
      </c>
      <c r="L269" s="17" t="s">
        <v>198</v>
      </c>
    </row>
    <row r="270" spans="2:20" ht="15.75" hidden="1" outlineLevel="1" x14ac:dyDescent="0.3">
      <c r="B270" s="17"/>
      <c r="C270" s="17"/>
      <c r="D270" s="17" t="s">
        <v>184</v>
      </c>
      <c r="E270" s="17"/>
      <c r="F270" s="38">
        <f>IF(NOT(ISBLANK('Referenz Plattenwerk'!$I65)),'Referenz Plattenwerk'!$I65,'Referenz Plattenwerk'!$F65)*IF(NOT(ISBLANK('Eingabe EF'!$AS50)),'Eingabe EF'!$AS50,0)*IF(NOT(ISBLANK('Referenz Plattenwerk'!$I$12)),'Referenz Plattenwerk'!$I$12,'Referenz Plattenwerk'!$F$12)</f>
        <v>0</v>
      </c>
      <c r="G270" s="38">
        <f>IF(NOT(ISBLANK('Referenz Plattenwerk'!$I65)),'Referenz Plattenwerk'!$I65,'Referenz Plattenwerk'!$F65)*IF(NOT(ISBLANK('Eingabe EF'!$AW50)),'Eingabe EF'!$AW50,0)*IF(NOT(ISBLANK('Referenz Plattenwerk'!$I$12)),'Referenz Plattenwerk'!$I$12,'Referenz Plattenwerk'!$F$12)</f>
        <v>0</v>
      </c>
      <c r="H270" s="38">
        <f>IF(NOT(ISBLANK('Referenz Plattenwerk'!$I65)),'Referenz Plattenwerk'!$I65,'Referenz Plattenwerk'!$F65)*IF(NOT(ISBLANK('Eingabe EF'!$BA50)),'Eingabe EF'!$BA50,0)*IF(NOT(ISBLANK('Referenz Plattenwerk'!$I$12)),'Referenz Plattenwerk'!$I$12,'Referenz Plattenwerk'!$F$12)</f>
        <v>0</v>
      </c>
      <c r="I270" s="17"/>
      <c r="J270" s="38">
        <f>F270+G270</f>
        <v>0</v>
      </c>
      <c r="K270" s="38">
        <f>SUM(F270:H270)</f>
        <v>0</v>
      </c>
      <c r="L270" s="17" t="s">
        <v>198</v>
      </c>
    </row>
    <row r="271" spans="2:20" hidden="1" outlineLevel="1" x14ac:dyDescent="0.2">
      <c r="B271" s="17"/>
      <c r="C271" s="17"/>
      <c r="D271" s="17"/>
      <c r="E271" s="17"/>
      <c r="F271" s="17"/>
      <c r="G271" s="17"/>
      <c r="H271" s="17"/>
      <c r="I271" s="17"/>
      <c r="J271" s="17"/>
      <c r="K271" s="17"/>
      <c r="L271" s="20"/>
    </row>
    <row r="272" spans="2:20" ht="14.25" hidden="1" outlineLevel="1" x14ac:dyDescent="0.25">
      <c r="B272" s="70"/>
      <c r="C272" s="70" t="s">
        <v>185</v>
      </c>
      <c r="D272" s="71"/>
      <c r="E272" s="71"/>
      <c r="F272" s="72">
        <f>SUM(F273:F275)</f>
        <v>0</v>
      </c>
      <c r="G272" s="72">
        <f t="shared" ref="G272:H272" si="75">SUM(G273:G275)</f>
        <v>0</v>
      </c>
      <c r="H272" s="72">
        <f t="shared" si="75"/>
        <v>60</v>
      </c>
      <c r="I272" s="71"/>
      <c r="J272" s="72">
        <f t="shared" ref="J272" si="76">F272+G272</f>
        <v>0</v>
      </c>
      <c r="K272" s="72">
        <f t="shared" ref="K272" si="77">SUM(F272:H272)</f>
        <v>60</v>
      </c>
      <c r="L272" s="77" t="s">
        <v>197</v>
      </c>
    </row>
    <row r="273" spans="2:12" ht="15.75" hidden="1" outlineLevel="1" x14ac:dyDescent="0.3">
      <c r="B273" s="17"/>
      <c r="C273" s="17"/>
      <c r="D273" s="17" t="s">
        <v>66</v>
      </c>
      <c r="E273" s="17"/>
      <c r="F273" s="44">
        <f>IF(NOT(ISBLANK('Referenz Plattenwerk'!$I68)),'Referenz Plattenwerk'!$I68,'Referenz Plattenwerk'!$F68)*IF(NOT(ISBLANK('Eingabe EF'!$AS53)),'Eingabe EF'!$AS53,'Eingabe EF'!$AQ53)</f>
        <v>0</v>
      </c>
      <c r="G273" s="44">
        <f>IF(NOT(ISBLANK('Referenz Plattenwerk'!$I68)),'Referenz Plattenwerk'!$I68,'Referenz Plattenwerk'!$F68)*IF(NOT(ISBLANK('Eingabe EF'!$AW53)),'Eingabe EF'!$AW53,'Eingabe EF'!$AU53)</f>
        <v>0</v>
      </c>
      <c r="H273" s="44">
        <f>IF(NOT(ISBLANK('Referenz Plattenwerk'!$I68)),'Referenz Plattenwerk'!$I68,'Referenz Plattenwerk'!$F68)*IF(NOT(ISBLANK('Eingabe EF'!$BA53)),'Eingabe EF'!$BA53,'Eingabe EF'!$AY53)</f>
        <v>60</v>
      </c>
      <c r="I273" s="17"/>
      <c r="J273" s="38">
        <f>F273+G273</f>
        <v>0</v>
      </c>
      <c r="K273" s="38">
        <f>SUM(F273:H273)</f>
        <v>60</v>
      </c>
      <c r="L273" s="17" t="s">
        <v>198</v>
      </c>
    </row>
    <row r="274" spans="2:12" ht="15.75" hidden="1" outlineLevel="1" x14ac:dyDescent="0.3">
      <c r="B274" s="17"/>
      <c r="C274" s="17"/>
      <c r="D274" s="17" t="s">
        <v>187</v>
      </c>
      <c r="E274" s="17"/>
      <c r="F274" s="44">
        <f>IF(NOT(ISBLANK('Referenz Plattenwerk'!$I69)),'Referenz Plattenwerk'!$I69,'Referenz Plattenwerk'!$F69)*IF(NOT(ISBLANK('Eingabe EF'!$AS54)),'Eingabe EF'!$AS54,0)</f>
        <v>0</v>
      </c>
      <c r="G274" s="44">
        <f>IF(NOT(ISBLANK('Referenz Plattenwerk'!$I69)),'Referenz Plattenwerk'!$I69,'Referenz Plattenwerk'!$F69)*IF(NOT(ISBLANK('Eingabe EF'!$AW54)),'Eingabe EF'!$AW54,0)</f>
        <v>0</v>
      </c>
      <c r="H274" s="44">
        <f>IF(NOT(ISBLANK('Referenz Plattenwerk'!$I69)),'Referenz Plattenwerk'!$I69,'Referenz Plattenwerk'!$F69)*IF(NOT(ISBLANK('Eingabe EF'!$BA54)),'Eingabe EF'!$BA54,0)</f>
        <v>0</v>
      </c>
      <c r="I274" s="17"/>
      <c r="J274" s="38">
        <f t="shared" ref="J274:J275" si="78">F274+G274</f>
        <v>0</v>
      </c>
      <c r="K274" s="38">
        <f t="shared" ref="K274:K275" si="79">SUM(F274:H274)</f>
        <v>0</v>
      </c>
      <c r="L274" s="17" t="s">
        <v>198</v>
      </c>
    </row>
    <row r="275" spans="2:12" ht="15.75" hidden="1" outlineLevel="1" x14ac:dyDescent="0.3">
      <c r="B275" s="17"/>
      <c r="C275" s="17"/>
      <c r="D275" s="17" t="s">
        <v>186</v>
      </c>
      <c r="E275" s="17"/>
      <c r="F275" s="44">
        <f>IF(NOT(ISBLANK('Referenz Plattenwerk'!$I70)),'Referenz Plattenwerk'!$I70,'Referenz Plattenwerk'!$F70)*IF(NOT(ISBLANK('Eingabe EF'!$AS55)),'Eingabe EF'!$AS55,0)</f>
        <v>0</v>
      </c>
      <c r="G275" s="44">
        <f>IF(NOT(ISBLANK('Referenz Plattenwerk'!$I70)),'Referenz Plattenwerk'!$I70,'Referenz Plattenwerk'!$F70)*IF(NOT(ISBLANK('Eingabe EF'!$AW55)),'Eingabe EF'!$AW55,0)</f>
        <v>0</v>
      </c>
      <c r="H275" s="44">
        <f>IF(NOT(ISBLANK('Referenz Plattenwerk'!$I70)),'Referenz Plattenwerk'!$I70,'Referenz Plattenwerk'!$F70)*IF(NOT(ISBLANK('Eingabe EF'!$BA55)),'Eingabe EF'!$BA55,0)</f>
        <v>0</v>
      </c>
      <c r="I275" s="17"/>
      <c r="J275" s="38">
        <f t="shared" si="78"/>
        <v>0</v>
      </c>
      <c r="K275" s="38">
        <f t="shared" si="79"/>
        <v>0</v>
      </c>
      <c r="L275" s="17" t="s">
        <v>198</v>
      </c>
    </row>
    <row r="276" spans="2:12" hidden="1" outlineLevel="1" x14ac:dyDescent="0.2">
      <c r="B276" s="17"/>
      <c r="C276" s="17"/>
      <c r="D276" s="17"/>
      <c r="E276" s="17"/>
      <c r="F276" s="17"/>
      <c r="G276" s="17"/>
      <c r="H276" s="17"/>
      <c r="I276" s="17"/>
      <c r="J276" s="17"/>
      <c r="K276" s="17"/>
      <c r="L276" s="20"/>
    </row>
    <row r="277" spans="2:12" ht="14.25" hidden="1" outlineLevel="1" x14ac:dyDescent="0.25">
      <c r="B277" s="17"/>
      <c r="C277" s="17"/>
      <c r="D277" s="21" t="s">
        <v>63</v>
      </c>
      <c r="E277" s="21"/>
      <c r="F277" s="76">
        <f>IF(NOT(ISBLANK('Referenz Plattenwerk'!$I72)),'Referenz Plattenwerk'!$I72,'Referenz Plattenwerk'!$F72)*IF(NOT(ISBLANK('Eingabe EF'!$AS57)),'Eingabe EF'!$AS57,'Eingabe EF'!$AQ57)</f>
        <v>0</v>
      </c>
      <c r="G277" s="76">
        <f>IF(NOT(ISBLANK('Referenz Plattenwerk'!$I72)),'Referenz Plattenwerk'!$I72,'Referenz Plattenwerk'!$F72)*IF(NOT(ISBLANK('Eingabe EF'!$AW57)),'Eingabe EF'!$AW57,'Eingabe EF'!$AU57)</f>
        <v>0</v>
      </c>
      <c r="H277" s="76">
        <f>IF(NOT(ISBLANK('Referenz Plattenwerk'!$I72)),'Referenz Plattenwerk'!$I72,'Referenz Plattenwerk'!$F72)*IF(NOT(ISBLANK('Eingabe EF'!$BA57)),'Eingabe EF'!$BA57,'Eingabe EF'!$AY57)</f>
        <v>64.48</v>
      </c>
      <c r="I277" s="21"/>
      <c r="J277" s="75">
        <f t="shared" ref="J277" si="80">F277+G277</f>
        <v>0</v>
      </c>
      <c r="K277" s="75">
        <f t="shared" ref="K277" si="81">SUM(F277:H277)</f>
        <v>64.48</v>
      </c>
      <c r="L277" s="21" t="s">
        <v>197</v>
      </c>
    </row>
    <row r="278" spans="2:12" hidden="1" outlineLevel="1" x14ac:dyDescent="0.2">
      <c r="B278" s="17"/>
      <c r="C278" s="17"/>
      <c r="D278" s="17"/>
      <c r="E278" s="17"/>
      <c r="F278" s="20"/>
      <c r="G278" s="20"/>
      <c r="H278" s="20"/>
      <c r="I278" s="17"/>
      <c r="J278" s="17"/>
      <c r="K278" s="20"/>
      <c r="L278" s="20"/>
    </row>
    <row r="279" spans="2:12" ht="15" hidden="1" outlineLevel="1" thickBot="1" x14ac:dyDescent="0.3">
      <c r="B279" s="17"/>
      <c r="C279" s="17"/>
      <c r="D279" s="68" t="s">
        <v>69</v>
      </c>
      <c r="E279" s="68"/>
      <c r="F279" s="69">
        <f>SUM(F222:F277)-F236-F240-F246-F253-F258-F267-F272</f>
        <v>65.693413899999996</v>
      </c>
      <c r="G279" s="69">
        <f t="shared" ref="G279:H279" si="82">SUM(G222:G277)-G236-G240-G246-G253-G258-G267-G272</f>
        <v>72.889224607318326</v>
      </c>
      <c r="H279" s="69">
        <f t="shared" si="82"/>
        <v>5811.8490906055658</v>
      </c>
      <c r="I279" s="21"/>
      <c r="J279" s="69">
        <f t="shared" ref="J279:K279" si="83">SUM(J222:J277)-J236-J240-J246-J253-J258-J267-J272</f>
        <v>138.58263850731831</v>
      </c>
      <c r="K279" s="69">
        <f t="shared" si="83"/>
        <v>5950.4317291128837</v>
      </c>
      <c r="L279" s="69" t="s">
        <v>197</v>
      </c>
    </row>
    <row r="280" spans="2:12" ht="13.5" hidden="1" outlineLevel="1" thickTop="1" x14ac:dyDescent="0.2">
      <c r="B280" s="17"/>
      <c r="C280" s="17"/>
      <c r="D280" s="17"/>
      <c r="E280" s="17"/>
      <c r="F280" s="20"/>
      <c r="G280" s="20"/>
      <c r="H280" s="20"/>
      <c r="I280" s="17"/>
      <c r="J280" s="17"/>
      <c r="K280" s="20"/>
      <c r="L280" s="20"/>
    </row>
    <row r="281" spans="2:12" collapsed="1" x14ac:dyDescent="0.2"/>
  </sheetData>
  <sheetProtection algorithmName="SHA-512" hashValue="UlNKz0o+UByfGlf4XFe8XOun93h5OmIntGE559JFmlLRzV31KpuzQM+wB8sSqW4fxWTKW90+7589t47nBas/qw==" saltValue="uAiJX0Q0FzAgvDentMMEpA==" spinCount="100000" sheet="1" selectLockedCells="1"/>
  <mergeCells count="7">
    <mergeCell ref="C79:C80"/>
    <mergeCell ref="S79:S80"/>
    <mergeCell ref="K88:K89"/>
    <mergeCell ref="D6:L6"/>
    <mergeCell ref="E20:G20"/>
    <mergeCell ref="I20:K20"/>
    <mergeCell ref="E13:G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2</xdr:col>
                    <xdr:colOff>523875</xdr:colOff>
                    <xdr:row>80</xdr:row>
                    <xdr:rowOff>28575</xdr:rowOff>
                  </from>
                  <to>
                    <xdr:col>2</xdr:col>
                    <xdr:colOff>704850</xdr:colOff>
                    <xdr:row>81</xdr:row>
                    <xdr:rowOff>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xdr:col>
                    <xdr:colOff>523875</xdr:colOff>
                    <xdr:row>81</xdr:row>
                    <xdr:rowOff>28575</xdr:rowOff>
                  </from>
                  <to>
                    <xdr:col>2</xdr:col>
                    <xdr:colOff>704850</xdr:colOff>
                    <xdr:row>81</xdr:row>
                    <xdr:rowOff>190500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xdr:col>
                    <xdr:colOff>523875</xdr:colOff>
                    <xdr:row>82</xdr:row>
                    <xdr:rowOff>28575</xdr:rowOff>
                  </from>
                  <to>
                    <xdr:col>2</xdr:col>
                    <xdr:colOff>704850</xdr:colOff>
                    <xdr:row>82</xdr:row>
                    <xdr:rowOff>180975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xdr:col>
                    <xdr:colOff>523875</xdr:colOff>
                    <xdr:row>83</xdr:row>
                    <xdr:rowOff>19050</xdr:rowOff>
                  </from>
                  <to>
                    <xdr:col>2</xdr:col>
                    <xdr:colOff>704850</xdr:colOff>
                    <xdr:row>83</xdr:row>
                    <xdr:rowOff>190500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2</xdr:col>
                    <xdr:colOff>523875</xdr:colOff>
                    <xdr:row>84</xdr:row>
                    <xdr:rowOff>19050</xdr:rowOff>
                  </from>
                  <to>
                    <xdr:col>2</xdr:col>
                    <xdr:colOff>704850</xdr:colOff>
                    <xdr:row>84</xdr:row>
                    <xdr:rowOff>180975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xdr:col>
                    <xdr:colOff>523875</xdr:colOff>
                    <xdr:row>85</xdr:row>
                    <xdr:rowOff>0</xdr:rowOff>
                  </from>
                  <to>
                    <xdr:col>2</xdr:col>
                    <xdr:colOff>704850</xdr:colOff>
                    <xdr:row>85</xdr:row>
                    <xdr:rowOff>180975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2</xdr:col>
                    <xdr:colOff>523875</xdr:colOff>
                    <xdr:row>86</xdr:row>
                    <xdr:rowOff>9525</xdr:rowOff>
                  </from>
                  <to>
                    <xdr:col>2</xdr:col>
                    <xdr:colOff>704850</xdr:colOff>
                    <xdr:row>86</xdr:row>
                    <xdr:rowOff>190500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18</xdr:col>
                    <xdr:colOff>457200</xdr:colOff>
                    <xdr:row>91</xdr:row>
                    <xdr:rowOff>0</xdr:rowOff>
                  </from>
                  <to>
                    <xdr:col>18</xdr:col>
                    <xdr:colOff>666750</xdr:colOff>
                    <xdr:row>91</xdr:row>
                    <xdr:rowOff>180975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18</xdr:col>
                    <xdr:colOff>571500</xdr:colOff>
                    <xdr:row>92</xdr:row>
                    <xdr:rowOff>19050</xdr:rowOff>
                  </from>
                  <to>
                    <xdr:col>19</xdr:col>
                    <xdr:colOff>0</xdr:colOff>
                    <xdr:row>93</xdr:row>
                    <xdr:rowOff>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571500</xdr:colOff>
                    <xdr:row>93</xdr:row>
                    <xdr:rowOff>19050</xdr:rowOff>
                  </from>
                  <to>
                    <xdr:col>19</xdr:col>
                    <xdr:colOff>0</xdr:colOff>
                    <xdr:row>94</xdr:row>
                    <xdr:rowOff>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18</xdr:col>
                    <xdr:colOff>571500</xdr:colOff>
                    <xdr:row>94</xdr:row>
                    <xdr:rowOff>9525</xdr:rowOff>
                  </from>
                  <to>
                    <xdr:col>19</xdr:col>
                    <xdr:colOff>0</xdr:colOff>
                    <xdr:row>94</xdr:row>
                    <xdr:rowOff>190500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18</xdr:col>
                    <xdr:colOff>457200</xdr:colOff>
                    <xdr:row>89</xdr:row>
                    <xdr:rowOff>9525</xdr:rowOff>
                  </from>
                  <to>
                    <xdr:col>18</xdr:col>
                    <xdr:colOff>666750</xdr:colOff>
                    <xdr:row>90</xdr:row>
                    <xdr:rowOff>9525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18</xdr:col>
                    <xdr:colOff>457200</xdr:colOff>
                    <xdr:row>88</xdr:row>
                    <xdr:rowOff>0</xdr:rowOff>
                  </from>
                  <to>
                    <xdr:col>18</xdr:col>
                    <xdr:colOff>666750</xdr:colOff>
                    <xdr:row>89</xdr:row>
                    <xdr:rowOff>9525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18</xdr:col>
                    <xdr:colOff>457200</xdr:colOff>
                    <xdr:row>90</xdr:row>
                    <xdr:rowOff>9525</xdr:rowOff>
                  </from>
                  <to>
                    <xdr:col>18</xdr:col>
                    <xdr:colOff>666750</xdr:colOff>
                    <xdr:row>91</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10</xdr:col>
                    <xdr:colOff>514350</xdr:colOff>
                    <xdr:row>88</xdr:row>
                    <xdr:rowOff>152400</xdr:rowOff>
                  </from>
                  <to>
                    <xdr:col>10</xdr:col>
                    <xdr:colOff>723900</xdr:colOff>
                    <xdr:row>90</xdr:row>
                    <xdr:rowOff>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10</xdr:col>
                    <xdr:colOff>514350</xdr:colOff>
                    <xdr:row>89</xdr:row>
                    <xdr:rowOff>171450</xdr:rowOff>
                  </from>
                  <to>
                    <xdr:col>10</xdr:col>
                    <xdr:colOff>723900</xdr:colOff>
                    <xdr:row>90</xdr:row>
                    <xdr:rowOff>190500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514350</xdr:colOff>
                    <xdr:row>90</xdr:row>
                    <xdr:rowOff>180975</xdr:rowOff>
                  </from>
                  <to>
                    <xdr:col>10</xdr:col>
                    <xdr:colOff>723900</xdr:colOff>
                    <xdr:row>91</xdr:row>
                    <xdr:rowOff>190500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10</xdr:col>
                    <xdr:colOff>514350</xdr:colOff>
                    <xdr:row>92</xdr:row>
                    <xdr:rowOff>180975</xdr:rowOff>
                  </from>
                  <to>
                    <xdr:col>10</xdr:col>
                    <xdr:colOff>723900</xdr:colOff>
                    <xdr:row>94</xdr:row>
                    <xdr:rowOff>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10</xdr:col>
                    <xdr:colOff>514350</xdr:colOff>
                    <xdr:row>93</xdr:row>
                    <xdr:rowOff>180975</xdr:rowOff>
                  </from>
                  <to>
                    <xdr:col>10</xdr:col>
                    <xdr:colOff>723900</xdr:colOff>
                    <xdr:row>95</xdr:row>
                    <xdr:rowOff>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10</xdr:col>
                    <xdr:colOff>514350</xdr:colOff>
                    <xdr:row>94</xdr:row>
                    <xdr:rowOff>180975</xdr:rowOff>
                  </from>
                  <to>
                    <xdr:col>10</xdr:col>
                    <xdr:colOff>723900</xdr:colOff>
                    <xdr:row>96</xdr:row>
                    <xdr:rowOff>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10</xdr:col>
                    <xdr:colOff>514350</xdr:colOff>
                    <xdr:row>95</xdr:row>
                    <xdr:rowOff>190500</xdr:rowOff>
                  </from>
                  <to>
                    <xdr:col>10</xdr:col>
                    <xdr:colOff>723900</xdr:colOff>
                    <xdr:row>96</xdr:row>
                    <xdr:rowOff>190500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from>
                    <xdr:col>10</xdr:col>
                    <xdr:colOff>514350</xdr:colOff>
                    <xdr:row>96</xdr:row>
                    <xdr:rowOff>180975</xdr:rowOff>
                  </from>
                  <to>
                    <xdr:col>10</xdr:col>
                    <xdr:colOff>723900</xdr:colOff>
                    <xdr:row>97</xdr:row>
                    <xdr:rowOff>190500</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10</xdr:col>
                    <xdr:colOff>514350</xdr:colOff>
                    <xdr:row>97</xdr:row>
                    <xdr:rowOff>171450</xdr:rowOff>
                  </from>
                  <to>
                    <xdr:col>10</xdr:col>
                    <xdr:colOff>723900</xdr:colOff>
                    <xdr:row>98</xdr:row>
                    <xdr:rowOff>180975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10</xdr:col>
                    <xdr:colOff>514350</xdr:colOff>
                    <xdr:row>98</xdr:row>
                    <xdr:rowOff>171450</xdr:rowOff>
                  </from>
                  <to>
                    <xdr:col>10</xdr:col>
                    <xdr:colOff>723900</xdr:colOff>
                    <xdr:row>99</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97F3B-F6D0-4675-A8CC-D3DC3701C10E}">
  <sheetPr>
    <pageSetUpPr fitToPage="1"/>
  </sheetPr>
  <dimension ref="B2:AA282"/>
  <sheetViews>
    <sheetView topLeftCell="A6"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231</v>
      </c>
      <c r="E3" s="90"/>
      <c r="F3" s="90"/>
      <c r="G3" s="90"/>
      <c r="H3" s="90"/>
      <c r="I3" s="90"/>
      <c r="J3" s="90"/>
      <c r="K3" s="90"/>
      <c r="L3" s="90"/>
      <c r="M3" s="3"/>
    </row>
    <row r="4" spans="2:13" x14ac:dyDescent="0.2">
      <c r="B4" s="3"/>
      <c r="C4" s="90"/>
      <c r="D4" s="3"/>
      <c r="E4" s="3"/>
      <c r="F4" s="3"/>
      <c r="G4" s="3"/>
      <c r="H4" s="3"/>
      <c r="I4" s="3"/>
      <c r="J4" s="3"/>
      <c r="K4" s="3"/>
      <c r="L4" s="3"/>
      <c r="M4" s="3"/>
    </row>
    <row r="5" spans="2:13" ht="21.75" customHeight="1" x14ac:dyDescent="0.2">
      <c r="B5" s="3"/>
      <c r="C5" s="90"/>
      <c r="D5" s="104" t="s">
        <v>327</v>
      </c>
      <c r="E5" s="104"/>
      <c r="F5" s="104"/>
      <c r="G5" s="104"/>
      <c r="H5" s="104"/>
      <c r="I5" s="104"/>
      <c r="J5" s="104"/>
      <c r="K5" s="104"/>
      <c r="L5" s="104"/>
      <c r="M5" s="3"/>
    </row>
    <row r="6" spans="2:13" ht="168.75" customHeight="1" x14ac:dyDescent="0.2">
      <c r="B6" s="3"/>
      <c r="C6" s="94"/>
      <c r="D6" s="396" t="s">
        <v>468</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266</v>
      </c>
      <c r="E11" s="95"/>
      <c r="F11" s="96"/>
      <c r="G11" s="7"/>
      <c r="H11" s="7"/>
      <c r="I11" s="7"/>
      <c r="J11" s="7"/>
      <c r="K11" s="7"/>
      <c r="L11" s="3"/>
      <c r="M11" s="3"/>
    </row>
    <row r="12" spans="2:13" ht="18" x14ac:dyDescent="0.25">
      <c r="B12" s="3"/>
      <c r="C12" s="3"/>
      <c r="D12" s="86"/>
      <c r="E12" s="95"/>
      <c r="F12" s="96"/>
      <c r="G12" s="7"/>
      <c r="H12" s="7"/>
      <c r="I12" s="7"/>
      <c r="J12" s="7"/>
      <c r="K12" s="7"/>
      <c r="L12" s="3"/>
      <c r="M12" s="3"/>
    </row>
    <row r="13" spans="2:13" ht="15.75" x14ac:dyDescent="0.25">
      <c r="B13" s="3"/>
      <c r="C13" s="3"/>
      <c r="D13" s="86"/>
      <c r="E13" s="398">
        <v>2020</v>
      </c>
      <c r="F13" s="398"/>
      <c r="G13" s="398"/>
      <c r="H13" s="7"/>
      <c r="I13" s="7"/>
      <c r="J13" s="7"/>
      <c r="K13" s="7"/>
      <c r="L13" s="3"/>
      <c r="M13" s="3"/>
    </row>
    <row r="14" spans="2:13" ht="14.25" x14ac:dyDescent="0.2">
      <c r="B14" s="3"/>
      <c r="C14" s="3"/>
      <c r="D14" s="3"/>
      <c r="E14" s="102" t="s">
        <v>80</v>
      </c>
      <c r="F14" s="120"/>
      <c r="G14" s="102" t="s">
        <v>77</v>
      </c>
      <c r="H14" s="7"/>
      <c r="I14" s="7"/>
      <c r="J14" s="7"/>
      <c r="K14" s="7"/>
      <c r="L14" s="3"/>
      <c r="M14" s="3"/>
    </row>
    <row r="15" spans="2:13" ht="14.25" x14ac:dyDescent="0.2">
      <c r="B15" s="3"/>
      <c r="C15" s="3"/>
      <c r="D15" s="3"/>
      <c r="E15" s="13"/>
      <c r="F15" s="3"/>
      <c r="G15" s="13"/>
      <c r="H15" s="7"/>
      <c r="I15" s="7"/>
      <c r="J15" s="7"/>
      <c r="K15" s="7"/>
      <c r="L15" s="3"/>
      <c r="M15" s="3"/>
    </row>
    <row r="16" spans="2:13" ht="14.25" x14ac:dyDescent="0.2">
      <c r="B16" s="3"/>
      <c r="C16" s="3"/>
      <c r="D16" s="11" t="s">
        <v>273</v>
      </c>
      <c r="E16" s="3">
        <v>4</v>
      </c>
      <c r="F16" s="3"/>
      <c r="G16" s="115"/>
      <c r="H16" s="7"/>
      <c r="I16" s="7"/>
      <c r="J16" s="7"/>
      <c r="K16" s="7"/>
      <c r="L16" s="7"/>
      <c r="M16" s="3"/>
    </row>
    <row r="17" spans="2:13" ht="14.25" x14ac:dyDescent="0.2">
      <c r="B17" s="3"/>
      <c r="C17" s="3"/>
      <c r="D17" s="11" t="s">
        <v>216</v>
      </c>
      <c r="E17" s="9">
        <f>IF(NOT(ISBLANK('Referenz Plattenwerk'!I28)),'Referenz Plattenwerk'!I28,'Referenz Plattenwerk'!F28)/IF(NOT(ISBLANK(G16)),G16,E16)</f>
        <v>2750</v>
      </c>
      <c r="F17" s="3" t="s">
        <v>217</v>
      </c>
      <c r="G17" s="3"/>
      <c r="H17" s="3"/>
      <c r="I17" s="7"/>
      <c r="J17" s="7"/>
      <c r="K17" s="7"/>
      <c r="L17" s="3"/>
      <c r="M17" s="3"/>
    </row>
    <row r="18" spans="2:13" ht="14.25" x14ac:dyDescent="0.2">
      <c r="B18" s="3"/>
      <c r="C18" s="3"/>
      <c r="D18" s="3"/>
      <c r="E18" s="3"/>
      <c r="F18" s="3"/>
      <c r="G18" s="3"/>
      <c r="H18" s="3"/>
      <c r="I18" s="7"/>
      <c r="J18" s="7"/>
      <c r="K18" s="7"/>
      <c r="L18" s="3"/>
      <c r="M18" s="3"/>
    </row>
    <row r="19" spans="2:13" ht="14.25" x14ac:dyDescent="0.2">
      <c r="B19" s="3"/>
      <c r="C19" s="3"/>
      <c r="D19" s="3"/>
      <c r="E19" s="3"/>
      <c r="F19" s="3"/>
      <c r="G19" s="3"/>
      <c r="H19" s="7"/>
      <c r="I19" s="7"/>
      <c r="J19" s="7"/>
      <c r="K19" s="7"/>
      <c r="L19" s="3"/>
      <c r="M19" s="3"/>
    </row>
    <row r="20" spans="2:13" ht="14.25" customHeight="1" x14ac:dyDescent="0.2">
      <c r="B20" s="3"/>
      <c r="C20" s="3"/>
      <c r="D20" s="8"/>
      <c r="E20" s="398">
        <v>2025</v>
      </c>
      <c r="F20" s="398"/>
      <c r="G20" s="398"/>
      <c r="H20" s="13"/>
      <c r="I20" s="398">
        <v>2030</v>
      </c>
      <c r="J20" s="398"/>
      <c r="K20" s="398"/>
      <c r="L20" s="8"/>
      <c r="M20" s="3"/>
    </row>
    <row r="21" spans="2:13" x14ac:dyDescent="0.2">
      <c r="B21" s="3"/>
      <c r="C21" s="3"/>
      <c r="D21" s="8"/>
      <c r="E21" s="102" t="s">
        <v>80</v>
      </c>
      <c r="F21" s="102"/>
      <c r="G21" s="102" t="s">
        <v>77</v>
      </c>
      <c r="H21" s="13"/>
      <c r="I21" s="102" t="s">
        <v>80</v>
      </c>
      <c r="J21" s="102"/>
      <c r="K21" s="102" t="s">
        <v>77</v>
      </c>
      <c r="L21" s="8"/>
      <c r="M21" s="3"/>
    </row>
    <row r="22" spans="2:13" x14ac:dyDescent="0.2">
      <c r="B22" s="3"/>
      <c r="C22" s="3"/>
      <c r="D22" s="3"/>
      <c r="E22" s="3"/>
      <c r="F22" s="3"/>
      <c r="G22" s="3"/>
      <c r="H22" s="3"/>
      <c r="I22" s="3"/>
      <c r="J22" s="3"/>
      <c r="K22" s="3"/>
      <c r="L22" s="3"/>
      <c r="M22" s="3"/>
    </row>
    <row r="23" spans="2:13" x14ac:dyDescent="0.2">
      <c r="B23" s="3"/>
      <c r="C23" s="3"/>
      <c r="D23" s="11" t="s">
        <v>274</v>
      </c>
      <c r="E23" s="3">
        <v>2</v>
      </c>
      <c r="F23" s="3"/>
      <c r="G23" s="115"/>
      <c r="H23" s="3"/>
      <c r="I23" s="3">
        <v>4</v>
      </c>
      <c r="J23" s="3"/>
      <c r="K23" s="115"/>
      <c r="L23" s="3"/>
      <c r="M23" s="3"/>
    </row>
    <row r="24" spans="2:13" x14ac:dyDescent="0.2">
      <c r="B24" s="3"/>
      <c r="C24" s="3"/>
      <c r="D24" s="11" t="s">
        <v>234</v>
      </c>
      <c r="E24" s="80">
        <v>10</v>
      </c>
      <c r="F24" s="15" t="s">
        <v>99</v>
      </c>
      <c r="G24" s="115"/>
      <c r="H24" s="15" t="s">
        <v>99</v>
      </c>
      <c r="I24" s="80">
        <v>10</v>
      </c>
      <c r="J24" s="15" t="s">
        <v>99</v>
      </c>
      <c r="K24" s="115"/>
      <c r="L24" s="15" t="s">
        <v>99</v>
      </c>
      <c r="M24" s="3"/>
    </row>
    <row r="25" spans="2:13" x14ac:dyDescent="0.2">
      <c r="B25" s="3"/>
      <c r="C25" s="3"/>
      <c r="D25" s="11" t="s">
        <v>233</v>
      </c>
      <c r="E25" s="9">
        <f>E17*(1-IF(NOT(ISBLANK(G24)),G24/100,E24/100))</f>
        <v>2475</v>
      </c>
      <c r="F25" s="3" t="s">
        <v>217</v>
      </c>
      <c r="G25" s="15"/>
      <c r="H25" s="15"/>
      <c r="I25" s="9">
        <f>E17*(1-IF(NOT(ISBLANK(K24)),K24/100,I24/100))</f>
        <v>2475</v>
      </c>
      <c r="J25" s="3" t="s">
        <v>217</v>
      </c>
      <c r="K25" s="15"/>
      <c r="L25" s="15"/>
      <c r="M25" s="3"/>
    </row>
    <row r="26" spans="2:13" x14ac:dyDescent="0.2">
      <c r="B26" s="3"/>
      <c r="C26" s="3"/>
      <c r="D26" s="8"/>
      <c r="E26" s="81"/>
      <c r="F26" s="15"/>
      <c r="G26" s="15"/>
      <c r="H26" s="15"/>
      <c r="I26" s="81"/>
      <c r="J26" s="15"/>
      <c r="K26" s="15"/>
      <c r="L26" s="3"/>
      <c r="M26" s="3"/>
    </row>
    <row r="27" spans="2:13" x14ac:dyDescent="0.2">
      <c r="B27" s="3"/>
      <c r="C27" s="3"/>
      <c r="D27" s="12" t="s">
        <v>213</v>
      </c>
      <c r="E27" s="80">
        <v>80000</v>
      </c>
      <c r="F27" s="15" t="s">
        <v>105</v>
      </c>
      <c r="G27" s="274"/>
      <c r="H27" s="15" t="s">
        <v>105</v>
      </c>
      <c r="I27" s="80">
        <v>80000</v>
      </c>
      <c r="J27" s="15" t="s">
        <v>105</v>
      </c>
      <c r="K27" s="274"/>
      <c r="L27" s="3" t="s">
        <v>105</v>
      </c>
      <c r="M27" s="3"/>
    </row>
    <row r="28" spans="2:13" ht="14.25" x14ac:dyDescent="0.2">
      <c r="B28" s="3"/>
      <c r="C28" s="3"/>
      <c r="D28" s="79" t="s">
        <v>226</v>
      </c>
      <c r="E28" s="80">
        <v>0</v>
      </c>
      <c r="F28" s="15" t="s">
        <v>106</v>
      </c>
      <c r="G28" s="274"/>
      <c r="H28" s="15" t="s">
        <v>106</v>
      </c>
      <c r="I28" s="80">
        <v>0</v>
      </c>
      <c r="J28" s="15" t="s">
        <v>106</v>
      </c>
      <c r="K28" s="274"/>
      <c r="L28" s="3" t="s">
        <v>106</v>
      </c>
      <c r="M28" s="3"/>
    </row>
    <row r="29" spans="2:13" ht="14.25" x14ac:dyDescent="0.2">
      <c r="B29" s="3"/>
      <c r="C29" s="3"/>
      <c r="D29" s="79" t="s">
        <v>191</v>
      </c>
      <c r="E29" s="80">
        <v>0</v>
      </c>
      <c r="F29" s="15" t="s">
        <v>105</v>
      </c>
      <c r="G29" s="274"/>
      <c r="H29" s="15" t="s">
        <v>105</v>
      </c>
      <c r="I29" s="80">
        <v>0</v>
      </c>
      <c r="J29" s="15" t="s">
        <v>105</v>
      </c>
      <c r="K29" s="274"/>
      <c r="L29" s="3" t="s">
        <v>105</v>
      </c>
      <c r="M29" s="3"/>
    </row>
    <row r="30" spans="2:13" x14ac:dyDescent="0.2">
      <c r="B30" s="3"/>
      <c r="C30" s="3"/>
      <c r="D30" s="79"/>
      <c r="E30" s="81"/>
      <c r="F30" s="15"/>
      <c r="G30" s="15"/>
      <c r="H30" s="15"/>
      <c r="I30" s="15"/>
      <c r="J30" s="15"/>
      <c r="K30" s="15"/>
      <c r="L30" s="3"/>
      <c r="M30" s="3"/>
    </row>
    <row r="31" spans="2:13" x14ac:dyDescent="0.2">
      <c r="B31" s="3"/>
      <c r="C31" s="3"/>
      <c r="D31" s="79"/>
      <c r="E31" s="15"/>
      <c r="F31" s="15"/>
      <c r="G31" s="15"/>
      <c r="H31" s="15"/>
      <c r="I31" s="15"/>
      <c r="J31" s="15"/>
      <c r="K31" s="15"/>
      <c r="L31" s="15"/>
      <c r="M31" s="3"/>
    </row>
    <row r="32" spans="2:13" x14ac:dyDescent="0.2">
      <c r="B32" s="3"/>
      <c r="C32" s="3"/>
      <c r="D32" s="79" t="s">
        <v>25</v>
      </c>
      <c r="E32" s="80">
        <v>10</v>
      </c>
      <c r="F32" s="15" t="s">
        <v>98</v>
      </c>
      <c r="G32" s="115"/>
      <c r="H32" s="15" t="s">
        <v>98</v>
      </c>
      <c r="I32" s="80">
        <v>10</v>
      </c>
      <c r="J32" s="15" t="s">
        <v>98</v>
      </c>
      <c r="K32" s="115"/>
      <c r="L32" s="15" t="s">
        <v>98</v>
      </c>
      <c r="M32" s="3"/>
    </row>
    <row r="33" spans="2:27" x14ac:dyDescent="0.2">
      <c r="B33" s="3"/>
      <c r="C33" s="3"/>
      <c r="D33" s="79" t="s">
        <v>26</v>
      </c>
      <c r="E33" s="82">
        <v>8</v>
      </c>
      <c r="F33" s="15" t="s">
        <v>99</v>
      </c>
      <c r="G33" s="275"/>
      <c r="H33" s="15" t="s">
        <v>99</v>
      </c>
      <c r="I33" s="82">
        <v>8</v>
      </c>
      <c r="J33" s="15" t="s">
        <v>99</v>
      </c>
      <c r="K33" s="275"/>
      <c r="L33" s="15" t="s">
        <v>99</v>
      </c>
      <c r="M33" s="3"/>
    </row>
    <row r="34" spans="2:27" x14ac:dyDescent="0.2">
      <c r="B34" s="3"/>
      <c r="C34" s="3"/>
      <c r="D34" s="15"/>
      <c r="E34" s="82"/>
      <c r="F34" s="15"/>
      <c r="G34" s="15"/>
      <c r="H34" s="15"/>
      <c r="I34" s="81"/>
      <c r="J34" s="15"/>
      <c r="K34" s="15"/>
      <c r="L34" s="3"/>
      <c r="M34" s="3"/>
    </row>
    <row r="35" spans="2:27" x14ac:dyDescent="0.2">
      <c r="B35" s="3"/>
      <c r="C35" s="3"/>
      <c r="D35" s="15"/>
      <c r="E35" s="10"/>
      <c r="F35" s="3"/>
      <c r="G35" s="3"/>
      <c r="H35" s="3"/>
      <c r="I35" s="16"/>
      <c r="J35" s="3"/>
      <c r="K35" s="3"/>
      <c r="L35" s="3"/>
      <c r="M35" s="3"/>
    </row>
    <row r="36" spans="2:27" ht="13.5" x14ac:dyDescent="0.2">
      <c r="B36" s="3"/>
      <c r="C36" s="3"/>
      <c r="D36" s="66" t="s">
        <v>168</v>
      </c>
      <c r="E36" s="10"/>
      <c r="F36" s="3"/>
      <c r="G36" s="3"/>
      <c r="H36" s="3"/>
      <c r="I36" s="16"/>
      <c r="J36" s="3"/>
      <c r="K36" s="3"/>
      <c r="L36" s="3"/>
      <c r="M36" s="3"/>
    </row>
    <row r="37" spans="2:27" ht="13.5" x14ac:dyDescent="0.2">
      <c r="B37" s="3"/>
      <c r="C37" s="3"/>
      <c r="D37" s="66" t="s">
        <v>215</v>
      </c>
      <c r="E37" s="10"/>
      <c r="F37" s="3"/>
      <c r="G37" s="3"/>
      <c r="H37" s="3"/>
      <c r="I37" s="16"/>
      <c r="J37" s="3"/>
      <c r="K37" s="3"/>
      <c r="L37" s="3"/>
      <c r="M37" s="3"/>
    </row>
    <row r="38" spans="2:27" x14ac:dyDescent="0.2">
      <c r="B38" s="3"/>
      <c r="C38" s="3"/>
      <c r="D38" s="15"/>
      <c r="E38" s="10"/>
      <c r="F38" s="3"/>
      <c r="G38" s="3"/>
      <c r="H38" s="3"/>
      <c r="I38" s="16"/>
      <c r="J38" s="3"/>
      <c r="K38" s="3"/>
      <c r="L38" s="3"/>
      <c r="M38" s="3"/>
    </row>
    <row r="40" spans="2:27" x14ac:dyDescent="0.2">
      <c r="B40" s="3"/>
      <c r="C40" s="3"/>
      <c r="D40" s="14"/>
      <c r="E40" s="3"/>
      <c r="F40" s="3"/>
      <c r="G40" s="3"/>
      <c r="H40" s="3"/>
      <c r="I40" s="3"/>
      <c r="J40" s="3"/>
      <c r="K40" s="3"/>
      <c r="L40" s="3"/>
      <c r="M40" s="3"/>
      <c r="N40" s="3"/>
      <c r="O40" s="3"/>
      <c r="P40" s="3"/>
      <c r="Q40" s="3"/>
      <c r="R40" s="3"/>
      <c r="S40" s="3"/>
      <c r="T40" s="3"/>
      <c r="U40" s="3"/>
      <c r="V40" s="3"/>
      <c r="W40" s="3"/>
      <c r="X40" s="3"/>
      <c r="Y40" s="3"/>
      <c r="Z40" s="3"/>
      <c r="AA40" s="3"/>
    </row>
    <row r="41" spans="2:27" ht="18" x14ac:dyDescent="0.25">
      <c r="B41" s="3"/>
      <c r="C41" s="97" t="s">
        <v>232</v>
      </c>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14"/>
      <c r="E42" s="3"/>
      <c r="F42" s="3"/>
      <c r="G42" s="3"/>
      <c r="H42" s="3"/>
      <c r="I42" s="3"/>
      <c r="J42" s="3"/>
      <c r="K42" s="3"/>
      <c r="L42" s="3"/>
      <c r="M42" s="3"/>
      <c r="N42" s="3"/>
      <c r="O42" s="3"/>
      <c r="P42" s="3"/>
      <c r="Q42" s="3"/>
      <c r="R42" s="3"/>
      <c r="S42" s="3"/>
      <c r="T42" s="3"/>
      <c r="U42" s="3"/>
      <c r="V42" s="3"/>
      <c r="W42" s="3"/>
      <c r="X42" s="3"/>
      <c r="Y42" s="3"/>
      <c r="Z42" s="3"/>
      <c r="AA42" s="3"/>
    </row>
    <row r="43" spans="2:27" ht="15" x14ac:dyDescent="0.25">
      <c r="B43" s="3"/>
      <c r="C43" s="92" t="s">
        <v>112</v>
      </c>
      <c r="D43" s="3"/>
      <c r="E43" s="3"/>
      <c r="F43" s="3"/>
      <c r="G43" s="3"/>
      <c r="H43" s="3"/>
      <c r="I43" s="3"/>
      <c r="J43" s="3"/>
      <c r="K43" s="92" t="s">
        <v>116</v>
      </c>
      <c r="L43" s="3"/>
      <c r="M43" s="3"/>
      <c r="N43" s="3"/>
      <c r="O43" s="3"/>
      <c r="P43" s="3"/>
      <c r="Q43" s="3"/>
      <c r="R43" s="3"/>
      <c r="S43" s="93" t="s">
        <v>84</v>
      </c>
      <c r="T43" s="3"/>
      <c r="U43" s="3"/>
      <c r="V43" s="3"/>
      <c r="W43" s="3"/>
      <c r="X43" s="3"/>
      <c r="Y43" s="3"/>
      <c r="Z43" s="3"/>
      <c r="AA43" s="3"/>
    </row>
    <row r="44" spans="2:27" x14ac:dyDescent="0.2">
      <c r="B44" s="3"/>
      <c r="C44" s="3"/>
      <c r="D44" s="14"/>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ht="15" customHeight="1" x14ac:dyDescent="0.25">
      <c r="B75" s="3"/>
      <c r="C75" s="97"/>
      <c r="D75" s="62"/>
      <c r="E75" s="3"/>
      <c r="F75" s="3"/>
      <c r="G75" s="3"/>
      <c r="H75" s="3"/>
      <c r="I75" s="3"/>
      <c r="J75" s="3"/>
      <c r="K75" s="3"/>
      <c r="L75" s="3"/>
      <c r="M75" s="3"/>
      <c r="N75" s="3"/>
      <c r="O75" s="3"/>
      <c r="P75" s="3"/>
      <c r="Q75" s="3"/>
      <c r="R75" s="3"/>
      <c r="S75" s="3"/>
      <c r="T75" s="3"/>
      <c r="U75" s="3"/>
      <c r="V75" s="3"/>
      <c r="W75" s="3"/>
      <c r="X75" s="3"/>
      <c r="Y75" s="85"/>
      <c r="Z75" s="85"/>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84"/>
      <c r="Z76" s="84"/>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84"/>
      <c r="Z77" s="84"/>
      <c r="AA77" s="3"/>
    </row>
    <row r="78" spans="2:27" ht="15" customHeight="1" x14ac:dyDescent="0.25">
      <c r="B78" s="3"/>
      <c r="C78" s="3"/>
      <c r="D78" s="23" t="s">
        <v>113</v>
      </c>
      <c r="E78" s="24"/>
      <c r="F78" s="24"/>
      <c r="G78" s="24"/>
      <c r="H78" s="24"/>
      <c r="I78" s="3"/>
      <c r="J78" s="3"/>
      <c r="K78" s="3"/>
      <c r="L78" s="23" t="s">
        <v>194</v>
      </c>
      <c r="M78" s="24"/>
      <c r="N78" s="24"/>
      <c r="O78" s="24"/>
      <c r="P78" s="24"/>
      <c r="Q78" s="3"/>
      <c r="R78" s="3"/>
      <c r="S78" s="3"/>
      <c r="T78" s="23" t="s">
        <v>199</v>
      </c>
      <c r="U78" s="24"/>
      <c r="V78" s="24"/>
      <c r="W78" s="24"/>
      <c r="X78" s="3"/>
      <c r="Y78" s="84"/>
      <c r="Z78" s="84"/>
      <c r="AA78" s="3"/>
    </row>
    <row r="79" spans="2:27" ht="15" customHeight="1" x14ac:dyDescent="0.25">
      <c r="B79" s="3"/>
      <c r="C79" s="397" t="s">
        <v>145</v>
      </c>
      <c r="D79" s="46"/>
      <c r="E79" s="46">
        <v>2020</v>
      </c>
      <c r="F79" s="47">
        <v>2025</v>
      </c>
      <c r="G79" s="47">
        <v>2030</v>
      </c>
      <c r="H79" s="34"/>
      <c r="I79" s="3"/>
      <c r="J79" s="3"/>
      <c r="K79" s="3"/>
      <c r="L79" s="34"/>
      <c r="M79" s="46">
        <v>2020</v>
      </c>
      <c r="N79" s="47">
        <v>2025</v>
      </c>
      <c r="O79" s="47">
        <v>2030</v>
      </c>
      <c r="P79" s="34"/>
      <c r="Q79" s="3"/>
      <c r="R79" s="3"/>
      <c r="S79" s="397" t="s">
        <v>145</v>
      </c>
      <c r="T79" s="34"/>
      <c r="U79" s="47">
        <v>2020</v>
      </c>
      <c r="V79" s="47">
        <v>2025</v>
      </c>
      <c r="W79" s="47">
        <v>2030</v>
      </c>
      <c r="X79" s="3"/>
      <c r="Y79" s="84"/>
      <c r="Z79" s="84"/>
      <c r="AA79" s="63"/>
    </row>
    <row r="80" spans="2:27" x14ac:dyDescent="0.2">
      <c r="B80" s="3"/>
      <c r="C80" s="397"/>
      <c r="D80" s="24"/>
      <c r="E80" s="48" t="s">
        <v>89</v>
      </c>
      <c r="F80" s="49"/>
      <c r="G80" s="49"/>
      <c r="H80" s="24"/>
      <c r="I80" s="3"/>
      <c r="J80" s="3"/>
      <c r="K80" s="3"/>
      <c r="L80" s="24"/>
      <c r="M80" s="48" t="s">
        <v>89</v>
      </c>
      <c r="N80" s="49"/>
      <c r="O80" s="49"/>
      <c r="P80" s="24"/>
      <c r="Q80" s="3"/>
      <c r="R80" s="3"/>
      <c r="S80" s="397"/>
      <c r="T80" s="24"/>
      <c r="U80" s="50" t="s">
        <v>89</v>
      </c>
      <c r="V80" s="50"/>
      <c r="W80" s="59"/>
      <c r="X80" s="3"/>
      <c r="Y80" s="84"/>
      <c r="Z80" s="84"/>
      <c r="AA80" s="63"/>
    </row>
    <row r="81" spans="2:27" ht="15.75" x14ac:dyDescent="0.3">
      <c r="B81" s="3"/>
      <c r="C81" s="3"/>
      <c r="D81" s="29" t="s">
        <v>31</v>
      </c>
      <c r="E81" s="32">
        <f>'Referenz Plattenwerk'!$U$16+'Referenz Plattenwerk'!U21</f>
        <v>43.0426</v>
      </c>
      <c r="F81" s="32">
        <f>J154+J159</f>
        <v>43.0426</v>
      </c>
      <c r="G81" s="32">
        <f>J223+J228</f>
        <v>43.0426</v>
      </c>
      <c r="H81" s="25" t="s">
        <v>162</v>
      </c>
      <c r="I81" s="3"/>
      <c r="J81" s="3"/>
      <c r="K81" s="3"/>
      <c r="L81" s="29" t="s">
        <v>115</v>
      </c>
      <c r="M81" s="26">
        <f>'Referenz Plattenwerk'!Q74</f>
        <v>94.932355060000006</v>
      </c>
      <c r="N81" s="26">
        <f>F211</f>
        <v>93.470408001999999</v>
      </c>
      <c r="O81" s="26">
        <f>F280</f>
        <v>92.008460943999992</v>
      </c>
      <c r="P81" s="25" t="s">
        <v>162</v>
      </c>
      <c r="Q81" s="3"/>
      <c r="R81" s="3"/>
      <c r="S81" s="3"/>
      <c r="T81" s="57" t="s">
        <v>158</v>
      </c>
      <c r="U81" s="58">
        <f>SUM(U82:U88)</f>
        <v>109669</v>
      </c>
      <c r="V81" s="58">
        <f t="shared" ref="V81:W81" si="0">SUM(V82:V88)</f>
        <v>109050.8</v>
      </c>
      <c r="W81" s="58">
        <f t="shared" si="0"/>
        <v>108432.6</v>
      </c>
      <c r="X81" s="3"/>
      <c r="Y81" s="114"/>
      <c r="Z81" s="114"/>
      <c r="AA81" s="63"/>
    </row>
    <row r="82" spans="2:27" ht="15.75" x14ac:dyDescent="0.3">
      <c r="B82" s="3"/>
      <c r="C82" s="3"/>
      <c r="D82" s="8" t="s">
        <v>32</v>
      </c>
      <c r="E82" s="10">
        <f>'Referenz Plattenwerk'!$U$17+'Referenz Plattenwerk'!U22</f>
        <v>16.005600000000001</v>
      </c>
      <c r="F82" s="10">
        <f>J155+J160</f>
        <v>16.005600000000001</v>
      </c>
      <c r="G82" s="10">
        <f>J224+J229</f>
        <v>16.005600000000001</v>
      </c>
      <c r="H82" s="3" t="s">
        <v>162</v>
      </c>
      <c r="I82" s="3"/>
      <c r="J82" s="3"/>
      <c r="K82" s="3"/>
      <c r="L82" s="8" t="s">
        <v>28</v>
      </c>
      <c r="M82" s="9">
        <f>'Referenz Plattenwerk'!R74</f>
        <v>171.9</v>
      </c>
      <c r="N82" s="9">
        <f>G211</f>
        <v>124.8924470887134</v>
      </c>
      <c r="O82" s="9">
        <f>G280</f>
        <v>61.552554846110553</v>
      </c>
      <c r="P82" s="3" t="s">
        <v>162</v>
      </c>
      <c r="Q82" s="3"/>
      <c r="R82" s="3"/>
      <c r="S82" s="3"/>
      <c r="T82" s="31" t="s">
        <v>31</v>
      </c>
      <c r="U82" s="52">
        <f>'Referenz Plattenwerk'!AB16</f>
        <v>14335</v>
      </c>
      <c r="V82" s="52">
        <f>S154+S159</f>
        <v>14335</v>
      </c>
      <c r="W82" s="52">
        <f>S223+S228</f>
        <v>14335</v>
      </c>
      <c r="X82" s="3"/>
      <c r="Y82" s="114"/>
      <c r="Z82" s="114"/>
      <c r="AA82" s="63"/>
    </row>
    <row r="83" spans="2:27" ht="15.75" x14ac:dyDescent="0.3">
      <c r="B83" s="3"/>
      <c r="C83" s="3"/>
      <c r="D83" s="29" t="s">
        <v>33</v>
      </c>
      <c r="E83" s="32">
        <f>'Referenz Plattenwerk'!$U$18+'Referenz Plattenwerk'!R24</f>
        <v>171.9</v>
      </c>
      <c r="F83" s="32">
        <f>J156+J162</f>
        <v>124.8924470887134</v>
      </c>
      <c r="G83" s="32">
        <f>J225+J231</f>
        <v>61.552554846110553</v>
      </c>
      <c r="H83" s="25" t="s">
        <v>162</v>
      </c>
      <c r="I83" s="3"/>
      <c r="J83" s="3"/>
      <c r="K83" s="3"/>
      <c r="L83" s="29" t="s">
        <v>29</v>
      </c>
      <c r="M83" s="26">
        <f>'Referenz Plattenwerk'!S74</f>
        <v>5831.5296228095176</v>
      </c>
      <c r="N83" s="26">
        <f>H211</f>
        <v>5824.380170042431</v>
      </c>
      <c r="O83" s="26">
        <f>H280</f>
        <v>5814.836447635148</v>
      </c>
      <c r="P83" s="25" t="s">
        <v>162</v>
      </c>
      <c r="Q83" s="3"/>
      <c r="R83" s="3"/>
      <c r="S83" s="3"/>
      <c r="T83" s="31" t="s">
        <v>32</v>
      </c>
      <c r="U83" s="52">
        <f>'Referenz Plattenwerk'!AB17</f>
        <v>2760</v>
      </c>
      <c r="V83" s="52">
        <f>S155+S160</f>
        <v>2760</v>
      </c>
      <c r="W83" s="52">
        <f>S224+S229</f>
        <v>2760</v>
      </c>
      <c r="X83" s="3"/>
      <c r="Y83" s="114"/>
      <c r="Z83" s="114"/>
      <c r="AA83" s="63"/>
    </row>
    <row r="84" spans="2:27" ht="16.5" thickBot="1" x14ac:dyDescent="0.35">
      <c r="B84" s="3"/>
      <c r="C84" s="3"/>
      <c r="D84" s="8" t="s">
        <v>126</v>
      </c>
      <c r="E84" s="10">
        <f>'Referenz Plattenwerk'!$U$19</f>
        <v>0</v>
      </c>
      <c r="F84" s="10">
        <f>J157</f>
        <v>0</v>
      </c>
      <c r="G84" s="10">
        <f>J226</f>
        <v>0</v>
      </c>
      <c r="H84" s="3" t="s">
        <v>162</v>
      </c>
      <c r="I84" s="3"/>
      <c r="J84" s="3"/>
      <c r="K84" s="3"/>
      <c r="L84" s="27" t="s">
        <v>69</v>
      </c>
      <c r="M84" s="28">
        <f>SUM(M81:M83)</f>
        <v>6098.3619778695174</v>
      </c>
      <c r="N84" s="28">
        <f t="shared" ref="N84:O84" si="1">SUM(N81:N83)</f>
        <v>6042.7430251331443</v>
      </c>
      <c r="O84" s="28">
        <f t="shared" si="1"/>
        <v>5968.397463425259</v>
      </c>
      <c r="P84" s="27" t="s">
        <v>163</v>
      </c>
      <c r="Q84" s="3"/>
      <c r="R84" s="3"/>
      <c r="S84" s="3"/>
      <c r="T84" s="31" t="s">
        <v>33</v>
      </c>
      <c r="U84" s="52">
        <f>'Referenz Plattenwerk'!AB18</f>
        <v>77400</v>
      </c>
      <c r="V84" s="52">
        <f>S156+S162</f>
        <v>77400</v>
      </c>
      <c r="W84" s="52">
        <f>S225+S231</f>
        <v>77400</v>
      </c>
      <c r="X84" s="3"/>
      <c r="Y84" s="114"/>
      <c r="Z84" s="114"/>
      <c r="AA84" s="63"/>
    </row>
    <row r="85" spans="2:27" ht="16.5" thickTop="1" x14ac:dyDescent="0.3">
      <c r="B85" s="3"/>
      <c r="C85" s="3"/>
      <c r="D85" s="29" t="s">
        <v>122</v>
      </c>
      <c r="E85" s="32">
        <f>'Referenz Plattenwerk'!$U$25</f>
        <v>0</v>
      </c>
      <c r="F85" s="32">
        <f>J163</f>
        <v>0</v>
      </c>
      <c r="G85" s="32">
        <f>J232</f>
        <v>0</v>
      </c>
      <c r="H85" s="25" t="s">
        <v>162</v>
      </c>
      <c r="I85" s="3"/>
      <c r="J85" s="3"/>
      <c r="K85" s="3"/>
      <c r="L85" s="3"/>
      <c r="M85" s="3"/>
      <c r="N85" s="3"/>
      <c r="O85" s="3"/>
      <c r="P85" s="3"/>
      <c r="Q85" s="3"/>
      <c r="R85" s="3"/>
      <c r="S85" s="3"/>
      <c r="T85" s="31" t="s">
        <v>122</v>
      </c>
      <c r="U85" s="52">
        <f>'Referenz Plattenwerk'!AB19</f>
        <v>0</v>
      </c>
      <c r="V85" s="52">
        <f>S163</f>
        <v>0</v>
      </c>
      <c r="W85" s="52">
        <f>S232</f>
        <v>0</v>
      </c>
      <c r="X85" s="3"/>
      <c r="Y85" s="114"/>
      <c r="Z85" s="114"/>
      <c r="AA85" s="63"/>
    </row>
    <row r="86" spans="2:27" ht="15.75" x14ac:dyDescent="0.3">
      <c r="B86" s="3"/>
      <c r="C86" s="3"/>
      <c r="D86" s="8" t="s">
        <v>149</v>
      </c>
      <c r="E86" s="10">
        <f>'Referenz Plattenwerk'!$U$26</f>
        <v>0</v>
      </c>
      <c r="F86" s="10">
        <f>J164</f>
        <v>0</v>
      </c>
      <c r="G86" s="10">
        <f>J233</f>
        <v>0</v>
      </c>
      <c r="H86" s="3" t="s">
        <v>162</v>
      </c>
      <c r="I86" s="3"/>
      <c r="J86" s="3"/>
      <c r="K86" s="3"/>
      <c r="L86" s="3"/>
      <c r="M86" s="3"/>
      <c r="N86" s="3"/>
      <c r="O86" s="3"/>
      <c r="P86" s="3"/>
      <c r="Q86" s="3"/>
      <c r="R86" s="3"/>
      <c r="S86" s="3"/>
      <c r="T86" s="31" t="s">
        <v>123</v>
      </c>
      <c r="U86" s="52">
        <f>'Referenz Plattenwerk'!AB20</f>
        <v>0</v>
      </c>
      <c r="V86" s="52">
        <f>S157</f>
        <v>0</v>
      </c>
      <c r="W86" s="52">
        <f>S226</f>
        <v>0</v>
      </c>
      <c r="X86" s="3"/>
      <c r="Y86" s="114"/>
      <c r="Z86" s="114"/>
      <c r="AA86" s="63"/>
    </row>
    <row r="87" spans="2:27" ht="15.75" x14ac:dyDescent="0.3">
      <c r="B87" s="3"/>
      <c r="C87" s="3"/>
      <c r="D87" s="29" t="s">
        <v>34</v>
      </c>
      <c r="E87" s="32">
        <f>'Referenz Plattenwerk'!$U$28+'Referenz Plattenwerk'!$U$29</f>
        <v>35.884155059999998</v>
      </c>
      <c r="F87" s="32">
        <f>J166+J167</f>
        <v>34.422208001999998</v>
      </c>
      <c r="G87" s="32">
        <f>J235+J236</f>
        <v>32.960260943999998</v>
      </c>
      <c r="H87" s="25" t="s">
        <v>162</v>
      </c>
      <c r="I87" s="3"/>
      <c r="J87" s="3"/>
      <c r="K87" s="3"/>
      <c r="L87" s="23" t="s">
        <v>192</v>
      </c>
      <c r="M87" s="24"/>
      <c r="N87" s="24"/>
      <c r="O87" s="24"/>
      <c r="P87" s="24"/>
      <c r="Q87" s="3"/>
      <c r="R87" s="3"/>
      <c r="S87" s="3"/>
      <c r="T87" s="31" t="s">
        <v>466</v>
      </c>
      <c r="U87" s="52">
        <f>'Referenz Plattenwerk'!AB21</f>
        <v>0</v>
      </c>
      <c r="V87" s="52">
        <f>S164</f>
        <v>0</v>
      </c>
      <c r="W87" s="52">
        <f>S233</f>
        <v>0</v>
      </c>
      <c r="X87" s="3"/>
      <c r="Y87" s="114"/>
      <c r="Z87" s="114"/>
      <c r="AA87" s="63"/>
    </row>
    <row r="88" spans="2:27" ht="15.75" thickBot="1" x14ac:dyDescent="0.3">
      <c r="B88" s="3"/>
      <c r="C88" s="3"/>
      <c r="D88" s="27" t="s">
        <v>69</v>
      </c>
      <c r="E88" s="33">
        <f>SUM(E81:E87)</f>
        <v>266.83235506</v>
      </c>
      <c r="F88" s="33">
        <f>SUM(F81:F87)</f>
        <v>218.3628550907134</v>
      </c>
      <c r="G88" s="33">
        <f>SUM(G81:G87)</f>
        <v>153.56101579011056</v>
      </c>
      <c r="H88" s="27" t="s">
        <v>163</v>
      </c>
      <c r="I88" s="3"/>
      <c r="J88" s="3"/>
      <c r="K88" s="397" t="s">
        <v>145</v>
      </c>
      <c r="L88" s="34"/>
      <c r="M88" s="46">
        <v>2020</v>
      </c>
      <c r="N88" s="47">
        <v>2025</v>
      </c>
      <c r="O88" s="47">
        <v>2030</v>
      </c>
      <c r="P88" s="34"/>
      <c r="Q88" s="3"/>
      <c r="R88" s="3"/>
      <c r="S88" s="3"/>
      <c r="T88" s="51" t="s">
        <v>34</v>
      </c>
      <c r="U88" s="53">
        <f>'Referenz Plattenwerk'!AB22</f>
        <v>15174.000000000002</v>
      </c>
      <c r="V88" s="54">
        <f>S166+S167</f>
        <v>14555.800000000001</v>
      </c>
      <c r="W88" s="54">
        <f>S235+S236</f>
        <v>13937.6</v>
      </c>
      <c r="X88" s="3"/>
      <c r="Y88" s="114"/>
      <c r="Z88" s="114"/>
      <c r="AA88" s="63"/>
    </row>
    <row r="89" spans="2:27" ht="13.5" thickTop="1" x14ac:dyDescent="0.2">
      <c r="B89" s="3"/>
      <c r="C89" s="3"/>
      <c r="D89" s="3"/>
      <c r="E89" s="3"/>
      <c r="F89" s="3"/>
      <c r="G89" s="3"/>
      <c r="H89" s="3"/>
      <c r="I89" s="3"/>
      <c r="J89" s="3"/>
      <c r="K89" s="397"/>
      <c r="L89" s="24"/>
      <c r="M89" s="48" t="s">
        <v>89</v>
      </c>
      <c r="N89" s="49"/>
      <c r="O89" s="49"/>
      <c r="P89" s="24"/>
      <c r="Q89" s="3"/>
      <c r="R89" s="3"/>
      <c r="S89" s="3"/>
      <c r="T89" s="8" t="s">
        <v>30</v>
      </c>
      <c r="U89" s="55">
        <v>0</v>
      </c>
      <c r="V89" s="55">
        <f>S170</f>
        <v>28800</v>
      </c>
      <c r="W89" s="55">
        <f>S239</f>
        <v>57600</v>
      </c>
      <c r="X89" s="3"/>
      <c r="Y89" s="114"/>
      <c r="Z89" s="114"/>
      <c r="AA89" s="63"/>
    </row>
    <row r="90" spans="2:27" ht="15.75" x14ac:dyDescent="0.3">
      <c r="B90" s="3"/>
      <c r="C90" s="3"/>
      <c r="D90" s="3"/>
      <c r="E90" s="3"/>
      <c r="F90" s="3"/>
      <c r="G90" s="3"/>
      <c r="H90" s="3"/>
      <c r="I90" s="3"/>
      <c r="J90" s="3"/>
      <c r="K90" s="3"/>
      <c r="L90" s="29" t="str">
        <f>C152</f>
        <v>Energieträger gesamt</v>
      </c>
      <c r="M90" s="26">
        <f>SUM('Referenz Plattenwerk'!S16:S29)</f>
        <v>41.281733459999998</v>
      </c>
      <c r="N90" s="26">
        <f>H152</f>
        <v>34.132280692910868</v>
      </c>
      <c r="O90" s="26">
        <f>H221</f>
        <v>24.588558285628775</v>
      </c>
      <c r="P90" s="25" t="s">
        <v>162</v>
      </c>
      <c r="Q90" s="3"/>
      <c r="R90" s="3"/>
      <c r="S90" s="3"/>
      <c r="T90" s="8" t="s">
        <v>153</v>
      </c>
      <c r="U90" s="55">
        <v>0</v>
      </c>
      <c r="V90" s="55">
        <f>S171</f>
        <v>0</v>
      </c>
      <c r="W90" s="55">
        <f>S240</f>
        <v>0</v>
      </c>
      <c r="X90" s="3"/>
      <c r="Y90" s="114"/>
      <c r="Z90" s="114"/>
      <c r="AA90" s="63"/>
    </row>
    <row r="91" spans="2:27" ht="15.75" x14ac:dyDescent="0.3">
      <c r="B91" s="3"/>
      <c r="C91" s="3"/>
      <c r="D91" s="3"/>
      <c r="E91" s="3"/>
      <c r="F91" s="3"/>
      <c r="G91" s="3"/>
      <c r="H91" s="3"/>
      <c r="I91" s="3"/>
      <c r="J91" s="3"/>
      <c r="K91" s="3"/>
      <c r="L91" s="8" t="str">
        <f>C168</f>
        <v>Transport gesamt</v>
      </c>
      <c r="M91" s="9">
        <f>'Referenz Plattenwerk'!S32+'Referenz Plattenwerk'!S33</f>
        <v>469.15642799999995</v>
      </c>
      <c r="N91" s="9">
        <f>H168</f>
        <v>469.15642799999995</v>
      </c>
      <c r="O91" s="9">
        <f>H237</f>
        <v>469.15642799999995</v>
      </c>
      <c r="P91" s="3" t="s">
        <v>162</v>
      </c>
      <c r="Q91" s="3"/>
      <c r="R91" s="3"/>
      <c r="S91" s="3"/>
      <c r="T91" s="59" t="s">
        <v>160</v>
      </c>
      <c r="U91" s="61">
        <v>0</v>
      </c>
      <c r="V91" s="61">
        <f>S172</f>
        <v>0</v>
      </c>
      <c r="W91" s="61">
        <f>S241</f>
        <v>0</v>
      </c>
      <c r="X91" s="3"/>
      <c r="Y91" s="114"/>
      <c r="Z91" s="114"/>
      <c r="AA91" s="63"/>
    </row>
    <row r="92" spans="2:27" ht="15.75" x14ac:dyDescent="0.3">
      <c r="B92" s="3"/>
      <c r="C92" s="3"/>
      <c r="D92" s="3"/>
      <c r="E92" s="3"/>
      <c r="F92" s="3"/>
      <c r="G92" s="3"/>
      <c r="H92" s="3"/>
      <c r="I92" s="3"/>
      <c r="J92" s="3"/>
      <c r="K92" s="3"/>
      <c r="L92" s="29" t="str">
        <f>C172</f>
        <v>Zement</v>
      </c>
      <c r="M92" s="26">
        <f>'Referenz Plattenwerk'!S35</f>
        <v>4548.5439999999999</v>
      </c>
      <c r="N92" s="26">
        <f>H172</f>
        <v>4548.5439999999999</v>
      </c>
      <c r="O92" s="26">
        <f>H241</f>
        <v>4548.5439999999999</v>
      </c>
      <c r="P92" s="25" t="s">
        <v>162</v>
      </c>
      <c r="Q92" s="3"/>
      <c r="R92" s="3"/>
      <c r="S92" s="3"/>
      <c r="T92" s="57" t="s">
        <v>154</v>
      </c>
      <c r="U92" s="58">
        <f>SUM(U93:U95)</f>
        <v>152459.04944673795</v>
      </c>
      <c r="V92" s="58">
        <f t="shared" ref="V92:W92" si="2">SUM(V93:V95)</f>
        <v>271923.4361309915</v>
      </c>
      <c r="W92" s="58">
        <f t="shared" si="2"/>
        <v>477471.79707402072</v>
      </c>
      <c r="X92" s="3"/>
      <c r="Y92" s="114"/>
      <c r="Z92" s="114"/>
      <c r="AA92" s="63"/>
    </row>
    <row r="93" spans="2:27" ht="15.75" x14ac:dyDescent="0.3">
      <c r="B93" s="3"/>
      <c r="C93" s="3"/>
      <c r="D93" s="3"/>
      <c r="E93" s="3"/>
      <c r="F93" s="3"/>
      <c r="G93" s="3"/>
      <c r="H93" s="3"/>
      <c r="I93" s="3"/>
      <c r="J93" s="3"/>
      <c r="K93" s="3"/>
      <c r="L93" s="8" t="str">
        <f>C178</f>
        <v>Gesteinskörnungen (Zuschlagsstoffe)</v>
      </c>
      <c r="M93" s="9">
        <f>'Referenz Plattenwerk'!S41</f>
        <v>129.59200000000001</v>
      </c>
      <c r="N93" s="9">
        <f>H178</f>
        <v>129.59200000000001</v>
      </c>
      <c r="O93" s="9">
        <f>H247</f>
        <v>129.59200000000001</v>
      </c>
      <c r="P93" s="3" t="s">
        <v>162</v>
      </c>
      <c r="Q93" s="3"/>
      <c r="R93" s="3"/>
      <c r="S93" s="3"/>
      <c r="T93" s="31" t="s">
        <v>155</v>
      </c>
      <c r="U93" s="52">
        <f>'Referenz Plattenwerk'!AB26</f>
        <v>2373.3088765000002</v>
      </c>
      <c r="V93" s="52">
        <f>S175</f>
        <v>4206.1683600899996</v>
      </c>
      <c r="W93" s="52">
        <f>S244</f>
        <v>7360.6768755199992</v>
      </c>
      <c r="X93" s="3"/>
      <c r="Y93" s="114"/>
      <c r="Z93" s="114"/>
      <c r="AA93" s="63"/>
    </row>
    <row r="94" spans="2:27" ht="15.75" x14ac:dyDescent="0.3">
      <c r="B94" s="3"/>
      <c r="C94" s="3"/>
      <c r="D94" s="3"/>
      <c r="E94" s="3"/>
      <c r="F94" s="3"/>
      <c r="G94" s="3"/>
      <c r="H94" s="3"/>
      <c r="I94" s="3"/>
      <c r="J94" s="3"/>
      <c r="K94" s="3"/>
      <c r="L94" s="29" t="str">
        <f>D183</f>
        <v>Farben</v>
      </c>
      <c r="M94" s="26">
        <f>'Referenz Plattenwerk'!S46</f>
        <v>208</v>
      </c>
      <c r="N94" s="26">
        <f>H183</f>
        <v>208</v>
      </c>
      <c r="O94" s="26">
        <f>H252</f>
        <v>208</v>
      </c>
      <c r="P94" s="25" t="s">
        <v>162</v>
      </c>
      <c r="Q94" s="3"/>
      <c r="R94" s="3"/>
      <c r="S94" s="3"/>
      <c r="T94" s="31" t="s">
        <v>156</v>
      </c>
      <c r="U94" s="52">
        <f>'Referenz Plattenwerk'!AB27</f>
        <v>4297.5</v>
      </c>
      <c r="V94" s="52">
        <f>S176</f>
        <v>5620.160118992103</v>
      </c>
      <c r="W94" s="52">
        <f>S245</f>
        <v>4924.2043876888438</v>
      </c>
      <c r="X94" s="3"/>
      <c r="Y94" s="114"/>
      <c r="Z94" s="114"/>
      <c r="AA94" s="63"/>
    </row>
    <row r="95" spans="2:27" ht="15.75" x14ac:dyDescent="0.3">
      <c r="B95" s="3"/>
      <c r="C95" s="3"/>
      <c r="D95" s="3"/>
      <c r="E95" s="3"/>
      <c r="F95" s="3"/>
      <c r="G95" s="3"/>
      <c r="H95" s="3"/>
      <c r="I95" s="3"/>
      <c r="J95" s="3"/>
      <c r="K95" s="3"/>
      <c r="L95" s="8" t="str">
        <f>C185</f>
        <v>Zusatzstoffe (Füllstoffe)</v>
      </c>
      <c r="M95" s="9">
        <f>'Referenz Plattenwerk'!S48</f>
        <v>81.003999999999991</v>
      </c>
      <c r="N95" s="9">
        <f>H185</f>
        <v>81.003999999999991</v>
      </c>
      <c r="O95" s="9">
        <f>H254</f>
        <v>81.003999999999991</v>
      </c>
      <c r="P95" s="3" t="s">
        <v>162</v>
      </c>
      <c r="Q95" s="3"/>
      <c r="R95" s="3"/>
      <c r="S95" s="3"/>
      <c r="T95" s="31" t="s">
        <v>157</v>
      </c>
      <c r="U95" s="52">
        <f>'Referenz Plattenwerk'!AB28</f>
        <v>145788.24057023795</v>
      </c>
      <c r="V95" s="52">
        <f>S177</f>
        <v>262097.10765190941</v>
      </c>
      <c r="W95" s="52">
        <f>S246</f>
        <v>465186.91581081186</v>
      </c>
      <c r="X95" s="3"/>
      <c r="Y95" s="114"/>
      <c r="Z95" s="114"/>
      <c r="AA95" s="63"/>
    </row>
    <row r="96" spans="2:27" ht="16.5" thickBot="1" x14ac:dyDescent="0.35">
      <c r="B96" s="3"/>
      <c r="C96" s="3"/>
      <c r="D96" s="3"/>
      <c r="E96" s="3"/>
      <c r="F96" s="3"/>
      <c r="G96" s="3"/>
      <c r="H96" s="3"/>
      <c r="I96" s="3"/>
      <c r="J96" s="3"/>
      <c r="K96" s="3"/>
      <c r="L96" s="29" t="str">
        <f>C190</f>
        <v>Zusatzmittel</v>
      </c>
      <c r="M96" s="26">
        <f>'Referenz Plattenwerk'!S53</f>
        <v>148.44746134951595</v>
      </c>
      <c r="N96" s="26">
        <f>H190</f>
        <v>148.44746134951595</v>
      </c>
      <c r="O96" s="26">
        <f>H259</f>
        <v>148.44746134951595</v>
      </c>
      <c r="P96" s="25" t="s">
        <v>162</v>
      </c>
      <c r="Q96" s="3"/>
      <c r="R96" s="3"/>
      <c r="S96" s="3"/>
      <c r="T96" s="27" t="s">
        <v>69</v>
      </c>
      <c r="U96" s="56">
        <f>U92+U91+U90+U89+U81</f>
        <v>262128.04944673795</v>
      </c>
      <c r="V96" s="56">
        <f t="shared" ref="V96:W96" si="3">V92+V91+V90+V89+V81</f>
        <v>409774.23613099148</v>
      </c>
      <c r="W96" s="56">
        <f t="shared" si="3"/>
        <v>643504.3970740207</v>
      </c>
      <c r="X96" s="3"/>
      <c r="Y96" s="114"/>
      <c r="Z96" s="114"/>
      <c r="AA96" s="63"/>
    </row>
    <row r="97" spans="2:27" ht="16.5" thickTop="1" x14ac:dyDescent="0.3">
      <c r="B97" s="3"/>
      <c r="C97" s="3"/>
      <c r="D97" s="3"/>
      <c r="E97" s="3"/>
      <c r="F97" s="3"/>
      <c r="G97" s="3"/>
      <c r="H97" s="3"/>
      <c r="I97" s="3"/>
      <c r="J97" s="3"/>
      <c r="K97" s="3"/>
      <c r="L97" s="8" t="s">
        <v>193</v>
      </c>
      <c r="M97" s="9">
        <f>'Referenz Plattenwerk'!S59+'Referenz Plattenwerk'!S60</f>
        <v>0.54400000000000004</v>
      </c>
      <c r="N97" s="9">
        <f>H196+H197</f>
        <v>0.54400000000000004</v>
      </c>
      <c r="O97" s="9">
        <f>H265+H266</f>
        <v>0.54400000000000004</v>
      </c>
      <c r="P97" s="3" t="s">
        <v>162</v>
      </c>
      <c r="Q97" s="3"/>
      <c r="R97" s="3"/>
      <c r="S97" s="3"/>
      <c r="T97" s="3"/>
      <c r="U97" s="3"/>
      <c r="V97" s="3"/>
      <c r="W97" s="3"/>
      <c r="X97" s="3"/>
      <c r="Y97" s="63"/>
      <c r="Z97" s="63"/>
      <c r="AA97" s="63"/>
    </row>
    <row r="98" spans="2:27" ht="16.5" thickBot="1" x14ac:dyDescent="0.35">
      <c r="B98" s="3"/>
      <c r="C98" s="3"/>
      <c r="D98" s="3"/>
      <c r="E98" s="3"/>
      <c r="F98" s="3"/>
      <c r="G98" s="3"/>
      <c r="H98" s="3"/>
      <c r="I98" s="3"/>
      <c r="J98" s="3"/>
      <c r="K98" s="3"/>
      <c r="L98" s="29" t="str">
        <f>C199</f>
        <v>Oberflächenschutzsysteme</v>
      </c>
      <c r="M98" s="26">
        <f>'Referenz Plattenwerk'!S62</f>
        <v>80.47999999999999</v>
      </c>
      <c r="N98" s="26">
        <f>H199</f>
        <v>80.47999999999999</v>
      </c>
      <c r="O98" s="26">
        <f>H268</f>
        <v>80.47999999999999</v>
      </c>
      <c r="P98" s="25" t="s">
        <v>162</v>
      </c>
      <c r="Q98" s="3"/>
      <c r="R98" s="3"/>
      <c r="S98" s="3"/>
      <c r="T98" s="105" t="s">
        <v>210</v>
      </c>
      <c r="U98" s="106">
        <f>U96-U95</f>
        <v>116339.8088765</v>
      </c>
      <c r="V98" s="106">
        <f>V96-V95</f>
        <v>147677.12847908208</v>
      </c>
      <c r="W98" s="106">
        <f>W96-W95</f>
        <v>178317.48126320884</v>
      </c>
      <c r="X98" s="3"/>
      <c r="Y98" s="3"/>
      <c r="Z98" s="3"/>
      <c r="AA98" s="3"/>
    </row>
    <row r="99" spans="2:27" ht="16.5" thickBot="1" x14ac:dyDescent="0.35">
      <c r="B99" s="3"/>
      <c r="C99" s="3"/>
      <c r="D99" s="3"/>
      <c r="E99" s="3"/>
      <c r="F99" s="3"/>
      <c r="G99" s="3"/>
      <c r="H99" s="3"/>
      <c r="I99" s="3"/>
      <c r="J99" s="3"/>
      <c r="K99" s="3"/>
      <c r="L99" s="8" t="str">
        <f>C204</f>
        <v>Oberflächenbearbeitung (vor/nach Erhärtung)</v>
      </c>
      <c r="M99" s="9">
        <f>'Referenz Plattenwerk'!S67</f>
        <v>60</v>
      </c>
      <c r="N99" s="9">
        <f>H204</f>
        <v>60</v>
      </c>
      <c r="O99" s="9">
        <f>H273</f>
        <v>60</v>
      </c>
      <c r="P99" s="3" t="s">
        <v>162</v>
      </c>
      <c r="Q99" s="3"/>
      <c r="R99" s="3"/>
      <c r="S99" s="3"/>
      <c r="T99" s="107" t="s">
        <v>159</v>
      </c>
      <c r="U99" s="108">
        <f>U96-U92</f>
        <v>109669</v>
      </c>
      <c r="V99" s="108">
        <f>V96-V92</f>
        <v>137850.79999999999</v>
      </c>
      <c r="W99" s="108">
        <f>W96-W92</f>
        <v>166032.59999999998</v>
      </c>
      <c r="X99" s="3"/>
      <c r="Y99" s="3"/>
      <c r="Z99" s="3"/>
      <c r="AA99" s="3"/>
    </row>
    <row r="100" spans="2:27" ht="15.75" x14ac:dyDescent="0.3">
      <c r="B100" s="3"/>
      <c r="C100" s="3"/>
      <c r="D100" s="3"/>
      <c r="E100" s="3"/>
      <c r="F100" s="3"/>
      <c r="G100" s="3"/>
      <c r="H100" s="3"/>
      <c r="I100" s="3"/>
      <c r="J100" s="3"/>
      <c r="K100" s="3"/>
      <c r="L100" s="29" t="str">
        <f>D209</f>
        <v>Verpackungsmaterial</v>
      </c>
      <c r="M100" s="26">
        <f>'Referenz Plattenwerk'!S72</f>
        <v>64.48</v>
      </c>
      <c r="N100" s="26">
        <f>H209</f>
        <v>64.48</v>
      </c>
      <c r="O100" s="26">
        <f>H278</f>
        <v>64.48</v>
      </c>
      <c r="P100" s="25" t="s">
        <v>162</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69</v>
      </c>
      <c r="M101" s="28">
        <f>SUM(M90:M100)</f>
        <v>5831.529622809514</v>
      </c>
      <c r="N101" s="28">
        <f t="shared" ref="N101" si="4">SUM(N90:N100)</f>
        <v>5824.3801700424247</v>
      </c>
      <c r="O101" s="28">
        <f>SUM(O90:O100)</f>
        <v>5814.8364476351426</v>
      </c>
      <c r="P101" s="27" t="s">
        <v>163</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8"/>
      <c r="M102" s="83"/>
      <c r="N102" s="83"/>
      <c r="O102" s="83"/>
      <c r="P102" s="8"/>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8"/>
      <c r="M103" s="83"/>
      <c r="N103" s="83"/>
      <c r="O103" s="83"/>
      <c r="P103" s="8"/>
      <c r="Q103" s="3"/>
      <c r="R103" s="3"/>
      <c r="S103" s="3"/>
      <c r="T103" s="3"/>
      <c r="U103" s="3"/>
      <c r="V103" s="3"/>
      <c r="W103" s="3"/>
      <c r="X103" s="3"/>
      <c r="Y103" s="3"/>
      <c r="Z103" s="3"/>
      <c r="AA103" s="3"/>
    </row>
    <row r="104" spans="2:27" ht="15" x14ac:dyDescent="0.25">
      <c r="B104" s="3"/>
      <c r="C104" s="3"/>
      <c r="D104" s="3"/>
      <c r="E104" s="3"/>
      <c r="F104" s="3"/>
      <c r="G104" s="3"/>
      <c r="H104" s="3"/>
      <c r="I104" s="3"/>
      <c r="J104" s="3"/>
      <c r="K104" s="3"/>
      <c r="L104" s="23" t="s">
        <v>208</v>
      </c>
      <c r="M104" s="3"/>
      <c r="N104" s="3"/>
      <c r="O104" s="3"/>
      <c r="P104" s="3"/>
      <c r="Q104" s="3"/>
      <c r="R104" s="3"/>
      <c r="S104" s="3"/>
      <c r="T104" s="3"/>
      <c r="U104" s="3"/>
      <c r="V104" s="3"/>
      <c r="W104" s="3"/>
      <c r="X104" s="3"/>
      <c r="Y104" s="3"/>
      <c r="Z104" s="3"/>
      <c r="AA104" s="3"/>
    </row>
    <row r="105" spans="2:27" ht="15" x14ac:dyDescent="0.25">
      <c r="B105" s="3"/>
      <c r="C105" s="3"/>
      <c r="D105" s="3"/>
      <c r="E105" s="3"/>
      <c r="F105" s="3"/>
      <c r="G105" s="3"/>
      <c r="H105" s="3"/>
      <c r="I105" s="3"/>
      <c r="J105" s="3"/>
      <c r="K105" s="3"/>
      <c r="L105" s="34"/>
      <c r="M105" s="46">
        <v>2020</v>
      </c>
      <c r="N105" s="47">
        <v>2025</v>
      </c>
      <c r="O105" s="47">
        <v>2030</v>
      </c>
      <c r="P105" s="34"/>
      <c r="Q105" s="3"/>
      <c r="R105" s="3"/>
      <c r="S105" s="3"/>
      <c r="T105" s="3"/>
      <c r="U105" s="3"/>
      <c r="V105" s="3"/>
      <c r="W105" s="3"/>
      <c r="X105" s="3"/>
      <c r="Y105" s="3"/>
      <c r="Z105" s="3"/>
      <c r="AA105" s="3"/>
    </row>
    <row r="106" spans="2:27" x14ac:dyDescent="0.2">
      <c r="B106" s="3"/>
      <c r="C106" s="3"/>
      <c r="D106" s="3"/>
      <c r="E106" s="3"/>
      <c r="F106" s="3"/>
      <c r="G106" s="3"/>
      <c r="H106" s="3"/>
      <c r="I106" s="3"/>
      <c r="J106" s="3"/>
      <c r="K106" s="3"/>
      <c r="L106" s="24"/>
      <c r="M106" s="48" t="s">
        <v>89</v>
      </c>
      <c r="N106" s="49"/>
      <c r="O106" s="49"/>
      <c r="P106" s="24"/>
      <c r="Q106" s="3"/>
      <c r="R106" s="3"/>
      <c r="S106" s="3"/>
      <c r="T106" s="3"/>
      <c r="U106" s="3"/>
      <c r="V106" s="3"/>
      <c r="W106" s="3"/>
      <c r="X106" s="3"/>
      <c r="Y106" s="3"/>
      <c r="Z106" s="3"/>
      <c r="AA106" s="3"/>
    </row>
    <row r="107" spans="2:27" ht="15.75" x14ac:dyDescent="0.3">
      <c r="B107" s="3"/>
      <c r="C107" s="3"/>
      <c r="D107" s="3"/>
      <c r="E107" s="3"/>
      <c r="F107" s="3"/>
      <c r="G107" s="3"/>
      <c r="H107" s="3"/>
      <c r="I107" s="3"/>
      <c r="J107" s="3"/>
      <c r="K107" s="3"/>
      <c r="L107" s="29" t="s">
        <v>115</v>
      </c>
      <c r="M107" s="98">
        <f>M81/IF(NOT(ISBLANK('Referenz Plattenwerk'!$I$12)),'Referenz Plattenwerk'!$I$12,'Referenz Plattenwerk'!$F$12)</f>
        <v>2.3733088764999999E-3</v>
      </c>
      <c r="N107" s="98">
        <f>N81/IF(NOT(ISBLANK('Referenz Plattenwerk'!$I$12)),'Referenz Plattenwerk'!$I$12,'Referenz Plattenwerk'!$F$12)</f>
        <v>2.3367602000499998E-3</v>
      </c>
      <c r="O107" s="98">
        <f>O81/IF(NOT(ISBLANK('Referenz Plattenwerk'!$I$12)),'Referenz Plattenwerk'!$I$12,'Referenz Plattenwerk'!$F$12)</f>
        <v>2.3002115235999997E-3</v>
      </c>
      <c r="P107" s="25" t="s">
        <v>207</v>
      </c>
      <c r="Q107" s="3"/>
      <c r="R107" s="3"/>
      <c r="S107" s="3"/>
      <c r="T107" s="3"/>
      <c r="U107" s="3"/>
      <c r="V107" s="3"/>
      <c r="W107" s="3"/>
      <c r="X107" s="3"/>
      <c r="Y107" s="3"/>
      <c r="Z107" s="3"/>
      <c r="AA107" s="3"/>
    </row>
    <row r="108" spans="2:27" ht="15.75" x14ac:dyDescent="0.3">
      <c r="B108" s="3"/>
      <c r="C108" s="3"/>
      <c r="D108" s="3"/>
      <c r="E108" s="3"/>
      <c r="F108" s="3"/>
      <c r="G108" s="3"/>
      <c r="H108" s="3"/>
      <c r="I108" s="3"/>
      <c r="J108" s="3"/>
      <c r="K108" s="3"/>
      <c r="L108" s="8" t="s">
        <v>28</v>
      </c>
      <c r="M108" s="99">
        <f>M82/IF(NOT(ISBLANK('Referenz Plattenwerk'!$I$12)),'Referenz Plattenwerk'!$I$12,'Referenz Plattenwerk'!$F$12)</f>
        <v>4.2975000000000001E-3</v>
      </c>
      <c r="N108" s="99">
        <f>N82/IF(NOT(ISBLANK('Referenz Plattenwerk'!$I$12)),'Referenz Plattenwerk'!$I$12,'Referenz Plattenwerk'!$F$12)</f>
        <v>3.122311177217835E-3</v>
      </c>
      <c r="O108" s="99">
        <f>O82/IF(NOT(ISBLANK('Referenz Plattenwerk'!$I$12)),'Referenz Plattenwerk'!$I$12,'Referenz Plattenwerk'!$F$12)</f>
        <v>1.5388138711527638E-3</v>
      </c>
      <c r="P108" s="3" t="s">
        <v>207</v>
      </c>
      <c r="Q108" s="3"/>
      <c r="R108" s="3"/>
      <c r="S108" s="3"/>
      <c r="T108" s="3"/>
      <c r="U108" s="3"/>
      <c r="V108" s="3"/>
      <c r="W108" s="3"/>
      <c r="X108" s="3"/>
      <c r="Y108" s="3"/>
      <c r="Z108" s="3"/>
      <c r="AA108" s="3"/>
    </row>
    <row r="109" spans="2:27" ht="15.75" x14ac:dyDescent="0.3">
      <c r="B109" s="3"/>
      <c r="C109" s="3"/>
      <c r="D109" s="3"/>
      <c r="E109" s="3"/>
      <c r="F109" s="3"/>
      <c r="G109" s="3"/>
      <c r="H109" s="3"/>
      <c r="I109" s="3"/>
      <c r="J109" s="3"/>
      <c r="K109" s="3"/>
      <c r="L109" s="29" t="s">
        <v>29</v>
      </c>
      <c r="M109" s="98">
        <f>M83/IF(NOT(ISBLANK('Referenz Plattenwerk'!$I$12)),'Referenz Plattenwerk'!$I$12,'Referenz Plattenwerk'!$F$12)</f>
        <v>0.14578824057023795</v>
      </c>
      <c r="N109" s="98">
        <f>N83/IF(NOT(ISBLANK('Referenz Plattenwerk'!$I$12)),'Referenz Plattenwerk'!$I$12,'Referenz Plattenwerk'!$F$12)</f>
        <v>0.14560950425106078</v>
      </c>
      <c r="O109" s="98">
        <f>O83/IF(NOT(ISBLANK('Referenz Plattenwerk'!$I$12)),'Referenz Plattenwerk'!$I$12,'Referenz Plattenwerk'!$F$12)</f>
        <v>0.14537091119087869</v>
      </c>
      <c r="P109" s="25" t="s">
        <v>207</v>
      </c>
      <c r="Q109" s="3"/>
      <c r="R109" s="3"/>
      <c r="S109" s="3"/>
      <c r="T109" s="3"/>
      <c r="U109" s="3"/>
      <c r="V109" s="3"/>
      <c r="W109" s="3"/>
      <c r="X109" s="3"/>
      <c r="Y109" s="3"/>
      <c r="Z109" s="3"/>
      <c r="AA109" s="3"/>
    </row>
    <row r="110" spans="2:27" ht="15" thickBot="1" x14ac:dyDescent="0.3">
      <c r="B110" s="3"/>
      <c r="C110" s="3"/>
      <c r="D110" s="3"/>
      <c r="E110" s="3"/>
      <c r="F110" s="3"/>
      <c r="G110" s="3"/>
      <c r="H110" s="3"/>
      <c r="I110" s="3"/>
      <c r="J110" s="3"/>
      <c r="K110" s="3"/>
      <c r="L110" s="27" t="s">
        <v>69</v>
      </c>
      <c r="M110" s="100">
        <f>M84/IF(NOT(ISBLANK('Referenz Plattenwerk'!$I$12)),'Referenz Plattenwerk'!$I$12,'Referenz Plattenwerk'!$F$12)</f>
        <v>0.15245904944673794</v>
      </c>
      <c r="N110" s="100">
        <f>N84/IF(NOT(ISBLANK('Referenz Plattenwerk'!$I$12)),'Referenz Plattenwerk'!$I$12,'Referenz Plattenwerk'!$F$12)</f>
        <v>0.15106857562832862</v>
      </c>
      <c r="O110" s="100">
        <f>O84/IF(NOT(ISBLANK('Referenz Plattenwerk'!$I$12)),'Referenz Plattenwerk'!$I$12,'Referenz Plattenwerk'!$F$12)</f>
        <v>0.14920993658563148</v>
      </c>
      <c r="P110" s="27" t="s">
        <v>209</v>
      </c>
      <c r="Q110" s="3"/>
      <c r="R110" s="3"/>
      <c r="S110" s="3"/>
      <c r="T110" s="3"/>
      <c r="U110" s="3"/>
      <c r="V110" s="3"/>
      <c r="W110" s="3"/>
      <c r="X110" s="3"/>
      <c r="Y110" s="3"/>
      <c r="Z110" s="3"/>
      <c r="AA110" s="3"/>
    </row>
    <row r="111" spans="2:27" ht="13.5" thickTop="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6" spans="2:27" hidden="1" outlineLevel="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2:27" ht="15.75" hidden="1" outlineLevel="1" x14ac:dyDescent="0.25">
      <c r="B117" s="3"/>
      <c r="C117" s="3"/>
      <c r="D117" s="62" t="s">
        <v>144</v>
      </c>
      <c r="E117" s="3"/>
      <c r="F117" s="3"/>
      <c r="G117" s="3"/>
      <c r="H117" s="3"/>
      <c r="I117" s="3"/>
      <c r="J117" s="3"/>
      <c r="K117" s="3"/>
      <c r="L117" s="62" t="s">
        <v>144</v>
      </c>
      <c r="M117" s="3"/>
      <c r="N117" s="3"/>
      <c r="O117" s="3"/>
      <c r="P117" s="3"/>
      <c r="Q117" s="3"/>
      <c r="R117" s="3"/>
      <c r="S117" s="62" t="s">
        <v>144</v>
      </c>
      <c r="T117" s="24"/>
      <c r="U117" s="24"/>
      <c r="V117" s="24"/>
      <c r="W117" s="24"/>
      <c r="X117" s="3"/>
      <c r="Y117" s="3"/>
    </row>
    <row r="118" spans="2:27" ht="15" hidden="1" outlineLevel="1" x14ac:dyDescent="0.25">
      <c r="B118" s="3"/>
      <c r="C118" s="3"/>
      <c r="D118" s="35" t="s">
        <v>113</v>
      </c>
      <c r="E118" s="35">
        <v>2020</v>
      </c>
      <c r="F118" s="35">
        <v>2025</v>
      </c>
      <c r="G118" s="35">
        <v>2030</v>
      </c>
      <c r="H118" s="34"/>
      <c r="I118" s="3"/>
      <c r="J118" s="3"/>
      <c r="K118" s="3"/>
      <c r="L118" s="35" t="s">
        <v>264</v>
      </c>
      <c r="M118" s="35">
        <v>2020</v>
      </c>
      <c r="N118" s="35">
        <v>2025</v>
      </c>
      <c r="O118" s="35">
        <v>2030</v>
      </c>
      <c r="P118" s="34"/>
      <c r="Q118" s="3"/>
      <c r="R118" s="3"/>
      <c r="S118" s="3"/>
      <c r="T118" s="46" t="s">
        <v>199</v>
      </c>
      <c r="U118" s="47">
        <v>2020</v>
      </c>
      <c r="V118" s="47">
        <v>2025</v>
      </c>
      <c r="W118" s="47">
        <v>2030</v>
      </c>
      <c r="X118" s="3"/>
      <c r="Y118" s="3"/>
    </row>
    <row r="119" spans="2:27" hidden="1" outlineLevel="1" x14ac:dyDescent="0.2">
      <c r="B119" s="3"/>
      <c r="C119" s="3"/>
      <c r="D119" s="24"/>
      <c r="E119" s="60" t="s">
        <v>89</v>
      </c>
      <c r="F119" s="59"/>
      <c r="G119" s="59"/>
      <c r="H119" s="24"/>
      <c r="I119" s="3"/>
      <c r="J119" s="3"/>
      <c r="K119" s="3"/>
      <c r="L119" s="24"/>
      <c r="M119" s="60" t="s">
        <v>89</v>
      </c>
      <c r="N119" s="59"/>
      <c r="O119" s="59"/>
      <c r="P119" s="24"/>
      <c r="Q119" s="3"/>
      <c r="R119" s="3"/>
      <c r="S119" s="3"/>
      <c r="T119" s="24"/>
      <c r="U119" s="50" t="s">
        <v>89</v>
      </c>
      <c r="V119" s="50"/>
      <c r="W119" s="59"/>
      <c r="X119" s="3"/>
      <c r="Y119" s="3"/>
    </row>
    <row r="120" spans="2:27" ht="15.75" hidden="1" outlineLevel="1" x14ac:dyDescent="0.3">
      <c r="B120" s="3"/>
      <c r="C120" s="3"/>
      <c r="D120" s="3" t="str">
        <f t="shared" ref="D120:D126" si="5">IF($I120,D81,"")</f>
        <v>Erdgas</v>
      </c>
      <c r="E120" s="10">
        <f t="shared" ref="E120:G126" si="6">IF($I120,E81,NA())</f>
        <v>43.0426</v>
      </c>
      <c r="F120" s="10">
        <f t="shared" si="6"/>
        <v>43.0426</v>
      </c>
      <c r="G120" s="10">
        <f t="shared" si="6"/>
        <v>43.0426</v>
      </c>
      <c r="H120" s="3" t="s">
        <v>162</v>
      </c>
      <c r="I120" s="381" t="b">
        <v>1</v>
      </c>
      <c r="J120" s="3"/>
      <c r="K120" s="3"/>
      <c r="L120" s="3" t="str">
        <f t="shared" ref="L120:L130" si="7">IF($Q120,L90,"")</f>
        <v>Energieträger gesamt</v>
      </c>
      <c r="M120" s="9">
        <f>IF($Q120,M90,NA())</f>
        <v>41.281733459999998</v>
      </c>
      <c r="N120" s="9">
        <f>IF($Q120,N90,NA())</f>
        <v>34.132280692910868</v>
      </c>
      <c r="O120" s="9">
        <f t="shared" ref="O120" si="8">IF($Q120,O90,NA())</f>
        <v>24.588558285628775</v>
      </c>
      <c r="P120" s="3" t="s">
        <v>162</v>
      </c>
      <c r="Q120" s="381" t="b">
        <v>1</v>
      </c>
      <c r="R120" s="3"/>
      <c r="S120" s="3"/>
      <c r="T120" s="57" t="s">
        <v>158</v>
      </c>
      <c r="U120" s="58">
        <f>SUM(U121:U127)</f>
        <v>109669</v>
      </c>
      <c r="V120" s="58">
        <f t="shared" ref="V120:W120" si="9">SUM(V121:V127)</f>
        <v>109050.8</v>
      </c>
      <c r="W120" s="58">
        <f t="shared" si="9"/>
        <v>108432.6</v>
      </c>
      <c r="X120" s="3"/>
      <c r="Y120" s="3"/>
    </row>
    <row r="121" spans="2:27" ht="15.75" hidden="1" outlineLevel="1" x14ac:dyDescent="0.3">
      <c r="B121" s="3"/>
      <c r="C121" s="3"/>
      <c r="D121" s="3" t="str">
        <f t="shared" si="5"/>
        <v>Heizöl</v>
      </c>
      <c r="E121" s="10">
        <f t="shared" si="6"/>
        <v>16.005600000000001</v>
      </c>
      <c r="F121" s="10">
        <f t="shared" si="6"/>
        <v>16.005600000000001</v>
      </c>
      <c r="G121" s="10">
        <f t="shared" si="6"/>
        <v>16.005600000000001</v>
      </c>
      <c r="H121" s="3" t="s">
        <v>162</v>
      </c>
      <c r="I121" s="381" t="b">
        <v>1</v>
      </c>
      <c r="J121" s="3"/>
      <c r="K121" s="3"/>
      <c r="L121" s="3" t="str">
        <f t="shared" si="7"/>
        <v>Transport gesamt</v>
      </c>
      <c r="M121" s="9">
        <f t="shared" ref="M121:O130" si="10">IF($Q121,M91,NA())</f>
        <v>469.15642799999995</v>
      </c>
      <c r="N121" s="9">
        <f t="shared" si="10"/>
        <v>469.15642799999995</v>
      </c>
      <c r="O121" s="9">
        <f t="shared" si="10"/>
        <v>469.15642799999995</v>
      </c>
      <c r="P121" s="3" t="s">
        <v>162</v>
      </c>
      <c r="Q121" s="381" t="b">
        <v>1</v>
      </c>
      <c r="R121" s="3"/>
      <c r="S121" s="3"/>
      <c r="T121" s="31" t="s">
        <v>31</v>
      </c>
      <c r="U121" s="52">
        <f>U82</f>
        <v>14335</v>
      </c>
      <c r="V121" s="52">
        <f t="shared" ref="V121:W121" si="11">V82</f>
        <v>14335</v>
      </c>
      <c r="W121" s="52">
        <f t="shared" si="11"/>
        <v>14335</v>
      </c>
      <c r="X121" s="3"/>
      <c r="Y121" s="3"/>
    </row>
    <row r="122" spans="2:27" ht="15.75" hidden="1" outlineLevel="1" x14ac:dyDescent="0.3">
      <c r="B122" s="3"/>
      <c r="C122" s="3"/>
      <c r="D122" s="3" t="str">
        <f t="shared" si="5"/>
        <v>Strom</v>
      </c>
      <c r="E122" s="10">
        <f t="shared" si="6"/>
        <v>171.9</v>
      </c>
      <c r="F122" s="10">
        <f t="shared" si="6"/>
        <v>124.8924470887134</v>
      </c>
      <c r="G122" s="10">
        <f t="shared" si="6"/>
        <v>61.552554846110553</v>
      </c>
      <c r="H122" s="3" t="s">
        <v>162</v>
      </c>
      <c r="I122" s="381" t="b">
        <v>1</v>
      </c>
      <c r="J122" s="3"/>
      <c r="K122" s="3"/>
      <c r="L122" s="3" t="str">
        <f t="shared" si="7"/>
        <v>Zement</v>
      </c>
      <c r="M122" s="9">
        <f t="shared" si="10"/>
        <v>4548.5439999999999</v>
      </c>
      <c r="N122" s="9">
        <f t="shared" si="10"/>
        <v>4548.5439999999999</v>
      </c>
      <c r="O122" s="9">
        <f t="shared" si="10"/>
        <v>4548.5439999999999</v>
      </c>
      <c r="P122" s="3" t="s">
        <v>162</v>
      </c>
      <c r="Q122" s="381" t="b">
        <v>1</v>
      </c>
      <c r="R122" s="3"/>
      <c r="S122" s="3"/>
      <c r="T122" s="31" t="s">
        <v>32</v>
      </c>
      <c r="U122" s="52">
        <f t="shared" ref="U122:W127" si="12">U83</f>
        <v>2760</v>
      </c>
      <c r="V122" s="52">
        <f t="shared" si="12"/>
        <v>2760</v>
      </c>
      <c r="W122" s="52">
        <f t="shared" si="12"/>
        <v>2760</v>
      </c>
      <c r="X122" s="3"/>
      <c r="Y122" s="3"/>
    </row>
    <row r="123" spans="2:27" ht="15.75" hidden="1" outlineLevel="1" x14ac:dyDescent="0.3">
      <c r="B123" s="3"/>
      <c r="C123" s="3"/>
      <c r="D123" s="3" t="str">
        <f t="shared" si="5"/>
        <v/>
      </c>
      <c r="E123" s="10" t="e">
        <f t="shared" si="6"/>
        <v>#N/A</v>
      </c>
      <c r="F123" s="10" t="e">
        <f t="shared" si="6"/>
        <v>#N/A</v>
      </c>
      <c r="G123" s="10" t="e">
        <f t="shared" si="6"/>
        <v>#N/A</v>
      </c>
      <c r="H123" s="3" t="s">
        <v>162</v>
      </c>
      <c r="I123" s="381" t="b">
        <v>0</v>
      </c>
      <c r="J123" s="3"/>
      <c r="K123" s="3"/>
      <c r="L123" s="3" t="str">
        <f t="shared" si="7"/>
        <v>Gesteinskörnungen (Zuschlagsstoffe)</v>
      </c>
      <c r="M123" s="9">
        <f t="shared" si="10"/>
        <v>129.59200000000001</v>
      </c>
      <c r="N123" s="9">
        <f t="shared" si="10"/>
        <v>129.59200000000001</v>
      </c>
      <c r="O123" s="9">
        <f t="shared" si="10"/>
        <v>129.59200000000001</v>
      </c>
      <c r="P123" s="3" t="s">
        <v>162</v>
      </c>
      <c r="Q123" s="381" t="b">
        <v>1</v>
      </c>
      <c r="R123" s="3"/>
      <c r="S123" s="3"/>
      <c r="T123" s="31" t="s">
        <v>33</v>
      </c>
      <c r="U123" s="52">
        <f t="shared" si="12"/>
        <v>77400</v>
      </c>
      <c r="V123" s="52">
        <f t="shared" si="12"/>
        <v>77400</v>
      </c>
      <c r="W123" s="52">
        <f t="shared" si="12"/>
        <v>77400</v>
      </c>
      <c r="X123" s="3"/>
      <c r="Y123" s="3"/>
    </row>
    <row r="124" spans="2:27" ht="15.75" hidden="1" outlineLevel="1" x14ac:dyDescent="0.3">
      <c r="B124" s="3"/>
      <c r="C124" s="3"/>
      <c r="D124" s="3" t="str">
        <f t="shared" si="5"/>
        <v/>
      </c>
      <c r="E124" s="10" t="e">
        <f t="shared" si="6"/>
        <v>#N/A</v>
      </c>
      <c r="F124" s="10" t="e">
        <f t="shared" si="6"/>
        <v>#N/A</v>
      </c>
      <c r="G124" s="10" t="e">
        <f t="shared" si="6"/>
        <v>#N/A</v>
      </c>
      <c r="H124" s="3" t="s">
        <v>162</v>
      </c>
      <c r="I124" s="381" t="b">
        <v>0</v>
      </c>
      <c r="J124" s="3"/>
      <c r="K124" s="3"/>
      <c r="L124" s="3" t="str">
        <f t="shared" si="7"/>
        <v>Farben</v>
      </c>
      <c r="M124" s="9">
        <f t="shared" si="10"/>
        <v>208</v>
      </c>
      <c r="N124" s="9">
        <f t="shared" si="10"/>
        <v>208</v>
      </c>
      <c r="O124" s="9">
        <f t="shared" si="10"/>
        <v>208</v>
      </c>
      <c r="P124" s="3" t="s">
        <v>162</v>
      </c>
      <c r="Q124" s="381" t="b">
        <v>1</v>
      </c>
      <c r="R124" s="3"/>
      <c r="S124" s="3"/>
      <c r="T124" s="31" t="s">
        <v>122</v>
      </c>
      <c r="U124" s="52">
        <f t="shared" si="12"/>
        <v>0</v>
      </c>
      <c r="V124" s="52">
        <f t="shared" si="12"/>
        <v>0</v>
      </c>
      <c r="W124" s="52">
        <f t="shared" si="12"/>
        <v>0</v>
      </c>
      <c r="X124" s="3"/>
      <c r="Y124" s="3"/>
    </row>
    <row r="125" spans="2:27" ht="15.75" hidden="1" outlineLevel="1" x14ac:dyDescent="0.3">
      <c r="B125" s="3"/>
      <c r="C125" s="3"/>
      <c r="D125" s="3" t="str">
        <f t="shared" si="5"/>
        <v/>
      </c>
      <c r="E125" s="10" t="e">
        <f t="shared" si="6"/>
        <v>#N/A</v>
      </c>
      <c r="F125" s="10" t="e">
        <f t="shared" si="6"/>
        <v>#N/A</v>
      </c>
      <c r="G125" s="10" t="e">
        <f t="shared" si="6"/>
        <v>#N/A</v>
      </c>
      <c r="H125" s="3" t="s">
        <v>162</v>
      </c>
      <c r="I125" s="381" t="b">
        <v>0</v>
      </c>
      <c r="J125" s="3"/>
      <c r="K125" s="3"/>
      <c r="L125" s="3" t="str">
        <f t="shared" si="7"/>
        <v>Zusatzstoffe (Füllstoffe)</v>
      </c>
      <c r="M125" s="9">
        <f t="shared" si="10"/>
        <v>81.003999999999991</v>
      </c>
      <c r="N125" s="9">
        <f t="shared" si="10"/>
        <v>81.003999999999991</v>
      </c>
      <c r="O125" s="9">
        <f t="shared" si="10"/>
        <v>81.003999999999991</v>
      </c>
      <c r="P125" s="3" t="s">
        <v>162</v>
      </c>
      <c r="Q125" s="381" t="b">
        <v>1</v>
      </c>
      <c r="R125" s="3"/>
      <c r="S125" s="3"/>
      <c r="T125" s="31" t="s">
        <v>123</v>
      </c>
      <c r="U125" s="52">
        <f t="shared" si="12"/>
        <v>0</v>
      </c>
      <c r="V125" s="52">
        <f t="shared" si="12"/>
        <v>0</v>
      </c>
      <c r="W125" s="52">
        <f t="shared" si="12"/>
        <v>0</v>
      </c>
      <c r="X125" s="3"/>
      <c r="Y125" s="3"/>
    </row>
    <row r="126" spans="2:27" ht="15.75" hidden="1" outlineLevel="1" x14ac:dyDescent="0.3">
      <c r="B126" s="3"/>
      <c r="C126" s="3"/>
      <c r="D126" s="3" t="str">
        <f t="shared" si="5"/>
        <v>Diesel</v>
      </c>
      <c r="E126" s="10">
        <f t="shared" si="6"/>
        <v>35.884155059999998</v>
      </c>
      <c r="F126" s="10">
        <f t="shared" si="6"/>
        <v>34.422208001999998</v>
      </c>
      <c r="G126" s="10">
        <f>IF($I126,G87,NA())</f>
        <v>32.960260943999998</v>
      </c>
      <c r="H126" s="3" t="s">
        <v>162</v>
      </c>
      <c r="I126" s="381" t="b">
        <v>1</v>
      </c>
      <c r="J126" s="3"/>
      <c r="K126" s="3"/>
      <c r="L126" s="3" t="str">
        <f t="shared" si="7"/>
        <v>Zusatzmittel</v>
      </c>
      <c r="M126" s="9">
        <f t="shared" si="10"/>
        <v>148.44746134951595</v>
      </c>
      <c r="N126" s="9">
        <f t="shared" si="10"/>
        <v>148.44746134951595</v>
      </c>
      <c r="O126" s="9">
        <f t="shared" si="10"/>
        <v>148.44746134951595</v>
      </c>
      <c r="P126" s="3" t="s">
        <v>162</v>
      </c>
      <c r="Q126" s="381" t="b">
        <v>1</v>
      </c>
      <c r="R126" s="3"/>
      <c r="S126" s="3"/>
      <c r="T126" s="31" t="s">
        <v>124</v>
      </c>
      <c r="U126" s="52">
        <f t="shared" si="12"/>
        <v>0</v>
      </c>
      <c r="V126" s="52">
        <f t="shared" si="12"/>
        <v>0</v>
      </c>
      <c r="W126" s="52">
        <f t="shared" si="12"/>
        <v>0</v>
      </c>
      <c r="X126" s="3"/>
      <c r="Y126" s="3"/>
    </row>
    <row r="127" spans="2:27" ht="16.5" hidden="1" outlineLevel="1" thickBot="1" x14ac:dyDescent="0.35">
      <c r="B127" s="3"/>
      <c r="C127" s="3"/>
      <c r="D127" s="27" t="s">
        <v>69</v>
      </c>
      <c r="E127" s="33">
        <f>SUMIF($I$120:$I$126,"WAHR",E120:E126)</f>
        <v>266.83235506</v>
      </c>
      <c r="F127" s="33">
        <f>SUMIF($I$120:$I$126,"WAHR",F120:F126)</f>
        <v>218.3628550907134</v>
      </c>
      <c r="G127" s="33">
        <f>SUMIF($I$120:$I$126,"WAHR",G120:G126)</f>
        <v>153.56101579011056</v>
      </c>
      <c r="H127" s="27" t="s">
        <v>163</v>
      </c>
      <c r="I127" s="3"/>
      <c r="J127" s="3"/>
      <c r="K127" s="3"/>
      <c r="L127" s="3" t="str">
        <f t="shared" si="7"/>
        <v/>
      </c>
      <c r="M127" s="9" t="e">
        <f t="shared" si="10"/>
        <v>#N/A</v>
      </c>
      <c r="N127" s="9" t="e">
        <f t="shared" si="10"/>
        <v>#N/A</v>
      </c>
      <c r="O127" s="9" t="e">
        <f t="shared" si="10"/>
        <v>#N/A</v>
      </c>
      <c r="P127" s="3" t="s">
        <v>162</v>
      </c>
      <c r="Q127" s="381" t="b">
        <v>0</v>
      </c>
      <c r="R127" s="3"/>
      <c r="S127" s="3"/>
      <c r="T127" s="51" t="s">
        <v>34</v>
      </c>
      <c r="U127" s="53">
        <f t="shared" si="12"/>
        <v>15174.000000000002</v>
      </c>
      <c r="V127" s="54">
        <f t="shared" si="12"/>
        <v>14555.800000000001</v>
      </c>
      <c r="W127" s="54">
        <f t="shared" si="12"/>
        <v>13937.6</v>
      </c>
      <c r="X127" s="3"/>
      <c r="Y127" s="3"/>
    </row>
    <row r="128" spans="2:27" ht="16.5" hidden="1" outlineLevel="1" thickTop="1" x14ac:dyDescent="0.3">
      <c r="B128" s="3"/>
      <c r="C128" s="3"/>
      <c r="D128" s="3"/>
      <c r="E128" s="3"/>
      <c r="F128" s="3"/>
      <c r="G128" s="3"/>
      <c r="H128" s="3"/>
      <c r="I128" s="3"/>
      <c r="J128" s="3"/>
      <c r="K128" s="3"/>
      <c r="L128" s="3" t="str">
        <f t="shared" si="7"/>
        <v/>
      </c>
      <c r="M128" s="9" t="e">
        <f t="shared" si="10"/>
        <v>#N/A</v>
      </c>
      <c r="N128" s="9" t="e">
        <f t="shared" si="10"/>
        <v>#N/A</v>
      </c>
      <c r="O128" s="9" t="e">
        <f t="shared" si="10"/>
        <v>#N/A</v>
      </c>
      <c r="P128" s="3" t="s">
        <v>162</v>
      </c>
      <c r="Q128" s="381" t="b">
        <v>0</v>
      </c>
      <c r="R128" s="3"/>
      <c r="S128" s="3"/>
      <c r="T128" s="8" t="str">
        <f>IF(X128,"CAPEX","")</f>
        <v>CAPEX</v>
      </c>
      <c r="U128" s="55">
        <f>IF($X128,U89,NA())</f>
        <v>0</v>
      </c>
      <c r="V128" s="55">
        <f t="shared" ref="V128:W130" si="13">IF($X128,V89,NA())</f>
        <v>28800</v>
      </c>
      <c r="W128" s="55">
        <f t="shared" si="13"/>
        <v>57600</v>
      </c>
      <c r="X128" s="381" t="b">
        <v>1</v>
      </c>
      <c r="Y128" s="3"/>
    </row>
    <row r="129" spans="2:25" ht="15.75" hidden="1" outlineLevel="1" x14ac:dyDescent="0.3">
      <c r="B129" s="3"/>
      <c r="C129" s="3"/>
      <c r="D129" s="3"/>
      <c r="E129" s="3"/>
      <c r="F129" s="3"/>
      <c r="G129" s="3"/>
      <c r="H129" s="3"/>
      <c r="I129" s="3"/>
      <c r="J129" s="3"/>
      <c r="K129" s="3"/>
      <c r="L129" s="3" t="str">
        <f t="shared" si="7"/>
        <v/>
      </c>
      <c r="M129" s="9" t="e">
        <f t="shared" si="10"/>
        <v>#N/A</v>
      </c>
      <c r="N129" s="9" t="e">
        <f t="shared" si="10"/>
        <v>#N/A</v>
      </c>
      <c r="O129" s="9" t="e">
        <f t="shared" si="10"/>
        <v>#N/A</v>
      </c>
      <c r="P129" s="3" t="s">
        <v>162</v>
      </c>
      <c r="Q129" s="381" t="b">
        <v>0</v>
      </c>
      <c r="R129" s="3"/>
      <c r="S129" s="3"/>
      <c r="T129" s="8" t="str">
        <f>IF(X129,"Zusätzliche jährliche Kosten","")</f>
        <v/>
      </c>
      <c r="U129" s="55" t="e">
        <f>IF($X129,U90,NA())</f>
        <v>#N/A</v>
      </c>
      <c r="V129" s="55" t="e">
        <f t="shared" si="13"/>
        <v>#N/A</v>
      </c>
      <c r="W129" s="55" t="e">
        <f t="shared" si="13"/>
        <v>#N/A</v>
      </c>
      <c r="X129" s="381" t="b">
        <v>0</v>
      </c>
      <c r="Y129" s="3"/>
    </row>
    <row r="130" spans="2:25" ht="15.75" hidden="1" outlineLevel="1" x14ac:dyDescent="0.3">
      <c r="B130" s="3"/>
      <c r="C130" s="3"/>
      <c r="D130" s="3"/>
      <c r="E130" s="3"/>
      <c r="F130" s="3"/>
      <c r="G130" s="3"/>
      <c r="H130" s="3"/>
      <c r="I130" s="3"/>
      <c r="J130" s="3"/>
      <c r="K130" s="3"/>
      <c r="L130" s="3" t="str">
        <f t="shared" si="7"/>
        <v>Verpackungsmaterial</v>
      </c>
      <c r="M130" s="9">
        <f t="shared" si="10"/>
        <v>64.48</v>
      </c>
      <c r="N130" s="9">
        <f t="shared" si="10"/>
        <v>64.48</v>
      </c>
      <c r="O130" s="9">
        <f t="shared" si="10"/>
        <v>64.48</v>
      </c>
      <c r="P130" s="3" t="s">
        <v>162</v>
      </c>
      <c r="Q130" s="381" t="b">
        <v>1</v>
      </c>
      <c r="R130" s="3"/>
      <c r="S130" s="3"/>
      <c r="T130" s="59" t="str">
        <f>IF(X130,"Einmalige Kosten","")</f>
        <v/>
      </c>
      <c r="U130" s="55" t="e">
        <f>IF($X130,U91,NA())</f>
        <v>#N/A</v>
      </c>
      <c r="V130" s="55" t="e">
        <f t="shared" si="13"/>
        <v>#N/A</v>
      </c>
      <c r="W130" s="55" t="e">
        <f t="shared" si="13"/>
        <v>#N/A</v>
      </c>
      <c r="X130" s="381" t="b">
        <v>0</v>
      </c>
      <c r="Y130" s="3"/>
    </row>
    <row r="131" spans="2:25" ht="15" hidden="1" outlineLevel="1" thickBot="1" x14ac:dyDescent="0.3">
      <c r="B131" s="3"/>
      <c r="C131" s="3"/>
      <c r="D131" s="3"/>
      <c r="E131" s="3"/>
      <c r="F131" s="3"/>
      <c r="G131" s="3"/>
      <c r="H131" s="3"/>
      <c r="I131" s="3"/>
      <c r="J131" s="3"/>
      <c r="K131" s="3"/>
      <c r="L131" s="27" t="s">
        <v>69</v>
      </c>
      <c r="M131" s="28">
        <f>SUMIF($Q$120:$Q$130,"WAHR",M120:M130)</f>
        <v>5690.5056228095145</v>
      </c>
      <c r="N131" s="28">
        <f t="shared" ref="N131:O131" si="14">SUMIF($Q$120:$Q$130,"WAHR",N120:N130)</f>
        <v>5683.3561700424252</v>
      </c>
      <c r="O131" s="28">
        <f t="shared" si="14"/>
        <v>5673.8124476351431</v>
      </c>
      <c r="P131" s="27" t="s">
        <v>163</v>
      </c>
      <c r="Q131" s="3"/>
      <c r="R131" s="3"/>
      <c r="S131" s="3"/>
      <c r="T131" s="57" t="str">
        <f>IF(X131,"CO2-Kosten","")</f>
        <v>CO2-Kosten</v>
      </c>
      <c r="U131" s="58">
        <f>IF($X$131,SUMIF($X$132:$X$134,"WAHR",U132:U134),NA())</f>
        <v>152459.04944673795</v>
      </c>
      <c r="V131" s="58">
        <f t="shared" ref="V131:W131" si="15">IF($X$131,SUMIF($X$132:$X$134,"WAHR",V132:V134),NA())</f>
        <v>271923.4361309915</v>
      </c>
      <c r="W131" s="58">
        <f t="shared" si="15"/>
        <v>477471.79707402072</v>
      </c>
      <c r="X131" s="381" t="b">
        <v>1</v>
      </c>
      <c r="Y131" s="3"/>
    </row>
    <row r="132" spans="2:25" ht="16.5" hidden="1" outlineLevel="1" thickTop="1" x14ac:dyDescent="0.3">
      <c r="B132" s="3"/>
      <c r="C132" s="3"/>
      <c r="D132" s="3"/>
      <c r="E132" s="3"/>
      <c r="F132" s="3"/>
      <c r="G132" s="3"/>
      <c r="H132" s="3"/>
      <c r="I132" s="3"/>
      <c r="J132" s="3"/>
      <c r="K132" s="3"/>
      <c r="L132" s="3"/>
      <c r="M132" s="3"/>
      <c r="N132" s="3"/>
      <c r="O132" s="3"/>
      <c r="P132" s="3"/>
      <c r="Q132" s="3"/>
      <c r="R132" s="3"/>
      <c r="S132" s="3"/>
      <c r="T132" s="31" t="s">
        <v>155</v>
      </c>
      <c r="U132" s="52">
        <f>IF($X132,U93,NA())</f>
        <v>2373.3088765000002</v>
      </c>
      <c r="V132" s="52">
        <f t="shared" ref="V132:W132" si="16">IF($X132,V93,NA())</f>
        <v>4206.1683600899996</v>
      </c>
      <c r="W132" s="52">
        <f t="shared" si="16"/>
        <v>7360.6768755199992</v>
      </c>
      <c r="X132" s="381" t="b">
        <v>1</v>
      </c>
      <c r="Y132" s="3"/>
    </row>
    <row r="133" spans="2:25" ht="15.75" hidden="1" outlineLevel="1" x14ac:dyDescent="0.3">
      <c r="B133" s="3"/>
      <c r="C133" s="3"/>
      <c r="D133" s="3"/>
      <c r="E133" s="3"/>
      <c r="F133" s="3"/>
      <c r="G133" s="3"/>
      <c r="H133" s="3"/>
      <c r="I133" s="3"/>
      <c r="J133" s="3"/>
      <c r="K133" s="3"/>
      <c r="L133" s="3"/>
      <c r="M133" s="3"/>
      <c r="N133" s="3"/>
      <c r="O133" s="3"/>
      <c r="P133" s="3"/>
      <c r="Q133" s="3"/>
      <c r="R133" s="3"/>
      <c r="S133" s="3"/>
      <c r="T133" s="31" t="s">
        <v>156</v>
      </c>
      <c r="U133" s="52">
        <f t="shared" ref="U133:W134" si="17">IF($X133,U94,NA())</f>
        <v>4297.5</v>
      </c>
      <c r="V133" s="52">
        <f t="shared" si="17"/>
        <v>5620.160118992103</v>
      </c>
      <c r="W133" s="52">
        <f t="shared" si="17"/>
        <v>4924.2043876888438</v>
      </c>
      <c r="X133" s="381" t="b">
        <v>1</v>
      </c>
      <c r="Y133" s="3"/>
    </row>
    <row r="134" spans="2:25" ht="15.75" hidden="1" outlineLevel="1" x14ac:dyDescent="0.3">
      <c r="B134" s="3"/>
      <c r="C134" s="3"/>
      <c r="D134" s="3"/>
      <c r="E134" s="3"/>
      <c r="F134" s="3"/>
      <c r="G134" s="3"/>
      <c r="H134" s="3"/>
      <c r="I134" s="3"/>
      <c r="J134" s="3"/>
      <c r="K134" s="3"/>
      <c r="L134" s="3"/>
      <c r="M134" s="3"/>
      <c r="N134" s="3"/>
      <c r="O134" s="3"/>
      <c r="P134" s="3"/>
      <c r="Q134" s="3"/>
      <c r="R134" s="3"/>
      <c r="S134" s="3"/>
      <c r="T134" s="31" t="s">
        <v>157</v>
      </c>
      <c r="U134" s="52">
        <f t="shared" si="17"/>
        <v>145788.24057023795</v>
      </c>
      <c r="V134" s="52">
        <f t="shared" si="17"/>
        <v>262097.10765190941</v>
      </c>
      <c r="W134" s="52">
        <f t="shared" si="17"/>
        <v>465186.91581081186</v>
      </c>
      <c r="X134" s="381" t="b">
        <v>1</v>
      </c>
      <c r="Y134" s="3"/>
    </row>
    <row r="135" spans="2:25" ht="13.5" hidden="1" outlineLevel="1" thickBot="1" x14ac:dyDescent="0.25">
      <c r="B135" s="3"/>
      <c r="C135" s="3"/>
      <c r="D135" s="103" t="str">
        <f>IF($G$16&gt;0,"Bitte den Handeingabewert 'Umstellung Dieselstapler' für 2030 und ggf. 2025 auch anpassen. Diese Werte dürfen nicht größer Ihrer Handeingabe 'Anzahl Dieselstapler im Werk' sein. Ansonsten ist die Berechnung fehlerhaft.","")</f>
        <v/>
      </c>
      <c r="E135" s="3"/>
      <c r="F135" s="3"/>
      <c r="G135" s="3"/>
      <c r="H135" s="3"/>
      <c r="I135" s="3"/>
      <c r="J135" s="3"/>
      <c r="K135" s="3"/>
      <c r="L135" s="3"/>
      <c r="M135" s="3"/>
      <c r="N135" s="3"/>
      <c r="O135" s="3"/>
      <c r="P135" s="3"/>
      <c r="Q135" s="3"/>
      <c r="R135" s="3"/>
      <c r="S135" s="3"/>
      <c r="T135" s="27" t="s">
        <v>69</v>
      </c>
      <c r="U135" s="56">
        <f>IF($X$131,U131,0)+IF($X$130,U130,0)+IF($X$129,U129,0)+IF($X$128,U128,0)+U120</f>
        <v>262128.04944673795</v>
      </c>
      <c r="V135" s="56">
        <f t="shared" ref="V135:W135" si="18">IF($X$131,V131,0)+IF($X$130,V130,0)+IF($X$129,V129,0)+IF($X$128,V128,0)+V120</f>
        <v>409774.23613099148</v>
      </c>
      <c r="W135" s="56">
        <f t="shared" si="18"/>
        <v>643504.3970740207</v>
      </c>
      <c r="X135" s="3"/>
      <c r="Y135" s="3"/>
    </row>
    <row r="136" spans="2:25" ht="13.5" hidden="1" outlineLevel="1" thickTop="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hidden="1" outlineLevel="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2:25" hidden="1" outlineLevel="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collapsed="1" x14ac:dyDescent="0.2"/>
    <row r="146" spans="2:20" ht="15.75" hidden="1" outlineLevel="1" x14ac:dyDescent="0.25">
      <c r="B146" s="22"/>
      <c r="C146" s="22" t="s">
        <v>114</v>
      </c>
      <c r="D146" s="17"/>
      <c r="E146" s="17"/>
      <c r="F146" s="17"/>
      <c r="G146" s="17"/>
      <c r="H146" s="17"/>
      <c r="I146" s="17"/>
      <c r="J146" s="17"/>
      <c r="K146" s="17"/>
      <c r="L146" s="17"/>
      <c r="N146" s="22" t="s">
        <v>117</v>
      </c>
      <c r="O146" s="17"/>
      <c r="P146" s="17"/>
      <c r="Q146" s="17"/>
      <c r="R146" s="17"/>
      <c r="S146" s="17"/>
      <c r="T146" s="17"/>
    </row>
    <row r="147" spans="2:20" ht="15" hidden="1" outlineLevel="1" x14ac:dyDescent="0.25">
      <c r="B147" s="65"/>
      <c r="C147" s="65">
        <v>2025</v>
      </c>
      <c r="D147" s="17"/>
      <c r="E147" s="17"/>
      <c r="F147" s="17"/>
      <c r="G147" s="17"/>
      <c r="H147" s="17"/>
      <c r="I147" s="17"/>
      <c r="J147" s="17"/>
      <c r="K147" s="17"/>
      <c r="L147" s="17"/>
      <c r="N147" s="65">
        <v>2025</v>
      </c>
      <c r="O147" s="17"/>
      <c r="P147" s="17"/>
      <c r="Q147" s="17"/>
      <c r="R147" s="17"/>
      <c r="S147" s="17"/>
      <c r="T147" s="17"/>
    </row>
    <row r="148" spans="2:20" ht="15" hidden="1" outlineLevel="1" x14ac:dyDescent="0.25">
      <c r="B148" s="65"/>
      <c r="C148" s="17"/>
      <c r="D148" s="17" t="s">
        <v>230</v>
      </c>
      <c r="E148" s="42">
        <f>IF(NOT(ISBLANK(G23)),G23,E23)</f>
        <v>2</v>
      </c>
      <c r="F148" s="17"/>
      <c r="G148" s="17"/>
      <c r="H148" s="17"/>
      <c r="I148" s="17"/>
      <c r="J148" s="17"/>
      <c r="K148" s="17"/>
      <c r="L148" s="17"/>
      <c r="N148" s="21"/>
      <c r="O148" s="17"/>
      <c r="P148" s="17"/>
      <c r="Q148" s="17"/>
      <c r="R148" s="17"/>
      <c r="S148" s="17"/>
      <c r="T148" s="17"/>
    </row>
    <row r="149" spans="2:20" ht="15" hidden="1" outlineLevel="1" x14ac:dyDescent="0.25">
      <c r="B149" s="65"/>
      <c r="C149" s="17"/>
      <c r="D149" s="17" t="s">
        <v>235</v>
      </c>
      <c r="E149" s="42">
        <f>E148*($E$17-$E$25)</f>
        <v>550</v>
      </c>
      <c r="F149" s="20" t="s">
        <v>236</v>
      </c>
      <c r="G149" s="20"/>
      <c r="H149" s="20"/>
      <c r="I149" s="17"/>
      <c r="J149" s="17"/>
      <c r="K149" s="17"/>
      <c r="L149" s="17"/>
      <c r="N149" s="17"/>
      <c r="O149" s="17"/>
      <c r="P149" s="17"/>
      <c r="Q149" s="17"/>
      <c r="R149" s="17"/>
      <c r="S149" s="17"/>
      <c r="T149" s="17"/>
    </row>
    <row r="150" spans="2:20" hidden="1" outlineLevel="1" x14ac:dyDescent="0.2">
      <c r="B150" s="17"/>
      <c r="C150" s="17"/>
      <c r="D150" s="17"/>
      <c r="E150" s="17"/>
      <c r="F150" s="20"/>
      <c r="G150" s="20"/>
      <c r="H150" s="20"/>
      <c r="I150" s="17"/>
      <c r="J150" s="17"/>
      <c r="K150" s="17"/>
      <c r="L150" s="17"/>
      <c r="N150" s="17"/>
      <c r="O150" s="17"/>
      <c r="P150" s="17"/>
      <c r="Q150" s="17"/>
      <c r="R150" s="17"/>
      <c r="S150" s="17"/>
      <c r="T150" s="17"/>
    </row>
    <row r="151" spans="2:20" ht="25.5" hidden="1" outlineLevel="1" x14ac:dyDescent="0.2">
      <c r="B151" s="17"/>
      <c r="C151" s="17"/>
      <c r="D151" s="17"/>
      <c r="E151" s="17"/>
      <c r="F151" s="36" t="s">
        <v>27</v>
      </c>
      <c r="G151" s="36" t="s">
        <v>82</v>
      </c>
      <c r="H151" s="36" t="s">
        <v>29</v>
      </c>
      <c r="I151" s="17"/>
      <c r="J151" s="40" t="s">
        <v>111</v>
      </c>
      <c r="K151" s="41" t="s">
        <v>39</v>
      </c>
      <c r="L151" s="17"/>
      <c r="N151" s="17"/>
      <c r="O151" s="17"/>
      <c r="P151" s="17"/>
      <c r="Q151" s="18"/>
      <c r="R151" s="18"/>
      <c r="S151" s="18"/>
      <c r="T151" s="18"/>
    </row>
    <row r="152" spans="2:20" ht="14.25" hidden="1" outlineLevel="1" x14ac:dyDescent="0.25">
      <c r="B152" s="77"/>
      <c r="C152" s="77" t="s">
        <v>190</v>
      </c>
      <c r="D152" s="77"/>
      <c r="E152" s="77"/>
      <c r="F152" s="78">
        <f>SUM(F154:F167)</f>
        <v>93.470408001999999</v>
      </c>
      <c r="G152" s="78">
        <f t="shared" ref="G152:H152" si="19">SUM(G154:G167)</f>
        <v>124.8924470887134</v>
      </c>
      <c r="H152" s="78">
        <f t="shared" si="19"/>
        <v>34.132280692910868</v>
      </c>
      <c r="I152" s="77"/>
      <c r="J152" s="78">
        <f>F152+G152</f>
        <v>218.3628550907134</v>
      </c>
      <c r="K152" s="78">
        <f>SUM(F152:H152)</f>
        <v>252.49513578362428</v>
      </c>
      <c r="L152" s="77" t="s">
        <v>197</v>
      </c>
      <c r="N152" s="17"/>
      <c r="O152" s="17"/>
      <c r="P152" s="17"/>
      <c r="Q152" s="18"/>
      <c r="R152" s="18"/>
      <c r="S152" s="18"/>
      <c r="T152" s="18"/>
    </row>
    <row r="153" spans="2:20" hidden="1" outlineLevel="1" x14ac:dyDescent="0.2">
      <c r="B153" s="277"/>
      <c r="C153" s="17" t="s">
        <v>146</v>
      </c>
      <c r="D153" s="17"/>
      <c r="E153" s="17"/>
      <c r="F153" s="17"/>
      <c r="G153" s="17"/>
      <c r="H153" s="17"/>
      <c r="I153" s="17"/>
      <c r="J153" s="17"/>
      <c r="K153" s="17"/>
      <c r="L153" s="17"/>
      <c r="N153" s="17" t="s">
        <v>146</v>
      </c>
      <c r="O153" s="17"/>
      <c r="P153" s="17"/>
      <c r="Q153" s="18"/>
      <c r="R153" s="18"/>
      <c r="S153" s="18"/>
      <c r="T153" s="18"/>
    </row>
    <row r="154" spans="2:20" ht="15.75" hidden="1" outlineLevel="1" x14ac:dyDescent="0.3">
      <c r="B154" s="277"/>
      <c r="C154" s="17"/>
      <c r="D154" s="17" t="s">
        <v>125</v>
      </c>
      <c r="E154" s="17"/>
      <c r="F154" s="38">
        <f>IF(NOT(ISBLANK('Referenz Plattenwerk'!$I16)),'Referenz Plattenwerk'!$I16,'Referenz Plattenwerk'!$F16)*IF(NOT(ISBLANK('Eingabe EF'!$AA9)),'Eingabe EF'!$AA9,'Eingabe EF'!$Y9)</f>
        <v>34.434080000000002</v>
      </c>
      <c r="G154" s="38">
        <f>IF(NOT(ISBLANK('Referenz Plattenwerk'!$I16)),'Referenz Plattenwerk'!$I16,'Referenz Plattenwerk'!$F16)*IF(NOT(ISBLANK('Eingabe EF'!$AE9)),'Eingabe EF'!$AE9,'Eingabe EF'!$AC9)</f>
        <v>0</v>
      </c>
      <c r="H154" s="38">
        <f>IF(NOT(ISBLANK('Referenz Plattenwerk'!$I16)),'Referenz Plattenwerk'!$I16,'Referenz Plattenwerk'!$F16)*IF(NOT(ISBLANK('Eingabe EF'!$AI9)),'Eingabe EF'!$AI9,'Eingabe EF'!$AG9)</f>
        <v>5.8938000000000006</v>
      </c>
      <c r="I154" s="17"/>
      <c r="J154" s="38">
        <f>F154+G154</f>
        <v>34.434080000000002</v>
      </c>
      <c r="K154" s="38">
        <f>SUM(F154:H154)</f>
        <v>40.32788</v>
      </c>
      <c r="L154" s="17" t="s">
        <v>198</v>
      </c>
      <c r="N154" s="17"/>
      <c r="O154" s="17" t="s">
        <v>125</v>
      </c>
      <c r="P154" s="17"/>
      <c r="Q154" s="19"/>
      <c r="R154" s="20"/>
      <c r="S154" s="42">
        <f>IF(NOT(ISBLANK('Referenz Plattenwerk'!$I16)),'Referenz Plattenwerk'!$I16,'Referenz Plattenwerk'!$F16)/1000*IF(NOT(ISBLANK('Eingabe Preise'!$K10)),'Eingabe Preise'!$K10,'Eingabe Preise'!$I10)</f>
        <v>11468</v>
      </c>
      <c r="T154" s="20" t="s">
        <v>106</v>
      </c>
    </row>
    <row r="155" spans="2:20" ht="15.75" hidden="1" outlineLevel="1" x14ac:dyDescent="0.3">
      <c r="B155" s="277"/>
      <c r="C155" s="17"/>
      <c r="D155" s="17" t="s">
        <v>165</v>
      </c>
      <c r="E155" s="17"/>
      <c r="F155" s="38">
        <f>IF(NOT(ISBLANK('Referenz Plattenwerk'!$I17)),'Referenz Plattenwerk'!$I17,'Referenz Plattenwerk'!$F17)*IF(NOT(ISBLANK('Eingabe EF'!$AA10)),'Eingabe EF'!$AA10,'Eingabe EF'!$Y10)</f>
        <v>6.4022399999999999</v>
      </c>
      <c r="G155" s="38">
        <f>IF(NOT(ISBLANK('Referenz Plattenwerk'!$I17)),'Referenz Plattenwerk'!$I17,'Referenz Plattenwerk'!$F17)*IF(NOT(ISBLANK('Eingabe EF'!$AE10)),'Eingabe EF'!$AE10,'Eingabe EF'!$AC10)</f>
        <v>0</v>
      </c>
      <c r="H155" s="38">
        <f>IF(NOT(ISBLANK('Referenz Plattenwerk'!$I17)),'Referenz Plattenwerk'!$I17,'Referenz Plattenwerk'!$F17)*IF(NOT(ISBLANK('Eingabe EF'!$AI10)),'Eingabe EF'!$AI10,'Eingabe EF'!$AG10)</f>
        <v>0.949824</v>
      </c>
      <c r="I155" s="17"/>
      <c r="J155" s="38">
        <f>F155+G155</f>
        <v>6.4022399999999999</v>
      </c>
      <c r="K155" s="38">
        <f>SUM(F155:H155)</f>
        <v>7.3520640000000004</v>
      </c>
      <c r="L155" s="17" t="s">
        <v>198</v>
      </c>
      <c r="N155" s="17"/>
      <c r="O155" s="17" t="s">
        <v>165</v>
      </c>
      <c r="P155" s="17"/>
      <c r="Q155" s="20"/>
      <c r="R155" s="20"/>
      <c r="S155" s="42">
        <f>IF(NOT(ISBLANK('Referenz Plattenwerk'!$I17)),'Referenz Plattenwerk'!$I17,'Referenz Plattenwerk'!$F17)/1000*IF(NOT(ISBLANK('Eingabe Preise'!$K11)),'Eingabe Preise'!$K11,'Eingabe Preise'!$I11)</f>
        <v>1104</v>
      </c>
      <c r="T155" s="20" t="s">
        <v>106</v>
      </c>
    </row>
    <row r="156" spans="2:20" ht="15.75" hidden="1" outlineLevel="1" x14ac:dyDescent="0.3">
      <c r="B156" s="277"/>
      <c r="C156" s="17"/>
      <c r="D156" s="17" t="s">
        <v>166</v>
      </c>
      <c r="E156" s="17"/>
      <c r="F156" s="38">
        <f>IF(NOT(ISBLANK('Referenz Plattenwerk'!$I18)),'Referenz Plattenwerk'!$I18,'Referenz Plattenwerk'!$F18)*IF(NOT(ISBLANK('Eingabe EF'!$AA11)),'Eingabe EF'!$AA11,'Eingabe EF'!$Y11)</f>
        <v>0</v>
      </c>
      <c r="G156" s="38">
        <f>IF(NOT(ISBLANK('Referenz Plattenwerk'!$I18)),'Referenz Plattenwerk'!$I18,'Referenz Plattenwerk'!$F18)*IF(NOT(ISBLANK('Eingabe EF'!$AE11)),'Eingabe EF'!$AE11,'Eingabe EF'!$AC11)</f>
        <v>12.48924470887134</v>
      </c>
      <c r="H156" s="38">
        <f>IF(NOT(ISBLANK('Referenz Plattenwerk'!$I18)),'Referenz Plattenwerk'!$I18,'Referenz Plattenwerk'!$F18)*IF(NOT(ISBLANK('Eingabe EF'!$AI11)),'Eingabe EF'!$AI11,'Eingabe EF'!$AG11)</f>
        <v>1.8308840410910865</v>
      </c>
      <c r="I156" s="17"/>
      <c r="J156" s="38">
        <f>F156+G156</f>
        <v>12.48924470887134</v>
      </c>
      <c r="K156" s="38">
        <f>SUM(F156:H156)</f>
        <v>14.320128749962427</v>
      </c>
      <c r="L156" s="17" t="s">
        <v>198</v>
      </c>
      <c r="N156" s="17"/>
      <c r="O156" s="17" t="s">
        <v>166</v>
      </c>
      <c r="P156" s="17"/>
      <c r="Q156" s="20"/>
      <c r="R156" s="20"/>
      <c r="S156" s="42">
        <f>IF(NOT(ISBLANK('Referenz Plattenwerk'!$I18)),'Referenz Plattenwerk'!$I18,'Referenz Plattenwerk'!$F18)/1000*IF(NOT(ISBLANK('Eingabe Preise'!$K12)),'Eingabe Preise'!$K12,'Eingabe Preise'!$I12)</f>
        <v>7740</v>
      </c>
      <c r="T156" s="20" t="s">
        <v>106</v>
      </c>
    </row>
    <row r="157" spans="2:20" ht="15.75" hidden="1" outlineLevel="1" x14ac:dyDescent="0.3">
      <c r="B157" s="277"/>
      <c r="C157" s="17"/>
      <c r="D157" s="17" t="s">
        <v>126</v>
      </c>
      <c r="E157" s="17"/>
      <c r="F157" s="44">
        <f>IF(NOT(ISBLANK('Referenz Plattenwerk'!$I19)),'Referenz Plattenwerk'!$I19,'Referenz Plattenwerk'!$F19)*IF(NOT(ISBLANK('Eingabe EF'!$AA12)),'Eingabe EF'!$AA12,0)</f>
        <v>0</v>
      </c>
      <c r="G157" s="44">
        <f>IF(NOT(ISBLANK('Referenz Plattenwerk'!$I19)),'Referenz Plattenwerk'!$I19,'Referenz Plattenwerk'!$F19)*IF(NOT(ISBLANK('Eingabe EF'!$AE12)),'Eingabe EF'!$AE12,0)</f>
        <v>0</v>
      </c>
      <c r="H157" s="44">
        <f>IF(NOT(ISBLANK('Referenz Plattenwerk'!$I19)),'Referenz Plattenwerk'!$I19,'Referenz Plattenwerk'!$F19)*IF(NOT(ISBLANK('Eingabe EF'!$AI12)),'Eingabe EF'!$AI12,0)</f>
        <v>0</v>
      </c>
      <c r="I157" s="17"/>
      <c r="J157" s="38">
        <f>F157+G157</f>
        <v>0</v>
      </c>
      <c r="K157" s="38">
        <f>SUM(F157:H157)</f>
        <v>0</v>
      </c>
      <c r="L157" s="17" t="s">
        <v>198</v>
      </c>
      <c r="N157" s="17"/>
      <c r="O157" s="17" t="s">
        <v>126</v>
      </c>
      <c r="P157" s="17"/>
      <c r="Q157" s="20"/>
      <c r="R157" s="20"/>
      <c r="S157" s="42">
        <f>IF(NOT(ISBLANK('Referenz Plattenwerk'!$I19)),'Referenz Plattenwerk'!$I19,'Referenz Plattenwerk'!$F19)/1000*IF(NOT(ISBLANK('Eingabe Preise'!$K16)),'Eingabe Preise'!$K16,0)</f>
        <v>0</v>
      </c>
      <c r="T157" s="20" t="s">
        <v>106</v>
      </c>
    </row>
    <row r="158" spans="2:20" hidden="1" outlineLevel="1" x14ac:dyDescent="0.2">
      <c r="B158" s="277"/>
      <c r="C158" s="17" t="s">
        <v>147</v>
      </c>
      <c r="D158" s="17"/>
      <c r="E158" s="17"/>
      <c r="F158" s="20"/>
      <c r="G158" s="20"/>
      <c r="H158" s="20"/>
      <c r="I158" s="17"/>
      <c r="J158" s="17"/>
      <c r="K158" s="17"/>
      <c r="L158" s="17"/>
      <c r="N158" s="17" t="s">
        <v>147</v>
      </c>
      <c r="O158" s="17"/>
      <c r="P158" s="17"/>
      <c r="Q158" s="20"/>
      <c r="R158" s="20"/>
      <c r="S158" s="20"/>
      <c r="T158" s="20"/>
    </row>
    <row r="159" spans="2:20" ht="15.75" hidden="1" outlineLevel="1" x14ac:dyDescent="0.3">
      <c r="B159" s="277"/>
      <c r="C159" s="17"/>
      <c r="D159" s="17" t="s">
        <v>31</v>
      </c>
      <c r="E159" s="17"/>
      <c r="F159" s="38">
        <f>IF(NOT(ISBLANK('Referenz Plattenwerk'!$I21)),'Referenz Plattenwerk'!$I21,'Referenz Plattenwerk'!$F21)*IF(NOT(ISBLANK('Eingabe EF'!$AA9)),'Eingabe EF'!$AA9,'Eingabe EF'!$Y9)</f>
        <v>8.6085200000000004</v>
      </c>
      <c r="G159" s="38">
        <f>IF(NOT(ISBLANK('Referenz Plattenwerk'!$I21)),'Referenz Plattenwerk'!$I21,'Referenz Plattenwerk'!$F21)*IF(NOT(ISBLANK('Eingabe EF'!$AE9)),'Eingabe EF'!$AE9,'Eingabe EF'!$AC9)</f>
        <v>0</v>
      </c>
      <c r="H159" s="38">
        <f>IF(NOT(ISBLANK('Referenz Plattenwerk'!$I21)),'Referenz Plattenwerk'!$I21,'Referenz Plattenwerk'!$F21)*IF(NOT(ISBLANK('Eingabe EF'!$AG9)),'Eingabe EF'!$AG9,'Eingabe EF'!$AIC9)</f>
        <v>1.4734500000000001</v>
      </c>
      <c r="I159" s="17"/>
      <c r="J159" s="38">
        <f t="shared" ref="J159:J160" si="20">F159+G159</f>
        <v>8.6085200000000004</v>
      </c>
      <c r="K159" s="38">
        <f t="shared" ref="K159:K170" si="21">SUM(F159:H159)</f>
        <v>10.08197</v>
      </c>
      <c r="L159" s="17" t="s">
        <v>198</v>
      </c>
      <c r="M159" s="43"/>
      <c r="N159" s="17"/>
      <c r="O159" s="17" t="s">
        <v>31</v>
      </c>
      <c r="P159" s="17"/>
      <c r="Q159" s="20"/>
      <c r="R159" s="20"/>
      <c r="S159" s="42">
        <f>IF(NOT(ISBLANK('Referenz Plattenwerk'!$I21)),'Referenz Plattenwerk'!$I21,'Referenz Plattenwerk'!$F21)/1000*IF(NOT(ISBLANK('Eingabe Preise'!$K10)),'Eingabe Preise'!$K10,'Eingabe Preise'!$I10)</f>
        <v>2867</v>
      </c>
      <c r="T159" s="20" t="s">
        <v>106</v>
      </c>
    </row>
    <row r="160" spans="2:20" ht="15.75" hidden="1" outlineLevel="1" x14ac:dyDescent="0.3">
      <c r="B160" s="277"/>
      <c r="C160" s="17"/>
      <c r="D160" s="17" t="s">
        <v>32</v>
      </c>
      <c r="E160" s="17"/>
      <c r="F160" s="38">
        <f>IF(NOT(ISBLANK('Referenz Plattenwerk'!$I22)),'Referenz Plattenwerk'!$I22,'Referenz Plattenwerk'!$F22)*IF(NOT(ISBLANK('Eingabe EF'!$AA10)),'Eingabe EF'!$AA10,'Eingabe EF'!$Y10)</f>
        <v>9.6033600000000003</v>
      </c>
      <c r="G160" s="38">
        <f>IF(NOT(ISBLANK('Referenz Plattenwerk'!$I22)),'Referenz Plattenwerk'!$I22,'Referenz Plattenwerk'!$F22)*IF(NOT(ISBLANK('Eingabe EF'!$AE10)),'Eingabe EF'!$AE10,'Eingabe EF'!$AC10)</f>
        <v>0</v>
      </c>
      <c r="H160" s="38">
        <f>IF(NOT(ISBLANK('Referenz Plattenwerk'!$I22)),'Referenz Plattenwerk'!$I22,'Referenz Plattenwerk'!$F22)*IF(NOT(ISBLANK('Eingabe EF'!$AG10)),'Eingabe EF'!$AG10,'Eingabe EF'!$AIC10)</f>
        <v>1.424736</v>
      </c>
      <c r="I160" s="17"/>
      <c r="J160" s="38">
        <f t="shared" si="20"/>
        <v>9.6033600000000003</v>
      </c>
      <c r="K160" s="38">
        <f t="shared" si="21"/>
        <v>11.028096</v>
      </c>
      <c r="L160" s="17" t="s">
        <v>198</v>
      </c>
      <c r="M160" s="43"/>
      <c r="N160" s="17"/>
      <c r="O160" s="17" t="s">
        <v>32</v>
      </c>
      <c r="P160" s="17"/>
      <c r="Q160" s="20"/>
      <c r="R160" s="20"/>
      <c r="S160" s="42">
        <f>IF(NOT(ISBLANK('Referenz Plattenwerk'!$I22)),'Referenz Plattenwerk'!$I22,'Referenz Plattenwerk'!$F22)/1000*IF(NOT(ISBLANK('Eingabe Preise'!$K11)),'Eingabe Preise'!$K11,'Eingabe Preise'!$I11)</f>
        <v>1656</v>
      </c>
      <c r="T160" s="20" t="s">
        <v>106</v>
      </c>
    </row>
    <row r="161" spans="2:21" hidden="1" outlineLevel="1" x14ac:dyDescent="0.2">
      <c r="B161" s="277"/>
      <c r="C161" s="17" t="s">
        <v>148</v>
      </c>
      <c r="D161" s="17"/>
      <c r="E161" s="17"/>
      <c r="F161" s="20"/>
      <c r="G161" s="20"/>
      <c r="H161" s="20"/>
      <c r="I161" s="17"/>
      <c r="J161" s="17"/>
      <c r="K161" s="17"/>
      <c r="L161" s="17"/>
      <c r="N161" s="17" t="s">
        <v>148</v>
      </c>
      <c r="O161" s="17"/>
      <c r="P161" s="17"/>
      <c r="Q161" s="20"/>
      <c r="R161" s="20"/>
      <c r="S161" s="20"/>
      <c r="T161" s="20"/>
    </row>
    <row r="162" spans="2:21" ht="15.75" hidden="1" outlineLevel="1" x14ac:dyDescent="0.3">
      <c r="B162" s="278"/>
      <c r="C162" s="17"/>
      <c r="D162" s="17" t="s">
        <v>150</v>
      </c>
      <c r="E162" s="17"/>
      <c r="F162" s="38">
        <f>IF(NOT(ISBLANK('Referenz Plattenwerk'!$I24)),'Referenz Plattenwerk'!$I24,'Referenz Plattenwerk'!$F24)*IF(NOT(ISBLANK('Eingabe EF'!$AA11)),'Eingabe EF'!$AA11,'Eingabe EF'!$Y11)</f>
        <v>0</v>
      </c>
      <c r="G162" s="38">
        <f>IF(NOT(ISBLANK('Referenz Plattenwerk'!$I24)),'Referenz Plattenwerk'!$I24,'Referenz Plattenwerk'!$F24)*IF(NOT(ISBLANK('Eingabe EF'!$AE11)),'Eingabe EF'!$AE11,'Eingabe EF'!$AC11)</f>
        <v>112.40320237984206</v>
      </c>
      <c r="H162" s="38">
        <f>IF(NOT(ISBLANK('Referenz Plattenwerk'!$I24)),'Referenz Plattenwerk'!$I24,'Referenz Plattenwerk'!$F24)*IF(NOT(ISBLANK('Eingabe EF'!$AI11)),'Eingabe EF'!$AI11,'Eingabe EF'!$AG11)</f>
        <v>16.477956369819779</v>
      </c>
      <c r="I162" s="17"/>
      <c r="J162" s="38">
        <f t="shared" ref="J162:J170" si="22">F162+G162</f>
        <v>112.40320237984206</v>
      </c>
      <c r="K162" s="38">
        <f t="shared" si="21"/>
        <v>128.88115874966184</v>
      </c>
      <c r="L162" s="17" t="s">
        <v>198</v>
      </c>
      <c r="M162" s="43"/>
      <c r="N162" s="278"/>
      <c r="O162" s="17" t="s">
        <v>167</v>
      </c>
      <c r="P162" s="17"/>
      <c r="Q162" s="20"/>
      <c r="R162" s="20"/>
      <c r="S162" s="42">
        <f>IF(NOT(ISBLANK('Referenz Plattenwerk'!$I24)),'Referenz Plattenwerk'!$I24,'Referenz Plattenwerk'!$F24)/1000*IF(NOT(ISBLANK('Eingabe Preise'!$K12)),'Eingabe Preise'!$K12,'Eingabe Preise'!$I12)</f>
        <v>69660</v>
      </c>
      <c r="T162" s="20" t="s">
        <v>106</v>
      </c>
    </row>
    <row r="163" spans="2:21" ht="15.75" hidden="1" outlineLevel="1" x14ac:dyDescent="0.3">
      <c r="B163" s="277"/>
      <c r="C163" s="17"/>
      <c r="D163" s="17" t="s">
        <v>122</v>
      </c>
      <c r="E163" s="17"/>
      <c r="F163" s="38">
        <f>IF(NOT(ISBLANK('Referenz Plattenwerk'!$I25)),'Referenz Plattenwerk'!$I25,'Referenz Plattenwerk'!$F25)*IF(NOT(ISBLANK('Eingabe EF'!$AA13)),'Eingabe EF'!$AA13,'Eingabe EF'!$Y13)</f>
        <v>0</v>
      </c>
      <c r="G163" s="38">
        <f>IF(NOT(ISBLANK('Referenz Plattenwerk'!$I25)),'Referenz Plattenwerk'!$I25,'Referenz Plattenwerk'!$F25)*IF(NOT(ISBLANK('Eingabe EF'!$AE13)),'Eingabe EF'!$AE13,'Eingabe EF'!$AC13)</f>
        <v>0</v>
      </c>
      <c r="H163" s="38">
        <f>IF(NOT(ISBLANK('Referenz Plattenwerk'!$I25)),'Referenz Plattenwerk'!$I25,'Referenz Plattenwerk'!$F25)*IF(NOT(ISBLANK('Eingabe EF'!$AI13)),'Eingabe EF'!$AI13,'Eingabe EF'!$AG13)</f>
        <v>0</v>
      </c>
      <c r="I163" s="17"/>
      <c r="J163" s="38">
        <f t="shared" si="22"/>
        <v>0</v>
      </c>
      <c r="K163" s="38">
        <f t="shared" si="21"/>
        <v>0</v>
      </c>
      <c r="L163" s="17" t="s">
        <v>198</v>
      </c>
      <c r="M163" s="43"/>
      <c r="N163" s="17"/>
      <c r="O163" s="17" t="s">
        <v>122</v>
      </c>
      <c r="P163" s="17"/>
      <c r="Q163" s="20"/>
      <c r="R163" s="20"/>
      <c r="S163" s="42">
        <f>IF(NOT(ISBLANK('Referenz Plattenwerk'!$I25)),'Referenz Plattenwerk'!$I25,'Referenz Plattenwerk'!$F25)/1000*IF(NOT(ISBLANK('Eingabe Preise'!$K13)),'Eingabe Preise'!$K13,'Eingabe Preise'!$I13)</f>
        <v>0</v>
      </c>
      <c r="T163" s="20" t="s">
        <v>106</v>
      </c>
    </row>
    <row r="164" spans="2:21" ht="15.75" hidden="1" outlineLevel="1" x14ac:dyDescent="0.3">
      <c r="B164" s="277"/>
      <c r="C164" s="17"/>
      <c r="D164" s="17" t="s">
        <v>149</v>
      </c>
      <c r="E164" s="17"/>
      <c r="F164" s="38">
        <f>IF(NOT(ISBLANK('Referenz Plattenwerk'!$I26)),'Referenz Plattenwerk'!$I26,'Referenz Plattenwerk'!$F26)*IF(NOT(ISBLANK('Eingabe EF'!$AA14)),'Eingabe EF'!$AA14,0)</f>
        <v>0</v>
      </c>
      <c r="G164" s="38">
        <f>IF(NOT(ISBLANK('Referenz Plattenwerk'!$I26)),'Referenz Plattenwerk'!$I26,'Referenz Plattenwerk'!$F26)*IF(NOT(ISBLANK('Eingabe EF'!$AE14)),'Eingabe EF'!$AE14,0)</f>
        <v>0</v>
      </c>
      <c r="H164" s="38">
        <f>IF(NOT(ISBLANK('Referenz Plattenwerk'!$I26)),'Referenz Plattenwerk'!$I26,'Referenz Plattenwerk'!$F26)*IF(NOT(ISBLANK('Eingabe EF'!$AI14)),'Eingabe EF'!$AI14,0)</f>
        <v>0</v>
      </c>
      <c r="I164" s="17"/>
      <c r="J164" s="38">
        <f t="shared" si="22"/>
        <v>0</v>
      </c>
      <c r="K164" s="38">
        <f t="shared" si="21"/>
        <v>0</v>
      </c>
      <c r="L164" s="17" t="s">
        <v>198</v>
      </c>
      <c r="M164" s="43"/>
      <c r="N164" s="17"/>
      <c r="O164" s="17" t="s">
        <v>149</v>
      </c>
      <c r="P164" s="17"/>
      <c r="Q164" s="30"/>
      <c r="R164" s="17"/>
      <c r="S164" s="42">
        <f>IF(NOT(ISBLANK('Referenz Plattenwerk'!$I26)),'Referenz Plattenwerk'!$I26,'Referenz Plattenwerk'!$F26)/1000*IF(NOT(ISBLANK('Eingabe Preise'!$K17)),'Eingabe Preise'!$K17,0)</f>
        <v>0</v>
      </c>
      <c r="T164" s="20" t="s">
        <v>106</v>
      </c>
    </row>
    <row r="165" spans="2:21" hidden="1" outlineLevel="1" x14ac:dyDescent="0.2">
      <c r="B165" s="277"/>
      <c r="C165" s="17"/>
      <c r="D165" s="17"/>
      <c r="E165" s="17"/>
      <c r="F165" s="20"/>
      <c r="G165" s="20"/>
      <c r="H165" s="20"/>
      <c r="I165" s="17"/>
      <c r="J165" s="17"/>
      <c r="K165" s="17"/>
      <c r="L165" s="17"/>
      <c r="N165" s="17"/>
      <c r="O165" s="17"/>
      <c r="P165" s="17"/>
      <c r="Q165" s="30"/>
      <c r="R165" s="17"/>
      <c r="S165" s="17"/>
      <c r="T165" s="17"/>
    </row>
    <row r="166" spans="2:21" ht="15.75" hidden="1" outlineLevel="1" x14ac:dyDescent="0.3">
      <c r="B166" s="278"/>
      <c r="C166" s="17" t="s">
        <v>464</v>
      </c>
      <c r="D166" s="17" t="s">
        <v>34</v>
      </c>
      <c r="E166" s="17"/>
      <c r="F166" s="38">
        <f>(IF(NOT(ISBLANK('Referenz Plattenwerk'!$I28)),'Referenz Plattenwerk'!$I28,'Referenz Plattenwerk'!$F28)-E149)*IF(NOT(ISBLANK('Eingabe EF'!$AA15)),'Eingabe EF'!$AA15,'Eingabe EF'!$Y15)</f>
        <v>27.776994101999996</v>
      </c>
      <c r="G166" s="38">
        <f>(IF(NOT(ISBLANK('Referenz Plattenwerk'!$I28)),'Referenz Plattenwerk'!$I28,'Referenz Plattenwerk'!$F28)-E149)*IF(NOT(ISBLANK('Eingabe EF'!$AE15)),'Eingabe EF'!$AE15,'Eingabe EF'!$AC15)</f>
        <v>0</v>
      </c>
      <c r="H166" s="38">
        <f>(IF(NOT(ISBLANK('Referenz Plattenwerk'!$I28)),'Referenz Plattenwerk'!$I28,'Referenz Plattenwerk'!$F28)-E149)*IF(NOT(ISBLANK('Eingabe EF'!$AI15)),'Eingabe EF'!$AI15,'Eingabe EF'!$AG15)</f>
        <v>4.9075703820000012</v>
      </c>
      <c r="I166" s="17"/>
      <c r="J166" s="38">
        <f t="shared" si="22"/>
        <v>27.776994101999996</v>
      </c>
      <c r="K166" s="38">
        <f t="shared" si="21"/>
        <v>32.684564483999999</v>
      </c>
      <c r="L166" s="17" t="s">
        <v>198</v>
      </c>
      <c r="M166" s="43"/>
      <c r="N166" s="278"/>
      <c r="O166" s="17" t="s">
        <v>34</v>
      </c>
      <c r="P166" s="17" t="s">
        <v>464</v>
      </c>
      <c r="Q166" s="30"/>
      <c r="R166" s="17"/>
      <c r="S166" s="42">
        <f>(IF(NOT(ISBLANK('Referenz Plattenwerk'!$I28)),'Referenz Plattenwerk'!$I28,'Referenz Plattenwerk'!$F28)-E149)*IF(NOT(ISBLANK('Eingabe Preise'!$K14)),'Eingabe Preise'!$K14,'Eingabe Preise'!$I14)</f>
        <v>11745.800000000001</v>
      </c>
      <c r="T166" s="20" t="s">
        <v>106</v>
      </c>
    </row>
    <row r="167" spans="2:21" ht="15.75" hidden="1" outlineLevel="1" x14ac:dyDescent="0.3">
      <c r="B167" s="277"/>
      <c r="C167" s="17" t="s">
        <v>75</v>
      </c>
      <c r="D167" s="17" t="s">
        <v>34</v>
      </c>
      <c r="E167" s="17"/>
      <c r="F167" s="38">
        <f>IF(NOT(ISBLANK('Referenz Plattenwerk'!$I29)),'Referenz Plattenwerk'!$I29,'Referenz Plattenwerk'!$F29)*IF(NOT(ISBLANK('Eingabe EF'!$AA15)),'Eingabe EF'!$AA15,'Eingabe EF'!$Y15)</f>
        <v>6.645213899999999</v>
      </c>
      <c r="G167" s="38">
        <f>IF(NOT(ISBLANK('Referenz Plattenwerk'!$I29)),'Referenz Plattenwerk'!$I29,'Referenz Plattenwerk'!$F29)*IF(NOT(ISBLANK('Eingabe EF'!$AE15)),'Eingabe EF'!$AE15,'Eingabe EF'!$AC15)</f>
        <v>0</v>
      </c>
      <c r="H167" s="38">
        <f>IF(NOT(ISBLANK('Referenz Plattenwerk'!$I29)),'Referenz Plattenwerk'!$I29,'Referenz Plattenwerk'!$F29)*IF(NOT(ISBLANK('Eingabe EF'!$AI15)),'Eingabe EF'!$AI15,'Eingabe EF'!$AG15)</f>
        <v>1.1740599000000003</v>
      </c>
      <c r="I167" s="17"/>
      <c r="J167" s="38">
        <f t="shared" si="22"/>
        <v>6.645213899999999</v>
      </c>
      <c r="K167" s="38">
        <f t="shared" si="21"/>
        <v>7.8192737999999995</v>
      </c>
      <c r="L167" s="17" t="s">
        <v>198</v>
      </c>
      <c r="M167" s="43"/>
      <c r="N167" s="21"/>
      <c r="O167" s="17" t="s">
        <v>34</v>
      </c>
      <c r="P167" s="17" t="s">
        <v>75</v>
      </c>
      <c r="Q167" s="30"/>
      <c r="R167" s="17"/>
      <c r="S167" s="42">
        <f>IF(NOT(ISBLANK('Referenz Plattenwerk'!$I29)),'Referenz Plattenwerk'!$I29,'Referenz Plattenwerk'!$F29)*IF(NOT(ISBLANK('Eingabe Preise'!$K14)),'Eingabe Preise'!$K14,'Eingabe Preise'!$I14)</f>
        <v>2810.0000000000005</v>
      </c>
      <c r="T167" s="20" t="s">
        <v>106</v>
      </c>
    </row>
    <row r="168" spans="2:21" s="73" customFormat="1" ht="14.25" hidden="1" outlineLevel="1" x14ac:dyDescent="0.25">
      <c r="B168" s="70"/>
      <c r="C168" s="70" t="s">
        <v>189</v>
      </c>
      <c r="D168" s="70"/>
      <c r="E168" s="70"/>
      <c r="F168" s="72">
        <f>F169+F170</f>
        <v>0</v>
      </c>
      <c r="G168" s="72">
        <f t="shared" ref="G168:H168" si="23">G169+G170</f>
        <v>0</v>
      </c>
      <c r="H168" s="72">
        <f t="shared" si="23"/>
        <v>469.15642799999995</v>
      </c>
      <c r="I168" s="70"/>
      <c r="J168" s="72">
        <f t="shared" si="22"/>
        <v>0</v>
      </c>
      <c r="K168" s="72">
        <f t="shared" si="21"/>
        <v>469.15642799999995</v>
      </c>
      <c r="L168" s="77" t="s">
        <v>197</v>
      </c>
      <c r="N168" s="21"/>
      <c r="O168" s="21"/>
      <c r="P168" s="21"/>
      <c r="Q168" s="74"/>
      <c r="R168" s="21"/>
      <c r="S168" s="21"/>
      <c r="T168" s="21"/>
      <c r="U168" s="6"/>
    </row>
    <row r="169" spans="2:21" ht="15.75" hidden="1" outlineLevel="1" x14ac:dyDescent="0.3">
      <c r="B169" s="17"/>
      <c r="C169" s="17"/>
      <c r="D169" s="17" t="s">
        <v>45</v>
      </c>
      <c r="E169" s="17"/>
      <c r="F169" s="38">
        <f>IF(NOT(ISBLANK('Referenz Plattenwerk'!$I32)),'Referenz Plattenwerk'!$I32,'Referenz Plattenwerk'!$F32)*IF(NOT(ISBLANK('Eingabe EF'!$AA17)),'Eingabe EF'!$AA17,'Eingabe EF'!$Y17)</f>
        <v>0</v>
      </c>
      <c r="G169" s="38">
        <f>IF(NOT(ISBLANK('Referenz Plattenwerk'!$I32)),'Referenz Plattenwerk'!$I32,'Referenz Plattenwerk'!$F32)*IF(NOT(ISBLANK('Eingabe EF'!$AE17)),'Eingabe EF'!$AE17,'Eingabe EF'!$AC17)</f>
        <v>0</v>
      </c>
      <c r="H169" s="38">
        <f>IF(NOT(ISBLANK('Referenz Plattenwerk'!$I32)),'Referenz Plattenwerk'!$I32,'Referenz Plattenwerk'!$F32)*IF(NOT(ISBLANK('Eingabe EF'!$AI17)),'Eingabe EF'!$AI17,'Eingabe EF'!$AG17)</f>
        <v>109.4698332</v>
      </c>
      <c r="I169" s="17"/>
      <c r="J169" s="38">
        <f t="shared" si="22"/>
        <v>0</v>
      </c>
      <c r="K169" s="38">
        <f t="shared" si="21"/>
        <v>109.4698332</v>
      </c>
      <c r="L169" s="17" t="s">
        <v>198</v>
      </c>
      <c r="M169" s="43"/>
      <c r="N169" s="17"/>
      <c r="O169" s="17"/>
      <c r="P169" s="17"/>
      <c r="Q169" s="30"/>
      <c r="R169" s="17"/>
      <c r="S169" s="17"/>
      <c r="T169" s="17"/>
    </row>
    <row r="170" spans="2:21" ht="15.75" hidden="1" outlineLevel="1" x14ac:dyDescent="0.3">
      <c r="B170" s="17"/>
      <c r="C170" s="17"/>
      <c r="D170" s="17" t="s">
        <v>46</v>
      </c>
      <c r="E170" s="17"/>
      <c r="F170" s="38">
        <f>IF(NOT(ISBLANK('Referenz Plattenwerk'!$I33)),'Referenz Plattenwerk'!$I33,'Referenz Plattenwerk'!$F33)*IF(NOT(ISBLANK('Eingabe EF'!$AA18)),'Eingabe EF'!$AA18,'Eingabe EF'!$Y18)</f>
        <v>0</v>
      </c>
      <c r="G170" s="38">
        <f>IF(NOT(ISBLANK('Referenz Plattenwerk'!$I33)),'Referenz Plattenwerk'!$I33,'Referenz Plattenwerk'!$F33)*IF(NOT(ISBLANK('Eingabe EF'!$AE18)),'Eingabe EF'!$AE18,'Eingabe EF'!$AC18)</f>
        <v>0</v>
      </c>
      <c r="H170" s="38">
        <f>IF(NOT(ISBLANK('Referenz Plattenwerk'!$I33)),'Referenz Plattenwerk'!$I33,'Referenz Plattenwerk'!$F33)*IF(NOT(ISBLANK('Eingabe EF'!$AI18)),'Eingabe EF'!$AI18,'Eingabe EF'!$AG18)</f>
        <v>359.68659479999997</v>
      </c>
      <c r="I170" s="17"/>
      <c r="J170" s="38">
        <f t="shared" si="22"/>
        <v>0</v>
      </c>
      <c r="K170" s="38">
        <f t="shared" si="21"/>
        <v>359.68659479999997</v>
      </c>
      <c r="L170" s="17" t="s">
        <v>198</v>
      </c>
      <c r="M170" s="43"/>
      <c r="N170" s="278"/>
      <c r="O170" s="17" t="s">
        <v>30</v>
      </c>
      <c r="P170" s="17"/>
      <c r="Q170" s="30"/>
      <c r="R170" s="17"/>
      <c r="S170" s="42">
        <f>(IF(NOT(ISBLANK($G$27)),$G$27,$E$27)/IF(NOT(ISBLANK($G$32)),$G$32,$E$32)+IF(NOT(ISBLANK($G$27)),$G$27,$E$27)*(IF(NOT(ISBLANK($G$33)),$G$33,$E$33)/100))*E148</f>
        <v>28800</v>
      </c>
      <c r="T170" s="20" t="s">
        <v>106</v>
      </c>
    </row>
    <row r="171" spans="2:21" hidden="1" outlineLevel="1" x14ac:dyDescent="0.2">
      <c r="B171" s="17"/>
      <c r="C171" s="17"/>
      <c r="D171" s="17"/>
      <c r="E171" s="17"/>
      <c r="F171" s="20"/>
      <c r="G171" s="20"/>
      <c r="H171" s="20"/>
      <c r="I171" s="17"/>
      <c r="J171" s="20"/>
      <c r="K171" s="20"/>
      <c r="L171" s="17"/>
      <c r="N171" s="17"/>
      <c r="O171" s="45" t="s">
        <v>153</v>
      </c>
      <c r="P171" s="17"/>
      <c r="Q171" s="30"/>
      <c r="R171" s="17"/>
      <c r="S171" s="42">
        <f>IF(NOT(ISBLANK($G$28)),$G$28,$E$28)</f>
        <v>0</v>
      </c>
      <c r="T171" s="20" t="s">
        <v>106</v>
      </c>
    </row>
    <row r="172" spans="2:21" ht="14.25" hidden="1" outlineLevel="1" x14ac:dyDescent="0.25">
      <c r="B172" s="70"/>
      <c r="C172" s="70" t="s">
        <v>68</v>
      </c>
      <c r="D172" s="71"/>
      <c r="E172" s="71"/>
      <c r="F172" s="72">
        <f>SUM(F173:F176)</f>
        <v>0</v>
      </c>
      <c r="G172" s="72">
        <f>SUM(G173:G176)</f>
        <v>0</v>
      </c>
      <c r="H172" s="72">
        <f>SUM(H173:H176)</f>
        <v>4548.5439999999999</v>
      </c>
      <c r="I172" s="71"/>
      <c r="J172" s="72">
        <f t="shared" ref="J172:J176" si="24">F172+G172</f>
        <v>0</v>
      </c>
      <c r="K172" s="72">
        <f t="shared" ref="K172:K175" si="25">SUM(F172:H172)</f>
        <v>4548.5439999999999</v>
      </c>
      <c r="L172" s="77" t="s">
        <v>197</v>
      </c>
      <c r="N172" s="17"/>
      <c r="O172" s="45" t="s">
        <v>160</v>
      </c>
      <c r="P172" s="17"/>
      <c r="Q172" s="30"/>
      <c r="R172" s="17"/>
      <c r="S172" s="42">
        <f>IF(NOT(ISBLANK($G$29)),$G$29,$E$29)/IF(NOT(ISBLANK($G$32)),$G$32,$E$32)+IF(NOT(ISBLANK($G$29)),$G$29,$E$29)*(IF(NOT(ISBLANK($G$33)),$G$33,$E$33)/100)</f>
        <v>0</v>
      </c>
      <c r="T172" s="20" t="s">
        <v>106</v>
      </c>
    </row>
    <row r="173" spans="2:21" ht="15.75" hidden="1" outlineLevel="1" x14ac:dyDescent="0.3">
      <c r="B173" s="17"/>
      <c r="C173" s="17"/>
      <c r="D173" s="17" t="s">
        <v>47</v>
      </c>
      <c r="E173" s="17"/>
      <c r="F173" s="38">
        <f>IF(NOT(ISBLANK('Referenz Plattenwerk'!$I36)),'Referenz Plattenwerk'!$I36,'Referenz Plattenwerk'!$F36)*IF(NOT(ISBLANK('Eingabe EF'!$AA21)),'Eingabe EF'!$AA21,'Eingabe EF'!$Y21)*IF(NOT(ISBLANK('Referenz Plattenwerk'!$I$12)),'Referenz Plattenwerk'!$I$12,'Referenz Plattenwerk'!$F$12)</f>
        <v>0</v>
      </c>
      <c r="G173" s="38">
        <f>IF(NOT(ISBLANK('Referenz Plattenwerk'!$I36)),'Referenz Plattenwerk'!$I36,'Referenz Plattenwerk'!$F36)*IF(NOT(ISBLANK('Eingabe EF'!$AE21)),'Eingabe EF'!$AE21,'Eingabe EF'!$AC21)*IF(NOT(ISBLANK('Referenz Plattenwerk'!$I$12)),'Referenz Plattenwerk'!$I$12,'Referenz Plattenwerk'!$F$12)</f>
        <v>0</v>
      </c>
      <c r="H173" s="38">
        <f>IF(NOT(ISBLANK('Referenz Plattenwerk'!$I36)),'Referenz Plattenwerk'!$I36,'Referenz Plattenwerk'!$F36)*IF(NOT(ISBLANK('Eingabe EF'!$AI21)),'Eingabe EF'!$AI21,'Eingabe EF'!$AG21)*IF(NOT(ISBLANK('Referenz Plattenwerk'!$I$12)),'Referenz Plattenwerk'!$I$12,'Referenz Plattenwerk'!$F$12)</f>
        <v>1210.3</v>
      </c>
      <c r="I173" s="17"/>
      <c r="J173" s="38">
        <f t="shared" si="24"/>
        <v>0</v>
      </c>
      <c r="K173" s="38">
        <f t="shared" si="25"/>
        <v>1210.3</v>
      </c>
      <c r="L173" s="17" t="s">
        <v>198</v>
      </c>
      <c r="M173" s="43"/>
      <c r="N173" s="17"/>
      <c r="O173" s="17"/>
      <c r="P173" s="17"/>
      <c r="Q173" s="17"/>
      <c r="R173" s="17"/>
      <c r="S173" s="17"/>
      <c r="T173" s="17"/>
    </row>
    <row r="174" spans="2:21" ht="15.75" hidden="1" outlineLevel="1" x14ac:dyDescent="0.3">
      <c r="B174" s="17"/>
      <c r="C174" s="17"/>
      <c r="D174" s="17" t="s">
        <v>49</v>
      </c>
      <c r="E174" s="17"/>
      <c r="F174" s="38">
        <f>IF(NOT(ISBLANK('Referenz Plattenwerk'!$I37)),'Referenz Plattenwerk'!$I37,'Referenz Plattenwerk'!$F37)*IF(NOT(ISBLANK('Eingabe EF'!$AA22)),'Eingabe EF'!$AA22,'Eingabe EF'!$Y22)*IF(NOT(ISBLANK('Referenz Plattenwerk'!$I$12)),'Referenz Plattenwerk'!$I$12,'Referenz Plattenwerk'!$F$12)</f>
        <v>0</v>
      </c>
      <c r="G174" s="38">
        <f>IF(NOT(ISBLANK('Referenz Plattenwerk'!$I37)),'Referenz Plattenwerk'!$I37,'Referenz Plattenwerk'!$F37)*IF(NOT(ISBLANK('Eingabe EF'!$AE22)),'Eingabe EF'!$AE22,'Eingabe EF'!$AC22)*IF(NOT(ISBLANK('Referenz Plattenwerk'!$I$12)),'Referenz Plattenwerk'!$I$12,'Referenz Plattenwerk'!$F$12)</f>
        <v>0</v>
      </c>
      <c r="H174" s="38">
        <f>IF(NOT(ISBLANK('Referenz Plattenwerk'!$I37)),'Referenz Plattenwerk'!$I37,'Referenz Plattenwerk'!$F37)*IF(NOT(ISBLANK('Eingabe EF'!$AI22)),'Eingabe EF'!$AI22,'Eingabe EF'!$AG22)*IF(NOT(ISBLANK('Referenz Plattenwerk'!$I$12)),'Referenz Plattenwerk'!$I$12,'Referenz Plattenwerk'!$F$12)</f>
        <v>2415.5039999999999</v>
      </c>
      <c r="I174" s="17"/>
      <c r="J174" s="38">
        <f t="shared" si="24"/>
        <v>0</v>
      </c>
      <c r="K174" s="38">
        <f t="shared" si="25"/>
        <v>2415.5039999999999</v>
      </c>
      <c r="L174" s="17" t="s">
        <v>198</v>
      </c>
      <c r="M174" s="43"/>
      <c r="N174" s="17"/>
      <c r="O174" s="17"/>
      <c r="P174" s="17"/>
      <c r="Q174" s="17"/>
      <c r="R174" s="17"/>
      <c r="S174" s="17"/>
      <c r="T174" s="17"/>
    </row>
    <row r="175" spans="2:21" ht="15.75" hidden="1" outlineLevel="1" x14ac:dyDescent="0.3">
      <c r="B175" s="17"/>
      <c r="C175" s="17"/>
      <c r="D175" s="17" t="s">
        <v>50</v>
      </c>
      <c r="E175" s="17"/>
      <c r="F175" s="38">
        <f>IF(NOT(ISBLANK('Referenz Plattenwerk'!$I38)),'Referenz Plattenwerk'!$I38,'Referenz Plattenwerk'!$F38)*IF(NOT(ISBLANK('Eingabe EF'!$AA23)),'Eingabe EF'!$AA23,'Eingabe EF'!$Y23)*IF(NOT(ISBLANK('Referenz Plattenwerk'!$I$12)),'Referenz Plattenwerk'!$I$12,'Referenz Plattenwerk'!$F$12)</f>
        <v>0</v>
      </c>
      <c r="G175" s="38">
        <f>IF(NOT(ISBLANK('Referenz Plattenwerk'!$I38)),'Referenz Plattenwerk'!$I38,'Referenz Plattenwerk'!$F38)*IF(NOT(ISBLANK('Eingabe EF'!$AE23)),'Eingabe EF'!$AE23,'Eingabe EF'!$AC23)*IF(NOT(ISBLANK('Referenz Plattenwerk'!$I$12)),'Referenz Plattenwerk'!$I$12,'Referenz Plattenwerk'!$F$12)</f>
        <v>0</v>
      </c>
      <c r="H175" s="38">
        <f>IF(NOT(ISBLANK('Referenz Plattenwerk'!$I38)),'Referenz Plattenwerk'!$I38,'Referenz Plattenwerk'!$F38)*IF(NOT(ISBLANK('Eingabe EF'!$AI23)),'Eingabe EF'!$AI23,'Eingabe EF'!$AG23)*IF(NOT(ISBLANK('Referenz Plattenwerk'!$I$12)),'Referenz Plattenwerk'!$I$12,'Referenz Plattenwerk'!$F$12)</f>
        <v>922.7399999999999</v>
      </c>
      <c r="I175" s="17"/>
      <c r="J175" s="38">
        <f t="shared" si="24"/>
        <v>0</v>
      </c>
      <c r="K175" s="38">
        <f t="shared" si="25"/>
        <v>922.7399999999999</v>
      </c>
      <c r="L175" s="17" t="s">
        <v>198</v>
      </c>
      <c r="M175" s="43"/>
      <c r="N175" s="17"/>
      <c r="O175" s="17" t="s">
        <v>200</v>
      </c>
      <c r="P175" s="17"/>
      <c r="Q175" s="30"/>
      <c r="R175" s="17"/>
      <c r="S175" s="42">
        <f>F211*IF(NOT(ISBLANK('Eingabe Preise'!$K21)),'Eingabe Preise'!$K21,'Eingabe Preise'!$I21)</f>
        <v>4206.1683600899996</v>
      </c>
      <c r="T175" s="20" t="s">
        <v>106</v>
      </c>
    </row>
    <row r="176" spans="2:21" ht="15.75" hidden="1" outlineLevel="1" x14ac:dyDescent="0.3">
      <c r="B176" s="17"/>
      <c r="C176" s="17"/>
      <c r="D176" s="17" t="s">
        <v>161</v>
      </c>
      <c r="E176" s="17"/>
      <c r="F176" s="38">
        <f>IF(NOT(ISBLANK('Referenz Plattenwerk'!$I39)),'Referenz Plattenwerk'!$I39,'Referenz Plattenwerk'!$F39)*IF(NOT(ISBLANK('Eingabe EF'!$AA24)),'Eingabe EF'!$AA24,0)*IF(NOT(ISBLANK('Referenz Plattenwerk'!$I$12)),'Referenz Plattenwerk'!$I$12,'Referenz Plattenwerk'!$F$12)</f>
        <v>0</v>
      </c>
      <c r="G176" s="38">
        <f>IF(NOT(ISBLANK('Referenz Plattenwerk'!$I39)),'Referenz Plattenwerk'!$I39,'Referenz Plattenwerk'!$F39)*IF(NOT(ISBLANK('Eingabe EF'!$AE24)),'Eingabe EF'!$AE24,0)*IF(NOT(ISBLANK('Referenz Plattenwerk'!$I$12)),'Referenz Plattenwerk'!$I$12,'Referenz Plattenwerk'!$F$12)</f>
        <v>0</v>
      </c>
      <c r="H176" s="38">
        <f>IF(NOT(ISBLANK('Referenz Plattenwerk'!$I39)),'Referenz Plattenwerk'!$I39,'Referenz Plattenwerk'!$F39)*IF(NOT(ISBLANK('Eingabe EF'!$AI24)),'Eingabe EF'!$AI24,0)*IF(NOT(ISBLANK('Referenz Plattenwerk'!$I$12)),'Referenz Plattenwerk'!$I$12,'Referenz Plattenwerk'!$F$12)</f>
        <v>0</v>
      </c>
      <c r="I176" s="17"/>
      <c r="J176" s="38">
        <f t="shared" si="24"/>
        <v>0</v>
      </c>
      <c r="K176" s="38">
        <f t="shared" ref="K176" si="26">SUM(F176:H176)</f>
        <v>0</v>
      </c>
      <c r="L176" s="17" t="s">
        <v>198</v>
      </c>
      <c r="M176" s="43"/>
      <c r="N176" s="17"/>
      <c r="O176" s="17" t="s">
        <v>201</v>
      </c>
      <c r="P176" s="17"/>
      <c r="Q176" s="30"/>
      <c r="R176" s="17"/>
      <c r="S176" s="42">
        <f>G211*IF(NOT(ISBLANK('Eingabe Preise'!$K22)),'Eingabe Preise'!$K22,'Eingabe Preise'!$I22)</f>
        <v>5620.160118992103</v>
      </c>
      <c r="T176" s="20" t="s">
        <v>106</v>
      </c>
    </row>
    <row r="177" spans="2:20" ht="15.75" hidden="1" outlineLevel="1" x14ac:dyDescent="0.3">
      <c r="B177" s="17"/>
      <c r="C177" s="17"/>
      <c r="D177" s="17"/>
      <c r="E177" s="17"/>
      <c r="F177" s="20"/>
      <c r="G177" s="20"/>
      <c r="H177" s="20"/>
      <c r="I177" s="17"/>
      <c r="J177" s="17"/>
      <c r="K177" s="20"/>
      <c r="L177" s="20"/>
      <c r="M177" s="43"/>
      <c r="N177" s="17"/>
      <c r="O177" s="17" t="s">
        <v>202</v>
      </c>
      <c r="P177" s="17"/>
      <c r="Q177" s="30"/>
      <c r="R177" s="17"/>
      <c r="S177" s="42">
        <f>H211*IF(NOT(ISBLANK('Eingabe Preise'!$K23)),'Eingabe Preise'!$K23,'Eingabe Preise'!$I23)</f>
        <v>262097.10765190941</v>
      </c>
      <c r="T177" s="20" t="s">
        <v>106</v>
      </c>
    </row>
    <row r="178" spans="2:20" ht="14.25" hidden="1" outlineLevel="1" x14ac:dyDescent="0.25">
      <c r="B178" s="70"/>
      <c r="C178" s="70" t="s">
        <v>177</v>
      </c>
      <c r="D178" s="71"/>
      <c r="E178" s="71"/>
      <c r="F178" s="72">
        <f>SUM(F179:F181)</f>
        <v>0</v>
      </c>
      <c r="G178" s="72">
        <f>SUM(G179:G181)</f>
        <v>0</v>
      </c>
      <c r="H178" s="72">
        <f>SUM(H179:H181)</f>
        <v>129.59200000000001</v>
      </c>
      <c r="I178" s="71"/>
      <c r="J178" s="72">
        <f t="shared" ref="J178" si="27">F178+G178</f>
        <v>0</v>
      </c>
      <c r="K178" s="72">
        <f t="shared" ref="K178" si="28">SUM(F178:H178)</f>
        <v>129.59200000000001</v>
      </c>
      <c r="L178" s="77" t="s">
        <v>197</v>
      </c>
      <c r="M178" s="43"/>
      <c r="N178" s="17"/>
      <c r="O178" s="17"/>
      <c r="P178" s="17"/>
      <c r="Q178" s="30"/>
      <c r="R178" s="17"/>
      <c r="S178" s="67"/>
      <c r="T178" s="17"/>
    </row>
    <row r="179" spans="2:20" ht="15.75" hidden="1" outlineLevel="1" x14ac:dyDescent="0.3">
      <c r="B179" s="17"/>
      <c r="C179" s="17"/>
      <c r="D179" s="17" t="s">
        <v>178</v>
      </c>
      <c r="E179" s="17"/>
      <c r="F179" s="38">
        <f>IF(NOT(ISBLANK('Referenz Plattenwerk'!$I42)),'Referenz Plattenwerk'!$I42,'Referenz Plattenwerk'!$F42)*IF(NOT(ISBLANK('Eingabe EF'!$AA27)),'Eingabe EF'!$AA27,'Eingabe EF'!$Y27)*IF(NOT(ISBLANK('Referenz Plattenwerk'!$I$12)),'Referenz Plattenwerk'!$I$12,'Referenz Plattenwerk'!$F$12)</f>
        <v>0</v>
      </c>
      <c r="G179" s="38">
        <f>IF(NOT(ISBLANK('Referenz Plattenwerk'!$I42)),'Referenz Plattenwerk'!$I42,'Referenz Plattenwerk'!$F42)*IF(NOT(ISBLANK('Eingabe EF'!$AE27)),'Eingabe EF'!$AE27,'Eingabe EF'!$AC27)*IF(NOT(ISBLANK('Referenz Plattenwerk'!$I$12)),'Referenz Plattenwerk'!$I$12,'Referenz Plattenwerk'!$F$12)</f>
        <v>0</v>
      </c>
      <c r="H179" s="38">
        <f>IF(NOT(ISBLANK('Referenz Plattenwerk'!$I42)),'Referenz Plattenwerk'!$I42,'Referenz Plattenwerk'!$F42)*IF(NOT(ISBLANK('Eingabe EF'!$AI27)),'Eingabe EF'!$AI27,'Eingabe EF'!$AG27)*IF(NOT(ISBLANK('Referenz Plattenwerk'!$I$12)),'Referenz Plattenwerk'!$I$12,'Referenz Plattenwerk'!$F$12)</f>
        <v>129.59200000000001</v>
      </c>
      <c r="I179" s="17"/>
      <c r="J179" s="38">
        <f>F179+G179</f>
        <v>0</v>
      </c>
      <c r="K179" s="38">
        <f>SUM(F179:H179)</f>
        <v>129.59200000000001</v>
      </c>
      <c r="L179" s="17" t="s">
        <v>198</v>
      </c>
      <c r="M179" s="43"/>
      <c r="N179" s="17"/>
      <c r="O179" s="17"/>
      <c r="P179" s="17"/>
      <c r="Q179" s="17"/>
      <c r="R179" s="17"/>
      <c r="S179" s="17"/>
      <c r="T179" s="17"/>
    </row>
    <row r="180" spans="2:20" ht="15.75" hidden="1" outlineLevel="1" x14ac:dyDescent="0.3">
      <c r="B180" s="17"/>
      <c r="C180" s="17"/>
      <c r="D180" s="17" t="s">
        <v>179</v>
      </c>
      <c r="E180" s="17"/>
      <c r="F180" s="38">
        <f>IF(NOT(ISBLANK('Referenz Plattenwerk'!$I43)),'Referenz Plattenwerk'!$I43,'Referenz Plattenwerk'!$F43)*IF(NOT(ISBLANK('Eingabe EF'!$AA28)),'Eingabe EF'!$AA28,0)*IF(NOT(ISBLANK('Referenz Plattenwerk'!$I$12)),'Referenz Plattenwerk'!$I$12,'Referenz Plattenwerk'!$F$12)</f>
        <v>0</v>
      </c>
      <c r="G180" s="38">
        <f>IF(NOT(ISBLANK('Referenz Plattenwerk'!$I43)),'Referenz Plattenwerk'!$I43,'Referenz Plattenwerk'!$F43)*IF(NOT(ISBLANK('Eingabe EF'!$AE28)),'Eingabe EF'!$AE28,0)*IF(NOT(ISBLANK('Referenz Plattenwerk'!$I$12)),'Referenz Plattenwerk'!$I$12,'Referenz Plattenwerk'!$F$12)</f>
        <v>0</v>
      </c>
      <c r="H180" s="38">
        <f>IF(NOT(ISBLANK('Referenz Plattenwerk'!$I43)),'Referenz Plattenwerk'!$I43,'Referenz Plattenwerk'!$F43)*IF(NOT(ISBLANK('Eingabe EF'!$AI28)),'Eingabe EF'!$AI28,0)*IF(NOT(ISBLANK('Referenz Plattenwerk'!$I$12)),'Referenz Plattenwerk'!$I$12,'Referenz Plattenwerk'!$F$12)</f>
        <v>0</v>
      </c>
      <c r="I180" s="17"/>
      <c r="J180" s="38">
        <f t="shared" ref="J180:J181" si="29">F180+G180</f>
        <v>0</v>
      </c>
      <c r="K180" s="38">
        <f t="shared" ref="K180:K181" si="30">SUM(F180:H180)</f>
        <v>0</v>
      </c>
      <c r="L180" s="17" t="s">
        <v>198</v>
      </c>
      <c r="M180" s="43"/>
      <c r="N180" s="17"/>
      <c r="O180" s="17"/>
      <c r="P180" s="17"/>
      <c r="Q180" s="30"/>
      <c r="R180" s="17"/>
      <c r="S180" s="67"/>
      <c r="T180" s="17"/>
    </row>
    <row r="181" spans="2:20" ht="15.75" hidden="1" outlineLevel="1" x14ac:dyDescent="0.3">
      <c r="B181" s="17"/>
      <c r="C181" s="17"/>
      <c r="D181" s="17" t="s">
        <v>180</v>
      </c>
      <c r="E181" s="17"/>
      <c r="F181" s="38">
        <f>IF(NOT(ISBLANK('Referenz Plattenwerk'!$I44)),'Referenz Plattenwerk'!$I44,'Referenz Plattenwerk'!$F44)*IF(NOT(ISBLANK('Eingabe EF'!$AA29)),'Eingabe EF'!$AA29,0)*IF(NOT(ISBLANK('Referenz Plattenwerk'!$I$12)),'Referenz Plattenwerk'!$I$12,'Referenz Plattenwerk'!$F$12)</f>
        <v>0</v>
      </c>
      <c r="G181" s="38">
        <f>IF(NOT(ISBLANK('Referenz Plattenwerk'!$I44)),'Referenz Plattenwerk'!$I44,'Referenz Plattenwerk'!$F44)*IF(NOT(ISBLANK('Eingabe EF'!$AE29)),'Eingabe EF'!$AE29,0)*IF(NOT(ISBLANK('Referenz Plattenwerk'!$I$12)),'Referenz Plattenwerk'!$I$12,'Referenz Plattenwerk'!$F$12)</f>
        <v>0</v>
      </c>
      <c r="H181" s="38">
        <f>IF(NOT(ISBLANK('Referenz Plattenwerk'!$I44)),'Referenz Plattenwerk'!$I44,'Referenz Plattenwerk'!$F44)*IF(NOT(ISBLANK('Eingabe EF'!$AI29)),'Eingabe EF'!$AI29,0)*IF(NOT(ISBLANK('Referenz Plattenwerk'!$I$12)),'Referenz Plattenwerk'!$I$12,'Referenz Plattenwerk'!$F$12)</f>
        <v>0</v>
      </c>
      <c r="I181" s="17"/>
      <c r="J181" s="38">
        <f t="shared" si="29"/>
        <v>0</v>
      </c>
      <c r="K181" s="38">
        <f t="shared" si="30"/>
        <v>0</v>
      </c>
      <c r="L181" s="17" t="s">
        <v>198</v>
      </c>
      <c r="M181" s="43"/>
      <c r="N181" s="43"/>
      <c r="O181" s="43"/>
      <c r="P181" s="43"/>
      <c r="Q181" s="43"/>
      <c r="R181" s="43"/>
      <c r="S181" s="43"/>
    </row>
    <row r="182" spans="2:20" hidden="1" outlineLevel="1" x14ac:dyDescent="0.2">
      <c r="B182" s="17"/>
      <c r="C182" s="17"/>
      <c r="D182" s="17"/>
      <c r="E182" s="17"/>
      <c r="F182" s="20"/>
      <c r="G182" s="20"/>
      <c r="H182" s="20"/>
      <c r="I182" s="17"/>
      <c r="J182" s="17"/>
      <c r="K182" s="20"/>
      <c r="L182" s="20"/>
      <c r="M182" s="43"/>
      <c r="N182" s="43"/>
      <c r="O182" s="43"/>
      <c r="P182" s="43"/>
      <c r="Q182" s="43"/>
      <c r="R182" s="43"/>
      <c r="S182" s="43"/>
    </row>
    <row r="183" spans="2:20" ht="14.25" hidden="1" outlineLevel="1" x14ac:dyDescent="0.25">
      <c r="B183" s="17"/>
      <c r="C183" s="17"/>
      <c r="D183" s="21" t="s">
        <v>57</v>
      </c>
      <c r="E183" s="21"/>
      <c r="F183" s="75">
        <f>IF(NOT(ISBLANK('Referenz Plattenwerk'!$I46)),'Referenz Plattenwerk'!$I46,'Referenz Plattenwerk'!$F46)*IF(NOT(ISBLANK('Eingabe EF'!$AA31)),'Eingabe EF'!$AA31,'Eingabe EF'!$Y31)*IF(NOT(ISBLANK('Referenz Plattenwerk'!$I$12)),'Referenz Plattenwerk'!$I$12,'Referenz Plattenwerk'!$F$12)</f>
        <v>0</v>
      </c>
      <c r="G183" s="75">
        <f>IF(NOT(ISBLANK('Referenz Plattenwerk'!$I46)),'Referenz Plattenwerk'!$I46,'Referenz Plattenwerk'!$F46)*IF(NOT(ISBLANK('Eingabe EF'!$AE31)),'Eingabe EF'!$AE31,'Eingabe EF'!$AC31)*IF(NOT(ISBLANK('Referenz Plattenwerk'!$I$12)),'Referenz Plattenwerk'!$I$12,'Referenz Plattenwerk'!$F$12)</f>
        <v>0</v>
      </c>
      <c r="H183" s="75">
        <f>IF(NOT(ISBLANK('Referenz Plattenwerk'!$I46)),'Referenz Plattenwerk'!$I46,'Referenz Plattenwerk'!$F46)*IF(NOT(ISBLANK('Eingabe EF'!$AI31)),'Eingabe EF'!$AI31,'Eingabe EF'!$AG31)*IF(NOT(ISBLANK('Referenz Plattenwerk'!$I$12)),'Referenz Plattenwerk'!$I$12,'Referenz Plattenwerk'!$F$12)</f>
        <v>208</v>
      </c>
      <c r="I183" s="21"/>
      <c r="J183" s="75">
        <f>F183+G183</f>
        <v>0</v>
      </c>
      <c r="K183" s="75">
        <f t="shared" ref="K183" si="31">SUM(F183:H183)</f>
        <v>208</v>
      </c>
      <c r="L183" s="21" t="s">
        <v>197</v>
      </c>
      <c r="M183" s="43"/>
      <c r="N183" s="43"/>
      <c r="O183" s="43"/>
      <c r="P183" s="43"/>
      <c r="Q183" s="43"/>
      <c r="R183" s="43"/>
      <c r="S183" s="43"/>
    </row>
    <row r="184" spans="2:20" hidden="1" outlineLevel="1" x14ac:dyDescent="0.2">
      <c r="B184" s="17"/>
      <c r="C184" s="17"/>
      <c r="D184" s="17"/>
      <c r="E184" s="17"/>
      <c r="F184" s="20"/>
      <c r="G184" s="20"/>
      <c r="H184" s="20"/>
      <c r="I184" s="17"/>
      <c r="J184" s="17"/>
      <c r="K184" s="20"/>
      <c r="L184" s="20"/>
      <c r="M184" s="43"/>
      <c r="N184" s="43"/>
      <c r="O184" s="43"/>
      <c r="P184" s="43"/>
      <c r="Q184" s="43"/>
      <c r="R184" s="43"/>
      <c r="S184" s="43"/>
    </row>
    <row r="185" spans="2:20" ht="14.25" hidden="1" outlineLevel="1" x14ac:dyDescent="0.25">
      <c r="B185" s="70"/>
      <c r="C185" s="70" t="s">
        <v>181</v>
      </c>
      <c r="D185" s="71"/>
      <c r="E185" s="71"/>
      <c r="F185" s="72">
        <f>SUM(F186:F188)</f>
        <v>0</v>
      </c>
      <c r="G185" s="72">
        <f>SUM(G186:G188)</f>
        <v>0</v>
      </c>
      <c r="H185" s="72">
        <f>SUM(H186:H188)</f>
        <v>81.003999999999991</v>
      </c>
      <c r="I185" s="71"/>
      <c r="J185" s="72">
        <f t="shared" ref="J185" si="32">F185+G185</f>
        <v>0</v>
      </c>
      <c r="K185" s="72">
        <f t="shared" ref="K185" si="33">SUM(F185:H185)</f>
        <v>81.003999999999991</v>
      </c>
      <c r="L185" s="77" t="s">
        <v>197</v>
      </c>
      <c r="M185" s="43"/>
      <c r="N185" s="43"/>
      <c r="O185" s="43"/>
      <c r="P185" s="43"/>
      <c r="Q185" s="43"/>
      <c r="R185" s="43"/>
      <c r="S185" s="43"/>
    </row>
    <row r="186" spans="2:20" ht="15.75" hidden="1" outlineLevel="1" x14ac:dyDescent="0.3">
      <c r="B186" s="17"/>
      <c r="C186" s="17"/>
      <c r="D186" s="17" t="s">
        <v>59</v>
      </c>
      <c r="E186" s="17"/>
      <c r="F186" s="38">
        <f>IF(NOT(ISBLANK('Referenz Plattenwerk'!$I49)),'Referenz Plattenwerk'!$I49,'Referenz Plattenwerk'!$F49)*IF(NOT(ISBLANK('Eingabe EF'!$AA34)),'Eingabe EF'!$AA34,'Eingabe EF'!$Y34)*IF(NOT(ISBLANK('Referenz Plattenwerk'!$I$12)),'Referenz Plattenwerk'!$I$12,'Referenz Plattenwerk'!$F$12)</f>
        <v>0</v>
      </c>
      <c r="G186" s="38">
        <f>IF(NOT(ISBLANK('Referenz Plattenwerk'!$I49)),'Referenz Plattenwerk'!$I49,'Referenz Plattenwerk'!$F49)*IF(NOT(ISBLANK('Eingabe EF'!$AE34)),'Eingabe EF'!$AE34,'Eingabe EF'!$AC34)*IF(NOT(ISBLANK('Referenz Plattenwerk'!$I$12)),'Referenz Plattenwerk'!$I$12,'Referenz Plattenwerk'!$F$12)</f>
        <v>0</v>
      </c>
      <c r="H186" s="38">
        <f>IF(NOT(ISBLANK('Referenz Plattenwerk'!$I49)),'Referenz Plattenwerk'!$I49,'Referenz Plattenwerk'!$F49)*IF(NOT(ISBLANK('Eingabe EF'!$AI34)),'Eingabe EF'!$AI34,'Eingabe EF'!$AG34)*IF(NOT(ISBLANK('Referenz Plattenwerk'!$I$12)),'Referenz Plattenwerk'!$I$12,'Referenz Plattenwerk'!$F$12)</f>
        <v>0</v>
      </c>
      <c r="I186" s="17"/>
      <c r="J186" s="38">
        <f>F186+G186</f>
        <v>0</v>
      </c>
      <c r="K186" s="38">
        <f>SUM(F186:H186)</f>
        <v>0</v>
      </c>
      <c r="L186" s="17" t="s">
        <v>198</v>
      </c>
      <c r="M186" s="43"/>
      <c r="N186" s="43"/>
      <c r="O186" s="43"/>
      <c r="P186" s="43"/>
      <c r="Q186" s="43"/>
      <c r="R186" s="43"/>
      <c r="S186" s="43"/>
    </row>
    <row r="187" spans="2:20" ht="15.75" hidden="1" outlineLevel="1" x14ac:dyDescent="0.3">
      <c r="B187" s="17"/>
      <c r="C187" s="17"/>
      <c r="D187" s="17" t="s">
        <v>60</v>
      </c>
      <c r="E187" s="17"/>
      <c r="F187" s="38">
        <f>IF(NOT(ISBLANK('Referenz Plattenwerk'!$I50)),'Referenz Plattenwerk'!$I50,'Referenz Plattenwerk'!$F50)*IF(NOT(ISBLANK('Eingabe EF'!$AA35)),'Eingabe EF'!$AA35,'Eingabe EF'!$Y35)*IF(NOT(ISBLANK('Referenz Plattenwerk'!$I$12)),'Referenz Plattenwerk'!$I$12,'Referenz Plattenwerk'!$F$12)</f>
        <v>0</v>
      </c>
      <c r="G187" s="38">
        <f>IF(NOT(ISBLANK('Referenz Plattenwerk'!$I50)),'Referenz Plattenwerk'!$I50,'Referenz Plattenwerk'!$F50)*IF(NOT(ISBLANK('Eingabe EF'!$AE35)),'Eingabe EF'!$AE35,'Eingabe EF'!$AC35)*IF(NOT(ISBLANK('Referenz Plattenwerk'!$I$12)),'Referenz Plattenwerk'!$I$12,'Referenz Plattenwerk'!$F$12)</f>
        <v>0</v>
      </c>
      <c r="H187" s="38">
        <f>IF(NOT(ISBLANK('Referenz Plattenwerk'!$I50)),'Referenz Plattenwerk'!$I50,'Referenz Plattenwerk'!$F50)*IF(NOT(ISBLANK('Eingabe EF'!$AI35)),'Eingabe EF'!$AI35,'Eingabe EF'!$AG35)*IF(NOT(ISBLANK('Referenz Plattenwerk'!$I$12)),'Referenz Plattenwerk'!$I$12,'Referenz Plattenwerk'!$F$12)</f>
        <v>8.6840000000000011</v>
      </c>
      <c r="I187" s="17"/>
      <c r="J187" s="38">
        <f>F187+G187</f>
        <v>0</v>
      </c>
      <c r="K187" s="38">
        <f>SUM(F187:H187)</f>
        <v>8.6840000000000011</v>
      </c>
      <c r="L187" s="17" t="s">
        <v>198</v>
      </c>
      <c r="M187" s="43"/>
      <c r="N187" s="43"/>
      <c r="O187" s="43"/>
      <c r="P187" s="43"/>
      <c r="Q187" s="43"/>
      <c r="R187" s="43"/>
      <c r="S187" s="43"/>
    </row>
    <row r="188" spans="2:20" ht="15.75" hidden="1" outlineLevel="1" x14ac:dyDescent="0.3">
      <c r="B188" s="17"/>
      <c r="C188" s="17"/>
      <c r="D188" s="17" t="s">
        <v>61</v>
      </c>
      <c r="E188" s="17"/>
      <c r="F188" s="38">
        <f>IF(NOT(ISBLANK('Referenz Plattenwerk'!$I51)),'Referenz Plattenwerk'!$I51,'Referenz Plattenwerk'!$F51)*IF(NOT(ISBLANK('Eingabe EF'!$AA36)),'Eingabe EF'!$AA36,'Eingabe EF'!$Y36)*IF(NOT(ISBLANK('Referenz Plattenwerk'!$I$12)),'Referenz Plattenwerk'!$I$12,'Referenz Plattenwerk'!$F$12)</f>
        <v>0</v>
      </c>
      <c r="G188" s="38">
        <f>IF(NOT(ISBLANK('Referenz Plattenwerk'!$I51)),'Referenz Plattenwerk'!$I51,'Referenz Plattenwerk'!$F51)*IF(NOT(ISBLANK('Eingabe EF'!$AE36)),'Eingabe EF'!$AE36,'Eingabe EF'!$AC36)*IF(NOT(ISBLANK('Referenz Plattenwerk'!$I$12)),'Referenz Plattenwerk'!$I$12,'Referenz Plattenwerk'!$F$12)</f>
        <v>0</v>
      </c>
      <c r="H188" s="38">
        <f>IF(NOT(ISBLANK('Referenz Plattenwerk'!$I51)),'Referenz Plattenwerk'!$I51,'Referenz Plattenwerk'!$F51)*IF(NOT(ISBLANK('Eingabe EF'!$AI36)),'Eingabe EF'!$AI36,'Eingabe EF'!$AG36)*IF(NOT(ISBLANK('Referenz Plattenwerk'!$I$12)),'Referenz Plattenwerk'!$I$12,'Referenz Plattenwerk'!$F$12)</f>
        <v>72.319999999999993</v>
      </c>
      <c r="I188" s="17"/>
      <c r="J188" s="38">
        <f>F188+G188</f>
        <v>0</v>
      </c>
      <c r="K188" s="38">
        <f>SUM(F188:H188)</f>
        <v>72.319999999999993</v>
      </c>
      <c r="L188" s="17" t="s">
        <v>198</v>
      </c>
      <c r="M188" s="43"/>
      <c r="N188" s="43"/>
      <c r="O188" s="43"/>
      <c r="P188" s="43"/>
      <c r="Q188" s="43"/>
      <c r="R188" s="43"/>
      <c r="S188" s="43"/>
    </row>
    <row r="189" spans="2:20" hidden="1" outlineLevel="1" x14ac:dyDescent="0.2">
      <c r="B189" s="17"/>
      <c r="C189" s="17"/>
      <c r="D189" s="17"/>
      <c r="E189" s="17"/>
      <c r="F189" s="20"/>
      <c r="G189" s="20"/>
      <c r="H189" s="20"/>
      <c r="I189" s="17"/>
      <c r="J189" s="17"/>
      <c r="K189" s="20"/>
      <c r="L189" s="20"/>
      <c r="M189" s="43"/>
      <c r="N189" s="43"/>
      <c r="O189" s="43"/>
      <c r="P189" s="43"/>
      <c r="Q189" s="43"/>
      <c r="R189" s="43"/>
      <c r="S189" s="43"/>
    </row>
    <row r="190" spans="2:20" ht="14.25" hidden="1" outlineLevel="1" x14ac:dyDescent="0.25">
      <c r="B190" s="70"/>
      <c r="C190" s="70" t="s">
        <v>51</v>
      </c>
      <c r="D190" s="71"/>
      <c r="E190" s="71"/>
      <c r="F190" s="72">
        <f>SUM(F191:F194)</f>
        <v>0</v>
      </c>
      <c r="G190" s="72">
        <f>SUM(G191:G194)</f>
        <v>0</v>
      </c>
      <c r="H190" s="72">
        <f>SUM(H191:H194)</f>
        <v>148.44746134951595</v>
      </c>
      <c r="I190" s="71"/>
      <c r="J190" s="72">
        <f t="shared" ref="J190:J194" si="34">F190+G190</f>
        <v>0</v>
      </c>
      <c r="K190" s="72">
        <f t="shared" ref="K190" si="35">SUM(F190:H190)</f>
        <v>148.44746134951595</v>
      </c>
      <c r="L190" s="77" t="s">
        <v>197</v>
      </c>
      <c r="M190" s="43"/>
      <c r="N190" s="43"/>
      <c r="O190" s="43"/>
      <c r="P190" s="43"/>
      <c r="Q190" s="43"/>
      <c r="R190" s="43"/>
      <c r="S190" s="43"/>
    </row>
    <row r="191" spans="2:20" ht="15.75" hidden="1" outlineLevel="1" x14ac:dyDescent="0.3">
      <c r="B191" s="17"/>
      <c r="C191" s="17"/>
      <c r="D191" s="17" t="s">
        <v>52</v>
      </c>
      <c r="E191" s="17"/>
      <c r="F191"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91"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91"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91" s="17"/>
      <c r="J191" s="38">
        <f t="shared" si="34"/>
        <v>0</v>
      </c>
      <c r="K191" s="38">
        <f t="shared" ref="K191:K194" si="36">SUM(F191:H191)</f>
        <v>47.997919375812742</v>
      </c>
      <c r="L191" s="17" t="s">
        <v>198</v>
      </c>
      <c r="M191" s="43"/>
      <c r="N191" s="43"/>
      <c r="O191" s="43"/>
      <c r="P191" s="43"/>
      <c r="Q191" s="43"/>
      <c r="R191" s="43"/>
      <c r="S191" s="43"/>
    </row>
    <row r="192" spans="2:20" ht="15.75" hidden="1" outlineLevel="1" x14ac:dyDescent="0.3">
      <c r="B192" s="17"/>
      <c r="C192" s="17"/>
      <c r="D192" s="17" t="s">
        <v>54</v>
      </c>
      <c r="E192" s="17"/>
      <c r="F192"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92"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92"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92" s="17"/>
      <c r="J192" s="38">
        <f t="shared" si="34"/>
        <v>0</v>
      </c>
      <c r="K192" s="38">
        <f t="shared" si="36"/>
        <v>5.7797543707556596</v>
      </c>
      <c r="L192" s="17" t="s">
        <v>198</v>
      </c>
      <c r="M192" s="43"/>
      <c r="N192" s="43"/>
      <c r="O192" s="43"/>
      <c r="P192" s="43"/>
      <c r="Q192" s="43"/>
      <c r="R192" s="43"/>
      <c r="S192" s="43"/>
    </row>
    <row r="193" spans="2:19" ht="15.75" hidden="1" outlineLevel="1" x14ac:dyDescent="0.3">
      <c r="B193" s="17"/>
      <c r="C193" s="17"/>
      <c r="D193" s="17" t="s">
        <v>55</v>
      </c>
      <c r="E193" s="17"/>
      <c r="F193"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93"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93"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93" s="17"/>
      <c r="J193" s="38">
        <f t="shared" si="34"/>
        <v>0</v>
      </c>
      <c r="K193" s="38">
        <f t="shared" si="36"/>
        <v>1.4217598612917211E-2</v>
      </c>
      <c r="L193" s="17" t="s">
        <v>198</v>
      </c>
      <c r="M193" s="43"/>
      <c r="N193" s="43"/>
      <c r="O193" s="43"/>
      <c r="P193" s="43"/>
      <c r="Q193" s="43"/>
      <c r="R193" s="43"/>
      <c r="S193" s="43"/>
    </row>
    <row r="194" spans="2:19" ht="15.75" hidden="1" outlineLevel="1" x14ac:dyDescent="0.3">
      <c r="B194" s="17"/>
      <c r="C194" s="17"/>
      <c r="D194" s="17" t="s">
        <v>56</v>
      </c>
      <c r="E194" s="17"/>
      <c r="F194"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94"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94"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94" s="17"/>
      <c r="J194" s="38">
        <f t="shared" si="34"/>
        <v>0</v>
      </c>
      <c r="K194" s="38">
        <f t="shared" si="36"/>
        <v>94.655570004334635</v>
      </c>
      <c r="L194" s="17" t="s">
        <v>198</v>
      </c>
      <c r="M194" s="43"/>
      <c r="N194" s="43"/>
      <c r="O194" s="43"/>
      <c r="P194" s="43"/>
      <c r="Q194" s="43"/>
      <c r="R194" s="43"/>
      <c r="S194" s="43"/>
    </row>
    <row r="195" spans="2:19" hidden="1" outlineLevel="1" x14ac:dyDescent="0.2">
      <c r="B195" s="17"/>
      <c r="C195" s="17"/>
      <c r="D195" s="17"/>
      <c r="E195" s="17"/>
      <c r="F195" s="20"/>
      <c r="G195" s="20"/>
      <c r="H195" s="20"/>
      <c r="I195" s="17"/>
      <c r="J195" s="20"/>
      <c r="K195" s="20"/>
      <c r="L195" s="17"/>
      <c r="M195" s="43"/>
      <c r="N195" s="43"/>
      <c r="O195" s="43"/>
      <c r="P195" s="43"/>
      <c r="Q195" s="43"/>
      <c r="R195" s="43"/>
      <c r="S195" s="43"/>
    </row>
    <row r="196" spans="2:19" ht="14.25" hidden="1" outlineLevel="1" x14ac:dyDescent="0.25">
      <c r="B196" s="17"/>
      <c r="C196" s="17"/>
      <c r="D196" s="21" t="s">
        <v>110</v>
      </c>
      <c r="E196" s="21"/>
      <c r="F196" s="75">
        <f>IF(NOT(ISBLANK('Referenz Plattenwerk'!$I59)),'Referenz Plattenwerk'!$I59,'Referenz Plattenwerk'!$F59)*IF(NOT(ISBLANK('Eingabe EF'!$AA44)),'Eingabe EF'!$AA44,0)*IF(NOT(ISBLANK('Referenz Plattenwerk'!$I$12)),'Referenz Plattenwerk'!$I$12,'Referenz Plattenwerk'!$F$12)</f>
        <v>0</v>
      </c>
      <c r="G196" s="75">
        <f>IF(NOT(ISBLANK('Referenz Plattenwerk'!$I59)),'Referenz Plattenwerk'!$I59,'Referenz Plattenwerk'!$F59)*IF(NOT(ISBLANK('Eingabe EF'!$AE44)),'Eingabe EF'!$AE44,0)*IF(NOT(ISBLANK('Referenz Plattenwerk'!$I$12)),'Referenz Plattenwerk'!$I$12,'Referenz Plattenwerk'!$F$12)</f>
        <v>0</v>
      </c>
      <c r="H196" s="75">
        <f>IF(NOT(ISBLANK('Referenz Plattenwerk'!$I59)),'Referenz Plattenwerk'!$I59,'Referenz Plattenwerk'!$F59)*IF(NOT(ISBLANK('Eingabe EF'!$AI44)),'Eingabe EF'!$AI44,0)*IF(NOT(ISBLANK('Referenz Plattenwerk'!$I$12)),'Referenz Plattenwerk'!$I$12,'Referenz Plattenwerk'!$F$12)</f>
        <v>0</v>
      </c>
      <c r="I196" s="21"/>
      <c r="J196" s="75">
        <f>F196+G196</f>
        <v>0</v>
      </c>
      <c r="K196" s="75">
        <f>SUM(F196:H196)</f>
        <v>0</v>
      </c>
      <c r="L196" s="21" t="s">
        <v>197</v>
      </c>
      <c r="M196" s="43"/>
      <c r="N196" s="43"/>
      <c r="O196" s="43"/>
      <c r="P196" s="43"/>
      <c r="Q196" s="43"/>
      <c r="R196" s="43"/>
      <c r="S196" s="43"/>
    </row>
    <row r="197" spans="2:19" ht="14.25" hidden="1" outlineLevel="1" x14ac:dyDescent="0.25">
      <c r="B197" s="17"/>
      <c r="C197" s="17"/>
      <c r="D197" s="21" t="s">
        <v>64</v>
      </c>
      <c r="E197" s="21"/>
      <c r="F197" s="75">
        <f>IF(NOT(ISBLANK('Referenz Plattenwerk'!$I60)),'Referenz Plattenwerk'!$I60,'Referenz Plattenwerk'!$F60)*IF(NOT(ISBLANK('Eingabe EF'!$AA45)),'Eingabe EF'!$AA45,'Eingabe EF'!$Y45)</f>
        <v>0</v>
      </c>
      <c r="G197" s="75">
        <f>IF(NOT(ISBLANK('Referenz Plattenwerk'!$I60)),'Referenz Plattenwerk'!$I60,'Referenz Plattenwerk'!$F60)*IF(NOT(ISBLANK('Eingabe EF'!$AE45)),'Eingabe EF'!$AE45,'Eingabe EF'!$AC45)</f>
        <v>0</v>
      </c>
      <c r="H197" s="75">
        <f>IF(NOT(ISBLANK('Referenz Plattenwerk'!$I60)),'Referenz Plattenwerk'!$I60,'Referenz Plattenwerk'!$F60)*IF(NOT(ISBLANK('Eingabe EF'!$AI45)),'Eingabe EF'!$AI45,'Eingabe EF'!$AG45)</f>
        <v>0.54400000000000004</v>
      </c>
      <c r="I197" s="21"/>
      <c r="J197" s="75">
        <f>F197+G197</f>
        <v>0</v>
      </c>
      <c r="K197" s="75">
        <f>SUM(F197:H197)</f>
        <v>0.54400000000000004</v>
      </c>
      <c r="L197" s="21" t="s">
        <v>197</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70"/>
      <c r="C199" s="70" t="s">
        <v>182</v>
      </c>
      <c r="D199" s="71"/>
      <c r="E199" s="71"/>
      <c r="F199" s="72">
        <f>SUM(F200:F202)</f>
        <v>0</v>
      </c>
      <c r="G199" s="72">
        <f>SUM(G200:G202)</f>
        <v>0</v>
      </c>
      <c r="H199" s="72">
        <f>SUM(H200:H202)</f>
        <v>80.47999999999999</v>
      </c>
      <c r="I199" s="71"/>
      <c r="J199" s="72">
        <f t="shared" ref="J199:J202" si="37">F199+G199</f>
        <v>0</v>
      </c>
      <c r="K199" s="72">
        <f t="shared" ref="K199" si="38">SUM(F199:H199)</f>
        <v>80.47999999999999</v>
      </c>
      <c r="L199" s="77" t="s">
        <v>197</v>
      </c>
      <c r="M199" s="43"/>
      <c r="N199" s="43"/>
      <c r="O199" s="43"/>
      <c r="P199" s="43"/>
      <c r="Q199" s="43"/>
      <c r="R199" s="43"/>
      <c r="S199" s="43"/>
    </row>
    <row r="200" spans="2:19" ht="15.75" hidden="1" outlineLevel="1" x14ac:dyDescent="0.3">
      <c r="B200" s="17"/>
      <c r="C200" s="17"/>
      <c r="D200" s="17" t="s">
        <v>183</v>
      </c>
      <c r="E200" s="17"/>
      <c r="F200" s="38">
        <f>IF(NOT(ISBLANK('Referenz Plattenwerk'!$I63)),'Referenz Plattenwerk'!$I63,'Referenz Plattenwerk'!$F63)*IF(NOT(ISBLANK('Eingabe EF'!$AA48)),'Eingabe EF'!$AA48,0)*IF(NOT(ISBLANK('Referenz Plattenwerk'!$I$12)),'Referenz Plattenwerk'!$I$12,'Referenz Plattenwerk'!$F$12)</f>
        <v>0</v>
      </c>
      <c r="G200" s="38">
        <f>IF(NOT(ISBLANK('Referenz Plattenwerk'!$I63)),'Referenz Plattenwerk'!$I63,'Referenz Plattenwerk'!$F63)*IF(NOT(ISBLANK('Eingabe EF'!$AE48)),'Eingabe EF'!$AE48,0)*IF(NOT(ISBLANK('Referenz Plattenwerk'!$I$12)),'Referenz Plattenwerk'!$I$12,'Referenz Plattenwerk'!$F$12)</f>
        <v>0</v>
      </c>
      <c r="H200" s="38">
        <f>IF(NOT(ISBLANK('Referenz Plattenwerk'!$I63)),'Referenz Plattenwerk'!$I63,'Referenz Plattenwerk'!$F63)*IF(NOT(ISBLANK('Eingabe EF'!$AI48)),'Eingabe EF'!$AI48,0)*IF(NOT(ISBLANK('Referenz Plattenwerk'!$I$12)),'Referenz Plattenwerk'!$I$12,'Referenz Plattenwerk'!$F$12)</f>
        <v>0</v>
      </c>
      <c r="I200" s="17"/>
      <c r="J200" s="38">
        <f t="shared" si="37"/>
        <v>0</v>
      </c>
      <c r="K200" s="38">
        <f t="shared" ref="K200:K202" si="39">SUM(F200:H200)</f>
        <v>0</v>
      </c>
      <c r="L200" s="17" t="s">
        <v>198</v>
      </c>
      <c r="M200" s="43"/>
      <c r="N200" s="43"/>
      <c r="O200" s="43"/>
      <c r="P200" s="43"/>
      <c r="Q200" s="43"/>
      <c r="R200" s="43"/>
      <c r="S200" s="43"/>
    </row>
    <row r="201" spans="2:19" ht="15.75" hidden="1" outlineLevel="1" x14ac:dyDescent="0.3">
      <c r="B201" s="17"/>
      <c r="C201" s="17"/>
      <c r="D201" s="17" t="s">
        <v>62</v>
      </c>
      <c r="E201" s="17"/>
      <c r="F201" s="38">
        <f>IF(NOT(ISBLANK('Referenz Plattenwerk'!$I64)),'Referenz Plattenwerk'!$I64,'Referenz Plattenwerk'!$F64)*IF(NOT(ISBLANK('Eingabe EF'!$AA49)),'Eingabe EF'!$AA49,'Eingabe EF'!$Y49)*IF(NOT(ISBLANK('Referenz Plattenwerk'!$I$12)),'Referenz Plattenwerk'!$I$12,'Referenz Plattenwerk'!$F$12)</f>
        <v>0</v>
      </c>
      <c r="G201" s="38">
        <f>IF(NOT(ISBLANK('Referenz Plattenwerk'!$I64)),'Referenz Plattenwerk'!$I64,'Referenz Plattenwerk'!$F64)*IF(NOT(ISBLANK('Eingabe EF'!$AE49)),'Eingabe EF'!$AE49,'Eingabe EF'!$AC49)*IF(NOT(ISBLANK('Referenz Plattenwerk'!$I$12)),'Referenz Plattenwerk'!$I$12,'Referenz Plattenwerk'!$F$12)</f>
        <v>0</v>
      </c>
      <c r="H201" s="38">
        <f>IF(NOT(ISBLANK('Referenz Plattenwerk'!$I64)),'Referenz Plattenwerk'!$I64,'Referenz Plattenwerk'!$F64)*IF(NOT(ISBLANK('Eingabe EF'!$AI49)),'Eingabe EF'!$AI49,'Eingabe EF'!$AG49)*IF(NOT(ISBLANK('Referenz Plattenwerk'!$I$12)),'Referenz Plattenwerk'!$I$12,'Referenz Plattenwerk'!$F$12)</f>
        <v>80.47999999999999</v>
      </c>
      <c r="I201" s="17"/>
      <c r="J201" s="38">
        <f t="shared" si="37"/>
        <v>0</v>
      </c>
      <c r="K201" s="38">
        <f t="shared" si="39"/>
        <v>80.47999999999999</v>
      </c>
      <c r="L201" s="17" t="s">
        <v>198</v>
      </c>
      <c r="M201" s="43"/>
      <c r="N201" s="43"/>
      <c r="O201" s="43"/>
      <c r="P201" s="43"/>
      <c r="Q201" s="43"/>
      <c r="R201" s="43"/>
      <c r="S201" s="43"/>
    </row>
    <row r="202" spans="2:19" ht="15.75" hidden="1" outlineLevel="1" x14ac:dyDescent="0.3">
      <c r="B202" s="17"/>
      <c r="C202" s="17"/>
      <c r="D202" s="17" t="s">
        <v>184</v>
      </c>
      <c r="E202" s="17"/>
      <c r="F202" s="38">
        <f>IF(NOT(ISBLANK('Referenz Plattenwerk'!$I65)),'Referenz Plattenwerk'!$I65,'Referenz Plattenwerk'!$F65)*IF(NOT(ISBLANK('Eingabe EF'!$AA50)),'Eingabe EF'!$AA50,0)*IF(NOT(ISBLANK('Referenz Plattenwerk'!$I$12)),'Referenz Plattenwerk'!$I$12,'Referenz Plattenwerk'!$F$12)</f>
        <v>0</v>
      </c>
      <c r="G202" s="38">
        <f>IF(NOT(ISBLANK('Referenz Plattenwerk'!$I65)),'Referenz Plattenwerk'!$I65,'Referenz Plattenwerk'!$F65)*IF(NOT(ISBLANK('Eingabe EF'!$AE50)),'Eingabe EF'!$AE50,0)*IF(NOT(ISBLANK('Referenz Plattenwerk'!$I$12)),'Referenz Plattenwerk'!$I$12,'Referenz Plattenwerk'!$F$12)</f>
        <v>0</v>
      </c>
      <c r="H202" s="38">
        <f>IF(NOT(ISBLANK('Referenz Plattenwerk'!$I65)),'Referenz Plattenwerk'!$I65,'Referenz Plattenwerk'!$F65)*IF(NOT(ISBLANK('Eingabe EF'!$AI50)),'Eingabe EF'!$AI50,0)*IF(NOT(ISBLANK('Referenz Plattenwerk'!$I$12)),'Referenz Plattenwerk'!$I$12,'Referenz Plattenwerk'!$F$12)</f>
        <v>0</v>
      </c>
      <c r="I202" s="17"/>
      <c r="J202" s="38">
        <f t="shared" si="37"/>
        <v>0</v>
      </c>
      <c r="K202" s="38">
        <f t="shared" si="39"/>
        <v>0</v>
      </c>
      <c r="L202" s="17" t="s">
        <v>198</v>
      </c>
      <c r="M202" s="43"/>
      <c r="N202" s="43"/>
      <c r="O202" s="43"/>
      <c r="P202" s="43"/>
      <c r="Q202" s="43"/>
      <c r="R202" s="43"/>
      <c r="S202" s="43"/>
    </row>
    <row r="203" spans="2:19" hidden="1" outlineLevel="1" x14ac:dyDescent="0.2">
      <c r="B203" s="17"/>
      <c r="C203" s="17"/>
      <c r="D203" s="17"/>
      <c r="E203" s="17"/>
      <c r="F203" s="20"/>
      <c r="G203" s="20"/>
      <c r="H203" s="20"/>
      <c r="I203" s="17"/>
      <c r="J203" s="17"/>
      <c r="K203" s="17"/>
      <c r="L203" s="20"/>
      <c r="M203" s="43"/>
      <c r="N203" s="43"/>
      <c r="O203" s="43"/>
      <c r="P203" s="43"/>
      <c r="Q203" s="43"/>
      <c r="R203" s="43"/>
      <c r="S203" s="43"/>
    </row>
    <row r="204" spans="2:19" ht="14.25" hidden="1" outlineLevel="1" x14ac:dyDescent="0.25">
      <c r="B204" s="70"/>
      <c r="C204" s="70" t="s">
        <v>185</v>
      </c>
      <c r="D204" s="71"/>
      <c r="E204" s="71"/>
      <c r="F204" s="72">
        <f>SUM(F205:F207)</f>
        <v>0</v>
      </c>
      <c r="G204" s="72">
        <f>SUM(G205:G207)</f>
        <v>0</v>
      </c>
      <c r="H204" s="72">
        <f>SUM(H205:H207)</f>
        <v>60</v>
      </c>
      <c r="I204" s="71"/>
      <c r="J204" s="72">
        <f>F204+G204</f>
        <v>0</v>
      </c>
      <c r="K204" s="72">
        <f t="shared" ref="K204" si="40">SUM(F204:H204)</f>
        <v>60</v>
      </c>
      <c r="L204" s="77" t="s">
        <v>197</v>
      </c>
      <c r="M204" s="43"/>
      <c r="N204" s="43"/>
      <c r="O204" s="43"/>
      <c r="P204" s="43"/>
      <c r="Q204" s="43"/>
      <c r="R204" s="43"/>
      <c r="S204" s="43"/>
    </row>
    <row r="205" spans="2:19" ht="15.75" hidden="1" outlineLevel="1" x14ac:dyDescent="0.3">
      <c r="B205" s="17"/>
      <c r="C205" s="17"/>
      <c r="D205" s="17" t="s">
        <v>66</v>
      </c>
      <c r="E205" s="17"/>
      <c r="F205" s="38">
        <f>IF(NOT(ISBLANK('Referenz Plattenwerk'!$I68)),'Referenz Plattenwerk'!$I68,'Referenz Plattenwerk'!$F68)*IF(NOT(ISBLANK('Eingabe EF'!$AA53)),'Eingabe EF'!$AA53,'Eingabe EF'!$Y53)</f>
        <v>0</v>
      </c>
      <c r="G205" s="38">
        <f>IF(NOT(ISBLANK('Referenz Plattenwerk'!$I68)),'Referenz Plattenwerk'!$I68,'Referenz Plattenwerk'!$F68)*IF(NOT(ISBLANK('Eingabe EF'!$AE53)),'Eingabe EF'!$AE53,'Eingabe EF'!$AC53)</f>
        <v>0</v>
      </c>
      <c r="H205" s="38">
        <f>IF(NOT(ISBLANK('Referenz Plattenwerk'!$I68)),'Referenz Plattenwerk'!$I68,'Referenz Plattenwerk'!$F68)*IF(NOT(ISBLANK('Eingabe EF'!$AI53)),'Eingabe EF'!$AI53,'Eingabe EF'!$AG53)</f>
        <v>60</v>
      </c>
      <c r="I205" s="17"/>
      <c r="J205" s="38">
        <f>F205+G205</f>
        <v>0</v>
      </c>
      <c r="K205" s="38">
        <f>SUM(F205:H205)</f>
        <v>60</v>
      </c>
      <c r="L205" s="17" t="s">
        <v>198</v>
      </c>
      <c r="M205" s="43"/>
      <c r="N205" s="43"/>
      <c r="O205" s="43"/>
      <c r="P205" s="43"/>
      <c r="Q205" s="43"/>
      <c r="R205" s="43"/>
      <c r="S205" s="43"/>
    </row>
    <row r="206" spans="2:19" ht="15.75" hidden="1" outlineLevel="1" x14ac:dyDescent="0.3">
      <c r="B206" s="17"/>
      <c r="C206" s="17"/>
      <c r="D206" s="17" t="s">
        <v>187</v>
      </c>
      <c r="E206" s="17"/>
      <c r="F206" s="38">
        <f>IF(NOT(ISBLANK('Referenz Plattenwerk'!$I69)),'Referenz Plattenwerk'!$I69,'Referenz Plattenwerk'!$F69)*IF(NOT(ISBLANK('Eingabe EF'!$AA54)),'Eingabe EF'!$AA54,0)</f>
        <v>0</v>
      </c>
      <c r="G206" s="38">
        <f>IF(NOT(ISBLANK('Referenz Plattenwerk'!$I69)),'Referenz Plattenwerk'!$I69,'Referenz Plattenwerk'!$F69)*IF(NOT(ISBLANK('Eingabe EF'!$AE54)),'Eingabe EF'!$AE54,0)</f>
        <v>0</v>
      </c>
      <c r="H206" s="38">
        <f>IF(NOT(ISBLANK('Referenz Plattenwerk'!$I69)),'Referenz Plattenwerk'!$I69,'Referenz Plattenwerk'!$F69)*IF(NOT(ISBLANK('Eingabe EF'!$AI54)),'Eingabe EF'!$AI54,0)</f>
        <v>0</v>
      </c>
      <c r="I206" s="17"/>
      <c r="J206" s="38">
        <f t="shared" ref="J206:J207" si="41">F206+G206</f>
        <v>0</v>
      </c>
      <c r="K206" s="38">
        <f t="shared" ref="K206:K207" si="42">SUM(F206:H206)</f>
        <v>0</v>
      </c>
      <c r="L206" s="17" t="s">
        <v>198</v>
      </c>
      <c r="M206" s="43"/>
      <c r="N206" s="43"/>
      <c r="O206" s="43"/>
      <c r="P206" s="43"/>
      <c r="Q206" s="43"/>
      <c r="R206" s="43"/>
      <c r="S206" s="43"/>
    </row>
    <row r="207" spans="2:19" ht="15.75" hidden="1" outlineLevel="1" x14ac:dyDescent="0.3">
      <c r="B207" s="17"/>
      <c r="C207" s="17"/>
      <c r="D207" s="17" t="s">
        <v>186</v>
      </c>
      <c r="E207" s="17"/>
      <c r="F207" s="38">
        <f>IF(NOT(ISBLANK('Referenz Plattenwerk'!$I70)),'Referenz Plattenwerk'!$I70,'Referenz Plattenwerk'!$F70)*IF(NOT(ISBLANK('Eingabe EF'!$AA55)),'Eingabe EF'!$AA55,0)</f>
        <v>0</v>
      </c>
      <c r="G207" s="38">
        <f>IF(NOT(ISBLANK('Referenz Plattenwerk'!$I70)),'Referenz Plattenwerk'!$I70,'Referenz Plattenwerk'!$F70)*IF(NOT(ISBLANK('Eingabe EF'!$AE55)),'Eingabe EF'!$AE55,0)</f>
        <v>0</v>
      </c>
      <c r="H207" s="38">
        <f>IF(NOT(ISBLANK('Referenz Plattenwerk'!$I70)),'Referenz Plattenwerk'!$I70,'Referenz Plattenwerk'!$F70)*IF(NOT(ISBLANK('Eingabe EF'!$AI55)),'Eingabe EF'!$AI55,0)</f>
        <v>0</v>
      </c>
      <c r="I207" s="17"/>
      <c r="J207" s="38">
        <f t="shared" si="41"/>
        <v>0</v>
      </c>
      <c r="K207" s="38">
        <f t="shared" si="42"/>
        <v>0</v>
      </c>
      <c r="L207" s="17" t="s">
        <v>198</v>
      </c>
      <c r="M207" s="43"/>
      <c r="N207" s="43"/>
      <c r="O207" s="43"/>
      <c r="P207" s="43"/>
      <c r="Q207" s="43"/>
      <c r="R207" s="43"/>
      <c r="S207" s="43"/>
    </row>
    <row r="208" spans="2:19" hidden="1" outlineLevel="1" x14ac:dyDescent="0.2">
      <c r="B208" s="17"/>
      <c r="C208" s="17"/>
      <c r="D208" s="17"/>
      <c r="E208" s="17"/>
      <c r="F208" s="20"/>
      <c r="G208" s="20"/>
      <c r="H208" s="20"/>
      <c r="I208" s="17"/>
      <c r="J208" s="17"/>
      <c r="K208" s="17"/>
      <c r="L208" s="20"/>
      <c r="M208" s="43"/>
      <c r="N208" s="43"/>
      <c r="O208" s="43"/>
      <c r="P208" s="43"/>
      <c r="Q208" s="43"/>
      <c r="R208" s="43"/>
      <c r="S208" s="43"/>
    </row>
    <row r="209" spans="2:20" ht="14.25" hidden="1" outlineLevel="1" x14ac:dyDescent="0.25">
      <c r="B209" s="17"/>
      <c r="C209" s="17"/>
      <c r="D209" s="21" t="s">
        <v>63</v>
      </c>
      <c r="E209" s="21"/>
      <c r="F209" s="75">
        <f>IF(NOT(ISBLANK('Referenz Plattenwerk'!$I72)),'Referenz Plattenwerk'!$I72,'Referenz Plattenwerk'!$F72)*IF(NOT(ISBLANK('Eingabe EF'!$AA57)),'Eingabe EF'!$AA57,'Eingabe EF'!$Y57)</f>
        <v>0</v>
      </c>
      <c r="G209" s="75">
        <f>IF(NOT(ISBLANK('Referenz Plattenwerk'!$I72)),'Referenz Plattenwerk'!$I72,'Referenz Plattenwerk'!$F72)*IF(NOT(ISBLANK('Eingabe EF'!$AE57)),'Eingabe EF'!$AE57,'Eingabe EF'!$AC57)</f>
        <v>0</v>
      </c>
      <c r="H209" s="75">
        <f>IF(NOT(ISBLANK('Referenz Plattenwerk'!$I72)),'Referenz Plattenwerk'!$I72,'Referenz Plattenwerk'!$F72)*IF(NOT(ISBLANK('Eingabe EF'!$AI57)),'Eingabe EF'!$AI57,'Eingabe EF'!$AG57)</f>
        <v>64.48</v>
      </c>
      <c r="I209" s="21"/>
      <c r="J209" s="75">
        <f t="shared" ref="J209" si="43">F209+G209</f>
        <v>0</v>
      </c>
      <c r="K209" s="75">
        <f t="shared" ref="K209" si="44">SUM(F209:H209)</f>
        <v>64.48</v>
      </c>
      <c r="L209" s="21" t="s">
        <v>197</v>
      </c>
      <c r="M209" s="43"/>
      <c r="N209" s="43"/>
      <c r="O209" s="43"/>
      <c r="P209" s="43"/>
      <c r="Q209" s="43"/>
      <c r="R209" s="43"/>
      <c r="S209" s="43"/>
    </row>
    <row r="210" spans="2:20" hidden="1" outlineLevel="1" x14ac:dyDescent="0.2">
      <c r="B210" s="17"/>
      <c r="C210" s="17"/>
      <c r="D210" s="17"/>
      <c r="E210" s="17"/>
      <c r="F210" s="20"/>
      <c r="G210" s="20"/>
      <c r="H210" s="20"/>
      <c r="I210" s="17"/>
      <c r="J210" s="17"/>
      <c r="K210" s="17"/>
      <c r="L210" s="20"/>
      <c r="M210" s="43"/>
      <c r="N210" s="43"/>
      <c r="O210" s="43"/>
      <c r="P210" s="43"/>
      <c r="Q210" s="43"/>
      <c r="R210" s="43"/>
      <c r="S210" s="43"/>
    </row>
    <row r="211" spans="2:20" ht="15" hidden="1" outlineLevel="1" thickBot="1" x14ac:dyDescent="0.3">
      <c r="B211" s="17"/>
      <c r="C211" s="17"/>
      <c r="D211" s="68" t="s">
        <v>69</v>
      </c>
      <c r="E211" s="68"/>
      <c r="F211" s="69">
        <f>SUM(F154:F209)-F168-F172-F178-F185-F190-F199-F204</f>
        <v>93.470408001999999</v>
      </c>
      <c r="G211" s="69">
        <f>SUM(G154:G209)-G168-G172-G178-G185-G190-G199-G204</f>
        <v>124.8924470887134</v>
      </c>
      <c r="H211" s="69">
        <f>SUM(H154:H209)-H168-H172-H178-H185-H190-H199-H204</f>
        <v>5824.380170042431</v>
      </c>
      <c r="I211" s="21"/>
      <c r="J211" s="69">
        <f t="shared" ref="J211" si="45">SUM(J154:J209)-J168-J172-J178-J185-J190-J199-J204</f>
        <v>218.36285509071337</v>
      </c>
      <c r="K211" s="69">
        <f>SUM(K154:K209)-K168-K172-K178-K185-K190-K199-K204</f>
        <v>6042.7430251331434</v>
      </c>
      <c r="L211" s="69" t="s">
        <v>197</v>
      </c>
      <c r="M211" s="43"/>
      <c r="N211" s="43"/>
      <c r="O211" s="43"/>
      <c r="P211" s="43"/>
      <c r="Q211" s="43"/>
      <c r="R211" s="43"/>
      <c r="S211" s="43"/>
    </row>
    <row r="212" spans="2:20" ht="13.5" hidden="1" outlineLevel="1" thickTop="1" x14ac:dyDescent="0.2">
      <c r="B212" s="17"/>
      <c r="C212" s="17"/>
      <c r="D212" s="17"/>
      <c r="E212" s="17"/>
      <c r="F212" s="20"/>
      <c r="G212" s="20"/>
      <c r="H212" s="20"/>
      <c r="I212" s="17"/>
      <c r="J212" s="17"/>
      <c r="K212" s="17"/>
      <c r="L212" s="20"/>
      <c r="M212" s="43"/>
      <c r="N212" s="43"/>
      <c r="O212" s="43"/>
      <c r="P212" s="43"/>
      <c r="Q212" s="43"/>
      <c r="R212" s="43"/>
      <c r="S212" s="43"/>
    </row>
    <row r="213" spans="2:20" collapsed="1" x14ac:dyDescent="0.2"/>
    <row r="215" spans="2:20" ht="15.75" hidden="1" outlineLevel="1" x14ac:dyDescent="0.25">
      <c r="B215" s="22"/>
      <c r="C215" s="22" t="s">
        <v>114</v>
      </c>
      <c r="D215" s="17"/>
      <c r="E215" s="17"/>
      <c r="F215" s="17"/>
      <c r="G215" s="17"/>
      <c r="H215" s="17"/>
      <c r="I215" s="17"/>
      <c r="J215" s="17"/>
      <c r="K215" s="17"/>
      <c r="L215" s="17"/>
      <c r="N215" s="22" t="s">
        <v>117</v>
      </c>
      <c r="O215" s="17"/>
      <c r="P215" s="17"/>
      <c r="Q215" s="17"/>
      <c r="R215" s="17"/>
      <c r="S215" s="17"/>
      <c r="T215" s="17"/>
    </row>
    <row r="216" spans="2:20" ht="15" hidden="1" outlineLevel="1" x14ac:dyDescent="0.25">
      <c r="B216" s="65"/>
      <c r="C216" s="65">
        <v>2030</v>
      </c>
      <c r="D216" s="25"/>
      <c r="E216" s="25"/>
      <c r="F216" s="25"/>
      <c r="G216" s="25"/>
      <c r="H216" s="25"/>
      <c r="I216" s="25"/>
      <c r="J216" s="25"/>
      <c r="K216" s="25"/>
      <c r="L216" s="25"/>
      <c r="N216" s="65">
        <v>2030</v>
      </c>
      <c r="O216" s="17"/>
      <c r="P216" s="17"/>
      <c r="Q216" s="17"/>
      <c r="R216" s="17"/>
      <c r="S216" s="17"/>
      <c r="T216" s="17"/>
    </row>
    <row r="217" spans="2:20" ht="15" hidden="1" outlineLevel="1" x14ac:dyDescent="0.25">
      <c r="B217" s="65"/>
      <c r="C217" s="17"/>
      <c r="D217" s="17" t="s">
        <v>229</v>
      </c>
      <c r="E217" s="42">
        <f>IF(NOT(ISBLANK(K23)),K23,I23)-IF(NOT(ISBLANK(G23)),G23,E23)</f>
        <v>2</v>
      </c>
      <c r="F217" s="17"/>
      <c r="G217" s="17"/>
      <c r="H217" s="17"/>
      <c r="I217" s="17"/>
      <c r="J217" s="17"/>
      <c r="K217" s="17"/>
      <c r="L217" s="17"/>
      <c r="N217" s="17"/>
      <c r="O217" s="17"/>
      <c r="P217" s="17"/>
      <c r="Q217" s="17"/>
      <c r="R217" s="17"/>
      <c r="S217" s="17"/>
      <c r="T217" s="17"/>
    </row>
    <row r="218" spans="2:20" ht="15" hidden="1" outlineLevel="1" x14ac:dyDescent="0.25">
      <c r="B218" s="65"/>
      <c r="C218" s="17"/>
      <c r="D218" s="17" t="s">
        <v>237</v>
      </c>
      <c r="E218" s="42">
        <f>E148*($E$17-$E$25)+E217*(E17-I25)</f>
        <v>1100</v>
      </c>
      <c r="F218" s="20" t="s">
        <v>236</v>
      </c>
      <c r="G218" s="17"/>
      <c r="H218" s="17"/>
      <c r="I218" s="17"/>
      <c r="J218" s="17"/>
      <c r="K218" s="17"/>
      <c r="L218" s="17"/>
      <c r="N218" s="17"/>
      <c r="O218" s="17"/>
      <c r="P218" s="17"/>
      <c r="Q218" s="17"/>
      <c r="R218" s="17"/>
      <c r="S218" s="17"/>
      <c r="T218" s="17"/>
    </row>
    <row r="219" spans="2:20" hidden="1" outlineLevel="1" x14ac:dyDescent="0.2">
      <c r="B219" s="17"/>
      <c r="C219" s="17"/>
      <c r="D219" s="17"/>
      <c r="E219" s="67"/>
      <c r="F219" s="20"/>
      <c r="G219" s="17"/>
      <c r="H219" s="17"/>
      <c r="I219" s="17"/>
      <c r="J219" s="17"/>
      <c r="K219" s="17"/>
      <c r="L219" s="17"/>
      <c r="N219" s="17"/>
      <c r="O219" s="17"/>
      <c r="P219" s="17"/>
      <c r="Q219" s="17"/>
      <c r="R219" s="17"/>
      <c r="S219" s="17"/>
      <c r="T219" s="17"/>
    </row>
    <row r="220" spans="2:20" ht="25.5" hidden="1" outlineLevel="1" x14ac:dyDescent="0.2">
      <c r="B220" s="17"/>
      <c r="C220" s="17"/>
      <c r="D220" s="17"/>
      <c r="E220" s="17"/>
      <c r="F220" s="36" t="s">
        <v>27</v>
      </c>
      <c r="G220" s="36" t="s">
        <v>82</v>
      </c>
      <c r="H220" s="36" t="s">
        <v>29</v>
      </c>
      <c r="I220" s="17"/>
      <c r="J220" s="40" t="s">
        <v>111</v>
      </c>
      <c r="K220" s="41" t="s">
        <v>39</v>
      </c>
      <c r="L220" s="17"/>
      <c r="N220" s="17"/>
      <c r="O220" s="17"/>
      <c r="P220" s="17"/>
      <c r="Q220" s="18"/>
      <c r="R220" s="17"/>
      <c r="S220" s="18"/>
      <c r="T220" s="18"/>
    </row>
    <row r="221" spans="2:20" ht="14.25" hidden="1" outlineLevel="1" x14ac:dyDescent="0.25">
      <c r="B221" s="77"/>
      <c r="C221" s="77" t="s">
        <v>190</v>
      </c>
      <c r="D221" s="77"/>
      <c r="E221" s="77"/>
      <c r="F221" s="78">
        <f>SUM(F223:F236)</f>
        <v>92.008460943999992</v>
      </c>
      <c r="G221" s="78">
        <f>SUM(G223:G236)</f>
        <v>61.552554846110553</v>
      </c>
      <c r="H221" s="78">
        <f>SUM(H223:H236)</f>
        <v>24.588558285628775</v>
      </c>
      <c r="I221" s="77"/>
      <c r="J221" s="78">
        <f>F221+G221</f>
        <v>153.56101579011056</v>
      </c>
      <c r="K221" s="78">
        <f>SUM(F221:H221)</f>
        <v>178.14957407573934</v>
      </c>
      <c r="L221" s="77" t="s">
        <v>197</v>
      </c>
      <c r="N221" s="17"/>
      <c r="O221" s="17"/>
      <c r="P221" s="17"/>
      <c r="Q221" s="18"/>
      <c r="R221" s="17"/>
      <c r="S221" s="18"/>
      <c r="T221" s="18"/>
    </row>
    <row r="222" spans="2:20" hidden="1" outlineLevel="1" x14ac:dyDescent="0.2">
      <c r="B222" s="17"/>
      <c r="C222" s="17" t="s">
        <v>146</v>
      </c>
      <c r="D222" s="17"/>
      <c r="E222" s="17"/>
      <c r="F222" s="17"/>
      <c r="G222" s="17"/>
      <c r="H222" s="17"/>
      <c r="I222" s="17"/>
      <c r="J222" s="17"/>
      <c r="K222" s="17"/>
      <c r="L222" s="17"/>
      <c r="N222" s="17" t="s">
        <v>146</v>
      </c>
      <c r="O222" s="17"/>
      <c r="P222" s="17"/>
      <c r="Q222" s="18"/>
      <c r="R222" s="17"/>
      <c r="S222" s="18"/>
      <c r="T222" s="18"/>
    </row>
    <row r="223" spans="2:20" ht="15.75" hidden="1" outlineLevel="1" x14ac:dyDescent="0.3">
      <c r="B223" s="17"/>
      <c r="C223" s="17"/>
      <c r="D223" s="17" t="s">
        <v>125</v>
      </c>
      <c r="E223" s="17"/>
      <c r="F223" s="38">
        <f>IF(NOT(ISBLANK('Referenz Plattenwerk'!$I16)),'Referenz Plattenwerk'!$I16,'Referenz Plattenwerk'!$F16)*IF(NOT(ISBLANK('Eingabe EF'!$AS9)),'Eingabe EF'!$AS9,'Eingabe EF'!$AQ9)</f>
        <v>34.434080000000002</v>
      </c>
      <c r="G223" s="38">
        <f>IF(NOT(ISBLANK('Referenz Plattenwerk'!$I16)),'Referenz Plattenwerk'!$I16,'Referenz Plattenwerk'!$F16)*IF(NOT(ISBLANK('Eingabe EF'!$AW9)),'Eingabe EF'!$AW9,'Eingabe EF'!$AU9)</f>
        <v>0</v>
      </c>
      <c r="H223" s="38">
        <f>IF(NOT(ISBLANK('Referenz Plattenwerk'!$I16)),'Referenz Plattenwerk'!$I16,'Referenz Plattenwerk'!$F16)*IF(NOT(ISBLANK('Eingabe EF'!$BA9)),'Eingabe EF'!$BA9,'Eingabe EF'!$AY9)</f>
        <v>5.8938000000000006</v>
      </c>
      <c r="I223" s="17"/>
      <c r="J223" s="38">
        <f>F223+G223</f>
        <v>34.434080000000002</v>
      </c>
      <c r="K223" s="38">
        <f>SUM(F223:H223)</f>
        <v>40.32788</v>
      </c>
      <c r="L223" s="17" t="s">
        <v>198</v>
      </c>
      <c r="N223" s="17"/>
      <c r="O223" s="17" t="s">
        <v>125</v>
      </c>
      <c r="P223" s="17"/>
      <c r="Q223" s="19"/>
      <c r="R223" s="17"/>
      <c r="S223" s="42">
        <f>IF(NOT(ISBLANK('Referenz Plattenwerk'!$I16)),'Referenz Plattenwerk'!$I16,'Referenz Plattenwerk'!$F16)/1000*IF(NOT(ISBLANK('Eingabe Preise'!$O10)),'Eingabe Preise'!$O10,'Eingabe Preise'!$M10)</f>
        <v>11468</v>
      </c>
      <c r="T223" s="20" t="s">
        <v>106</v>
      </c>
    </row>
    <row r="224" spans="2:20" ht="15.75" hidden="1" outlineLevel="1" x14ac:dyDescent="0.3">
      <c r="B224" s="17"/>
      <c r="C224" s="17"/>
      <c r="D224" s="17" t="s">
        <v>165</v>
      </c>
      <c r="E224" s="17"/>
      <c r="F224" s="38">
        <f>IF(NOT(ISBLANK('Referenz Plattenwerk'!$I17)),'Referenz Plattenwerk'!$I17,'Referenz Plattenwerk'!$F17)*IF(NOT(ISBLANK('Eingabe EF'!$AS10)),'Eingabe EF'!$AS10,'Eingabe EF'!$AQ10)</f>
        <v>6.4022399999999999</v>
      </c>
      <c r="G224" s="38">
        <f>IF(NOT(ISBLANK('Referenz Plattenwerk'!$I17)),'Referenz Plattenwerk'!$I17,'Referenz Plattenwerk'!$F17)*IF(NOT(ISBLANK('Eingabe EF'!$AW10)),'Eingabe EF'!$AW10,'Eingabe EF'!$AU10)</f>
        <v>0</v>
      </c>
      <c r="H224" s="38">
        <f>IF(NOT(ISBLANK('Referenz Plattenwerk'!$I17)),'Referenz Plattenwerk'!$I17,'Referenz Plattenwerk'!$F17)*IF(NOT(ISBLANK('Eingabe EF'!$BA10)),'Eingabe EF'!$BA10,'Eingabe EF'!$AY10)</f>
        <v>0.949824</v>
      </c>
      <c r="I224" s="17"/>
      <c r="J224" s="38">
        <f>F224+G224</f>
        <v>6.4022399999999999</v>
      </c>
      <c r="K224" s="38">
        <f>SUM(F224:H224)</f>
        <v>7.3520640000000004</v>
      </c>
      <c r="L224" s="17" t="s">
        <v>198</v>
      </c>
      <c r="N224" s="17"/>
      <c r="O224" s="17" t="s">
        <v>165</v>
      </c>
      <c r="P224" s="17"/>
      <c r="Q224" s="20"/>
      <c r="R224" s="17"/>
      <c r="S224" s="42">
        <f>IF(NOT(ISBLANK('Referenz Plattenwerk'!$I17)),'Referenz Plattenwerk'!$I17,'Referenz Plattenwerk'!$F17)/1000*IF(NOT(ISBLANK('Eingabe Preise'!$O11)),'Eingabe Preise'!$O11,'Eingabe Preise'!$M11)</f>
        <v>1104</v>
      </c>
      <c r="T224" s="20" t="s">
        <v>106</v>
      </c>
    </row>
    <row r="225" spans="2:20" ht="15.75" hidden="1" outlineLevel="1" x14ac:dyDescent="0.3">
      <c r="B225" s="17"/>
      <c r="C225" s="17"/>
      <c r="D225" s="17" t="s">
        <v>152</v>
      </c>
      <c r="E225" s="17"/>
      <c r="F225" s="38">
        <f>IF(NOT(ISBLANK('Referenz Plattenwerk'!$I18)),'Referenz Plattenwerk'!$I18,'Referenz Plattenwerk'!$F18)*IF(NOT(ISBLANK('Eingabe EF'!$AS11)),'Eingabe EF'!$AS11,'Eingabe EF'!$AQ11)</f>
        <v>0</v>
      </c>
      <c r="G225" s="38">
        <f>IF(NOT(ISBLANK('Referenz Plattenwerk'!$I18)),'Referenz Plattenwerk'!$I18,'Referenz Plattenwerk'!$F18)*IF(NOT(ISBLANK('Eingabe EF'!$AW11)),'Eingabe EF'!$AW11,'Eingabe EF'!$AU11)</f>
        <v>6.1552554846110556</v>
      </c>
      <c r="H225" s="38">
        <f>IF(NOT(ISBLANK('Referenz Plattenwerk'!$I18)),'Referenz Plattenwerk'!$I18,'Referenz Plattenwerk'!$F18)*IF(NOT(ISBLANK('Eingabe EF'!$BA11)),'Eingabe EF'!$BA11,'Eingabe EF'!$AY11)</f>
        <v>0.90234111816287721</v>
      </c>
      <c r="I225" s="17"/>
      <c r="J225" s="38">
        <f>F225+G225</f>
        <v>6.1552554846110556</v>
      </c>
      <c r="K225" s="38">
        <f>SUM(F225:H225)</f>
        <v>7.0575966027739332</v>
      </c>
      <c r="L225" s="17" t="s">
        <v>198</v>
      </c>
      <c r="N225" s="17"/>
      <c r="O225" s="17" t="s">
        <v>152</v>
      </c>
      <c r="P225" s="17"/>
      <c r="Q225" s="20"/>
      <c r="R225" s="17"/>
      <c r="S225" s="42">
        <f>IF(NOT(ISBLANK('Referenz Plattenwerk'!$I18)),'Referenz Plattenwerk'!$I18,'Referenz Plattenwerk'!$F18)/1000*IF(NOT(ISBLANK('Eingabe Preise'!$O12)),'Eingabe Preise'!$O12,'Eingabe Preise'!$M12)</f>
        <v>7740</v>
      </c>
      <c r="T225" s="20" t="s">
        <v>106</v>
      </c>
    </row>
    <row r="226" spans="2:20" ht="15.75" hidden="1" outlineLevel="1" x14ac:dyDescent="0.3">
      <c r="B226" s="17"/>
      <c r="C226" s="17"/>
      <c r="D226" s="17" t="s">
        <v>126</v>
      </c>
      <c r="E226" s="17"/>
      <c r="F226" s="44">
        <f>IF(NOT(ISBLANK('Referenz Plattenwerk'!$I19)),'Referenz Plattenwerk'!$I19,'Referenz Plattenwerk'!$F19)*IF(NOT(ISBLANK('Eingabe EF'!$AS12)),'Eingabe EF'!$AS12,0)</f>
        <v>0</v>
      </c>
      <c r="G226" s="44">
        <f>IF(NOT(ISBLANK('Referenz Plattenwerk'!$I19)),'Referenz Plattenwerk'!$I19,'Referenz Plattenwerk'!$F19)*IF(NOT(ISBLANK('Eingabe EF'!$AW12)),'Eingabe EF'!$AW12,0)</f>
        <v>0</v>
      </c>
      <c r="H226" s="44">
        <f>IF(NOT(ISBLANK('Referenz Plattenwerk'!$I19)),'Referenz Plattenwerk'!$I19,'Referenz Plattenwerk'!$F19)*IF(NOT(ISBLANK('Eingabe EF'!$BA12)),'Eingabe EF'!$BA12,0)</f>
        <v>0</v>
      </c>
      <c r="I226" s="17"/>
      <c r="J226" s="38">
        <f>F226+G226</f>
        <v>0</v>
      </c>
      <c r="K226" s="38">
        <f>SUM(F226:H226)</f>
        <v>0</v>
      </c>
      <c r="L226" s="17" t="s">
        <v>198</v>
      </c>
      <c r="N226" s="17"/>
      <c r="O226" s="17" t="s">
        <v>126</v>
      </c>
      <c r="P226" s="17"/>
      <c r="Q226" s="20"/>
      <c r="R226" s="17"/>
      <c r="S226" s="42">
        <f>IF(NOT(ISBLANK('Referenz Plattenwerk'!$I19)),'Referenz Plattenwerk'!$I19,'Referenz Plattenwerk'!$F19)/1000*IF(NOT(ISBLANK('Eingabe Preise'!$O16)),'Eingabe Preise'!$O16,0)</f>
        <v>0</v>
      </c>
      <c r="T226" s="20" t="s">
        <v>106</v>
      </c>
    </row>
    <row r="227" spans="2:20" hidden="1" outlineLevel="1" x14ac:dyDescent="0.2">
      <c r="B227" s="17"/>
      <c r="C227" s="17" t="s">
        <v>147</v>
      </c>
      <c r="D227" s="17"/>
      <c r="E227" s="17"/>
      <c r="F227" s="17"/>
      <c r="G227" s="17"/>
      <c r="H227" s="17"/>
      <c r="I227" s="17"/>
      <c r="J227" s="17"/>
      <c r="K227" s="17"/>
      <c r="L227" s="17"/>
      <c r="N227" s="17" t="s">
        <v>147</v>
      </c>
      <c r="O227" s="17"/>
      <c r="P227" s="17"/>
      <c r="Q227" s="20"/>
      <c r="R227" s="17"/>
      <c r="S227" s="20"/>
      <c r="T227" s="20"/>
    </row>
    <row r="228" spans="2:20" ht="15.75" hidden="1" outlineLevel="1" x14ac:dyDescent="0.3">
      <c r="B228" s="17"/>
      <c r="C228" s="17"/>
      <c r="D228" s="17" t="s">
        <v>31</v>
      </c>
      <c r="E228" s="17"/>
      <c r="F228" s="44">
        <f>IF(NOT(ISBLANK('Referenz Plattenwerk'!$I21)),'Referenz Plattenwerk'!$I21,'Referenz Plattenwerk'!$F21)*IF(NOT(ISBLANK('Eingabe EF'!$AS9)),'Eingabe EF'!$AS9,'Eingabe EF'!$AQ9)</f>
        <v>8.6085200000000004</v>
      </c>
      <c r="G228" s="44">
        <f>IF(NOT(ISBLANK('Referenz Plattenwerk'!$I21)),'Referenz Plattenwerk'!$I21,'Referenz Plattenwerk'!$F21)*IF(NOT(ISBLANK('Eingabe EF'!$AW9)),'Eingabe EF'!$AW9,'Eingabe EF'!$AU9)</f>
        <v>0</v>
      </c>
      <c r="H228" s="44">
        <f>IF(NOT(ISBLANK('Referenz Plattenwerk'!$I21)),'Referenz Plattenwerk'!$I21,'Referenz Plattenwerk'!$F21)*IF(NOT(ISBLANK('Eingabe EF'!$BA9)),'Eingabe EF'!$BA9,'Eingabe EF'!$AY9)</f>
        <v>1.4734500000000001</v>
      </c>
      <c r="I228" s="17"/>
      <c r="J228" s="38">
        <f t="shared" ref="J228:J229" si="46">F228+G228</f>
        <v>8.6085200000000004</v>
      </c>
      <c r="K228" s="38">
        <f t="shared" ref="K228:K229" si="47">SUM(F228:H228)</f>
        <v>10.08197</v>
      </c>
      <c r="L228" s="17" t="s">
        <v>198</v>
      </c>
      <c r="N228" s="17"/>
      <c r="O228" s="17" t="s">
        <v>31</v>
      </c>
      <c r="P228" s="17"/>
      <c r="Q228" s="20"/>
      <c r="R228" s="17"/>
      <c r="S228" s="42">
        <f>IF(NOT(ISBLANK('Referenz Plattenwerk'!$I21)),'Referenz Plattenwerk'!$I21,'Referenz Plattenwerk'!$F21)/1000*IF(NOT(ISBLANK('Eingabe Preise'!$O10)),'Eingabe Preise'!$O10,'Eingabe Preise'!$M10)</f>
        <v>2867</v>
      </c>
      <c r="T228" s="20" t="s">
        <v>106</v>
      </c>
    </row>
    <row r="229" spans="2:20" ht="15.75" hidden="1" outlineLevel="1" x14ac:dyDescent="0.3">
      <c r="B229" s="17"/>
      <c r="C229" s="17"/>
      <c r="D229" s="17" t="s">
        <v>32</v>
      </c>
      <c r="E229" s="17"/>
      <c r="F229" s="44">
        <f>IF(NOT(ISBLANK('Referenz Plattenwerk'!$I22)),'Referenz Plattenwerk'!$I22,'Referenz Plattenwerk'!$F22)*IF(NOT(ISBLANK('Eingabe EF'!$AS10)),'Eingabe EF'!$AS10,'Eingabe EF'!$AQ10)</f>
        <v>9.6033600000000003</v>
      </c>
      <c r="G229" s="44">
        <f>IF(NOT(ISBLANK('Referenz Plattenwerk'!$I22)),'Referenz Plattenwerk'!$I22,'Referenz Plattenwerk'!$F22)*IF(NOT(ISBLANK('Eingabe EF'!$AW10)),'Eingabe EF'!$AW10,'Eingabe EF'!$AU10)</f>
        <v>0</v>
      </c>
      <c r="H229" s="44">
        <f>IF(NOT(ISBLANK('Referenz Plattenwerk'!$I22)),'Referenz Plattenwerk'!$I22,'Referenz Plattenwerk'!$F22)*IF(NOT(ISBLANK('Eingabe EF'!$BA10)),'Eingabe EF'!$BA10,'Eingabe EF'!$AY10)</f>
        <v>1.424736</v>
      </c>
      <c r="I229" s="17"/>
      <c r="J229" s="38">
        <f t="shared" si="46"/>
        <v>9.6033600000000003</v>
      </c>
      <c r="K229" s="38">
        <f t="shared" si="47"/>
        <v>11.028096</v>
      </c>
      <c r="L229" s="17" t="s">
        <v>198</v>
      </c>
      <c r="N229" s="17"/>
      <c r="O229" s="17" t="s">
        <v>32</v>
      </c>
      <c r="P229" s="17"/>
      <c r="Q229" s="20"/>
      <c r="R229" s="17"/>
      <c r="S229" s="42">
        <f>IF(NOT(ISBLANK('Referenz Plattenwerk'!$I22)),'Referenz Plattenwerk'!$I22,'Referenz Plattenwerk'!$F22)/1000*IF(NOT(ISBLANK('Eingabe Preise'!$O11)),'Eingabe Preise'!$O11,'Eingabe Preise'!$M11)</f>
        <v>1656</v>
      </c>
      <c r="T229" s="20" t="s">
        <v>106</v>
      </c>
    </row>
    <row r="230" spans="2:20" hidden="1" outlineLevel="1" x14ac:dyDescent="0.2">
      <c r="B230" s="17"/>
      <c r="C230" s="17" t="s">
        <v>148</v>
      </c>
      <c r="D230" s="17"/>
      <c r="E230" s="17"/>
      <c r="F230" s="17"/>
      <c r="G230" s="17"/>
      <c r="H230" s="17"/>
      <c r="I230" s="17"/>
      <c r="J230" s="17"/>
      <c r="K230" s="17"/>
      <c r="L230" s="17"/>
      <c r="N230" s="17" t="s">
        <v>148</v>
      </c>
      <c r="O230" s="17"/>
      <c r="P230" s="17"/>
      <c r="Q230" s="20"/>
      <c r="R230" s="17"/>
      <c r="S230" s="20"/>
      <c r="T230" s="20"/>
    </row>
    <row r="231" spans="2:20" ht="15.75" hidden="1" outlineLevel="1" x14ac:dyDescent="0.3">
      <c r="B231" s="278"/>
      <c r="C231" s="17"/>
      <c r="D231" s="17" t="s">
        <v>150</v>
      </c>
      <c r="E231" s="17"/>
      <c r="F231" s="44">
        <f>IF(NOT(ISBLANK('Referenz Plattenwerk'!$I24)),'Referenz Plattenwerk'!$I24,'Referenz Plattenwerk'!$F24)*IF(NOT(ISBLANK('Eingabe EF'!$AS11)),'Eingabe EF'!$AS11,'Eingabe EF'!$AQ11)</f>
        <v>0</v>
      </c>
      <c r="G231" s="44">
        <f>IF(NOT(ISBLANK('Referenz Plattenwerk'!$I24)),'Referenz Plattenwerk'!$I24,'Referenz Plattenwerk'!$F24)*IF(NOT(ISBLANK('Eingabe EF'!$AW11)),'Eingabe EF'!$AW11,'Eingabe EF'!$AU11)</f>
        <v>55.397299361499499</v>
      </c>
      <c r="H231" s="44">
        <f>IF(NOT(ISBLANK('Referenz Plattenwerk'!$I24)),'Referenz Plattenwerk'!$I24,'Referenz Plattenwerk'!$F24)*IF(NOT(ISBLANK('Eingabe EF'!$BA11)),'Eingabe EF'!$BA11,'Eingabe EF'!$AY11)</f>
        <v>8.1210700634658952</v>
      </c>
      <c r="I231" s="17"/>
      <c r="J231" s="38">
        <f t="shared" ref="J231:J239" si="48">F231+G231</f>
        <v>55.397299361499499</v>
      </c>
      <c r="K231" s="38">
        <f t="shared" ref="K231:K239" si="49">SUM(F231:H231)</f>
        <v>63.518369424965393</v>
      </c>
      <c r="L231" s="17" t="s">
        <v>198</v>
      </c>
      <c r="N231" s="278"/>
      <c r="O231" s="17" t="s">
        <v>150</v>
      </c>
      <c r="P231" s="17"/>
      <c r="Q231" s="20"/>
      <c r="R231" s="17"/>
      <c r="S231" s="42">
        <f>IF(NOT(ISBLANK('Referenz Plattenwerk'!$I24)),'Referenz Plattenwerk'!$I24,'Referenz Plattenwerk'!$F24)/1000*IF(NOT(ISBLANK('Eingabe Preise'!$O12)),'Eingabe Preise'!$O12,'Eingabe Preise'!$M12)</f>
        <v>69660</v>
      </c>
      <c r="T231" s="20" t="s">
        <v>106</v>
      </c>
    </row>
    <row r="232" spans="2:20" ht="15.75" hidden="1" outlineLevel="1" x14ac:dyDescent="0.3">
      <c r="B232" s="17"/>
      <c r="C232" s="17"/>
      <c r="D232" s="17" t="s">
        <v>122</v>
      </c>
      <c r="E232" s="17"/>
      <c r="F232" s="44">
        <f>IF(NOT(ISBLANK('Referenz Plattenwerk'!$I25)),'Referenz Plattenwerk'!$I25,'Referenz Plattenwerk'!$F25)*IF(NOT(ISBLANK('Eingabe EF'!$AS13)),'Eingabe EF'!$AS13,'Eingabe EF'!$AQ13)</f>
        <v>0</v>
      </c>
      <c r="G232" s="44">
        <f>IF(NOT(ISBLANK('Referenz Plattenwerk'!$I25)),'Referenz Plattenwerk'!$I25,'Referenz Plattenwerk'!$F25)*IF(NOT(ISBLANK('Eingabe EF'!$AW13)),'Eingabe EF'!$AW13,'Eingabe EF'!$AU13)</f>
        <v>0</v>
      </c>
      <c r="H232" s="44">
        <f>IF(NOT(ISBLANK('Referenz Plattenwerk'!$I25)),'Referenz Plattenwerk'!$I25,'Referenz Plattenwerk'!$F25)*IF(NOT(ISBLANK('Eingabe EF'!$BA13)),'Eingabe EF'!$BA13,'Eingabe EF'!$AY13)</f>
        <v>0</v>
      </c>
      <c r="I232" s="17"/>
      <c r="J232" s="38">
        <f t="shared" si="48"/>
        <v>0</v>
      </c>
      <c r="K232" s="38">
        <f t="shared" si="49"/>
        <v>0</v>
      </c>
      <c r="L232" s="17" t="s">
        <v>198</v>
      </c>
      <c r="N232" s="17"/>
      <c r="O232" s="17" t="s">
        <v>122</v>
      </c>
      <c r="P232" s="17"/>
      <c r="Q232" s="20"/>
      <c r="R232" s="17"/>
      <c r="S232" s="42">
        <f>IF(NOT(ISBLANK('Referenz Plattenwerk'!$I25)),'Referenz Plattenwerk'!$I25,'Referenz Plattenwerk'!$F25)/1000*IF(NOT(ISBLANK('Eingabe Preise'!$O13)),'Eingabe Preise'!$O13,'Eingabe Preise'!$M13)</f>
        <v>0</v>
      </c>
      <c r="T232" s="20" t="s">
        <v>106</v>
      </c>
    </row>
    <row r="233" spans="2:20" ht="15.75" hidden="1" outlineLevel="1" x14ac:dyDescent="0.3">
      <c r="B233" s="17"/>
      <c r="C233" s="17"/>
      <c r="D233" s="17" t="s">
        <v>149</v>
      </c>
      <c r="E233" s="17"/>
      <c r="F233" s="44">
        <f>IF(NOT(ISBLANK('Referenz Plattenwerk'!$I26)),'Referenz Plattenwerk'!$I26,'Referenz Plattenwerk'!$F26)*IF(NOT(ISBLANK('Eingabe EF'!$AS14)),'Eingabe EF'!$AS14,0)</f>
        <v>0</v>
      </c>
      <c r="G233" s="44">
        <f>IF(NOT(ISBLANK('Referenz Plattenwerk'!$I26)),'Referenz Plattenwerk'!$I26,'Referenz Plattenwerk'!$F26)*IF(NOT(ISBLANK('Eingabe EF'!$AW14)),'Eingabe EF'!$AW14,0)</f>
        <v>0</v>
      </c>
      <c r="H233" s="44">
        <f>IF(NOT(ISBLANK('Referenz Plattenwerk'!$I26)),'Referenz Plattenwerk'!$I26,'Referenz Plattenwerk'!$F26)*IF(NOT(ISBLANK('Eingabe EF'!$BA14)),'Eingabe EF'!$BA14,0)</f>
        <v>0</v>
      </c>
      <c r="I233" s="17"/>
      <c r="J233" s="38">
        <f t="shared" si="48"/>
        <v>0</v>
      </c>
      <c r="K233" s="38">
        <f t="shared" si="49"/>
        <v>0</v>
      </c>
      <c r="L233" s="17" t="s">
        <v>198</v>
      </c>
      <c r="N233" s="17"/>
      <c r="O233" s="17" t="s">
        <v>149</v>
      </c>
      <c r="P233" s="17"/>
      <c r="Q233" s="30"/>
      <c r="R233" s="17"/>
      <c r="S233" s="42">
        <f>IF(NOT(ISBLANK('Referenz Plattenwerk'!$I26)),'Referenz Plattenwerk'!$I26,'Referenz Plattenwerk'!$F26)/1000*IF(NOT(ISBLANK('Eingabe Preise'!$O17)),'Eingabe Preise'!$O17,0)</f>
        <v>0</v>
      </c>
      <c r="T233" s="20" t="s">
        <v>106</v>
      </c>
    </row>
    <row r="234" spans="2:20" hidden="1" outlineLevel="1" x14ac:dyDescent="0.2">
      <c r="B234" s="17"/>
      <c r="C234" s="17"/>
      <c r="D234" s="17"/>
      <c r="E234" s="17"/>
      <c r="F234" s="17"/>
      <c r="G234" s="17"/>
      <c r="H234" s="17"/>
      <c r="I234" s="17"/>
      <c r="J234" s="17"/>
      <c r="K234" s="17"/>
      <c r="L234" s="17"/>
      <c r="N234" s="17"/>
      <c r="O234" s="17"/>
      <c r="P234" s="17"/>
      <c r="Q234" s="30"/>
      <c r="R234" s="17"/>
      <c r="S234" s="17"/>
      <c r="T234" s="17"/>
    </row>
    <row r="235" spans="2:20" ht="15.75" hidden="1" outlineLevel="1" x14ac:dyDescent="0.3">
      <c r="B235" s="278"/>
      <c r="C235" s="17" t="s">
        <v>464</v>
      </c>
      <c r="D235" s="17" t="s">
        <v>34</v>
      </c>
      <c r="E235" s="17"/>
      <c r="F235" s="44">
        <f>(IF(NOT(ISBLANK('Referenz Plattenwerk'!$I28)),'Referenz Plattenwerk'!$I28,'Referenz Plattenwerk'!$F28)-E218)*IF(NOT(ISBLANK('Eingabe EF'!$AS15)),'Eingabe EF'!$AS15,'Eingabe EF'!$AQ15)</f>
        <v>26.315047043999996</v>
      </c>
      <c r="G235" s="44">
        <f>(IF(NOT(ISBLANK('Referenz Plattenwerk'!$I28)),'Referenz Plattenwerk'!$I28,'Referenz Plattenwerk'!$F28)-E218)*IF(NOT(ISBLANK('Eingabe EF'!$AW15)),'Eingabe EF'!$AW15,'Eingabe EF'!$AU15)</f>
        <v>0</v>
      </c>
      <c r="H235" s="44">
        <f>(IF(NOT(ISBLANK('Referenz Plattenwerk'!$I28)),'Referenz Plattenwerk'!$I28,'Referenz Plattenwerk'!$F28)-E218)*IF(NOT(ISBLANK('Eingabe EF'!$BA15)),'Eingabe EF'!$BA15,'Eingabe EF'!$AY15)</f>
        <v>4.6492772040000006</v>
      </c>
      <c r="I235" s="17"/>
      <c r="J235" s="38">
        <f t="shared" ref="J235:J237" si="50">F235+G235</f>
        <v>26.315047043999996</v>
      </c>
      <c r="K235" s="38">
        <f>SUM(F235:H235)</f>
        <v>30.964324247999997</v>
      </c>
      <c r="L235" s="17" t="s">
        <v>198</v>
      </c>
      <c r="N235" s="278"/>
      <c r="O235" s="17" t="s">
        <v>34</v>
      </c>
      <c r="P235" s="17" t="s">
        <v>464</v>
      </c>
      <c r="Q235" s="30"/>
      <c r="R235" s="17"/>
      <c r="S235" s="42">
        <f>(IF(NOT(ISBLANK('Referenz Plattenwerk'!$I28)),'Referenz Plattenwerk'!$I28,'Referenz Plattenwerk'!$F28)-E218)*IF(NOT(ISBLANK('Eingabe Preise'!$O14)),'Eingabe Preise'!$O14,'Eingabe Preise'!$M14)</f>
        <v>11127.6</v>
      </c>
      <c r="T235" s="20" t="s">
        <v>106</v>
      </c>
    </row>
    <row r="236" spans="2:20" ht="15.75" hidden="1" outlineLevel="1" x14ac:dyDescent="0.3">
      <c r="B236" s="17"/>
      <c r="C236" s="17" t="s">
        <v>75</v>
      </c>
      <c r="D236" s="17" t="s">
        <v>34</v>
      </c>
      <c r="E236" s="17"/>
      <c r="F236" s="44">
        <f>IF(NOT(ISBLANK('Referenz Plattenwerk'!$I29)),'Referenz Plattenwerk'!$I29,'Referenz Plattenwerk'!$F29)*IF(NOT(ISBLANK('Eingabe EF'!$AS15)),'Eingabe EF'!$AS15,'Eingabe EF'!$AQ15)</f>
        <v>6.645213899999999</v>
      </c>
      <c r="G236" s="44">
        <f>IF(NOT(ISBLANK('Referenz Plattenwerk'!$I29)),'Referenz Plattenwerk'!$I29,'Referenz Plattenwerk'!$F29)*IF(NOT(ISBLANK('Eingabe EF'!$AW15)),'Eingabe EF'!$AW15,'Eingabe EF'!$AU15)</f>
        <v>0</v>
      </c>
      <c r="H236" s="44">
        <f>IF(NOT(ISBLANK('Referenz Plattenwerk'!$I29)),'Referenz Plattenwerk'!$I29,'Referenz Plattenwerk'!$F29)*IF(NOT(ISBLANK('Eingabe EF'!$BA15)),'Eingabe EF'!$BA15,'Eingabe EF'!$AY15)</f>
        <v>1.1740599000000003</v>
      </c>
      <c r="I236" s="17"/>
      <c r="J236" s="38">
        <f t="shared" si="50"/>
        <v>6.645213899999999</v>
      </c>
      <c r="K236" s="38">
        <f t="shared" ref="K236:K237" si="51">SUM(F236:H236)</f>
        <v>7.8192737999999995</v>
      </c>
      <c r="L236" s="17" t="s">
        <v>198</v>
      </c>
      <c r="N236" s="17"/>
      <c r="O236" s="17" t="s">
        <v>34</v>
      </c>
      <c r="P236" s="17" t="s">
        <v>75</v>
      </c>
      <c r="Q236" s="30"/>
      <c r="R236" s="17"/>
      <c r="S236" s="42">
        <f>IF(NOT(ISBLANK('Referenz Plattenwerk'!$I29)),'Referenz Plattenwerk'!$I29,'Referenz Plattenwerk'!$F29)*IF(NOT(ISBLANK('Eingabe Preise'!$O14)),'Eingabe Preise'!$O14,'Eingabe Preise'!$M14)</f>
        <v>2810.0000000000005</v>
      </c>
      <c r="T236" s="20" t="s">
        <v>106</v>
      </c>
    </row>
    <row r="237" spans="2:20" ht="14.25" hidden="1" outlineLevel="1" x14ac:dyDescent="0.25">
      <c r="B237" s="70"/>
      <c r="C237" s="70" t="s">
        <v>189</v>
      </c>
      <c r="D237" s="70"/>
      <c r="E237" s="70"/>
      <c r="F237" s="72">
        <f>F238+F239</f>
        <v>0</v>
      </c>
      <c r="G237" s="72">
        <f t="shared" ref="G237:H237" si="52">G238+G239</f>
        <v>0</v>
      </c>
      <c r="H237" s="72">
        <f t="shared" si="52"/>
        <v>469.15642799999995</v>
      </c>
      <c r="I237" s="70"/>
      <c r="J237" s="72">
        <f t="shared" si="50"/>
        <v>0</v>
      </c>
      <c r="K237" s="72">
        <f t="shared" si="51"/>
        <v>469.15642799999995</v>
      </c>
      <c r="L237" s="77" t="s">
        <v>197</v>
      </c>
      <c r="N237" s="17"/>
      <c r="O237" s="17"/>
      <c r="P237" s="17"/>
      <c r="Q237" s="30"/>
      <c r="R237" s="17"/>
      <c r="S237" s="17"/>
      <c r="T237" s="17"/>
    </row>
    <row r="238" spans="2:20" ht="15.75" hidden="1" outlineLevel="1" x14ac:dyDescent="0.3">
      <c r="B238" s="17"/>
      <c r="C238" s="17"/>
      <c r="D238" s="17" t="s">
        <v>45</v>
      </c>
      <c r="E238" s="17"/>
      <c r="F238" s="44">
        <f>IF(NOT(ISBLANK('Referenz Plattenwerk'!$I32)),'Referenz Plattenwerk'!$I32,'Referenz Plattenwerk'!$F32)*IF(NOT(ISBLANK('Eingabe EF'!$AS17)),'Eingabe EF'!$AS17,'Eingabe EF'!$AQ17)</f>
        <v>0</v>
      </c>
      <c r="G238" s="44">
        <f>IF(NOT(ISBLANK('Referenz Plattenwerk'!$I32)),'Referenz Plattenwerk'!$I32,'Referenz Plattenwerk'!$F32)*IF(NOT(ISBLANK('Eingabe EF'!$AW17)),'Eingabe EF'!$AW17,'Eingabe EF'!$AU17)</f>
        <v>0</v>
      </c>
      <c r="H238" s="44">
        <f>IF(NOT(ISBLANK('Referenz Plattenwerk'!$I32)),'Referenz Plattenwerk'!$I32,'Referenz Plattenwerk'!$F32)*IF(NOT(ISBLANK('Eingabe EF'!$BA17)),'Eingabe EF'!$BA17,'Eingabe EF'!$AY17)</f>
        <v>109.4698332</v>
      </c>
      <c r="I238" s="17"/>
      <c r="J238" s="38">
        <f t="shared" si="48"/>
        <v>0</v>
      </c>
      <c r="K238" s="38">
        <f t="shared" si="49"/>
        <v>109.4698332</v>
      </c>
      <c r="L238" s="17" t="s">
        <v>198</v>
      </c>
      <c r="N238" s="17"/>
      <c r="O238" s="17"/>
      <c r="P238" s="17"/>
      <c r="Q238" s="30"/>
      <c r="R238" s="17"/>
      <c r="S238" s="17"/>
      <c r="T238" s="17"/>
    </row>
    <row r="239" spans="2:20" ht="15.75" hidden="1" outlineLevel="1" x14ac:dyDescent="0.3">
      <c r="B239" s="17"/>
      <c r="C239" s="17"/>
      <c r="D239" s="17" t="s">
        <v>46</v>
      </c>
      <c r="E239" s="17"/>
      <c r="F239" s="44">
        <f>IF(NOT(ISBLANK('Referenz Plattenwerk'!$I33)),'Referenz Plattenwerk'!$I33,'Referenz Plattenwerk'!$F33)*IF(NOT(ISBLANK('Eingabe EF'!$AS18)),'Eingabe EF'!$AS18,'Eingabe EF'!$AQ18)</f>
        <v>0</v>
      </c>
      <c r="G239" s="44">
        <f>IF(NOT(ISBLANK('Referenz Plattenwerk'!$I33)),'Referenz Plattenwerk'!$I33,'Referenz Plattenwerk'!$F33)*IF(NOT(ISBLANK('Eingabe EF'!$AW18)),'Eingabe EF'!$AW18,'Eingabe EF'!$AU18)</f>
        <v>0</v>
      </c>
      <c r="H239" s="44">
        <f>IF(NOT(ISBLANK('Referenz Plattenwerk'!$I33)),'Referenz Plattenwerk'!$I33,'Referenz Plattenwerk'!$F33)*IF(NOT(ISBLANK('Eingabe EF'!$BA18)),'Eingabe EF'!$BA18,'Eingabe EF'!$AY18)</f>
        <v>359.68659479999997</v>
      </c>
      <c r="I239" s="17"/>
      <c r="J239" s="38">
        <f t="shared" si="48"/>
        <v>0</v>
      </c>
      <c r="K239" s="38">
        <f t="shared" si="49"/>
        <v>359.68659479999997</v>
      </c>
      <c r="L239" s="17" t="s">
        <v>198</v>
      </c>
      <c r="N239" s="17"/>
      <c r="O239" s="17" t="s">
        <v>30</v>
      </c>
      <c r="P239" s="17"/>
      <c r="Q239" s="30"/>
      <c r="R239" s="17"/>
      <c r="S239" s="42">
        <f>S252+S253</f>
        <v>57600</v>
      </c>
      <c r="T239" s="20" t="s">
        <v>106</v>
      </c>
    </row>
    <row r="240" spans="2:20" hidden="1" outlineLevel="1" x14ac:dyDescent="0.2">
      <c r="B240" s="17"/>
      <c r="C240" s="17"/>
      <c r="D240" s="17"/>
      <c r="E240" s="17"/>
      <c r="F240" s="20"/>
      <c r="G240" s="20"/>
      <c r="H240" s="20"/>
      <c r="I240" s="17"/>
      <c r="J240" s="20"/>
      <c r="K240" s="20"/>
      <c r="L240" s="17"/>
      <c r="N240" s="17"/>
      <c r="O240" s="45" t="s">
        <v>153</v>
      </c>
      <c r="P240" s="17"/>
      <c r="Q240" s="30"/>
      <c r="R240" s="17"/>
      <c r="S240" s="42">
        <f>IF(NOT(ISBLANK($K$28)),$K$28,$I$28)</f>
        <v>0</v>
      </c>
      <c r="T240" s="20" t="s">
        <v>106</v>
      </c>
    </row>
    <row r="241" spans="2:20" ht="14.25" hidden="1" outlineLevel="1" x14ac:dyDescent="0.25">
      <c r="B241" s="70"/>
      <c r="C241" s="70" t="s">
        <v>68</v>
      </c>
      <c r="D241" s="71"/>
      <c r="E241" s="71"/>
      <c r="F241" s="72">
        <f>SUM(F242:F245)</f>
        <v>0</v>
      </c>
      <c r="G241" s="72">
        <f t="shared" ref="G241" si="53">SUM(G242:G245)</f>
        <v>0</v>
      </c>
      <c r="H241" s="72">
        <f>SUM(H242:H245)</f>
        <v>4548.5439999999999</v>
      </c>
      <c r="I241" s="71"/>
      <c r="J241" s="72">
        <f t="shared" ref="J241:J245" si="54">F241+G241</f>
        <v>0</v>
      </c>
      <c r="K241" s="72">
        <f t="shared" ref="K241" si="55">SUM(F241:H241)</f>
        <v>4548.5439999999999</v>
      </c>
      <c r="L241" s="77" t="s">
        <v>197</v>
      </c>
      <c r="N241" s="17"/>
      <c r="O241" s="45" t="s">
        <v>160</v>
      </c>
      <c r="P241" s="17"/>
      <c r="Q241" s="30"/>
      <c r="R241" s="17"/>
      <c r="S241" s="42">
        <f>S255+S256</f>
        <v>0</v>
      </c>
      <c r="T241" s="20" t="s">
        <v>106</v>
      </c>
    </row>
    <row r="242" spans="2:20" ht="15.75" hidden="1" outlineLevel="1" x14ac:dyDescent="0.3">
      <c r="B242" s="17"/>
      <c r="C242" s="17"/>
      <c r="D242" s="17" t="s">
        <v>47</v>
      </c>
      <c r="E242" s="17"/>
      <c r="F242" s="38">
        <f>IF(NOT(ISBLANK('Referenz Plattenwerk'!$I36)),'Referenz Plattenwerk'!$I36,'Referenz Plattenwerk'!$F36)*IF(NOT(ISBLANK('Eingabe EF'!$AS21)),'Eingabe EF'!$AS21,'Eingabe EF'!$AQ21)*IF(NOT(ISBLANK('Referenz Plattenwerk'!$I$12)),'Referenz Plattenwerk'!$I$12,'Referenz Plattenwerk'!$F$12)</f>
        <v>0</v>
      </c>
      <c r="G242" s="38">
        <f>IF(NOT(ISBLANK('Referenz Plattenwerk'!$I36)),'Referenz Plattenwerk'!$I36,'Referenz Plattenwerk'!$F36)*IF(NOT(ISBLANK('Eingabe EF'!$AW21)),'Eingabe EF'!$AW21,'Eingabe EF'!$AU21)*IF(NOT(ISBLANK('Referenz Plattenwerk'!$I$12)),'Referenz Plattenwerk'!$I$12,'Referenz Plattenwerk'!$F$12)</f>
        <v>0</v>
      </c>
      <c r="H242" s="38">
        <f>IF(NOT(ISBLANK('Referenz Plattenwerk'!$I36)),'Referenz Plattenwerk'!$I36,'Referenz Plattenwerk'!$F36)*IF(NOT(ISBLANK('Eingabe EF'!$BA21)),'Eingabe EF'!$BA21,'Eingabe EF'!$AY21)*IF(NOT(ISBLANK('Referenz Plattenwerk'!$I$12)),'Referenz Plattenwerk'!$I$12,'Referenz Plattenwerk'!$F$12)</f>
        <v>1210.3</v>
      </c>
      <c r="I242" s="17"/>
      <c r="J242" s="38">
        <f t="shared" si="54"/>
        <v>0</v>
      </c>
      <c r="K242" s="38">
        <f t="shared" ref="K242:K245" si="56">SUM(F242:H242)</f>
        <v>1210.3</v>
      </c>
      <c r="L242" s="17" t="s">
        <v>198</v>
      </c>
      <c r="N242" s="17"/>
      <c r="O242" s="17"/>
      <c r="P242" s="17"/>
      <c r="Q242" s="17"/>
      <c r="R242" s="17"/>
      <c r="S242" s="17"/>
      <c r="T242" s="17"/>
    </row>
    <row r="243" spans="2:20" ht="15.75" hidden="1" outlineLevel="1" x14ac:dyDescent="0.3">
      <c r="B243" s="17"/>
      <c r="C243" s="17"/>
      <c r="D243" s="17" t="s">
        <v>49</v>
      </c>
      <c r="E243" s="17"/>
      <c r="F243" s="38">
        <f>IF(NOT(ISBLANK('Referenz Plattenwerk'!$I37)),'Referenz Plattenwerk'!$I37,'Referenz Plattenwerk'!$F37)*IF(NOT(ISBLANK('Eingabe EF'!$AS22)),'Eingabe EF'!$AS22,'Eingabe EF'!$AQ22)*IF(NOT(ISBLANK('Referenz Plattenwerk'!$I$12)),'Referenz Plattenwerk'!$I$12,'Referenz Plattenwerk'!$F$12)</f>
        <v>0</v>
      </c>
      <c r="G243" s="38">
        <f>IF(NOT(ISBLANK('Referenz Plattenwerk'!$I37)),'Referenz Plattenwerk'!$I37,'Referenz Plattenwerk'!$F37)*IF(NOT(ISBLANK('Eingabe EF'!$AW22)),'Eingabe EF'!$AW22,'Eingabe EF'!$AU22)*IF(NOT(ISBLANK('Referenz Plattenwerk'!$I$12)),'Referenz Plattenwerk'!$I$12,'Referenz Plattenwerk'!$F$12)</f>
        <v>0</v>
      </c>
      <c r="H243" s="38">
        <f>IF(NOT(ISBLANK('Referenz Plattenwerk'!$I37)),'Referenz Plattenwerk'!$I37,'Referenz Plattenwerk'!$F37)*IF(NOT(ISBLANK('Eingabe EF'!$BA22)),'Eingabe EF'!$BA22,'Eingabe EF'!$AY22)*IF(NOT(ISBLANK('Referenz Plattenwerk'!$I$12)),'Referenz Plattenwerk'!$I$12,'Referenz Plattenwerk'!$F$12)</f>
        <v>2415.5039999999999</v>
      </c>
      <c r="I243" s="17"/>
      <c r="J243" s="38">
        <f t="shared" si="54"/>
        <v>0</v>
      </c>
      <c r="K243" s="38">
        <f t="shared" si="56"/>
        <v>2415.5039999999999</v>
      </c>
      <c r="L243" s="17" t="s">
        <v>198</v>
      </c>
      <c r="N243" s="17"/>
      <c r="O243" s="17"/>
      <c r="P243" s="17"/>
      <c r="Q243" s="17"/>
      <c r="R243" s="17"/>
      <c r="S243" s="17"/>
      <c r="T243" s="17"/>
    </row>
    <row r="244" spans="2:20" ht="15.75" hidden="1" outlineLevel="1" x14ac:dyDescent="0.3">
      <c r="B244" s="17"/>
      <c r="C244" s="17"/>
      <c r="D244" s="17" t="s">
        <v>50</v>
      </c>
      <c r="E244" s="17"/>
      <c r="F244" s="38">
        <f>IF(NOT(ISBLANK('Referenz Plattenwerk'!$I38)),'Referenz Plattenwerk'!$I38,'Referenz Plattenwerk'!$F38)*IF(NOT(ISBLANK('Eingabe EF'!$AS23)),'Eingabe EF'!$AS23,'Eingabe EF'!$AQ23)*IF(NOT(ISBLANK('Referenz Plattenwerk'!$I$12)),'Referenz Plattenwerk'!$I$12,'Referenz Plattenwerk'!$F$12)</f>
        <v>0</v>
      </c>
      <c r="G244" s="38">
        <f>IF(NOT(ISBLANK('Referenz Plattenwerk'!$I38)),'Referenz Plattenwerk'!$I38,'Referenz Plattenwerk'!$F38)*IF(NOT(ISBLANK('Eingabe EF'!$AW23)),'Eingabe EF'!$AW23,'Eingabe EF'!$AU23)*IF(NOT(ISBLANK('Referenz Plattenwerk'!$I$12)),'Referenz Plattenwerk'!$I$12,'Referenz Plattenwerk'!$F$12)</f>
        <v>0</v>
      </c>
      <c r="H244" s="38">
        <f>IF(NOT(ISBLANK('Referenz Plattenwerk'!$I38)),'Referenz Plattenwerk'!$I38,'Referenz Plattenwerk'!$F38)*IF(NOT(ISBLANK('Eingabe EF'!$BA23)),'Eingabe EF'!$BA23,'Eingabe EF'!$AY23)*IF(NOT(ISBLANK('Referenz Plattenwerk'!$I$12)),'Referenz Plattenwerk'!$I$12,'Referenz Plattenwerk'!$F$12)</f>
        <v>922.7399999999999</v>
      </c>
      <c r="I244" s="17"/>
      <c r="J244" s="38">
        <f t="shared" si="54"/>
        <v>0</v>
      </c>
      <c r="K244" s="38">
        <f t="shared" si="56"/>
        <v>922.7399999999999</v>
      </c>
      <c r="L244" s="17" t="s">
        <v>198</v>
      </c>
      <c r="N244" s="17"/>
      <c r="O244" s="17" t="s">
        <v>200</v>
      </c>
      <c r="P244" s="17"/>
      <c r="Q244" s="30"/>
      <c r="R244" s="17"/>
      <c r="S244" s="42">
        <f>F280*IF(NOT(ISBLANK('Eingabe Preise'!$O21)),'Eingabe Preise'!$O21,'Eingabe Preise'!$M21)</f>
        <v>7360.6768755199992</v>
      </c>
      <c r="T244" s="20" t="s">
        <v>106</v>
      </c>
    </row>
    <row r="245" spans="2:20" ht="15.75" hidden="1" outlineLevel="1" x14ac:dyDescent="0.3">
      <c r="B245" s="17"/>
      <c r="C245" s="17"/>
      <c r="D245" s="17" t="s">
        <v>161</v>
      </c>
      <c r="E245" s="17"/>
      <c r="F245" s="38">
        <f>IF(NOT(ISBLANK('Referenz Plattenwerk'!$I39)),'Referenz Plattenwerk'!$I39,'Referenz Plattenwerk'!$F39)*IF(NOT(ISBLANK('Eingabe EF'!$AS24)),'Eingabe EF'!$AS24,0)*IF(NOT(ISBLANK('Referenz Plattenwerk'!$I$12)),'Referenz Plattenwerk'!$I$12,'Referenz Plattenwerk'!$F$12)</f>
        <v>0</v>
      </c>
      <c r="G245" s="38">
        <f>IF(NOT(ISBLANK('Referenz Plattenwerk'!$I39)),'Referenz Plattenwerk'!$I39,'Referenz Plattenwerk'!$F39)*IF(NOT(ISBLANK('Eingabe EF'!$AW24)),'Eingabe EF'!$AW24,0)*IF(NOT(ISBLANK('Referenz Plattenwerk'!$I$12)),'Referenz Plattenwerk'!$I$12,'Referenz Plattenwerk'!$F$12)</f>
        <v>0</v>
      </c>
      <c r="H245" s="38">
        <f>IF(NOT(ISBLANK('Referenz Plattenwerk'!$I39)),'Referenz Plattenwerk'!$I39,'Referenz Plattenwerk'!$F39)*IF(NOT(ISBLANK('Eingabe EF'!$BA24)),'Eingabe EF'!$BA24,0)*IF(NOT(ISBLANK('Referenz Plattenwerk'!$I$12)),'Referenz Plattenwerk'!$I$12,'Referenz Plattenwerk'!$F$12)</f>
        <v>0</v>
      </c>
      <c r="I245" s="17"/>
      <c r="J245" s="38">
        <f t="shared" si="54"/>
        <v>0</v>
      </c>
      <c r="K245" s="38">
        <f t="shared" si="56"/>
        <v>0</v>
      </c>
      <c r="L245" s="17" t="s">
        <v>198</v>
      </c>
      <c r="N245" s="17"/>
      <c r="O245" s="17" t="s">
        <v>201</v>
      </c>
      <c r="P245" s="17"/>
      <c r="Q245" s="30"/>
      <c r="R245" s="17"/>
      <c r="S245" s="42">
        <f>G280*IF(NOT(ISBLANK('Eingabe Preise'!$O22)),'Eingabe Preise'!$O22,'Eingabe Preise'!$M22)</f>
        <v>4924.2043876888438</v>
      </c>
      <c r="T245" s="20" t="s">
        <v>106</v>
      </c>
    </row>
    <row r="246" spans="2:20" ht="15.75" hidden="1" outlineLevel="1" x14ac:dyDescent="0.3">
      <c r="B246" s="17"/>
      <c r="C246" s="17"/>
      <c r="D246" s="17"/>
      <c r="E246" s="17"/>
      <c r="F246" s="17"/>
      <c r="G246" s="17"/>
      <c r="H246" s="17"/>
      <c r="I246" s="17"/>
      <c r="J246" s="20"/>
      <c r="K246" s="20"/>
      <c r="L246" s="17"/>
      <c r="N246" s="17"/>
      <c r="O246" s="17" t="s">
        <v>202</v>
      </c>
      <c r="P246" s="17"/>
      <c r="Q246" s="30"/>
      <c r="R246" s="17"/>
      <c r="S246" s="42">
        <f>H280*IF(NOT(ISBLANK('Eingabe Preise'!$O23)),'Eingabe Preise'!$O23,'Eingabe Preise'!$M23)</f>
        <v>465186.91581081186</v>
      </c>
      <c r="T246" s="20" t="s">
        <v>106</v>
      </c>
    </row>
    <row r="247" spans="2:20" ht="14.25" hidden="1" outlineLevel="1" x14ac:dyDescent="0.25">
      <c r="B247" s="70"/>
      <c r="C247" s="70" t="s">
        <v>177</v>
      </c>
      <c r="D247" s="71"/>
      <c r="E247" s="71"/>
      <c r="F247" s="72">
        <f>SUM(F248:F250)</f>
        <v>0</v>
      </c>
      <c r="G247" s="72">
        <f t="shared" ref="G247:H247" si="57">SUM(G248:G250)</f>
        <v>0</v>
      </c>
      <c r="H247" s="72">
        <f t="shared" si="57"/>
        <v>129.59200000000001</v>
      </c>
      <c r="I247" s="71"/>
      <c r="J247" s="72">
        <f t="shared" ref="J247" si="58">F247+G247</f>
        <v>0</v>
      </c>
      <c r="K247" s="72">
        <f t="shared" ref="K247" si="59">SUM(F247:H247)</f>
        <v>129.59200000000001</v>
      </c>
      <c r="L247" s="77" t="s">
        <v>197</v>
      </c>
      <c r="N247" s="17"/>
      <c r="O247" s="17"/>
      <c r="P247" s="17"/>
      <c r="Q247" s="17"/>
      <c r="R247" s="17"/>
      <c r="S247" s="17"/>
      <c r="T247" s="17"/>
    </row>
    <row r="248" spans="2:20" ht="15.75" hidden="1" outlineLevel="1" x14ac:dyDescent="0.3">
      <c r="B248" s="17"/>
      <c r="C248" s="17"/>
      <c r="D248" s="17" t="s">
        <v>178</v>
      </c>
      <c r="E248" s="17"/>
      <c r="F248" s="38">
        <f>IF(NOT(ISBLANK('Referenz Plattenwerk'!$I42)),'Referenz Plattenwerk'!$I42,'Referenz Plattenwerk'!$F42)*IF(NOT(ISBLANK('Eingabe EF'!$AS27)),'Eingabe EF'!$AS27,'Eingabe EF'!$AQ27)*IF(NOT(ISBLANK('Referenz Plattenwerk'!$I$12)),'Referenz Plattenwerk'!$I$12,'Referenz Plattenwerk'!$F$12)</f>
        <v>0</v>
      </c>
      <c r="G248" s="38">
        <f>IF(NOT(ISBLANK('Referenz Plattenwerk'!$I42)),'Referenz Plattenwerk'!$I42,'Referenz Plattenwerk'!$F42)*IF(NOT(ISBLANK('Eingabe EF'!$AW27)),'Eingabe EF'!$AW27,'Eingabe EF'!$AU27)*IF(NOT(ISBLANK('Referenz Plattenwerk'!$I$12)),'Referenz Plattenwerk'!$I$12,'Referenz Plattenwerk'!$F$12)</f>
        <v>0</v>
      </c>
      <c r="H248" s="38">
        <f>IF(NOT(ISBLANK('Referenz Plattenwerk'!$I42)),'Referenz Plattenwerk'!$I42,'Referenz Plattenwerk'!$F42)*IF(NOT(ISBLANK('Eingabe EF'!$BA27)),'Eingabe EF'!$BA27,'Eingabe EF'!$AY27)*IF(NOT(ISBLANK('Referenz Plattenwerk'!$I$12)),'Referenz Plattenwerk'!$I$12,'Referenz Plattenwerk'!$F$12)</f>
        <v>129.59200000000001</v>
      </c>
      <c r="I248" s="17"/>
      <c r="J248" s="38">
        <f>F248+G248</f>
        <v>0</v>
      </c>
      <c r="K248" s="38">
        <f>SUM(F248:H248)</f>
        <v>129.59200000000001</v>
      </c>
      <c r="L248" s="17" t="s">
        <v>198</v>
      </c>
      <c r="N248" s="17"/>
      <c r="O248" s="17"/>
      <c r="P248" s="17"/>
      <c r="Q248" s="17"/>
      <c r="R248" s="17"/>
      <c r="S248" s="17"/>
      <c r="T248" s="17"/>
    </row>
    <row r="249" spans="2:20" ht="15.75" hidden="1" outlineLevel="1" x14ac:dyDescent="0.3">
      <c r="B249" s="17"/>
      <c r="C249" s="17"/>
      <c r="D249" s="17" t="s">
        <v>179</v>
      </c>
      <c r="E249" s="17"/>
      <c r="F249" s="38">
        <f>IF(NOT(ISBLANK('Referenz Plattenwerk'!$I43)),'Referenz Plattenwerk'!$I43,'Referenz Plattenwerk'!$F43)*IF(NOT(ISBLANK('Eingabe EF'!$AS28)),'Eingabe EF'!$AS28,0)*IF(NOT(ISBLANK('Referenz Plattenwerk'!$I$12)),'Referenz Plattenwerk'!$I$12,'Referenz Plattenwerk'!$F$12)</f>
        <v>0</v>
      </c>
      <c r="G249" s="38">
        <f>IF(NOT(ISBLANK('Referenz Plattenwerk'!$I43)),'Referenz Plattenwerk'!$I43,'Referenz Plattenwerk'!$F43)*IF(NOT(ISBLANK('Eingabe EF'!$AW28)),'Eingabe EF'!$AW28,0)*IF(NOT(ISBLANK('Referenz Plattenwerk'!$I$12)),'Referenz Plattenwerk'!$I$12,'Referenz Plattenwerk'!$F$12)</f>
        <v>0</v>
      </c>
      <c r="H249" s="38">
        <f>IF(NOT(ISBLANK('Referenz Plattenwerk'!$I43)),'Referenz Plattenwerk'!$I43,'Referenz Plattenwerk'!$F43)*IF(NOT(ISBLANK('Eingabe EF'!$BA28)),'Eingabe EF'!$BA28,0)*IF(NOT(ISBLANK('Referenz Plattenwerk'!$I$12)),'Referenz Plattenwerk'!$I$12,'Referenz Plattenwerk'!$F$12)</f>
        <v>0</v>
      </c>
      <c r="I249" s="17"/>
      <c r="J249" s="38">
        <f>F249+G249</f>
        <v>0</v>
      </c>
      <c r="K249" s="38">
        <f t="shared" ref="K249:K250" si="60">SUM(F249:H249)</f>
        <v>0</v>
      </c>
      <c r="L249" s="17" t="s">
        <v>198</v>
      </c>
      <c r="N249" s="17"/>
      <c r="O249" s="17"/>
      <c r="P249" s="17"/>
      <c r="Q249" s="17"/>
      <c r="R249" s="17"/>
      <c r="S249" s="17"/>
      <c r="T249" s="17"/>
    </row>
    <row r="250" spans="2:20" ht="15.75" hidden="1" outlineLevel="1" x14ac:dyDescent="0.3">
      <c r="B250" s="17"/>
      <c r="C250" s="17"/>
      <c r="D250" s="17" t="s">
        <v>180</v>
      </c>
      <c r="E250" s="17"/>
      <c r="F250" s="38">
        <f>IF(NOT(ISBLANK('Referenz Plattenwerk'!$I44)),'Referenz Plattenwerk'!$I44,'Referenz Plattenwerk'!$F44)*IF(NOT(ISBLANK('Eingabe EF'!$AS29)),'Eingabe EF'!$AS29,0)*IF(NOT(ISBLANK('Referenz Plattenwerk'!$I$12)),'Referenz Plattenwerk'!$I$12,'Referenz Plattenwerk'!$F$12)</f>
        <v>0</v>
      </c>
      <c r="G250" s="38">
        <f>IF(NOT(ISBLANK('Referenz Plattenwerk'!$I44)),'Referenz Plattenwerk'!$I44,'Referenz Plattenwerk'!$F44)*IF(NOT(ISBLANK('Eingabe EF'!$AW29)),'Eingabe EF'!$AW29,0)*IF(NOT(ISBLANK('Referenz Plattenwerk'!$I$12)),'Referenz Plattenwerk'!$I$12,'Referenz Plattenwerk'!$F$12)</f>
        <v>0</v>
      </c>
      <c r="H250" s="38">
        <f>IF(NOT(ISBLANK('Referenz Plattenwerk'!$I44)),'Referenz Plattenwerk'!$I44,'Referenz Plattenwerk'!$F44)*IF(NOT(ISBLANK('Eingabe EF'!$BA29)),'Eingabe EF'!$BA29,0)*IF(NOT(ISBLANK('Referenz Plattenwerk'!$I$12)),'Referenz Plattenwerk'!$I$12,'Referenz Plattenwerk'!$F$12)</f>
        <v>0</v>
      </c>
      <c r="I250" s="17"/>
      <c r="J250" s="38">
        <f t="shared" ref="J250" si="61">F250+G250</f>
        <v>0</v>
      </c>
      <c r="K250" s="38">
        <f t="shared" si="60"/>
        <v>0</v>
      </c>
      <c r="L250" s="17" t="s">
        <v>198</v>
      </c>
      <c r="N250" s="17"/>
      <c r="O250" s="17"/>
      <c r="P250" s="17"/>
      <c r="Q250" s="18"/>
      <c r="R250" s="17"/>
      <c r="S250" s="18"/>
      <c r="T250" s="18"/>
    </row>
    <row r="251" spans="2:20" hidden="1" outlineLevel="1" x14ac:dyDescent="0.2">
      <c r="B251" s="17"/>
      <c r="C251" s="17"/>
      <c r="D251" s="17"/>
      <c r="E251" s="17"/>
      <c r="F251" s="17"/>
      <c r="G251" s="17"/>
      <c r="H251" s="17"/>
      <c r="I251" s="17"/>
      <c r="J251" s="20"/>
      <c r="K251" s="20"/>
      <c r="L251" s="17"/>
      <c r="N251" s="21" t="s">
        <v>223</v>
      </c>
      <c r="O251" s="17"/>
      <c r="P251" s="17"/>
      <c r="Q251" s="17"/>
      <c r="R251" s="17"/>
      <c r="S251" s="17"/>
      <c r="T251" s="17"/>
    </row>
    <row r="252" spans="2:20" ht="14.25" hidden="1" outlineLevel="1" x14ac:dyDescent="0.25">
      <c r="B252" s="17"/>
      <c r="C252" s="17"/>
      <c r="D252" s="21" t="s">
        <v>57</v>
      </c>
      <c r="E252" s="21"/>
      <c r="F252" s="75">
        <f>IF(NOT(ISBLANK('Referenz Plattenwerk'!$I46)),'Referenz Plattenwerk'!$I46,'Referenz Plattenwerk'!$F46)*IF(NOT(ISBLANK('Eingabe EF'!$AS31)),'Eingabe EF'!$AS31,'Eingabe EF'!$AQ31)*IF(NOT(ISBLANK('Referenz Plattenwerk'!$I$12)),'Referenz Plattenwerk'!$I$12,'Referenz Plattenwerk'!$F$12)</f>
        <v>0</v>
      </c>
      <c r="G252" s="75">
        <f>IF(NOT(ISBLANK('Referenz Plattenwerk'!$I46)),'Referenz Plattenwerk'!$I46,'Referenz Plattenwerk'!$F46)*IF(NOT(ISBLANK('Eingabe EF'!$AW31)),'Eingabe EF'!$AW31,'Eingabe EF'!$AU31)*IF(NOT(ISBLANK('Referenz Plattenwerk'!$I$12)),'Referenz Plattenwerk'!$I$12,'Referenz Plattenwerk'!$F$12)</f>
        <v>0</v>
      </c>
      <c r="H252" s="75">
        <f>IF(NOT(ISBLANK('Referenz Plattenwerk'!$I46)),'Referenz Plattenwerk'!$I46,'Referenz Plattenwerk'!$F46)*IF(NOT(ISBLANK('Eingabe EF'!$BA31)),'Eingabe EF'!$BA31,'Eingabe EF'!$AY31)*IF(NOT(ISBLANK('Referenz Plattenwerk'!$I$12)),'Referenz Plattenwerk'!$I$12,'Referenz Plattenwerk'!$F$12)</f>
        <v>208</v>
      </c>
      <c r="I252" s="21"/>
      <c r="J252" s="75">
        <f>F252+G252</f>
        <v>0</v>
      </c>
      <c r="K252" s="75">
        <f t="shared" ref="K252" si="62">SUM(F252:H252)</f>
        <v>208</v>
      </c>
      <c r="L252" s="21" t="s">
        <v>197</v>
      </c>
      <c r="N252" s="278"/>
      <c r="O252" s="17" t="s">
        <v>224</v>
      </c>
      <c r="P252" s="17"/>
      <c r="Q252" s="18"/>
      <c r="R252" s="17"/>
      <c r="S252" s="42">
        <f>IF(IF(NOT(ISBLANK($G$32)),$G$32,$E$32)&gt;5,S170,0)</f>
        <v>28800</v>
      </c>
      <c r="T252" s="20" t="s">
        <v>106</v>
      </c>
    </row>
    <row r="253" spans="2:20" hidden="1" outlineLevel="1" x14ac:dyDescent="0.2">
      <c r="B253" s="17"/>
      <c r="C253" s="17"/>
      <c r="D253" s="17"/>
      <c r="E253" s="17"/>
      <c r="F253" s="17"/>
      <c r="G253" s="17"/>
      <c r="H253" s="17"/>
      <c r="I253" s="17"/>
      <c r="J253" s="20"/>
      <c r="K253" s="20"/>
      <c r="L253" s="17"/>
      <c r="N253" s="278"/>
      <c r="O253" s="17" t="s">
        <v>225</v>
      </c>
      <c r="P253" s="17"/>
      <c r="Q253" s="17"/>
      <c r="R253" s="17"/>
      <c r="S253" s="42">
        <f>(IF(NOT(ISBLANK($K$27)),$K$27,$I$27)/IF(NOT(ISBLANK($K$32)),$K$32,$I$32)+IF(NOT(ISBLANK($K$27)),$K$27,$I$27)*(IF(NOT(ISBLANK($K$33)),$K$33,$I$33)/100))*E217</f>
        <v>28800</v>
      </c>
      <c r="T253" s="20" t="s">
        <v>106</v>
      </c>
    </row>
    <row r="254" spans="2:20" ht="14.25" hidden="1" outlineLevel="1" x14ac:dyDescent="0.25">
      <c r="B254" s="70"/>
      <c r="C254" s="70" t="s">
        <v>181</v>
      </c>
      <c r="D254" s="71"/>
      <c r="E254" s="71"/>
      <c r="F254" s="72">
        <f>SUM(F255:F257)</f>
        <v>0</v>
      </c>
      <c r="G254" s="72">
        <f t="shared" ref="G254:H254" si="63">SUM(G255:G257)</f>
        <v>0</v>
      </c>
      <c r="H254" s="72">
        <f t="shared" si="63"/>
        <v>81.003999999999991</v>
      </c>
      <c r="I254" s="71"/>
      <c r="J254" s="72">
        <f t="shared" ref="J254" si="64">F254+G254</f>
        <v>0</v>
      </c>
      <c r="K254" s="72">
        <f t="shared" ref="K254" si="65">SUM(F254:H254)</f>
        <v>81.003999999999991</v>
      </c>
      <c r="L254" s="77" t="s">
        <v>197</v>
      </c>
      <c r="N254" s="17"/>
      <c r="O254" s="17"/>
      <c r="P254" s="17"/>
      <c r="Q254" s="18"/>
      <c r="R254" s="17"/>
      <c r="S254" s="18"/>
      <c r="T254" s="18"/>
    </row>
    <row r="255" spans="2:20" ht="15.75" hidden="1" outlineLevel="1" x14ac:dyDescent="0.3">
      <c r="B255" s="17"/>
      <c r="C255" s="17"/>
      <c r="D255" s="17" t="s">
        <v>59</v>
      </c>
      <c r="E255" s="17"/>
      <c r="F255" s="38">
        <f>IF(NOT(ISBLANK('Referenz Plattenwerk'!$I49)),'Referenz Plattenwerk'!$I49,'Referenz Plattenwerk'!$F49)*IF(NOT(ISBLANK('Eingabe EF'!$AS34)),'Eingabe EF'!$AS34,'Eingabe EF'!$AQ34)*IF(NOT(ISBLANK('Referenz Plattenwerk'!$I$12)),'Referenz Plattenwerk'!$I$12,'Referenz Plattenwerk'!$F$12)</f>
        <v>0</v>
      </c>
      <c r="G255" s="38">
        <f>IF(NOT(ISBLANK('Referenz Plattenwerk'!$I49)),'Referenz Plattenwerk'!$I49,'Referenz Plattenwerk'!$F49)*IF(NOT(ISBLANK('Eingabe EF'!$AW34)),'Eingabe EF'!$AW34,'Eingabe EF'!$AU34)*IF(NOT(ISBLANK('Referenz Plattenwerk'!$I$12)),'Referenz Plattenwerk'!$I$12,'Referenz Plattenwerk'!$F$12)</f>
        <v>0</v>
      </c>
      <c r="H255" s="38">
        <f>IF(NOT(ISBLANK('Referenz Plattenwerk'!$I49)),'Referenz Plattenwerk'!$I49,'Referenz Plattenwerk'!$F49)*IF(NOT(ISBLANK('Eingabe EF'!$BA34)),'Eingabe EF'!$BA34,'Eingabe EF'!$AY34)*IF(NOT(ISBLANK('Referenz Plattenwerk'!$I$12)),'Referenz Plattenwerk'!$I$12,'Referenz Plattenwerk'!$F$12)</f>
        <v>0</v>
      </c>
      <c r="I255" s="17"/>
      <c r="J255" s="38">
        <f>F255+G255</f>
        <v>0</v>
      </c>
      <c r="K255" s="38">
        <f>SUM(F255:H255)</f>
        <v>0</v>
      </c>
      <c r="L255" s="17" t="s">
        <v>198</v>
      </c>
      <c r="N255" s="278"/>
      <c r="O255" s="17" t="s">
        <v>227</v>
      </c>
      <c r="P255" s="17"/>
      <c r="Q255" s="17"/>
      <c r="R255" s="17"/>
      <c r="S255" s="42">
        <f>IF(IF(NOT(ISBLANK($G$32)),$G$32,$E$32)&gt;5,S172,0)</f>
        <v>0</v>
      </c>
      <c r="T255" s="20" t="s">
        <v>106</v>
      </c>
    </row>
    <row r="256" spans="2:20" ht="15.75" hidden="1" outlineLevel="1" x14ac:dyDescent="0.3">
      <c r="B256" s="17"/>
      <c r="C256" s="17"/>
      <c r="D256" s="17" t="s">
        <v>60</v>
      </c>
      <c r="E256" s="17"/>
      <c r="F256" s="38">
        <f>IF(NOT(ISBLANK('Referenz Plattenwerk'!$I50)),'Referenz Plattenwerk'!$I50,'Referenz Plattenwerk'!$F50)*IF(NOT(ISBLANK('Eingabe EF'!$AS35)),'Eingabe EF'!$AS35,'Eingabe EF'!$AQ35)*IF(NOT(ISBLANK('Referenz Plattenwerk'!$I$12)),'Referenz Plattenwerk'!$I$12,'Referenz Plattenwerk'!$F$12)</f>
        <v>0</v>
      </c>
      <c r="G256" s="38">
        <f>IF(NOT(ISBLANK('Referenz Plattenwerk'!$I50)),'Referenz Plattenwerk'!$I50,'Referenz Plattenwerk'!$F50)*IF(NOT(ISBLANK('Eingabe EF'!$AW35)),'Eingabe EF'!$AW35,'Eingabe EF'!$AU35)*IF(NOT(ISBLANK('Referenz Plattenwerk'!$I$12)),'Referenz Plattenwerk'!$I$12,'Referenz Plattenwerk'!$F$12)</f>
        <v>0</v>
      </c>
      <c r="H256" s="38">
        <f>IF(NOT(ISBLANK('Referenz Plattenwerk'!$I50)),'Referenz Plattenwerk'!$I50,'Referenz Plattenwerk'!$F50)*IF(NOT(ISBLANK('Eingabe EF'!$BA35)),'Eingabe EF'!$BA35,'Eingabe EF'!$AY35)*IF(NOT(ISBLANK('Referenz Plattenwerk'!$I$12)),'Referenz Plattenwerk'!$I$12,'Referenz Plattenwerk'!$F$12)</f>
        <v>8.6840000000000011</v>
      </c>
      <c r="I256" s="17"/>
      <c r="J256" s="38">
        <f>F256+G256</f>
        <v>0</v>
      </c>
      <c r="K256" s="38">
        <f>SUM(F256:H256)</f>
        <v>8.6840000000000011</v>
      </c>
      <c r="L256" s="17" t="s">
        <v>198</v>
      </c>
      <c r="N256" s="278"/>
      <c r="O256" s="17" t="s">
        <v>228</v>
      </c>
      <c r="P256" s="17"/>
      <c r="Q256" s="18"/>
      <c r="R256" s="17"/>
      <c r="S256" s="42">
        <f>IF(NOT(ISBLANK($K$29)),$K$29,$I$29)/IF(NOT(ISBLANK($K$32)),$K$32,$I$32)+IF(NOT(ISBLANK($K$29)),$K$29,$I$29)*(IF(NOT(ISBLANK($K$33)),$K$33,$I$33)/100)</f>
        <v>0</v>
      </c>
      <c r="T256" s="20" t="s">
        <v>106</v>
      </c>
    </row>
    <row r="257" spans="2:20" ht="15.75" hidden="1" outlineLevel="1" x14ac:dyDescent="0.3">
      <c r="B257" s="17"/>
      <c r="C257" s="17"/>
      <c r="D257" s="17" t="s">
        <v>61</v>
      </c>
      <c r="E257" s="17"/>
      <c r="F257" s="38">
        <f>IF(NOT(ISBLANK('Referenz Plattenwerk'!$I51)),'Referenz Plattenwerk'!$I51,'Referenz Plattenwerk'!$F51)*IF(NOT(ISBLANK('Eingabe EF'!$AS36)),'Eingabe EF'!$AS36,'Eingabe EF'!$AQ36)*IF(NOT(ISBLANK('Referenz Plattenwerk'!$I$12)),'Referenz Plattenwerk'!$I$12,'Referenz Plattenwerk'!$F$12)</f>
        <v>0</v>
      </c>
      <c r="G257" s="38">
        <f>IF(NOT(ISBLANK('Referenz Plattenwerk'!$I51)),'Referenz Plattenwerk'!$I51,'Referenz Plattenwerk'!$F51)*IF(NOT(ISBLANK('Eingabe EF'!$AW36)),'Eingabe EF'!$AW36,'Eingabe EF'!$AU36)*IF(NOT(ISBLANK('Referenz Plattenwerk'!$I$12)),'Referenz Plattenwerk'!$I$12,'Referenz Plattenwerk'!$F$12)</f>
        <v>0</v>
      </c>
      <c r="H257" s="38">
        <f>IF(NOT(ISBLANK('Referenz Plattenwerk'!$I51)),'Referenz Plattenwerk'!$I51,'Referenz Plattenwerk'!$F51)*IF(NOT(ISBLANK('Eingabe EF'!$BA36)),'Eingabe EF'!$BA36,'Eingabe EF'!$AY36)*IF(NOT(ISBLANK('Referenz Plattenwerk'!$I$12)),'Referenz Plattenwerk'!$I$12,'Referenz Plattenwerk'!$F$12)</f>
        <v>72.319999999999993</v>
      </c>
      <c r="I257" s="17"/>
      <c r="J257" s="38">
        <f>F257+G257</f>
        <v>0</v>
      </c>
      <c r="K257" s="38">
        <f>SUM(F257:H257)</f>
        <v>72.319999999999993</v>
      </c>
      <c r="L257" s="17" t="s">
        <v>198</v>
      </c>
      <c r="N257" s="17"/>
      <c r="O257" s="17"/>
      <c r="P257" s="17"/>
      <c r="Q257" s="18"/>
      <c r="R257" s="17"/>
      <c r="S257" s="18"/>
      <c r="T257" s="18"/>
    </row>
    <row r="258" spans="2:20" hidden="1" outlineLevel="1" x14ac:dyDescent="0.2">
      <c r="B258" s="17"/>
      <c r="C258" s="17"/>
      <c r="D258" s="17"/>
      <c r="E258" s="17"/>
      <c r="F258" s="17"/>
      <c r="G258" s="17"/>
      <c r="H258" s="17"/>
      <c r="I258" s="17"/>
      <c r="J258" s="17"/>
      <c r="K258" s="20"/>
      <c r="L258" s="20"/>
      <c r="N258" s="17"/>
      <c r="O258" s="17"/>
      <c r="P258" s="17"/>
      <c r="Q258" s="17"/>
      <c r="R258" s="17"/>
      <c r="S258" s="17"/>
      <c r="T258" s="17"/>
    </row>
    <row r="259" spans="2:20" ht="14.25" hidden="1" outlineLevel="1" x14ac:dyDescent="0.25">
      <c r="B259" s="70"/>
      <c r="C259" s="70" t="s">
        <v>51</v>
      </c>
      <c r="D259" s="71"/>
      <c r="E259" s="71"/>
      <c r="F259" s="72">
        <f>SUM(F260:F263)</f>
        <v>0</v>
      </c>
      <c r="G259" s="72">
        <f t="shared" ref="G259:H259" si="66">SUM(G260:G263)</f>
        <v>0</v>
      </c>
      <c r="H259" s="72">
        <f t="shared" si="66"/>
        <v>148.44746134951595</v>
      </c>
      <c r="I259" s="71"/>
      <c r="J259" s="72">
        <f t="shared" ref="J259:J263" si="67">F259+G259</f>
        <v>0</v>
      </c>
      <c r="K259" s="72">
        <f t="shared" ref="K259" si="68">SUM(F259:H259)</f>
        <v>148.44746134951595</v>
      </c>
      <c r="L259" s="77" t="s">
        <v>197</v>
      </c>
      <c r="N259" s="17"/>
      <c r="O259" s="17"/>
      <c r="P259" s="17"/>
      <c r="Q259" s="18"/>
      <c r="R259" s="17"/>
      <c r="S259" s="18"/>
      <c r="T259" s="18"/>
    </row>
    <row r="260" spans="2:20" ht="15.75" hidden="1" outlineLevel="1" x14ac:dyDescent="0.3">
      <c r="B260" s="17"/>
      <c r="C260" s="17"/>
      <c r="D260" s="17" t="s">
        <v>52</v>
      </c>
      <c r="E260" s="17"/>
      <c r="F260"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60"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60"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60" s="17"/>
      <c r="J260" s="38">
        <f t="shared" si="67"/>
        <v>0</v>
      </c>
      <c r="K260" s="38">
        <f t="shared" ref="K260:K263" si="69">SUM(F260:H260)</f>
        <v>47.997919375812742</v>
      </c>
      <c r="L260" s="17" t="s">
        <v>198</v>
      </c>
    </row>
    <row r="261" spans="2:20" ht="15.75" hidden="1" outlineLevel="1" x14ac:dyDescent="0.3">
      <c r="B261" s="17"/>
      <c r="C261" s="17"/>
      <c r="D261" s="17" t="s">
        <v>54</v>
      </c>
      <c r="E261" s="17"/>
      <c r="F261"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61"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61"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61" s="17"/>
      <c r="J261" s="38">
        <f t="shared" si="67"/>
        <v>0</v>
      </c>
      <c r="K261" s="38">
        <f t="shared" si="69"/>
        <v>5.7797543707556596</v>
      </c>
      <c r="L261" s="17" t="s">
        <v>198</v>
      </c>
    </row>
    <row r="262" spans="2:20" ht="15.75" hidden="1" outlineLevel="1" x14ac:dyDescent="0.3">
      <c r="B262" s="17"/>
      <c r="C262" s="17"/>
      <c r="D262" s="17" t="s">
        <v>55</v>
      </c>
      <c r="E262" s="17"/>
      <c r="F262"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62"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62"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62" s="17"/>
      <c r="J262" s="38">
        <f t="shared" si="67"/>
        <v>0</v>
      </c>
      <c r="K262" s="38">
        <f t="shared" si="69"/>
        <v>1.4217598612917211E-2</v>
      </c>
      <c r="L262" s="17" t="s">
        <v>198</v>
      </c>
    </row>
    <row r="263" spans="2:20" ht="15.75" hidden="1" outlineLevel="1" x14ac:dyDescent="0.3">
      <c r="B263" s="17"/>
      <c r="C263" s="17"/>
      <c r="D263" s="17" t="s">
        <v>56</v>
      </c>
      <c r="E263" s="17"/>
      <c r="F263"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63"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63"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63" s="17"/>
      <c r="J263" s="38">
        <f t="shared" si="67"/>
        <v>0</v>
      </c>
      <c r="K263" s="38">
        <f t="shared" si="69"/>
        <v>94.655570004334635</v>
      </c>
      <c r="L263" s="17" t="s">
        <v>198</v>
      </c>
    </row>
    <row r="264" spans="2:20" hidden="1" outlineLevel="1" x14ac:dyDescent="0.2">
      <c r="B264" s="17"/>
      <c r="C264" s="17"/>
      <c r="D264" s="17"/>
      <c r="E264" s="17"/>
      <c r="F264" s="17"/>
      <c r="G264" s="17"/>
      <c r="H264" s="17"/>
      <c r="I264" s="17"/>
      <c r="J264" s="17"/>
      <c r="K264" s="17"/>
      <c r="L264" s="20"/>
    </row>
    <row r="265" spans="2:20" ht="14.25" hidden="1" outlineLevel="1" x14ac:dyDescent="0.25">
      <c r="B265" s="17"/>
      <c r="C265" s="17"/>
      <c r="D265" s="21" t="s">
        <v>110</v>
      </c>
      <c r="E265" s="21"/>
      <c r="F265" s="75">
        <f>IF(NOT(ISBLANK('Referenz Plattenwerk'!$I59)),'Referenz Plattenwerk'!$I59,'Referenz Plattenwerk'!$F59)*IF(NOT(ISBLANK('Eingabe EF'!$AS44)),'Eingabe EF'!$AS44,0)*IF(NOT(ISBLANK('Referenz Plattenwerk'!$I$12)),'Referenz Plattenwerk'!$I$12,'Referenz Plattenwerk'!$F$12)</f>
        <v>0</v>
      </c>
      <c r="G265" s="75">
        <f>IF(NOT(ISBLANK('Referenz Plattenwerk'!$I59)),'Referenz Plattenwerk'!$I59,'Referenz Plattenwerk'!$F59)*IF(NOT(ISBLANK('Eingabe EF'!$AW44)),'Eingabe EF'!$AW44,0)*IF(NOT(ISBLANK('Referenz Plattenwerk'!$I$12)),'Referenz Plattenwerk'!$I$12,'Referenz Plattenwerk'!$F$12)</f>
        <v>0</v>
      </c>
      <c r="H265" s="75">
        <f>IF(NOT(ISBLANK('Referenz Plattenwerk'!$I59)),'Referenz Plattenwerk'!$I59,'Referenz Plattenwerk'!$F59)*IF(NOT(ISBLANK('Eingabe EF'!$BA44)),'Eingabe EF'!$BA44,0)*IF(NOT(ISBLANK('Referenz Plattenwerk'!$I$12)),'Referenz Plattenwerk'!$I$12,'Referenz Plattenwerk'!$F$12)</f>
        <v>0</v>
      </c>
      <c r="I265" s="21"/>
      <c r="J265" s="75">
        <f>F265+G265</f>
        <v>0</v>
      </c>
      <c r="K265" s="75">
        <f>SUM(F265:H265)</f>
        <v>0</v>
      </c>
      <c r="L265" s="21" t="s">
        <v>197</v>
      </c>
    </row>
    <row r="266" spans="2:20" ht="14.25" hidden="1" outlineLevel="1" x14ac:dyDescent="0.25">
      <c r="B266" s="17"/>
      <c r="C266" s="17"/>
      <c r="D266" s="21" t="s">
        <v>64</v>
      </c>
      <c r="E266" s="21"/>
      <c r="F266" s="76">
        <f>IF(NOT(ISBLANK('Referenz Plattenwerk'!$I60)),'Referenz Plattenwerk'!$I60,'Referenz Plattenwerk'!$F60)*IF(NOT(ISBLANK('Eingabe EF'!$AS45)),'Eingabe EF'!$AS45,'Eingabe EF'!$AQ45)</f>
        <v>0</v>
      </c>
      <c r="G266" s="76">
        <f>IF(NOT(ISBLANK('Referenz Plattenwerk'!$I60)),'Referenz Plattenwerk'!$I60,'Referenz Plattenwerk'!$F60)*IF(NOT(ISBLANK('Eingabe EF'!$AW45)),'Eingabe EF'!$AW45,'Eingabe EF'!$AU45)</f>
        <v>0</v>
      </c>
      <c r="H266" s="76">
        <f>IF(NOT(ISBLANK('Referenz Plattenwerk'!$I60)),'Referenz Plattenwerk'!$I60,'Referenz Plattenwerk'!$F60)*IF(NOT(ISBLANK('Eingabe EF'!$BA45)),'Eingabe EF'!$BA45,'Eingabe EF'!$AY45)</f>
        <v>0.54400000000000004</v>
      </c>
      <c r="I266" s="21"/>
      <c r="J266" s="75">
        <f>F266+G266</f>
        <v>0</v>
      </c>
      <c r="K266" s="75">
        <f>SUM(F266:H266)</f>
        <v>0.54400000000000004</v>
      </c>
      <c r="L266" s="21" t="s">
        <v>197</v>
      </c>
    </row>
    <row r="267" spans="2:20" hidden="1" outlineLevel="1" x14ac:dyDescent="0.2">
      <c r="B267" s="17"/>
      <c r="C267" s="17"/>
      <c r="D267" s="17"/>
      <c r="E267" s="17"/>
      <c r="F267" s="17"/>
      <c r="G267" s="17"/>
      <c r="H267" s="17"/>
      <c r="I267" s="17"/>
      <c r="J267" s="17"/>
      <c r="K267" s="17"/>
      <c r="L267" s="20"/>
    </row>
    <row r="268" spans="2:20" ht="14.25" hidden="1" outlineLevel="1" x14ac:dyDescent="0.25">
      <c r="B268" s="70"/>
      <c r="C268" s="70" t="s">
        <v>182</v>
      </c>
      <c r="D268" s="71"/>
      <c r="E268" s="71"/>
      <c r="F268" s="72">
        <f>SUM(F269:F271)</f>
        <v>0</v>
      </c>
      <c r="G268" s="72">
        <f t="shared" ref="G268:H268" si="70">SUM(G269:G271)</f>
        <v>0</v>
      </c>
      <c r="H268" s="72">
        <f t="shared" si="70"/>
        <v>80.47999999999999</v>
      </c>
      <c r="I268" s="71"/>
      <c r="J268" s="72">
        <f t="shared" ref="J268" si="71">F268+G268</f>
        <v>0</v>
      </c>
      <c r="K268" s="72">
        <f t="shared" ref="K268" si="72">SUM(F268:H268)</f>
        <v>80.47999999999999</v>
      </c>
      <c r="L268" s="77" t="s">
        <v>197</v>
      </c>
    </row>
    <row r="269" spans="2:20" ht="15.75" hidden="1" outlineLevel="1" x14ac:dyDescent="0.3">
      <c r="B269" s="17"/>
      <c r="C269" s="17"/>
      <c r="D269" s="17" t="s">
        <v>183</v>
      </c>
      <c r="E269" s="17"/>
      <c r="F269" s="38">
        <f>IF(NOT(ISBLANK('Referenz Plattenwerk'!$I63)),'Referenz Plattenwerk'!$I63,'Referenz Plattenwerk'!$F63)*IF(NOT(ISBLANK('Eingabe EF'!$AS48)),'Eingabe EF'!$AS48,0)*IF(NOT(ISBLANK('Referenz Plattenwerk'!$I$12)),'Referenz Plattenwerk'!$I$12,'Referenz Plattenwerk'!$F$12)</f>
        <v>0</v>
      </c>
      <c r="G269" s="38">
        <f>IF(NOT(ISBLANK('Referenz Plattenwerk'!$I63)),'Referenz Plattenwerk'!$I63,'Referenz Plattenwerk'!$F63)*IF(NOT(ISBLANK('Eingabe EF'!$AW48)),'Eingabe EF'!$AW48,0)*IF(NOT(ISBLANK('Referenz Plattenwerk'!$I$12)),'Referenz Plattenwerk'!$I$12,'Referenz Plattenwerk'!$F$12)</f>
        <v>0</v>
      </c>
      <c r="H269" s="38">
        <f>IF(NOT(ISBLANK('Referenz Plattenwerk'!$I63)),'Referenz Plattenwerk'!$I63,'Referenz Plattenwerk'!$F63)*IF(NOT(ISBLANK('Eingabe EF'!$BA48)),'Eingabe EF'!$BA48,0)*IF(NOT(ISBLANK('Referenz Plattenwerk'!$I$12)),'Referenz Plattenwerk'!$I$12,'Referenz Plattenwerk'!$F$12)</f>
        <v>0</v>
      </c>
      <c r="I269" s="17"/>
      <c r="J269" s="38">
        <f>F269+G269</f>
        <v>0</v>
      </c>
      <c r="K269" s="38">
        <f>SUM(F269:H269)</f>
        <v>0</v>
      </c>
      <c r="L269" s="17" t="s">
        <v>198</v>
      </c>
    </row>
    <row r="270" spans="2:20" ht="15.75" hidden="1" outlineLevel="1" x14ac:dyDescent="0.3">
      <c r="B270" s="17"/>
      <c r="C270" s="17"/>
      <c r="D270" s="17" t="s">
        <v>62</v>
      </c>
      <c r="E270" s="17"/>
      <c r="F270" s="38">
        <f>IF(NOT(ISBLANK('Referenz Plattenwerk'!$I64)),'Referenz Plattenwerk'!$I64,'Referenz Plattenwerk'!$F64)*IF(NOT(ISBLANK('Eingabe EF'!$AS49)),'Eingabe EF'!$AS49,'Eingabe EF'!$AQ49)*IF(NOT(ISBLANK('Referenz Plattenwerk'!$I$12)),'Referenz Plattenwerk'!$I$12,'Referenz Plattenwerk'!$F$12)</f>
        <v>0</v>
      </c>
      <c r="G270" s="38">
        <f>IF(NOT(ISBLANK('Referenz Plattenwerk'!$I64)),'Referenz Plattenwerk'!$I64,'Referenz Plattenwerk'!$F64)*IF(NOT(ISBLANK('Eingabe EF'!$AW49)),'Eingabe EF'!$AW49,'Eingabe EF'!$AU49)*IF(NOT(ISBLANK('Referenz Plattenwerk'!$I$12)),'Referenz Plattenwerk'!$I$12,'Referenz Plattenwerk'!$F$12)</f>
        <v>0</v>
      </c>
      <c r="H270" s="38">
        <f>IF(NOT(ISBLANK('Referenz Plattenwerk'!$I64)),'Referenz Plattenwerk'!$I64,'Referenz Plattenwerk'!$F64)*IF(NOT(ISBLANK('Eingabe EF'!$BA49)),'Eingabe EF'!$BA49,'Eingabe EF'!$AY49)*IF(NOT(ISBLANK('Referenz Plattenwerk'!$I$12)),'Referenz Plattenwerk'!$I$12,'Referenz Plattenwerk'!$F$12)</f>
        <v>80.47999999999999</v>
      </c>
      <c r="I270" s="17"/>
      <c r="J270" s="38">
        <f t="shared" ref="J270" si="73">F270+G270</f>
        <v>0</v>
      </c>
      <c r="K270" s="38">
        <f t="shared" ref="K270" si="74">SUM(F270:H270)</f>
        <v>80.47999999999999</v>
      </c>
      <c r="L270" s="17" t="s">
        <v>198</v>
      </c>
    </row>
    <row r="271" spans="2:20" ht="15.75" hidden="1" outlineLevel="1" x14ac:dyDescent="0.3">
      <c r="B271" s="17"/>
      <c r="C271" s="17"/>
      <c r="D271" s="17" t="s">
        <v>184</v>
      </c>
      <c r="E271" s="17"/>
      <c r="F271" s="38">
        <f>IF(NOT(ISBLANK('Referenz Plattenwerk'!$I65)),'Referenz Plattenwerk'!$I65,'Referenz Plattenwerk'!$F65)*IF(NOT(ISBLANK('Eingabe EF'!$AS50)),'Eingabe EF'!$AS50,0)*IF(NOT(ISBLANK('Referenz Plattenwerk'!$I$12)),'Referenz Plattenwerk'!$I$12,'Referenz Plattenwerk'!$F$12)</f>
        <v>0</v>
      </c>
      <c r="G271" s="38">
        <f>IF(NOT(ISBLANK('Referenz Plattenwerk'!$I65)),'Referenz Plattenwerk'!$I65,'Referenz Plattenwerk'!$F65)*IF(NOT(ISBLANK('Eingabe EF'!$AW50)),'Eingabe EF'!$AW50,0)*IF(NOT(ISBLANK('Referenz Plattenwerk'!$I$12)),'Referenz Plattenwerk'!$I$12,'Referenz Plattenwerk'!$F$12)</f>
        <v>0</v>
      </c>
      <c r="H271" s="38">
        <f>IF(NOT(ISBLANK('Referenz Plattenwerk'!$I65)),'Referenz Plattenwerk'!$I65,'Referenz Plattenwerk'!$F65)*IF(NOT(ISBLANK('Eingabe EF'!$BA50)),'Eingabe EF'!$BA50,0)*IF(NOT(ISBLANK('Referenz Plattenwerk'!$I$12)),'Referenz Plattenwerk'!$I$12,'Referenz Plattenwerk'!$F$12)</f>
        <v>0</v>
      </c>
      <c r="I271" s="17"/>
      <c r="J271" s="38">
        <f>F271+G271</f>
        <v>0</v>
      </c>
      <c r="K271" s="38">
        <f>SUM(F271:H271)</f>
        <v>0</v>
      </c>
      <c r="L271" s="17" t="s">
        <v>198</v>
      </c>
    </row>
    <row r="272" spans="2:20" hidden="1" outlineLevel="1" x14ac:dyDescent="0.2">
      <c r="B272" s="17"/>
      <c r="C272" s="17"/>
      <c r="D272" s="17"/>
      <c r="E272" s="17"/>
      <c r="F272" s="17"/>
      <c r="G272" s="17"/>
      <c r="H272" s="17"/>
      <c r="I272" s="17"/>
      <c r="J272" s="17"/>
      <c r="K272" s="17"/>
      <c r="L272" s="20"/>
    </row>
    <row r="273" spans="2:12" ht="14.25" hidden="1" outlineLevel="1" x14ac:dyDescent="0.25">
      <c r="B273" s="70"/>
      <c r="C273" s="70" t="s">
        <v>185</v>
      </c>
      <c r="D273" s="71"/>
      <c r="E273" s="71"/>
      <c r="F273" s="72">
        <f>SUM(F274:F276)</f>
        <v>0</v>
      </c>
      <c r="G273" s="72">
        <f t="shared" ref="G273:H273" si="75">SUM(G274:G276)</f>
        <v>0</v>
      </c>
      <c r="H273" s="72">
        <f t="shared" si="75"/>
        <v>60</v>
      </c>
      <c r="I273" s="71"/>
      <c r="J273" s="72">
        <f t="shared" ref="J273" si="76">F273+G273</f>
        <v>0</v>
      </c>
      <c r="K273" s="72">
        <f t="shared" ref="K273" si="77">SUM(F273:H273)</f>
        <v>60</v>
      </c>
      <c r="L273" s="77" t="s">
        <v>197</v>
      </c>
    </row>
    <row r="274" spans="2:12" ht="15.75" hidden="1" outlineLevel="1" x14ac:dyDescent="0.3">
      <c r="B274" s="17"/>
      <c r="C274" s="17"/>
      <c r="D274" s="17" t="s">
        <v>66</v>
      </c>
      <c r="E274" s="17"/>
      <c r="F274" s="44">
        <f>IF(NOT(ISBLANK('Referenz Plattenwerk'!$I68)),'Referenz Plattenwerk'!$I68,'Referenz Plattenwerk'!$F68)*IF(NOT(ISBLANK('Eingabe EF'!$AS53)),'Eingabe EF'!$AS53,'Eingabe EF'!$AQ53)</f>
        <v>0</v>
      </c>
      <c r="G274" s="44">
        <f>IF(NOT(ISBLANK('Referenz Plattenwerk'!$I68)),'Referenz Plattenwerk'!$I68,'Referenz Plattenwerk'!$F68)*IF(NOT(ISBLANK('Eingabe EF'!$AW53)),'Eingabe EF'!$AW53,'Eingabe EF'!$AU53)</f>
        <v>0</v>
      </c>
      <c r="H274" s="44">
        <f>IF(NOT(ISBLANK('Referenz Plattenwerk'!$I68)),'Referenz Plattenwerk'!$I68,'Referenz Plattenwerk'!$F68)*IF(NOT(ISBLANK('Eingabe EF'!$BA53)),'Eingabe EF'!$BA53,'Eingabe EF'!$AY53)</f>
        <v>60</v>
      </c>
      <c r="I274" s="17"/>
      <c r="J274" s="38">
        <f>F274+G274</f>
        <v>0</v>
      </c>
      <c r="K274" s="38">
        <f>SUM(F274:H274)</f>
        <v>60</v>
      </c>
      <c r="L274" s="17" t="s">
        <v>198</v>
      </c>
    </row>
    <row r="275" spans="2:12" ht="15.75" hidden="1" outlineLevel="1" x14ac:dyDescent="0.3">
      <c r="B275" s="17"/>
      <c r="C275" s="17"/>
      <c r="D275" s="17" t="s">
        <v>187</v>
      </c>
      <c r="E275" s="17"/>
      <c r="F275" s="44">
        <f>IF(NOT(ISBLANK('Referenz Plattenwerk'!$I69)),'Referenz Plattenwerk'!$I69,'Referenz Plattenwerk'!$F69)*IF(NOT(ISBLANK('Eingabe EF'!$AS54)),'Eingabe EF'!$AS54,0)</f>
        <v>0</v>
      </c>
      <c r="G275" s="44">
        <f>IF(NOT(ISBLANK('Referenz Plattenwerk'!$I69)),'Referenz Plattenwerk'!$I69,'Referenz Plattenwerk'!$F69)*IF(NOT(ISBLANK('Eingabe EF'!$AW54)),'Eingabe EF'!$AW54,0)</f>
        <v>0</v>
      </c>
      <c r="H275" s="44">
        <f>IF(NOT(ISBLANK('Referenz Plattenwerk'!$I69)),'Referenz Plattenwerk'!$I69,'Referenz Plattenwerk'!$F69)*IF(NOT(ISBLANK('Eingabe EF'!$BA54)),'Eingabe EF'!$BA54,0)</f>
        <v>0</v>
      </c>
      <c r="I275" s="17"/>
      <c r="J275" s="38">
        <f t="shared" ref="J275:J276" si="78">F275+G275</f>
        <v>0</v>
      </c>
      <c r="K275" s="38">
        <f t="shared" ref="K275:K276" si="79">SUM(F275:H275)</f>
        <v>0</v>
      </c>
      <c r="L275" s="17" t="s">
        <v>198</v>
      </c>
    </row>
    <row r="276" spans="2:12" ht="15.75" hidden="1" outlineLevel="1" x14ac:dyDescent="0.3">
      <c r="B276" s="17"/>
      <c r="C276" s="17"/>
      <c r="D276" s="17" t="s">
        <v>186</v>
      </c>
      <c r="E276" s="17"/>
      <c r="F276" s="44">
        <f>IF(NOT(ISBLANK('Referenz Plattenwerk'!$I70)),'Referenz Plattenwerk'!$I70,'Referenz Plattenwerk'!$F70)*IF(NOT(ISBLANK('Eingabe EF'!$AS55)),'Eingabe EF'!$AS55,0)</f>
        <v>0</v>
      </c>
      <c r="G276" s="44">
        <f>IF(NOT(ISBLANK('Referenz Plattenwerk'!$I70)),'Referenz Plattenwerk'!$I70,'Referenz Plattenwerk'!$F70)*IF(NOT(ISBLANK('Eingabe EF'!$AW55)),'Eingabe EF'!$AW55,0)</f>
        <v>0</v>
      </c>
      <c r="H276" s="44">
        <f>IF(NOT(ISBLANK('Referenz Plattenwerk'!$I70)),'Referenz Plattenwerk'!$I70,'Referenz Plattenwerk'!$F70)*IF(NOT(ISBLANK('Eingabe EF'!$BA55)),'Eingabe EF'!$BA55,0)</f>
        <v>0</v>
      </c>
      <c r="I276" s="17"/>
      <c r="J276" s="38">
        <f t="shared" si="78"/>
        <v>0</v>
      </c>
      <c r="K276" s="38">
        <f t="shared" si="79"/>
        <v>0</v>
      </c>
      <c r="L276" s="17" t="s">
        <v>198</v>
      </c>
    </row>
    <row r="277" spans="2:12" hidden="1" outlineLevel="1" x14ac:dyDescent="0.2">
      <c r="B277" s="17"/>
      <c r="C277" s="17"/>
      <c r="D277" s="17"/>
      <c r="E277" s="17"/>
      <c r="F277" s="17"/>
      <c r="G277" s="17"/>
      <c r="H277" s="17"/>
      <c r="I277" s="17"/>
      <c r="J277" s="17"/>
      <c r="K277" s="17"/>
      <c r="L277" s="20"/>
    </row>
    <row r="278" spans="2:12" ht="14.25" hidden="1" outlineLevel="1" x14ac:dyDescent="0.25">
      <c r="B278" s="17"/>
      <c r="C278" s="17"/>
      <c r="D278" s="21" t="s">
        <v>63</v>
      </c>
      <c r="E278" s="21"/>
      <c r="F278" s="76">
        <f>IF(NOT(ISBLANK('Referenz Plattenwerk'!$I72)),'Referenz Plattenwerk'!$I72,'Referenz Plattenwerk'!$F72)*IF(NOT(ISBLANK('Eingabe EF'!$AS57)),'Eingabe EF'!$AS57,'Eingabe EF'!$AQ57)</f>
        <v>0</v>
      </c>
      <c r="G278" s="76">
        <f>IF(NOT(ISBLANK('Referenz Plattenwerk'!$I72)),'Referenz Plattenwerk'!$I72,'Referenz Plattenwerk'!$F72)*IF(NOT(ISBLANK('Eingabe EF'!$AW57)),'Eingabe EF'!$AW57,'Eingabe EF'!$AU57)</f>
        <v>0</v>
      </c>
      <c r="H278" s="76">
        <f>IF(NOT(ISBLANK('Referenz Plattenwerk'!$I72)),'Referenz Plattenwerk'!$I72,'Referenz Plattenwerk'!$F72)*IF(NOT(ISBLANK('Eingabe EF'!$BA57)),'Eingabe EF'!$BA57,'Eingabe EF'!$AY57)</f>
        <v>64.48</v>
      </c>
      <c r="I278" s="21"/>
      <c r="J278" s="75">
        <f t="shared" ref="J278" si="80">F278+G278</f>
        <v>0</v>
      </c>
      <c r="K278" s="75">
        <f t="shared" ref="K278" si="81">SUM(F278:H278)</f>
        <v>64.48</v>
      </c>
      <c r="L278" s="21" t="s">
        <v>197</v>
      </c>
    </row>
    <row r="279" spans="2:12" hidden="1" outlineLevel="1" x14ac:dyDescent="0.2">
      <c r="B279" s="17"/>
      <c r="C279" s="17"/>
      <c r="D279" s="17"/>
      <c r="E279" s="17"/>
      <c r="F279" s="20"/>
      <c r="G279" s="20"/>
      <c r="H279" s="20"/>
      <c r="I279" s="17"/>
      <c r="J279" s="17"/>
      <c r="K279" s="20"/>
      <c r="L279" s="20"/>
    </row>
    <row r="280" spans="2:12" ht="15" hidden="1" outlineLevel="1" thickBot="1" x14ac:dyDescent="0.3">
      <c r="B280" s="17"/>
      <c r="C280" s="17"/>
      <c r="D280" s="68" t="s">
        <v>69</v>
      </c>
      <c r="E280" s="68"/>
      <c r="F280" s="69">
        <f>SUM(F223:F278)-F237-F241-F247-F254-F259-F268-F273</f>
        <v>92.008460943999992</v>
      </c>
      <c r="G280" s="69">
        <f t="shared" ref="G280:H280" si="82">SUM(G223:G278)-G237-G241-G247-G254-G259-G268-G273</f>
        <v>61.552554846110553</v>
      </c>
      <c r="H280" s="69">
        <f t="shared" si="82"/>
        <v>5814.836447635148</v>
      </c>
      <c r="I280" s="21"/>
      <c r="J280" s="69">
        <f t="shared" ref="J280:K280" si="83">SUM(J223:J278)-J237-J241-J247-J254-J259-J268-J273</f>
        <v>153.56101579011056</v>
      </c>
      <c r="K280" s="69">
        <f t="shared" si="83"/>
        <v>5968.3974634252581</v>
      </c>
      <c r="L280" s="69" t="s">
        <v>197</v>
      </c>
    </row>
    <row r="281" spans="2:12" ht="13.5" hidden="1" outlineLevel="1" thickTop="1" x14ac:dyDescent="0.2">
      <c r="B281" s="17"/>
      <c r="C281" s="17"/>
      <c r="D281" s="17"/>
      <c r="E281" s="17"/>
      <c r="F281" s="20"/>
      <c r="G281" s="20"/>
      <c r="H281" s="20"/>
      <c r="I281" s="17"/>
      <c r="J281" s="17"/>
      <c r="K281" s="20"/>
      <c r="L281" s="20"/>
    </row>
    <row r="282" spans="2:12" collapsed="1" x14ac:dyDescent="0.2"/>
  </sheetData>
  <sheetProtection algorithmName="SHA-512" hashValue="ryldXOoEj0GFz/C+DK8VZTGXDmqD/dXb8+5Hq0fBjNBazRv1ToJLiS6//tJBBckvjXXKiWRsfVnK2CxbKBg0fQ==" saltValue="xnxtybAJZZurfUauPC+yfw==" spinCount="100000" sheet="1" selectLockedCells="1"/>
  <mergeCells count="7">
    <mergeCell ref="E13:G13"/>
    <mergeCell ref="D6:L6"/>
    <mergeCell ref="C79:C80"/>
    <mergeCell ref="S79:S80"/>
    <mergeCell ref="K88:K89"/>
    <mergeCell ref="E20:G20"/>
    <mergeCell ref="I20:K20"/>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2</xdr:col>
                    <xdr:colOff>523875</xdr:colOff>
                    <xdr:row>80</xdr:row>
                    <xdr:rowOff>28575</xdr:rowOff>
                  </from>
                  <to>
                    <xdr:col>2</xdr:col>
                    <xdr:colOff>704850</xdr:colOff>
                    <xdr:row>81</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2</xdr:col>
                    <xdr:colOff>523875</xdr:colOff>
                    <xdr:row>81</xdr:row>
                    <xdr:rowOff>28575</xdr:rowOff>
                  </from>
                  <to>
                    <xdr:col>2</xdr:col>
                    <xdr:colOff>704850</xdr:colOff>
                    <xdr:row>81</xdr:row>
                    <xdr:rowOff>190500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523875</xdr:colOff>
                    <xdr:row>82</xdr:row>
                    <xdr:rowOff>28575</xdr:rowOff>
                  </from>
                  <to>
                    <xdr:col>2</xdr:col>
                    <xdr:colOff>704850</xdr:colOff>
                    <xdr:row>82</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xdr:col>
                    <xdr:colOff>523875</xdr:colOff>
                    <xdr:row>83</xdr:row>
                    <xdr:rowOff>19050</xdr:rowOff>
                  </from>
                  <to>
                    <xdr:col>2</xdr:col>
                    <xdr:colOff>704850</xdr:colOff>
                    <xdr:row>83</xdr:row>
                    <xdr:rowOff>190500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2</xdr:col>
                    <xdr:colOff>523875</xdr:colOff>
                    <xdr:row>84</xdr:row>
                    <xdr:rowOff>19050</xdr:rowOff>
                  </from>
                  <to>
                    <xdr:col>2</xdr:col>
                    <xdr:colOff>704850</xdr:colOff>
                    <xdr:row>84</xdr:row>
                    <xdr:rowOff>180975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2</xdr:col>
                    <xdr:colOff>523875</xdr:colOff>
                    <xdr:row>85</xdr:row>
                    <xdr:rowOff>0</xdr:rowOff>
                  </from>
                  <to>
                    <xdr:col>2</xdr:col>
                    <xdr:colOff>704850</xdr:colOff>
                    <xdr:row>85</xdr:row>
                    <xdr:rowOff>180975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2</xdr:col>
                    <xdr:colOff>523875</xdr:colOff>
                    <xdr:row>86</xdr:row>
                    <xdr:rowOff>9525</xdr:rowOff>
                  </from>
                  <to>
                    <xdr:col>2</xdr:col>
                    <xdr:colOff>704850</xdr:colOff>
                    <xdr:row>86</xdr:row>
                    <xdr:rowOff>190500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18</xdr:col>
                    <xdr:colOff>457200</xdr:colOff>
                    <xdr:row>91</xdr:row>
                    <xdr:rowOff>0</xdr:rowOff>
                  </from>
                  <to>
                    <xdr:col>18</xdr:col>
                    <xdr:colOff>676275</xdr:colOff>
                    <xdr:row>91</xdr:row>
                    <xdr:rowOff>180975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18</xdr:col>
                    <xdr:colOff>571500</xdr:colOff>
                    <xdr:row>92</xdr:row>
                    <xdr:rowOff>19050</xdr:rowOff>
                  </from>
                  <to>
                    <xdr:col>19</xdr:col>
                    <xdr:colOff>0</xdr:colOff>
                    <xdr:row>93</xdr:row>
                    <xdr:rowOff>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18</xdr:col>
                    <xdr:colOff>571500</xdr:colOff>
                    <xdr:row>93</xdr:row>
                    <xdr:rowOff>19050</xdr:rowOff>
                  </from>
                  <to>
                    <xdr:col>19</xdr:col>
                    <xdr:colOff>0</xdr:colOff>
                    <xdr:row>94</xdr:row>
                    <xdr:rowOff>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18</xdr:col>
                    <xdr:colOff>571500</xdr:colOff>
                    <xdr:row>94</xdr:row>
                    <xdr:rowOff>9525</xdr:rowOff>
                  </from>
                  <to>
                    <xdr:col>19</xdr:col>
                    <xdr:colOff>0</xdr:colOff>
                    <xdr:row>94</xdr:row>
                    <xdr:rowOff>190500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18</xdr:col>
                    <xdr:colOff>457200</xdr:colOff>
                    <xdr:row>89</xdr:row>
                    <xdr:rowOff>9525</xdr:rowOff>
                  </from>
                  <to>
                    <xdr:col>18</xdr:col>
                    <xdr:colOff>676275</xdr:colOff>
                    <xdr:row>90</xdr:row>
                    <xdr:rowOff>9525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18</xdr:col>
                    <xdr:colOff>457200</xdr:colOff>
                    <xdr:row>88</xdr:row>
                    <xdr:rowOff>0</xdr:rowOff>
                  </from>
                  <to>
                    <xdr:col>18</xdr:col>
                    <xdr:colOff>676275</xdr:colOff>
                    <xdr:row>89</xdr:row>
                    <xdr:rowOff>9525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18</xdr:col>
                    <xdr:colOff>457200</xdr:colOff>
                    <xdr:row>90</xdr:row>
                    <xdr:rowOff>9525</xdr:rowOff>
                  </from>
                  <to>
                    <xdr:col>18</xdr:col>
                    <xdr:colOff>676275</xdr:colOff>
                    <xdr:row>91</xdr:row>
                    <xdr:rowOff>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10</xdr:col>
                    <xdr:colOff>514350</xdr:colOff>
                    <xdr:row>88</xdr:row>
                    <xdr:rowOff>152400</xdr:rowOff>
                  </from>
                  <to>
                    <xdr:col>10</xdr:col>
                    <xdr:colOff>723900</xdr:colOff>
                    <xdr:row>90</xdr:row>
                    <xdr:rowOff>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10</xdr:col>
                    <xdr:colOff>514350</xdr:colOff>
                    <xdr:row>89</xdr:row>
                    <xdr:rowOff>171450</xdr:rowOff>
                  </from>
                  <to>
                    <xdr:col>10</xdr:col>
                    <xdr:colOff>723900</xdr:colOff>
                    <xdr:row>90</xdr:row>
                    <xdr:rowOff>190500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514350</xdr:colOff>
                    <xdr:row>90</xdr:row>
                    <xdr:rowOff>180975</xdr:rowOff>
                  </from>
                  <to>
                    <xdr:col>10</xdr:col>
                    <xdr:colOff>723900</xdr:colOff>
                    <xdr:row>91</xdr:row>
                    <xdr:rowOff>190500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10</xdr:col>
                    <xdr:colOff>514350</xdr:colOff>
                    <xdr:row>92</xdr:row>
                    <xdr:rowOff>180975</xdr:rowOff>
                  </from>
                  <to>
                    <xdr:col>10</xdr:col>
                    <xdr:colOff>723900</xdr:colOff>
                    <xdr:row>94</xdr:row>
                    <xdr:rowOff>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10</xdr:col>
                    <xdr:colOff>514350</xdr:colOff>
                    <xdr:row>93</xdr:row>
                    <xdr:rowOff>180975</xdr:rowOff>
                  </from>
                  <to>
                    <xdr:col>10</xdr:col>
                    <xdr:colOff>723900</xdr:colOff>
                    <xdr:row>95</xdr:row>
                    <xdr:rowOff>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10</xdr:col>
                    <xdr:colOff>514350</xdr:colOff>
                    <xdr:row>94</xdr:row>
                    <xdr:rowOff>180975</xdr:rowOff>
                  </from>
                  <to>
                    <xdr:col>10</xdr:col>
                    <xdr:colOff>723900</xdr:colOff>
                    <xdr:row>96</xdr:row>
                    <xdr:rowOff>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10</xdr:col>
                    <xdr:colOff>514350</xdr:colOff>
                    <xdr:row>95</xdr:row>
                    <xdr:rowOff>190500</xdr:rowOff>
                  </from>
                  <to>
                    <xdr:col>10</xdr:col>
                    <xdr:colOff>723900</xdr:colOff>
                    <xdr:row>96</xdr:row>
                    <xdr:rowOff>190500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10</xdr:col>
                    <xdr:colOff>514350</xdr:colOff>
                    <xdr:row>96</xdr:row>
                    <xdr:rowOff>180975</xdr:rowOff>
                  </from>
                  <to>
                    <xdr:col>10</xdr:col>
                    <xdr:colOff>723900</xdr:colOff>
                    <xdr:row>97</xdr:row>
                    <xdr:rowOff>190500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10</xdr:col>
                    <xdr:colOff>514350</xdr:colOff>
                    <xdr:row>97</xdr:row>
                    <xdr:rowOff>171450</xdr:rowOff>
                  </from>
                  <to>
                    <xdr:col>10</xdr:col>
                    <xdr:colOff>723900</xdr:colOff>
                    <xdr:row>98</xdr:row>
                    <xdr:rowOff>180975</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10</xdr:col>
                    <xdr:colOff>514350</xdr:colOff>
                    <xdr:row>98</xdr:row>
                    <xdr:rowOff>171450</xdr:rowOff>
                  </from>
                  <to>
                    <xdr:col>10</xdr:col>
                    <xdr:colOff>723900</xdr:colOff>
                    <xdr:row>99</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3146-9BFE-4C3A-A076-A26B76D64A6A}">
  <sheetPr>
    <pageSetUpPr fitToPage="1"/>
  </sheetPr>
  <dimension ref="B2:AA274"/>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0.875" style="6" bestFit="1"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238</v>
      </c>
      <c r="E3" s="90"/>
      <c r="F3" s="90"/>
      <c r="G3" s="90"/>
      <c r="H3" s="90"/>
      <c r="I3" s="90"/>
      <c r="J3" s="90"/>
      <c r="K3" s="90"/>
      <c r="L3" s="90"/>
      <c r="M3" s="3"/>
    </row>
    <row r="4" spans="2:13" x14ac:dyDescent="0.2">
      <c r="B4" s="3"/>
      <c r="C4" s="90"/>
      <c r="D4" s="3"/>
      <c r="E4" s="3"/>
      <c r="F4" s="3"/>
      <c r="G4" s="3"/>
      <c r="H4" s="3"/>
      <c r="I4" s="3"/>
      <c r="J4" s="3"/>
      <c r="K4" s="3"/>
      <c r="L4" s="3"/>
      <c r="M4" s="3"/>
    </row>
    <row r="5" spans="2:13" ht="18.75" customHeight="1" x14ac:dyDescent="0.2">
      <c r="B5" s="3"/>
      <c r="C5" s="90"/>
      <c r="D5" s="104" t="s">
        <v>327</v>
      </c>
      <c r="E5" s="104"/>
      <c r="F5" s="104"/>
      <c r="G5" s="104"/>
      <c r="H5" s="104"/>
      <c r="I5" s="104"/>
      <c r="J5" s="104"/>
      <c r="K5" s="104"/>
      <c r="L5" s="104"/>
      <c r="M5" s="3"/>
    </row>
    <row r="6" spans="2:13" ht="113.25" customHeight="1" x14ac:dyDescent="0.2">
      <c r="B6" s="3"/>
      <c r="C6" s="279"/>
      <c r="D6" s="396" t="s">
        <v>469</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240</v>
      </c>
      <c r="E11" s="95"/>
      <c r="F11" s="96"/>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13"/>
      <c r="F13" s="13"/>
      <c r="G13" s="13"/>
      <c r="H13" s="13"/>
      <c r="I13" s="13"/>
      <c r="J13" s="13"/>
      <c r="K13" s="13"/>
      <c r="L13" s="8"/>
      <c r="M13" s="3"/>
    </row>
    <row r="14" spans="2:13" x14ac:dyDescent="0.2">
      <c r="B14" s="3"/>
      <c r="C14" s="3"/>
      <c r="D14" s="8"/>
      <c r="E14" s="13" t="s">
        <v>80</v>
      </c>
      <c r="F14" s="3"/>
      <c r="G14" s="117" t="s">
        <v>77</v>
      </c>
      <c r="H14" s="13"/>
      <c r="I14" s="13"/>
      <c r="J14" s="13"/>
      <c r="K14" s="13"/>
      <c r="L14" s="8"/>
      <c r="M14" s="3"/>
    </row>
    <row r="15" spans="2:13" x14ac:dyDescent="0.2">
      <c r="B15" s="3"/>
      <c r="C15" s="3"/>
      <c r="D15" s="8"/>
      <c r="E15" s="3"/>
      <c r="F15" s="3"/>
      <c r="G15" s="3"/>
      <c r="H15" s="3"/>
      <c r="I15" s="3"/>
      <c r="J15" s="3"/>
      <c r="K15" s="13"/>
      <c r="L15" s="3"/>
      <c r="M15" s="3"/>
    </row>
    <row r="16" spans="2:13" ht="28.5" customHeight="1" x14ac:dyDescent="0.2">
      <c r="B16" s="3"/>
      <c r="C16" s="3"/>
      <c r="D16" s="11" t="s">
        <v>245</v>
      </c>
      <c r="E16" s="80" t="s">
        <v>241</v>
      </c>
      <c r="F16" s="15"/>
      <c r="G16" s="115"/>
      <c r="H16" s="15"/>
      <c r="I16" s="80"/>
      <c r="J16" s="15"/>
      <c r="K16" s="13"/>
      <c r="L16" s="15"/>
      <c r="M16" s="3"/>
    </row>
    <row r="17" spans="2:27" x14ac:dyDescent="0.2">
      <c r="B17" s="3"/>
      <c r="C17" s="3"/>
      <c r="D17" s="8"/>
      <c r="E17" s="80"/>
      <c r="F17" s="15"/>
      <c r="G17" s="15"/>
      <c r="H17" s="15"/>
      <c r="I17" s="80"/>
      <c r="J17" s="15"/>
      <c r="K17" s="13"/>
      <c r="L17" s="15"/>
      <c r="M17" s="3"/>
    </row>
    <row r="18" spans="2:27" x14ac:dyDescent="0.2">
      <c r="B18" s="3"/>
      <c r="C18" s="3"/>
      <c r="D18" s="8"/>
      <c r="E18" s="80"/>
      <c r="F18" s="15"/>
      <c r="G18" s="15"/>
      <c r="H18" s="15"/>
      <c r="I18" s="80"/>
      <c r="J18" s="15"/>
      <c r="K18" s="13"/>
      <c r="L18" s="15"/>
      <c r="M18" s="3"/>
    </row>
    <row r="19" spans="2:27" x14ac:dyDescent="0.2">
      <c r="B19" s="3"/>
      <c r="C19" s="3"/>
      <c r="D19" s="8"/>
      <c r="E19" s="81"/>
      <c r="F19" s="15"/>
      <c r="G19" s="15"/>
      <c r="H19" s="15"/>
      <c r="I19" s="81"/>
      <c r="J19" s="15"/>
      <c r="K19" s="13"/>
      <c r="L19" s="3"/>
      <c r="M19" s="3"/>
    </row>
    <row r="20" spans="2:27" x14ac:dyDescent="0.2">
      <c r="B20" s="3"/>
      <c r="C20" s="3"/>
      <c r="D20" s="79" t="s">
        <v>242</v>
      </c>
      <c r="E20" s="81"/>
      <c r="F20" s="15"/>
      <c r="G20" s="15"/>
      <c r="H20" s="15"/>
      <c r="I20" s="81"/>
      <c r="J20" s="15"/>
      <c r="K20" s="13"/>
      <c r="L20" s="3"/>
      <c r="M20" s="3"/>
    </row>
    <row r="21" spans="2:27" x14ac:dyDescent="0.2">
      <c r="B21" s="3"/>
      <c r="C21" s="3"/>
      <c r="D21" s="79"/>
      <c r="E21" s="81"/>
      <c r="F21" s="15"/>
      <c r="G21" s="15"/>
      <c r="H21" s="15"/>
      <c r="I21" s="81"/>
      <c r="J21" s="15"/>
      <c r="K21" s="13"/>
      <c r="L21" s="3"/>
      <c r="M21" s="3"/>
    </row>
    <row r="22" spans="2:27" ht="14.25" x14ac:dyDescent="0.2">
      <c r="B22" s="3"/>
      <c r="C22" s="3"/>
      <c r="D22" s="3" t="s">
        <v>329</v>
      </c>
      <c r="E22" s="81"/>
      <c r="F22" s="15"/>
      <c r="G22" s="15"/>
      <c r="H22" s="15"/>
      <c r="I22" s="81"/>
      <c r="J22" s="15"/>
      <c r="K22" s="13"/>
      <c r="L22" s="3"/>
      <c r="M22" s="3"/>
    </row>
    <row r="23" spans="2:27" x14ac:dyDescent="0.2">
      <c r="B23" s="3"/>
      <c r="C23" s="3"/>
      <c r="D23" s="79"/>
      <c r="E23" s="81"/>
      <c r="F23" s="15"/>
      <c r="G23" s="15"/>
      <c r="H23" s="15"/>
      <c r="I23" s="81"/>
      <c r="J23" s="15"/>
      <c r="K23" s="13"/>
      <c r="L23" s="3"/>
      <c r="M23" s="3"/>
    </row>
    <row r="25" spans="2:27" x14ac:dyDescent="0.2">
      <c r="B25" s="3"/>
      <c r="C25" s="3"/>
      <c r="D25" s="14"/>
      <c r="E25" s="3"/>
      <c r="F25" s="3"/>
      <c r="G25" s="3"/>
      <c r="H25" s="3"/>
      <c r="I25" s="3"/>
      <c r="J25" s="3"/>
      <c r="K25" s="3"/>
      <c r="L25" s="3"/>
      <c r="M25" s="3"/>
      <c r="N25" s="3"/>
      <c r="O25" s="3"/>
      <c r="P25" s="3"/>
      <c r="Q25" s="3"/>
      <c r="R25" s="3"/>
      <c r="S25" s="3"/>
      <c r="T25" s="3"/>
      <c r="U25" s="3"/>
      <c r="V25" s="3"/>
      <c r="W25" s="3"/>
      <c r="X25" s="3"/>
      <c r="Y25" s="3"/>
      <c r="Z25" s="3"/>
      <c r="AA25" s="3"/>
    </row>
    <row r="26" spans="2:27" ht="18" x14ac:dyDescent="0.25">
      <c r="B26" s="3"/>
      <c r="C26" s="97" t="s">
        <v>239</v>
      </c>
      <c r="D26" s="14"/>
      <c r="E26" s="3"/>
      <c r="F26" s="3"/>
      <c r="G26" s="3"/>
      <c r="H26" s="3"/>
      <c r="I26" s="3"/>
      <c r="J26" s="3"/>
      <c r="K26" s="3"/>
      <c r="L26" s="3"/>
      <c r="M26" s="3"/>
      <c r="N26" s="3"/>
      <c r="O26" s="3"/>
      <c r="P26" s="3"/>
      <c r="Q26" s="3"/>
      <c r="R26" s="3"/>
      <c r="S26" s="3"/>
      <c r="T26" s="3"/>
      <c r="U26" s="3"/>
      <c r="V26" s="3"/>
      <c r="W26" s="3"/>
      <c r="X26" s="3"/>
      <c r="Y26" s="3"/>
      <c r="Z26" s="3"/>
      <c r="AA26" s="3"/>
    </row>
    <row r="27" spans="2:27" x14ac:dyDescent="0.2">
      <c r="B27" s="3"/>
      <c r="C27" s="3"/>
      <c r="D27" s="14"/>
      <c r="E27" s="3"/>
      <c r="F27" s="3"/>
      <c r="G27" s="3"/>
      <c r="H27" s="3"/>
      <c r="I27" s="3"/>
      <c r="J27" s="3"/>
      <c r="K27" s="3"/>
      <c r="L27" s="3"/>
      <c r="M27" s="3"/>
      <c r="N27" s="3"/>
      <c r="O27" s="3"/>
      <c r="P27" s="3"/>
      <c r="Q27" s="3"/>
      <c r="R27" s="3"/>
      <c r="S27" s="3"/>
      <c r="T27" s="3"/>
      <c r="U27" s="3"/>
      <c r="V27" s="3"/>
      <c r="W27" s="3"/>
      <c r="X27" s="3"/>
      <c r="Y27" s="3"/>
      <c r="Z27" s="3"/>
      <c r="AA27" s="3"/>
    </row>
    <row r="28" spans="2:27" ht="15" x14ac:dyDescent="0.25">
      <c r="B28" s="3"/>
      <c r="C28" s="92" t="s">
        <v>112</v>
      </c>
      <c r="D28" s="3"/>
      <c r="E28" s="3"/>
      <c r="F28" s="3"/>
      <c r="G28" s="3"/>
      <c r="H28" s="3"/>
      <c r="I28" s="3"/>
      <c r="J28" s="3"/>
      <c r="K28" s="92" t="s">
        <v>116</v>
      </c>
      <c r="L28" s="3"/>
      <c r="M28" s="3"/>
      <c r="N28" s="3"/>
      <c r="O28" s="3"/>
      <c r="P28" s="3"/>
      <c r="Q28" s="3"/>
      <c r="R28" s="3"/>
      <c r="S28" s="93" t="s">
        <v>84</v>
      </c>
      <c r="T28" s="3"/>
      <c r="U28" s="3"/>
      <c r="V28" s="3"/>
      <c r="W28" s="3"/>
      <c r="X28" s="3"/>
      <c r="Y28" s="3"/>
      <c r="Z28" s="3"/>
      <c r="AA28" s="3"/>
    </row>
    <row r="29" spans="2:27" x14ac:dyDescent="0.2">
      <c r="B29" s="3"/>
      <c r="C29" s="3"/>
      <c r="D29" s="14"/>
      <c r="E29" s="3"/>
      <c r="F29" s="3"/>
      <c r="G29" s="3"/>
      <c r="H29" s="3"/>
      <c r="I29" s="3"/>
      <c r="J29" s="3"/>
      <c r="K29" s="3"/>
      <c r="L29" s="3"/>
      <c r="M29" s="3"/>
      <c r="N29" s="3"/>
      <c r="O29" s="3"/>
      <c r="P29" s="3"/>
      <c r="Q29" s="3"/>
      <c r="R29" s="3"/>
      <c r="S29" s="3"/>
      <c r="T29" s="3"/>
      <c r="U29" s="3"/>
      <c r="V29" s="3"/>
      <c r="W29" s="3"/>
      <c r="X29" s="3"/>
      <c r="Y29" s="3"/>
      <c r="Z29" s="3"/>
      <c r="AA29" s="3"/>
    </row>
    <row r="30" spans="2:27" x14ac:dyDescent="0.2">
      <c r="B30" s="3"/>
      <c r="C30" s="3"/>
      <c r="D30" s="3"/>
      <c r="E30" s="3"/>
      <c r="F30" s="3"/>
      <c r="G30" s="3"/>
      <c r="H30" s="3"/>
      <c r="I30" s="3"/>
      <c r="J30" s="3"/>
      <c r="K30" s="3"/>
      <c r="L30" s="3"/>
      <c r="M30" s="3"/>
      <c r="N30" s="3"/>
      <c r="O30" s="3"/>
      <c r="P30" s="3"/>
      <c r="Q30" s="3"/>
      <c r="R30" s="3"/>
      <c r="S30" s="3"/>
      <c r="T30" s="3"/>
      <c r="U30" s="3"/>
      <c r="V30" s="3"/>
      <c r="W30" s="3"/>
      <c r="X30" s="3"/>
      <c r="Y30" s="3"/>
      <c r="Z30" s="3"/>
      <c r="AA30" s="3"/>
    </row>
    <row r="31" spans="2:27" x14ac:dyDescent="0.2">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x14ac:dyDescent="0.2">
      <c r="B32" s="3"/>
      <c r="C32" s="3"/>
      <c r="D32" s="3"/>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3"/>
      <c r="E33" s="3"/>
      <c r="F33" s="3"/>
      <c r="G33" s="3"/>
      <c r="H33" s="3"/>
      <c r="I33" s="3"/>
      <c r="J33" s="3"/>
      <c r="K33" s="3"/>
      <c r="L33" s="3"/>
      <c r="M33" s="3"/>
      <c r="N33" s="3"/>
      <c r="O33" s="3"/>
      <c r="P33" s="3"/>
      <c r="Q33" s="3"/>
      <c r="R33" s="3"/>
      <c r="S33" s="3"/>
      <c r="T33" s="3"/>
      <c r="U33" s="3"/>
      <c r="V33" s="3"/>
      <c r="W33" s="3"/>
      <c r="X33" s="3"/>
      <c r="Y33" s="3"/>
      <c r="Z33" s="3"/>
      <c r="AA33" s="3"/>
    </row>
    <row r="34" spans="2:27" x14ac:dyDescent="0.2">
      <c r="B34" s="3"/>
      <c r="C34" s="3"/>
      <c r="D34" s="3"/>
      <c r="E34" s="3"/>
      <c r="F34" s="3"/>
      <c r="G34" s="3"/>
      <c r="H34" s="3"/>
      <c r="I34" s="3"/>
      <c r="J34" s="3"/>
      <c r="K34" s="3"/>
      <c r="L34" s="3"/>
      <c r="M34" s="3"/>
      <c r="N34" s="3"/>
      <c r="O34" s="3"/>
      <c r="P34" s="3"/>
      <c r="Q34" s="3"/>
      <c r="R34" s="3"/>
      <c r="S34" s="3"/>
      <c r="T34" s="3"/>
      <c r="U34" s="3"/>
      <c r="V34" s="3"/>
      <c r="W34" s="3"/>
      <c r="X34" s="3"/>
      <c r="Y34" s="3"/>
      <c r="Z34" s="3"/>
      <c r="AA34" s="3"/>
    </row>
    <row r="35" spans="2:27" x14ac:dyDescent="0.2">
      <c r="B35" s="3"/>
      <c r="C35" s="3"/>
      <c r="D35" s="3"/>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ht="15" customHeight="1" x14ac:dyDescent="0.25">
      <c r="B60" s="3"/>
      <c r="C60" s="97"/>
      <c r="D60" s="62"/>
      <c r="E60" s="3"/>
      <c r="F60" s="3"/>
      <c r="G60" s="3"/>
      <c r="H60" s="3"/>
      <c r="I60" s="3"/>
      <c r="J60" s="3"/>
      <c r="K60" s="3"/>
      <c r="L60" s="3"/>
      <c r="M60" s="3"/>
      <c r="N60" s="3"/>
      <c r="O60" s="3"/>
      <c r="P60" s="3"/>
      <c r="Q60" s="3"/>
      <c r="R60" s="3"/>
      <c r="S60" s="3"/>
      <c r="T60" s="3"/>
      <c r="U60" s="3"/>
      <c r="V60" s="3"/>
      <c r="W60" s="3"/>
      <c r="X60" s="3"/>
      <c r="Y60" s="85"/>
      <c r="Z60" s="85"/>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84"/>
      <c r="Z61" s="84"/>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84"/>
      <c r="Z62" s="84"/>
      <c r="AA62" s="3"/>
    </row>
    <row r="63" spans="2:27" ht="15" customHeight="1" x14ac:dyDescent="0.25">
      <c r="B63" s="3"/>
      <c r="C63" s="3"/>
      <c r="D63" s="23" t="s">
        <v>113</v>
      </c>
      <c r="E63" s="24"/>
      <c r="F63" s="24"/>
      <c r="G63" s="24"/>
      <c r="H63" s="24"/>
      <c r="I63" s="3"/>
      <c r="J63" s="3"/>
      <c r="K63" s="3"/>
      <c r="L63" s="23" t="s">
        <v>194</v>
      </c>
      <c r="M63" s="24"/>
      <c r="N63" s="24"/>
      <c r="O63" s="24"/>
      <c r="P63" s="24"/>
      <c r="Q63" s="3"/>
      <c r="R63" s="3"/>
      <c r="S63" s="3"/>
      <c r="T63" s="23" t="s">
        <v>199</v>
      </c>
      <c r="U63" s="24"/>
      <c r="V63" s="24"/>
      <c r="W63" s="24"/>
      <c r="X63" s="3"/>
      <c r="Y63" s="84"/>
      <c r="Z63" s="84"/>
      <c r="AA63" s="3"/>
    </row>
    <row r="64" spans="2:27" ht="15" customHeight="1" x14ac:dyDescent="0.25">
      <c r="B64" s="3"/>
      <c r="C64" s="397" t="s">
        <v>145</v>
      </c>
      <c r="D64" s="46"/>
      <c r="E64" s="46">
        <v>2020</v>
      </c>
      <c r="F64" s="47">
        <v>2025</v>
      </c>
      <c r="G64" s="47">
        <v>2030</v>
      </c>
      <c r="H64" s="34"/>
      <c r="I64" s="3"/>
      <c r="J64" s="3"/>
      <c r="K64" s="3"/>
      <c r="L64" s="34"/>
      <c r="M64" s="46">
        <v>2020</v>
      </c>
      <c r="N64" s="47">
        <v>2025</v>
      </c>
      <c r="O64" s="47">
        <v>2030</v>
      </c>
      <c r="P64" s="34"/>
      <c r="Q64" s="3"/>
      <c r="R64" s="3"/>
      <c r="S64" s="397" t="s">
        <v>145</v>
      </c>
      <c r="T64" s="34"/>
      <c r="U64" s="47">
        <v>2020</v>
      </c>
      <c r="V64" s="47">
        <v>2025</v>
      </c>
      <c r="W64" s="47">
        <v>2030</v>
      </c>
      <c r="X64" s="3"/>
      <c r="Y64" s="84"/>
      <c r="Z64" s="84"/>
      <c r="AA64" s="63"/>
    </row>
    <row r="65" spans="2:27" x14ac:dyDescent="0.2">
      <c r="B65" s="3"/>
      <c r="C65" s="397"/>
      <c r="D65" s="24"/>
      <c r="E65" s="48" t="s">
        <v>89</v>
      </c>
      <c r="F65" s="49"/>
      <c r="G65" s="49"/>
      <c r="H65" s="24"/>
      <c r="I65" s="3"/>
      <c r="J65" s="3"/>
      <c r="K65" s="3"/>
      <c r="L65" s="24"/>
      <c r="M65" s="48" t="s">
        <v>89</v>
      </c>
      <c r="N65" s="49"/>
      <c r="O65" s="49"/>
      <c r="P65" s="24"/>
      <c r="Q65" s="3"/>
      <c r="R65" s="3"/>
      <c r="S65" s="397"/>
      <c r="T65" s="24"/>
      <c r="U65" s="50" t="s">
        <v>89</v>
      </c>
      <c r="V65" s="50"/>
      <c r="W65" s="59"/>
      <c r="X65" s="3"/>
      <c r="Y65" s="84"/>
      <c r="Z65" s="84"/>
      <c r="AA65" s="63"/>
    </row>
    <row r="66" spans="2:27" ht="15.75" x14ac:dyDescent="0.3">
      <c r="B66" s="3"/>
      <c r="C66" s="3"/>
      <c r="D66" s="29" t="s">
        <v>31</v>
      </c>
      <c r="E66" s="32">
        <f>'Referenz Plattenwerk'!$U$16+'Referenz Plattenwerk'!U21</f>
        <v>43.0426</v>
      </c>
      <c r="F66" s="32">
        <f>J142+J147</f>
        <v>43.0426</v>
      </c>
      <c r="G66" s="32">
        <f>J215+J220</f>
        <v>43.0426</v>
      </c>
      <c r="H66" s="25" t="s">
        <v>162</v>
      </c>
      <c r="I66" s="3"/>
      <c r="J66" s="3"/>
      <c r="K66" s="3"/>
      <c r="L66" s="29" t="s">
        <v>115</v>
      </c>
      <c r="M66" s="26">
        <f>'Referenz Plattenwerk'!Q74</f>
        <v>94.932355060000006</v>
      </c>
      <c r="N66" s="26">
        <f>F199</f>
        <v>94.932355060000006</v>
      </c>
      <c r="O66" s="26">
        <f>F272</f>
        <v>94.932355060000006</v>
      </c>
      <c r="P66" s="25" t="s">
        <v>162</v>
      </c>
      <c r="Q66" s="3"/>
      <c r="R66" s="3"/>
      <c r="S66" s="3"/>
      <c r="T66" s="57" t="s">
        <v>158</v>
      </c>
      <c r="U66" s="58">
        <f>SUM(U67:U73)</f>
        <v>109669</v>
      </c>
      <c r="V66" s="58">
        <f t="shared" ref="V66:W66" si="0">SUM(V67:V73)</f>
        <v>110794</v>
      </c>
      <c r="W66" s="58">
        <f t="shared" si="0"/>
        <v>110794</v>
      </c>
      <c r="X66" s="3"/>
      <c r="Y66" s="114"/>
      <c r="Z66" s="114"/>
      <c r="AA66" s="63"/>
    </row>
    <row r="67" spans="2:27" ht="15.75" x14ac:dyDescent="0.3">
      <c r="B67" s="3"/>
      <c r="C67" s="3"/>
      <c r="D67" s="8" t="s">
        <v>32</v>
      </c>
      <c r="E67" s="10">
        <f>'Referenz Plattenwerk'!$U$17+'Referenz Plattenwerk'!U22</f>
        <v>16.005600000000001</v>
      </c>
      <c r="F67" s="10">
        <f>J143+J148</f>
        <v>16.005600000000001</v>
      </c>
      <c r="G67" s="10">
        <f>J216+J221</f>
        <v>16.005600000000001</v>
      </c>
      <c r="H67" s="3" t="s">
        <v>162</v>
      </c>
      <c r="I67" s="3"/>
      <c r="J67" s="3"/>
      <c r="K67" s="3"/>
      <c r="L67" s="8" t="s">
        <v>28</v>
      </c>
      <c r="M67" s="9">
        <f>'Referenz Plattenwerk'!R74</f>
        <v>171.9</v>
      </c>
      <c r="N67" s="9">
        <f>G199</f>
        <v>0</v>
      </c>
      <c r="O67" s="9">
        <f>G272</f>
        <v>0</v>
      </c>
      <c r="P67" s="3" t="s">
        <v>162</v>
      </c>
      <c r="Q67" s="3"/>
      <c r="R67" s="3"/>
      <c r="S67" s="3"/>
      <c r="T67" s="31" t="s">
        <v>31</v>
      </c>
      <c r="U67" s="52">
        <f>'Referenz Plattenwerk'!AB16</f>
        <v>14335</v>
      </c>
      <c r="V67" s="52">
        <f>S142+S147</f>
        <v>14335</v>
      </c>
      <c r="W67" s="52">
        <f>S215+S220</f>
        <v>14335</v>
      </c>
      <c r="X67" s="3"/>
      <c r="Y67" s="114"/>
      <c r="Z67" s="114"/>
      <c r="AA67" s="63"/>
    </row>
    <row r="68" spans="2:27" ht="15.75" x14ac:dyDescent="0.3">
      <c r="B68" s="3"/>
      <c r="C68" s="3"/>
      <c r="D68" s="29" t="s">
        <v>33</v>
      </c>
      <c r="E68" s="32">
        <f>'Referenz Plattenwerk'!$U$18+'Referenz Plattenwerk'!R24</f>
        <v>171.9</v>
      </c>
      <c r="F68" s="32">
        <f>J144+J150</f>
        <v>0</v>
      </c>
      <c r="G68" s="32">
        <f>J217+J223</f>
        <v>0</v>
      </c>
      <c r="H68" s="25" t="s">
        <v>162</v>
      </c>
      <c r="I68" s="3"/>
      <c r="J68" s="3"/>
      <c r="K68" s="3"/>
      <c r="L68" s="29" t="s">
        <v>29</v>
      </c>
      <c r="M68" s="26">
        <f>'Referenz Plattenwerk'!S74</f>
        <v>5831.5296228095176</v>
      </c>
      <c r="N68" s="26">
        <f>H199</f>
        <v>5824.6851228095193</v>
      </c>
      <c r="O68" s="26">
        <f>H272</f>
        <v>5824.6851228095193</v>
      </c>
      <c r="P68" s="25" t="s">
        <v>162</v>
      </c>
      <c r="Q68" s="3"/>
      <c r="R68" s="3"/>
      <c r="S68" s="3"/>
      <c r="T68" s="31" t="s">
        <v>32</v>
      </c>
      <c r="U68" s="52">
        <f>'Referenz Plattenwerk'!AB17</f>
        <v>2760</v>
      </c>
      <c r="V68" s="52">
        <f>S143+S148</f>
        <v>2760</v>
      </c>
      <c r="W68" s="52">
        <f>S216+S221</f>
        <v>2760</v>
      </c>
      <c r="X68" s="3"/>
      <c r="Y68" s="114"/>
      <c r="Z68" s="114"/>
      <c r="AA68" s="63"/>
    </row>
    <row r="69" spans="2:27" ht="16.5" thickBot="1" x14ac:dyDescent="0.35">
      <c r="B69" s="3"/>
      <c r="C69" s="3"/>
      <c r="D69" s="8" t="s">
        <v>126</v>
      </c>
      <c r="E69" s="10">
        <f>'Referenz Plattenwerk'!$U$19</f>
        <v>0</v>
      </c>
      <c r="F69" s="10">
        <f>J145</f>
        <v>0</v>
      </c>
      <c r="G69" s="10">
        <f>J218</f>
        <v>0</v>
      </c>
      <c r="H69" s="3" t="s">
        <v>162</v>
      </c>
      <c r="I69" s="3"/>
      <c r="J69" s="3"/>
      <c r="K69" s="3"/>
      <c r="L69" s="27" t="s">
        <v>69</v>
      </c>
      <c r="M69" s="28">
        <f>SUM(M66:M68)</f>
        <v>6098.3619778695174</v>
      </c>
      <c r="N69" s="28">
        <f t="shared" ref="N69:O69" si="1">SUM(N66:N68)</f>
        <v>5919.6174778695195</v>
      </c>
      <c r="O69" s="28">
        <f t="shared" si="1"/>
        <v>5919.6174778695195</v>
      </c>
      <c r="P69" s="27" t="s">
        <v>163</v>
      </c>
      <c r="Q69" s="3"/>
      <c r="R69" s="3"/>
      <c r="S69" s="3"/>
      <c r="T69" s="31" t="s">
        <v>33</v>
      </c>
      <c r="U69" s="52">
        <f>'Referenz Plattenwerk'!AB18</f>
        <v>77400</v>
      </c>
      <c r="V69" s="52">
        <f>S144+S150</f>
        <v>78525</v>
      </c>
      <c r="W69" s="52">
        <f>S217+S223</f>
        <v>78525</v>
      </c>
      <c r="X69" s="3"/>
      <c r="Y69" s="114"/>
      <c r="Z69" s="114"/>
      <c r="AA69" s="63"/>
    </row>
    <row r="70" spans="2:27" ht="16.5" thickTop="1" x14ac:dyDescent="0.3">
      <c r="B70" s="3"/>
      <c r="C70" s="3"/>
      <c r="D70" s="29" t="s">
        <v>122</v>
      </c>
      <c r="E70" s="32">
        <f>'Referenz Plattenwerk'!$U$25</f>
        <v>0</v>
      </c>
      <c r="F70" s="32">
        <f>J151</f>
        <v>0</v>
      </c>
      <c r="G70" s="32">
        <f>J224</f>
        <v>0</v>
      </c>
      <c r="H70" s="25" t="s">
        <v>162</v>
      </c>
      <c r="I70" s="3"/>
      <c r="J70" s="3"/>
      <c r="K70" s="3"/>
      <c r="L70" s="3"/>
      <c r="M70" s="3"/>
      <c r="N70" s="3"/>
      <c r="O70" s="3"/>
      <c r="P70" s="3"/>
      <c r="Q70" s="3"/>
      <c r="R70" s="3"/>
      <c r="S70" s="3"/>
      <c r="T70" s="31" t="s">
        <v>122</v>
      </c>
      <c r="U70" s="52">
        <f>'Referenz Plattenwerk'!AB19</f>
        <v>0</v>
      </c>
      <c r="V70" s="52">
        <f>S151</f>
        <v>0</v>
      </c>
      <c r="W70" s="52">
        <f>S224</f>
        <v>0</v>
      </c>
      <c r="X70" s="3"/>
      <c r="Y70" s="114"/>
      <c r="Z70" s="114"/>
      <c r="AA70" s="63"/>
    </row>
    <row r="71" spans="2:27" ht="15.75" x14ac:dyDescent="0.3">
      <c r="B71" s="3"/>
      <c r="C71" s="3"/>
      <c r="D71" s="8" t="s">
        <v>149</v>
      </c>
      <c r="E71" s="10">
        <f>'Referenz Plattenwerk'!$U$26</f>
        <v>0</v>
      </c>
      <c r="F71" s="10">
        <f>J152</f>
        <v>0</v>
      </c>
      <c r="G71" s="10">
        <f>J225</f>
        <v>0</v>
      </c>
      <c r="H71" s="3" t="s">
        <v>162</v>
      </c>
      <c r="I71" s="3"/>
      <c r="J71" s="3"/>
      <c r="K71" s="3"/>
      <c r="L71" s="3"/>
      <c r="M71" s="3"/>
      <c r="N71" s="3"/>
      <c r="O71" s="3"/>
      <c r="P71" s="3"/>
      <c r="Q71" s="3"/>
      <c r="R71" s="3"/>
      <c r="S71" s="3"/>
      <c r="T71" s="31" t="s">
        <v>123</v>
      </c>
      <c r="U71" s="52">
        <f>'Referenz Plattenwerk'!AB20</f>
        <v>0</v>
      </c>
      <c r="V71" s="52">
        <f>S145</f>
        <v>0</v>
      </c>
      <c r="W71" s="52">
        <f>S218</f>
        <v>0</v>
      </c>
      <c r="X71" s="3"/>
      <c r="Y71" s="114"/>
      <c r="Z71" s="114"/>
      <c r="AA71" s="63"/>
    </row>
    <row r="72" spans="2:27" ht="15.75" x14ac:dyDescent="0.3">
      <c r="B72" s="3"/>
      <c r="C72" s="3"/>
      <c r="D72" s="29" t="s">
        <v>34</v>
      </c>
      <c r="E72" s="32">
        <f>'Referenz Plattenwerk'!$U$28+'Referenz Plattenwerk'!$U$29</f>
        <v>35.884155059999998</v>
      </c>
      <c r="F72" s="32">
        <f>J154+J155</f>
        <v>35.884155059999998</v>
      </c>
      <c r="G72" s="32">
        <f>J227+J228</f>
        <v>35.884155059999998</v>
      </c>
      <c r="H72" s="25" t="s">
        <v>162</v>
      </c>
      <c r="I72" s="3"/>
      <c r="J72" s="3"/>
      <c r="K72" s="3"/>
      <c r="L72" s="23" t="s">
        <v>192</v>
      </c>
      <c r="M72" s="24"/>
      <c r="N72" s="24"/>
      <c r="O72" s="24"/>
      <c r="P72" s="24"/>
      <c r="Q72" s="3"/>
      <c r="R72" s="3"/>
      <c r="S72" s="3"/>
      <c r="T72" s="31" t="s">
        <v>466</v>
      </c>
      <c r="U72" s="52">
        <f>'Referenz Plattenwerk'!AB21</f>
        <v>0</v>
      </c>
      <c r="V72" s="52">
        <f>S152</f>
        <v>0</v>
      </c>
      <c r="W72" s="52">
        <f>S225</f>
        <v>0</v>
      </c>
      <c r="X72" s="3"/>
      <c r="Y72" s="114"/>
      <c r="Z72" s="114"/>
      <c r="AA72" s="63"/>
    </row>
    <row r="73" spans="2:27" ht="15.75" thickBot="1" x14ac:dyDescent="0.3">
      <c r="B73" s="3"/>
      <c r="C73" s="3"/>
      <c r="D73" s="27" t="s">
        <v>69</v>
      </c>
      <c r="E73" s="33">
        <f>SUM(E66:E72)</f>
        <v>266.83235506</v>
      </c>
      <c r="F73" s="33">
        <f>SUM(F66:F72)</f>
        <v>94.932355059999992</v>
      </c>
      <c r="G73" s="33">
        <f>SUM(G66:G72)</f>
        <v>94.932355059999992</v>
      </c>
      <c r="H73" s="27" t="s">
        <v>163</v>
      </c>
      <c r="I73" s="3"/>
      <c r="J73" s="3"/>
      <c r="K73" s="397" t="s">
        <v>145</v>
      </c>
      <c r="L73" s="34"/>
      <c r="M73" s="46">
        <v>2020</v>
      </c>
      <c r="N73" s="47">
        <v>2025</v>
      </c>
      <c r="O73" s="47">
        <v>2030</v>
      </c>
      <c r="P73" s="34"/>
      <c r="Q73" s="3"/>
      <c r="R73" s="3"/>
      <c r="S73" s="3"/>
      <c r="T73" s="51" t="s">
        <v>34</v>
      </c>
      <c r="U73" s="53">
        <f>'Referenz Plattenwerk'!AB22</f>
        <v>15174.000000000002</v>
      </c>
      <c r="V73" s="54">
        <f>S154+S155</f>
        <v>15174.000000000002</v>
      </c>
      <c r="W73" s="54">
        <f>S227+S228</f>
        <v>15174.000000000002</v>
      </c>
      <c r="X73" s="3"/>
      <c r="Y73" s="114"/>
      <c r="Z73" s="114"/>
      <c r="AA73" s="63"/>
    </row>
    <row r="74" spans="2:27" ht="13.5" thickTop="1" x14ac:dyDescent="0.2">
      <c r="B74" s="3"/>
      <c r="C74" s="3"/>
      <c r="D74" s="3"/>
      <c r="E74" s="3"/>
      <c r="F74" s="3"/>
      <c r="G74" s="3"/>
      <c r="H74" s="3"/>
      <c r="I74" s="3"/>
      <c r="J74" s="3"/>
      <c r="K74" s="397"/>
      <c r="L74" s="24"/>
      <c r="M74" s="48" t="s">
        <v>89</v>
      </c>
      <c r="N74" s="49"/>
      <c r="O74" s="49"/>
      <c r="P74" s="24"/>
      <c r="Q74" s="3"/>
      <c r="R74" s="3"/>
      <c r="S74" s="3"/>
      <c r="T74" s="8" t="s">
        <v>30</v>
      </c>
      <c r="U74" s="55">
        <v>0</v>
      </c>
      <c r="V74" s="55">
        <f>S158</f>
        <v>0</v>
      </c>
      <c r="W74" s="55">
        <f>S231</f>
        <v>0</v>
      </c>
      <c r="X74" s="3"/>
      <c r="Y74" s="114"/>
      <c r="Z74" s="114"/>
      <c r="AA74" s="63"/>
    </row>
    <row r="75" spans="2:27" ht="15.75" x14ac:dyDescent="0.3">
      <c r="B75" s="3"/>
      <c r="C75" s="3"/>
      <c r="D75" s="3"/>
      <c r="E75" s="3"/>
      <c r="F75" s="3"/>
      <c r="G75" s="3"/>
      <c r="H75" s="3"/>
      <c r="I75" s="3"/>
      <c r="J75" s="3"/>
      <c r="K75" s="3"/>
      <c r="L75" s="29" t="str">
        <f>C140</f>
        <v>Energieträger gesamt</v>
      </c>
      <c r="M75" s="26">
        <f>SUM('Referenz Plattenwerk'!S16:S29)</f>
        <v>41.281733459999998</v>
      </c>
      <c r="N75" s="26">
        <f>H140</f>
        <v>34.437233460000002</v>
      </c>
      <c r="O75" s="26">
        <f>H213</f>
        <v>34.437233460000002</v>
      </c>
      <c r="P75" s="25" t="s">
        <v>162</v>
      </c>
      <c r="Q75" s="3"/>
      <c r="R75" s="3"/>
      <c r="S75" s="3"/>
      <c r="T75" s="8" t="s">
        <v>153</v>
      </c>
      <c r="U75" s="55">
        <v>0</v>
      </c>
      <c r="V75" s="55">
        <f>S159</f>
        <v>0</v>
      </c>
      <c r="W75" s="55">
        <f>S232</f>
        <v>0</v>
      </c>
      <c r="X75" s="3"/>
      <c r="Y75" s="114"/>
      <c r="Z75" s="114"/>
      <c r="AA75" s="63"/>
    </row>
    <row r="76" spans="2:27" ht="15.75" x14ac:dyDescent="0.3">
      <c r="B76" s="3"/>
      <c r="C76" s="3"/>
      <c r="D76" s="3"/>
      <c r="E76" s="3"/>
      <c r="F76" s="3"/>
      <c r="G76" s="3"/>
      <c r="H76" s="3"/>
      <c r="I76" s="3"/>
      <c r="J76" s="3"/>
      <c r="K76" s="3"/>
      <c r="L76" s="8" t="str">
        <f>C156</f>
        <v>Transport gesamt</v>
      </c>
      <c r="M76" s="9">
        <f>'Referenz Plattenwerk'!S32+'Referenz Plattenwerk'!S33</f>
        <v>469.15642799999995</v>
      </c>
      <c r="N76" s="9">
        <f>H156</f>
        <v>469.15642799999995</v>
      </c>
      <c r="O76" s="9">
        <f>H229</f>
        <v>469.15642799999995</v>
      </c>
      <c r="P76" s="3" t="s">
        <v>162</v>
      </c>
      <c r="Q76" s="3"/>
      <c r="R76" s="3"/>
      <c r="S76" s="3"/>
      <c r="T76" s="59" t="s">
        <v>160</v>
      </c>
      <c r="U76" s="61">
        <v>0</v>
      </c>
      <c r="V76" s="61">
        <f>S160</f>
        <v>0</v>
      </c>
      <c r="W76" s="61">
        <f>S233</f>
        <v>0</v>
      </c>
      <c r="X76" s="3"/>
      <c r="Y76" s="114"/>
      <c r="Z76" s="114"/>
      <c r="AA76" s="63"/>
    </row>
    <row r="77" spans="2:27" ht="15.75" x14ac:dyDescent="0.3">
      <c r="B77" s="3"/>
      <c r="C77" s="3"/>
      <c r="D77" s="3"/>
      <c r="E77" s="3"/>
      <c r="F77" s="3"/>
      <c r="G77" s="3"/>
      <c r="H77" s="3"/>
      <c r="I77" s="3"/>
      <c r="J77" s="3"/>
      <c r="K77" s="3"/>
      <c r="L77" s="29" t="str">
        <f>C160</f>
        <v>Zement</v>
      </c>
      <c r="M77" s="26">
        <f>'Referenz Plattenwerk'!S35</f>
        <v>4548.5439999999999</v>
      </c>
      <c r="N77" s="26">
        <f>H160</f>
        <v>4548.5439999999999</v>
      </c>
      <c r="O77" s="26">
        <f>H233</f>
        <v>4548.5439999999999</v>
      </c>
      <c r="P77" s="25" t="s">
        <v>162</v>
      </c>
      <c r="Q77" s="3"/>
      <c r="R77" s="3"/>
      <c r="S77" s="3"/>
      <c r="T77" s="57" t="s">
        <v>154</v>
      </c>
      <c r="U77" s="58">
        <f>SUM(U78:U80)</f>
        <v>152459.04944673795</v>
      </c>
      <c r="V77" s="58">
        <f t="shared" ref="V77:W77" si="2">SUM(V78:V80)</f>
        <v>266382.78650412837</v>
      </c>
      <c r="W77" s="58">
        <f t="shared" si="2"/>
        <v>473569.39822956151</v>
      </c>
      <c r="X77" s="3"/>
      <c r="Y77" s="114"/>
      <c r="Z77" s="114"/>
      <c r="AA77" s="63"/>
    </row>
    <row r="78" spans="2:27" ht="15.75" x14ac:dyDescent="0.3">
      <c r="B78" s="3"/>
      <c r="C78" s="3"/>
      <c r="D78" s="3"/>
      <c r="E78" s="3"/>
      <c r="F78" s="3"/>
      <c r="G78" s="3"/>
      <c r="H78" s="3"/>
      <c r="I78" s="3"/>
      <c r="J78" s="3"/>
      <c r="K78" s="3"/>
      <c r="L78" s="8" t="str">
        <f>C166</f>
        <v>Gesteinskörnungen (Zuschlagsstoffe)</v>
      </c>
      <c r="M78" s="9">
        <f>'Referenz Plattenwerk'!S41</f>
        <v>129.59200000000001</v>
      </c>
      <c r="N78" s="9">
        <f>H166</f>
        <v>129.59200000000001</v>
      </c>
      <c r="O78" s="9">
        <f>H239</f>
        <v>129.59200000000001</v>
      </c>
      <c r="P78" s="3" t="s">
        <v>162</v>
      </c>
      <c r="Q78" s="3"/>
      <c r="R78" s="3"/>
      <c r="S78" s="3"/>
      <c r="T78" s="31" t="s">
        <v>155</v>
      </c>
      <c r="U78" s="52">
        <f>'Referenz Plattenwerk'!AB26</f>
        <v>2373.3088765000002</v>
      </c>
      <c r="V78" s="52">
        <f>S163</f>
        <v>4271.9559777000004</v>
      </c>
      <c r="W78" s="52">
        <f>S236</f>
        <v>7594.5884048000007</v>
      </c>
      <c r="X78" s="3"/>
      <c r="Y78" s="114"/>
      <c r="Z78" s="114"/>
      <c r="AA78" s="63"/>
    </row>
    <row r="79" spans="2:27" ht="15.75" x14ac:dyDescent="0.3">
      <c r="B79" s="3"/>
      <c r="C79" s="3"/>
      <c r="D79" s="3"/>
      <c r="E79" s="3"/>
      <c r="F79" s="3"/>
      <c r="G79" s="3"/>
      <c r="H79" s="3"/>
      <c r="I79" s="3"/>
      <c r="J79" s="3"/>
      <c r="K79" s="3"/>
      <c r="L79" s="29" t="str">
        <f>D171</f>
        <v>Farben</v>
      </c>
      <c r="M79" s="26">
        <f>'Referenz Plattenwerk'!S46</f>
        <v>208</v>
      </c>
      <c r="N79" s="26">
        <f>H171</f>
        <v>208</v>
      </c>
      <c r="O79" s="26">
        <f>H244</f>
        <v>208</v>
      </c>
      <c r="P79" s="25" t="s">
        <v>162</v>
      </c>
      <c r="Q79" s="3"/>
      <c r="R79" s="3"/>
      <c r="S79" s="3"/>
      <c r="T79" s="31" t="s">
        <v>156</v>
      </c>
      <c r="U79" s="52">
        <f>'Referenz Plattenwerk'!AB27</f>
        <v>4297.5</v>
      </c>
      <c r="V79" s="52">
        <f>S164</f>
        <v>0</v>
      </c>
      <c r="W79" s="52">
        <f>S237</f>
        <v>0</v>
      </c>
      <c r="X79" s="3"/>
      <c r="Y79" s="114"/>
      <c r="Z79" s="114"/>
      <c r="AA79" s="63"/>
    </row>
    <row r="80" spans="2:27" ht="15.75" x14ac:dyDescent="0.3">
      <c r="B80" s="3"/>
      <c r="C80" s="3"/>
      <c r="D80" s="3"/>
      <c r="E80" s="3"/>
      <c r="F80" s="3"/>
      <c r="G80" s="3"/>
      <c r="H80" s="3"/>
      <c r="I80" s="3"/>
      <c r="J80" s="3"/>
      <c r="K80" s="3"/>
      <c r="L80" s="8" t="str">
        <f>C173</f>
        <v>Zusatzstoffe (Füllstoffe)</v>
      </c>
      <c r="M80" s="9">
        <f>'Referenz Plattenwerk'!S48</f>
        <v>81.003999999999991</v>
      </c>
      <c r="N80" s="9">
        <f>H173</f>
        <v>81.003999999999991</v>
      </c>
      <c r="O80" s="9">
        <f>H246</f>
        <v>81.003999999999991</v>
      </c>
      <c r="P80" s="3" t="s">
        <v>162</v>
      </c>
      <c r="Q80" s="3"/>
      <c r="R80" s="3"/>
      <c r="S80" s="3"/>
      <c r="T80" s="31" t="s">
        <v>157</v>
      </c>
      <c r="U80" s="52">
        <f>'Referenz Plattenwerk'!AB28</f>
        <v>145788.24057023795</v>
      </c>
      <c r="V80" s="52">
        <f>S165</f>
        <v>262110.83052642836</v>
      </c>
      <c r="W80" s="52">
        <f>S238</f>
        <v>465974.80982476153</v>
      </c>
      <c r="X80" s="3"/>
      <c r="Y80" s="114"/>
      <c r="Z80" s="114"/>
      <c r="AA80" s="63"/>
    </row>
    <row r="81" spans="2:27" ht="16.5" thickBot="1" x14ac:dyDescent="0.35">
      <c r="B81" s="3"/>
      <c r="C81" s="3"/>
      <c r="D81" s="3"/>
      <c r="E81" s="3"/>
      <c r="F81" s="3"/>
      <c r="G81" s="3"/>
      <c r="H81" s="3"/>
      <c r="I81" s="3"/>
      <c r="J81" s="3"/>
      <c r="K81" s="3"/>
      <c r="L81" s="29" t="str">
        <f>C178</f>
        <v>Zusatzmittel</v>
      </c>
      <c r="M81" s="26">
        <f>'Referenz Plattenwerk'!S53</f>
        <v>148.44746134951595</v>
      </c>
      <c r="N81" s="26">
        <f>H178</f>
        <v>148.44746134951595</v>
      </c>
      <c r="O81" s="26">
        <f>H251</f>
        <v>148.44746134951595</v>
      </c>
      <c r="P81" s="25" t="s">
        <v>162</v>
      </c>
      <c r="Q81" s="3"/>
      <c r="R81" s="3"/>
      <c r="S81" s="3"/>
      <c r="T81" s="27" t="s">
        <v>69</v>
      </c>
      <c r="U81" s="56">
        <f>U77+U76+U75+U74+U66</f>
        <v>262128.04944673795</v>
      </c>
      <c r="V81" s="56">
        <f t="shared" ref="V81:W81" si="3">V77+V76+V75+V74+V66</f>
        <v>377176.78650412837</v>
      </c>
      <c r="W81" s="56">
        <f t="shared" si="3"/>
        <v>584363.39822956151</v>
      </c>
      <c r="X81" s="3"/>
      <c r="Y81" s="114"/>
      <c r="Z81" s="114"/>
      <c r="AA81" s="63"/>
    </row>
    <row r="82" spans="2:27" ht="16.5" thickTop="1" x14ac:dyDescent="0.3">
      <c r="B82" s="3"/>
      <c r="C82" s="3"/>
      <c r="D82" s="3"/>
      <c r="E82" s="3"/>
      <c r="F82" s="3"/>
      <c r="G82" s="3"/>
      <c r="H82" s="3"/>
      <c r="I82" s="3"/>
      <c r="J82" s="3"/>
      <c r="K82" s="3"/>
      <c r="L82" s="8" t="s">
        <v>193</v>
      </c>
      <c r="M82" s="9">
        <f>'Referenz Plattenwerk'!S59+'Referenz Plattenwerk'!S60</f>
        <v>0.54400000000000004</v>
      </c>
      <c r="N82" s="9">
        <f>H184+H185</f>
        <v>0.54400000000000004</v>
      </c>
      <c r="O82" s="9">
        <f>H257+H258</f>
        <v>0.54400000000000004</v>
      </c>
      <c r="P82" s="3" t="s">
        <v>162</v>
      </c>
      <c r="Q82" s="3"/>
      <c r="R82" s="3"/>
      <c r="S82" s="3"/>
      <c r="T82" s="3"/>
      <c r="U82" s="3"/>
      <c r="V82" s="3"/>
      <c r="W82" s="3"/>
      <c r="X82" s="3"/>
      <c r="Y82" s="63"/>
      <c r="Z82" s="63"/>
      <c r="AA82" s="63"/>
    </row>
    <row r="83" spans="2:27" ht="16.5" thickBot="1" x14ac:dyDescent="0.35">
      <c r="B83" s="3"/>
      <c r="C83" s="3"/>
      <c r="D83" s="3"/>
      <c r="E83" s="3"/>
      <c r="F83" s="3"/>
      <c r="G83" s="3"/>
      <c r="H83" s="3"/>
      <c r="I83" s="3"/>
      <c r="J83" s="3"/>
      <c r="K83" s="3"/>
      <c r="L83" s="29" t="str">
        <f>C187</f>
        <v>Oberflächenschutzsysteme</v>
      </c>
      <c r="M83" s="26">
        <f>'Referenz Plattenwerk'!S62</f>
        <v>80.47999999999999</v>
      </c>
      <c r="N83" s="26">
        <f>H187</f>
        <v>80.47999999999999</v>
      </c>
      <c r="O83" s="26">
        <f>H260</f>
        <v>80.47999999999999</v>
      </c>
      <c r="P83" s="25" t="s">
        <v>162</v>
      </c>
      <c r="Q83" s="3"/>
      <c r="R83" s="3"/>
      <c r="S83" s="3"/>
      <c r="T83" s="105" t="s">
        <v>210</v>
      </c>
      <c r="U83" s="106">
        <f>U81-U80</f>
        <v>116339.8088765</v>
      </c>
      <c r="V83" s="106">
        <f>V81-V80</f>
        <v>115065.95597770001</v>
      </c>
      <c r="W83" s="106">
        <f>W81-W80</f>
        <v>118388.58840479999</v>
      </c>
      <c r="X83" s="3"/>
      <c r="Y83" s="3"/>
      <c r="Z83" s="3"/>
      <c r="AA83" s="3"/>
    </row>
    <row r="84" spans="2:27" ht="16.5" thickBot="1" x14ac:dyDescent="0.35">
      <c r="B84" s="3"/>
      <c r="C84" s="3"/>
      <c r="D84" s="3"/>
      <c r="E84" s="3"/>
      <c r="F84" s="3"/>
      <c r="G84" s="3"/>
      <c r="H84" s="3"/>
      <c r="I84" s="3"/>
      <c r="J84" s="3"/>
      <c r="K84" s="3"/>
      <c r="L84" s="8" t="str">
        <f>C192</f>
        <v>Oberflächenbearbeitung (vor/nach Erhärtung)</v>
      </c>
      <c r="M84" s="9">
        <f>'Referenz Plattenwerk'!S67</f>
        <v>60</v>
      </c>
      <c r="N84" s="9">
        <f>H192</f>
        <v>60</v>
      </c>
      <c r="O84" s="9">
        <f>H265</f>
        <v>60</v>
      </c>
      <c r="P84" s="3" t="s">
        <v>162</v>
      </c>
      <c r="Q84" s="3"/>
      <c r="R84" s="3"/>
      <c r="S84" s="3"/>
      <c r="T84" s="107" t="s">
        <v>159</v>
      </c>
      <c r="U84" s="108">
        <f>U81-U77</f>
        <v>109669</v>
      </c>
      <c r="V84" s="108">
        <f>V81-V77</f>
        <v>110794</v>
      </c>
      <c r="W84" s="108">
        <f>W81-W77</f>
        <v>110794</v>
      </c>
      <c r="X84" s="3"/>
      <c r="Y84" s="3"/>
      <c r="Z84" s="3"/>
      <c r="AA84" s="3"/>
    </row>
    <row r="85" spans="2:27" ht="15.75" x14ac:dyDescent="0.3">
      <c r="B85" s="3"/>
      <c r="C85" s="3"/>
      <c r="D85" s="3"/>
      <c r="E85" s="3"/>
      <c r="F85" s="3"/>
      <c r="G85" s="3"/>
      <c r="H85" s="3"/>
      <c r="I85" s="3"/>
      <c r="J85" s="3"/>
      <c r="K85" s="3"/>
      <c r="L85" s="29" t="str">
        <f>D197</f>
        <v>Verpackungsmaterial</v>
      </c>
      <c r="M85" s="26">
        <f>'Referenz Plattenwerk'!S72</f>
        <v>64.48</v>
      </c>
      <c r="N85" s="26">
        <f>H197</f>
        <v>64.48</v>
      </c>
      <c r="O85" s="26">
        <f>H270</f>
        <v>64.48</v>
      </c>
      <c r="P85" s="25" t="s">
        <v>162</v>
      </c>
      <c r="Q85" s="3"/>
      <c r="R85" s="3"/>
      <c r="S85" s="3"/>
      <c r="T85" s="3"/>
      <c r="U85" s="3"/>
      <c r="V85" s="3"/>
      <c r="W85" s="3"/>
      <c r="X85" s="3"/>
      <c r="Y85" s="3"/>
      <c r="Z85" s="3"/>
      <c r="AA85" s="3"/>
    </row>
    <row r="86" spans="2:27" ht="15" thickBot="1" x14ac:dyDescent="0.3">
      <c r="B86" s="3"/>
      <c r="C86" s="3"/>
      <c r="D86" s="3"/>
      <c r="E86" s="3"/>
      <c r="F86" s="3"/>
      <c r="G86" s="3"/>
      <c r="H86" s="3"/>
      <c r="I86" s="3"/>
      <c r="J86" s="3"/>
      <c r="K86" s="3"/>
      <c r="L86" s="27" t="s">
        <v>69</v>
      </c>
      <c r="M86" s="28">
        <f>SUM(M75:M85)</f>
        <v>5831.529622809514</v>
      </c>
      <c r="N86" s="28">
        <f t="shared" ref="N86" si="4">SUM(N75:N85)</f>
        <v>5824.6851228095138</v>
      </c>
      <c r="O86" s="28">
        <f>SUM(O75:O85)</f>
        <v>5824.6851228095138</v>
      </c>
      <c r="P86" s="27" t="s">
        <v>163</v>
      </c>
      <c r="Q86" s="3"/>
      <c r="R86" s="3"/>
      <c r="S86" s="3"/>
      <c r="T86" s="3"/>
      <c r="U86" s="3"/>
      <c r="V86" s="3"/>
      <c r="W86" s="3"/>
      <c r="X86" s="3"/>
      <c r="Y86" s="3"/>
      <c r="Z86" s="3"/>
      <c r="AA86" s="3"/>
    </row>
    <row r="87" spans="2:27" ht="13.5" thickTop="1" x14ac:dyDescent="0.2">
      <c r="B87" s="3"/>
      <c r="C87" s="3"/>
      <c r="D87" s="3"/>
      <c r="E87" s="3"/>
      <c r="F87" s="3"/>
      <c r="G87" s="3"/>
      <c r="H87" s="3"/>
      <c r="I87" s="3"/>
      <c r="J87" s="3"/>
      <c r="K87" s="3"/>
      <c r="L87" s="8"/>
      <c r="M87" s="83"/>
      <c r="N87" s="83"/>
      <c r="O87" s="83"/>
      <c r="P87" s="8"/>
      <c r="Q87" s="3"/>
      <c r="R87" s="3"/>
      <c r="S87" s="3"/>
      <c r="T87" s="3"/>
      <c r="U87" s="3"/>
      <c r="V87" s="3"/>
      <c r="W87" s="3"/>
      <c r="X87" s="3"/>
      <c r="Y87" s="3"/>
      <c r="Z87" s="3"/>
      <c r="AA87" s="3"/>
    </row>
    <row r="88" spans="2:27" x14ac:dyDescent="0.2">
      <c r="B88" s="3"/>
      <c r="C88" s="3"/>
      <c r="D88" s="3"/>
      <c r="E88" s="3"/>
      <c r="F88" s="3"/>
      <c r="G88" s="3"/>
      <c r="H88" s="3"/>
      <c r="I88" s="3"/>
      <c r="J88" s="3"/>
      <c r="K88" s="3"/>
      <c r="L88" s="8"/>
      <c r="M88" s="83"/>
      <c r="N88" s="83"/>
      <c r="O88" s="83"/>
      <c r="P88" s="8"/>
      <c r="Q88" s="3"/>
      <c r="R88" s="3"/>
      <c r="S88" s="3"/>
      <c r="T88" s="3"/>
      <c r="U88" s="3"/>
      <c r="V88" s="3"/>
      <c r="W88" s="3"/>
      <c r="X88" s="3"/>
      <c r="Y88" s="3"/>
      <c r="Z88" s="3"/>
      <c r="AA88" s="3"/>
    </row>
    <row r="89" spans="2:27" ht="15" x14ac:dyDescent="0.25">
      <c r="B89" s="3"/>
      <c r="C89" s="3"/>
      <c r="D89" s="3"/>
      <c r="E89" s="3"/>
      <c r="F89" s="3"/>
      <c r="G89" s="3"/>
      <c r="H89" s="3"/>
      <c r="I89" s="3"/>
      <c r="J89" s="3"/>
      <c r="K89" s="3"/>
      <c r="L89" s="23" t="s">
        <v>208</v>
      </c>
      <c r="M89" s="3"/>
      <c r="N89" s="3"/>
      <c r="O89" s="3"/>
      <c r="P89" s="3"/>
      <c r="Q89" s="3"/>
      <c r="R89" s="3"/>
      <c r="S89" s="3"/>
      <c r="T89" s="3"/>
      <c r="U89" s="3"/>
      <c r="V89" s="3"/>
      <c r="W89" s="3"/>
      <c r="X89" s="3"/>
      <c r="Y89" s="3"/>
      <c r="Z89" s="3"/>
      <c r="AA89" s="3"/>
    </row>
    <row r="90" spans="2:27" ht="15" x14ac:dyDescent="0.25">
      <c r="B90" s="3"/>
      <c r="C90" s="3"/>
      <c r="D90" s="3"/>
      <c r="E90" s="3"/>
      <c r="F90" s="3"/>
      <c r="G90" s="3"/>
      <c r="H90" s="3"/>
      <c r="I90" s="3"/>
      <c r="J90" s="3"/>
      <c r="K90" s="3"/>
      <c r="L90" s="34"/>
      <c r="M90" s="46">
        <v>2020</v>
      </c>
      <c r="N90" s="47">
        <v>2025</v>
      </c>
      <c r="O90" s="47">
        <v>2030</v>
      </c>
      <c r="P90" s="34"/>
      <c r="Q90" s="3"/>
      <c r="R90" s="3"/>
      <c r="S90" s="3"/>
      <c r="T90" s="3"/>
      <c r="U90" s="3"/>
      <c r="V90" s="3"/>
      <c r="W90" s="3"/>
      <c r="X90" s="3"/>
      <c r="Y90" s="3"/>
      <c r="Z90" s="3"/>
      <c r="AA90" s="3"/>
    </row>
    <row r="91" spans="2:27" x14ac:dyDescent="0.2">
      <c r="B91" s="3"/>
      <c r="C91" s="3"/>
      <c r="D91" s="3"/>
      <c r="E91" s="3"/>
      <c r="F91" s="3"/>
      <c r="G91" s="3"/>
      <c r="H91" s="3"/>
      <c r="I91" s="3"/>
      <c r="J91" s="3"/>
      <c r="K91" s="3"/>
      <c r="L91" s="24"/>
      <c r="M91" s="48" t="s">
        <v>89</v>
      </c>
      <c r="N91" s="49"/>
      <c r="O91" s="49"/>
      <c r="P91" s="24"/>
      <c r="Q91" s="3"/>
      <c r="R91" s="3"/>
      <c r="S91" s="3"/>
      <c r="T91" s="3"/>
      <c r="U91" s="3"/>
      <c r="V91" s="3"/>
      <c r="W91" s="3"/>
      <c r="X91" s="3"/>
      <c r="Y91" s="3"/>
      <c r="Z91" s="3"/>
      <c r="AA91" s="3"/>
    </row>
    <row r="92" spans="2:27" ht="15.75" x14ac:dyDescent="0.3">
      <c r="B92" s="3"/>
      <c r="C92" s="3"/>
      <c r="D92" s="3"/>
      <c r="E92" s="3"/>
      <c r="F92" s="3"/>
      <c r="G92" s="3"/>
      <c r="H92" s="3"/>
      <c r="I92" s="3"/>
      <c r="J92" s="3"/>
      <c r="K92" s="3"/>
      <c r="L92" s="29" t="s">
        <v>115</v>
      </c>
      <c r="M92" s="98">
        <f>M66/IF(NOT(ISBLANK('Referenz Plattenwerk'!$I$12)),'Referenz Plattenwerk'!$I$12,'Referenz Plattenwerk'!$F$12)</f>
        <v>2.3733088764999999E-3</v>
      </c>
      <c r="N92" s="98">
        <f>N66/IF(NOT(ISBLANK('Referenz Plattenwerk'!$I$12)),'Referenz Plattenwerk'!$I$12,'Referenz Plattenwerk'!$F$12)</f>
        <v>2.3733088764999999E-3</v>
      </c>
      <c r="O92" s="98">
        <f>O66/IF(NOT(ISBLANK('Referenz Plattenwerk'!$I$12)),'Referenz Plattenwerk'!$I$12,'Referenz Plattenwerk'!$F$12)</f>
        <v>2.3733088764999999E-3</v>
      </c>
      <c r="P92" s="25" t="s">
        <v>207</v>
      </c>
      <c r="Q92" s="3"/>
      <c r="R92" s="3"/>
      <c r="S92" s="3"/>
      <c r="T92" s="3"/>
      <c r="U92" s="3"/>
      <c r="V92" s="3"/>
      <c r="W92" s="3"/>
      <c r="X92" s="3"/>
      <c r="Y92" s="3"/>
      <c r="Z92" s="3"/>
      <c r="AA92" s="3"/>
    </row>
    <row r="93" spans="2:27" ht="15.75" x14ac:dyDescent="0.3">
      <c r="B93" s="3"/>
      <c r="C93" s="3"/>
      <c r="D93" s="3"/>
      <c r="E93" s="3"/>
      <c r="F93" s="3"/>
      <c r="G93" s="3"/>
      <c r="H93" s="3"/>
      <c r="I93" s="3"/>
      <c r="J93" s="3"/>
      <c r="K93" s="3"/>
      <c r="L93" s="8" t="s">
        <v>28</v>
      </c>
      <c r="M93" s="99">
        <f>M67/IF(NOT(ISBLANK('Referenz Plattenwerk'!$I$12)),'Referenz Plattenwerk'!$I$12,'Referenz Plattenwerk'!$F$12)</f>
        <v>4.2975000000000001E-3</v>
      </c>
      <c r="N93" s="99">
        <f>N67/IF(NOT(ISBLANK('Referenz Plattenwerk'!$I$12)),'Referenz Plattenwerk'!$I$12,'Referenz Plattenwerk'!$F$12)</f>
        <v>0</v>
      </c>
      <c r="O93" s="99">
        <f>O67/IF(NOT(ISBLANK('Referenz Plattenwerk'!$I$12)),'Referenz Plattenwerk'!$I$12,'Referenz Plattenwerk'!$F$12)</f>
        <v>0</v>
      </c>
      <c r="P93" s="3" t="s">
        <v>207</v>
      </c>
      <c r="Q93" s="3"/>
      <c r="R93" s="3"/>
      <c r="S93" s="3"/>
      <c r="T93" s="3"/>
      <c r="U93" s="3"/>
      <c r="V93" s="3"/>
      <c r="W93" s="3"/>
      <c r="X93" s="3"/>
      <c r="Y93" s="3"/>
      <c r="Z93" s="3"/>
      <c r="AA93" s="3"/>
    </row>
    <row r="94" spans="2:27" ht="15.75" x14ac:dyDescent="0.3">
      <c r="B94" s="3"/>
      <c r="C94" s="3"/>
      <c r="D94" s="3"/>
      <c r="E94" s="3"/>
      <c r="F94" s="3"/>
      <c r="G94" s="3"/>
      <c r="H94" s="3"/>
      <c r="I94" s="3"/>
      <c r="J94" s="3"/>
      <c r="K94" s="3"/>
      <c r="L94" s="29" t="s">
        <v>29</v>
      </c>
      <c r="M94" s="98">
        <f>M68/IF(NOT(ISBLANK('Referenz Plattenwerk'!$I$12)),'Referenz Plattenwerk'!$I$12,'Referenz Plattenwerk'!$F$12)</f>
        <v>0.14578824057023795</v>
      </c>
      <c r="N94" s="98">
        <f>N68/IF(NOT(ISBLANK('Referenz Plattenwerk'!$I$12)),'Referenz Plattenwerk'!$I$12,'Referenz Plattenwerk'!$F$12)</f>
        <v>0.14561712807023799</v>
      </c>
      <c r="O94" s="98">
        <f>O68/IF(NOT(ISBLANK('Referenz Plattenwerk'!$I$12)),'Referenz Plattenwerk'!$I$12,'Referenz Plattenwerk'!$F$12)</f>
        <v>0.14561712807023799</v>
      </c>
      <c r="P94" s="25" t="s">
        <v>207</v>
      </c>
      <c r="Q94" s="3"/>
      <c r="R94" s="3"/>
      <c r="S94" s="3"/>
      <c r="T94" s="3"/>
      <c r="U94" s="3"/>
      <c r="V94" s="3"/>
      <c r="W94" s="3"/>
      <c r="X94" s="3"/>
      <c r="Y94" s="3"/>
      <c r="Z94" s="3"/>
      <c r="AA94" s="3"/>
    </row>
    <row r="95" spans="2:27" ht="15" thickBot="1" x14ac:dyDescent="0.3">
      <c r="B95" s="3"/>
      <c r="C95" s="3"/>
      <c r="D95" s="3"/>
      <c r="E95" s="3"/>
      <c r="F95" s="3"/>
      <c r="G95" s="3"/>
      <c r="H95" s="3"/>
      <c r="I95" s="3"/>
      <c r="J95" s="3"/>
      <c r="K95" s="3"/>
      <c r="L95" s="27" t="s">
        <v>69</v>
      </c>
      <c r="M95" s="100">
        <f>M69/IF(NOT(ISBLANK('Referenz Plattenwerk'!$I$12)),'Referenz Plattenwerk'!$I$12,'Referenz Plattenwerk'!$F$12)</f>
        <v>0.15245904944673794</v>
      </c>
      <c r="N95" s="100">
        <f>N69/IF(NOT(ISBLANK('Referenz Plattenwerk'!$I$12)),'Referenz Plattenwerk'!$I$12,'Referenz Plattenwerk'!$F$12)</f>
        <v>0.147990436946738</v>
      </c>
      <c r="O95" s="100">
        <f>O69/IF(NOT(ISBLANK('Referenz Plattenwerk'!$I$12)),'Referenz Plattenwerk'!$I$12,'Referenz Plattenwerk'!$F$12)</f>
        <v>0.147990436946738</v>
      </c>
      <c r="P95" s="27" t="s">
        <v>209</v>
      </c>
      <c r="Q95" s="3"/>
      <c r="R95" s="3"/>
      <c r="S95" s="3"/>
      <c r="T95" s="3"/>
      <c r="U95" s="3"/>
      <c r="V95" s="3"/>
      <c r="W95" s="3"/>
      <c r="X95" s="3"/>
      <c r="Y95" s="3"/>
      <c r="Z95" s="3"/>
      <c r="AA95" s="3"/>
    </row>
    <row r="96" spans="2:27" ht="13.5" thickTop="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row>
    <row r="97" spans="2:27" x14ac:dyDescent="0.2">
      <c r="B97" s="3"/>
      <c r="C97" s="3"/>
      <c r="D97" s="3"/>
      <c r="E97" s="3"/>
      <c r="F97" s="3"/>
      <c r="G97" s="3"/>
      <c r="H97" s="3"/>
      <c r="I97" s="3"/>
      <c r="J97" s="3"/>
      <c r="K97" s="3"/>
      <c r="L97" s="3"/>
      <c r="M97" s="3"/>
      <c r="N97" s="3"/>
      <c r="O97" s="3"/>
      <c r="P97" s="3"/>
      <c r="Q97" s="3"/>
      <c r="R97" s="3"/>
      <c r="S97" s="3"/>
      <c r="T97" s="3"/>
      <c r="U97" s="3"/>
      <c r="V97" s="3"/>
      <c r="W97" s="3"/>
      <c r="X97" s="3"/>
      <c r="Y97" s="3"/>
      <c r="Z97" s="3"/>
      <c r="AA97" s="3"/>
    </row>
    <row r="98" spans="2:27" x14ac:dyDescent="0.2">
      <c r="B98" s="3"/>
      <c r="C98" s="3"/>
      <c r="D98" s="3"/>
      <c r="E98" s="3"/>
      <c r="F98" s="3"/>
      <c r="G98" s="3"/>
      <c r="H98" s="3"/>
      <c r="I98" s="3"/>
      <c r="J98" s="3"/>
      <c r="K98" s="3"/>
      <c r="L98" s="3"/>
      <c r="M98" s="3"/>
      <c r="N98" s="3"/>
      <c r="O98" s="3"/>
      <c r="P98" s="3"/>
      <c r="Q98" s="3"/>
      <c r="R98" s="3"/>
      <c r="S98" s="3"/>
      <c r="T98" s="3"/>
      <c r="U98" s="3"/>
      <c r="V98" s="3"/>
      <c r="W98" s="3"/>
      <c r="X98" s="3"/>
      <c r="Y98" s="3"/>
      <c r="Z98" s="3"/>
      <c r="AA98" s="3"/>
    </row>
    <row r="101" spans="2:27" hidden="1" outlineLevel="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2:27" ht="15.75" hidden="1" outlineLevel="1" x14ac:dyDescent="0.25">
      <c r="B102" s="3"/>
      <c r="C102" s="3"/>
      <c r="D102" s="62" t="s">
        <v>144</v>
      </c>
      <c r="E102" s="3"/>
      <c r="F102" s="3"/>
      <c r="G102" s="3"/>
      <c r="H102" s="3"/>
      <c r="I102" s="3"/>
      <c r="J102" s="3"/>
      <c r="K102" s="3"/>
      <c r="L102" s="62" t="s">
        <v>144</v>
      </c>
      <c r="M102" s="3"/>
      <c r="N102" s="3"/>
      <c r="O102" s="3"/>
      <c r="P102" s="3"/>
      <c r="Q102" s="3"/>
      <c r="R102" s="3"/>
      <c r="S102" s="62" t="s">
        <v>144</v>
      </c>
      <c r="T102" s="24"/>
      <c r="U102" s="24"/>
      <c r="V102" s="24"/>
      <c r="W102" s="24"/>
      <c r="X102" s="3"/>
      <c r="Y102" s="3"/>
    </row>
    <row r="103" spans="2:27" ht="15" hidden="1" outlineLevel="1" x14ac:dyDescent="0.25">
      <c r="B103" s="3"/>
      <c r="C103" s="3"/>
      <c r="D103" s="35" t="s">
        <v>113</v>
      </c>
      <c r="E103" s="35">
        <v>2020</v>
      </c>
      <c r="F103" s="35">
        <v>2025</v>
      </c>
      <c r="G103" s="35">
        <v>2030</v>
      </c>
      <c r="H103" s="34"/>
      <c r="I103" s="3"/>
      <c r="J103" s="3"/>
      <c r="K103" s="3"/>
      <c r="L103" s="35" t="s">
        <v>264</v>
      </c>
      <c r="M103" s="35">
        <v>2020</v>
      </c>
      <c r="N103" s="35">
        <v>2025</v>
      </c>
      <c r="O103" s="35">
        <v>2030</v>
      </c>
      <c r="P103" s="34"/>
      <c r="Q103" s="3"/>
      <c r="R103" s="3"/>
      <c r="S103" s="3"/>
      <c r="T103" s="46" t="s">
        <v>199</v>
      </c>
      <c r="U103" s="47">
        <v>2020</v>
      </c>
      <c r="V103" s="47">
        <v>2025</v>
      </c>
      <c r="W103" s="47">
        <v>2030</v>
      </c>
      <c r="X103" s="3"/>
      <c r="Y103" s="3"/>
    </row>
    <row r="104" spans="2:27" hidden="1" outlineLevel="1" x14ac:dyDescent="0.2">
      <c r="B104" s="3"/>
      <c r="C104" s="3"/>
      <c r="D104" s="24"/>
      <c r="E104" s="60" t="s">
        <v>89</v>
      </c>
      <c r="F104" s="59"/>
      <c r="G104" s="59"/>
      <c r="H104" s="24"/>
      <c r="I104" s="3"/>
      <c r="J104" s="3"/>
      <c r="K104" s="3"/>
      <c r="L104" s="24"/>
      <c r="M104" s="60" t="s">
        <v>89</v>
      </c>
      <c r="N104" s="59"/>
      <c r="O104" s="59"/>
      <c r="P104" s="24"/>
      <c r="Q104" s="3"/>
      <c r="R104" s="3"/>
      <c r="S104" s="3"/>
      <c r="T104" s="24"/>
      <c r="U104" s="50" t="s">
        <v>89</v>
      </c>
      <c r="V104" s="50"/>
      <c r="W104" s="59"/>
      <c r="X104" s="3"/>
      <c r="Y104" s="3"/>
    </row>
    <row r="105" spans="2:27" ht="15.75" hidden="1" outlineLevel="1" x14ac:dyDescent="0.3">
      <c r="B105" s="3"/>
      <c r="C105" s="3"/>
      <c r="D105" s="3" t="str">
        <f t="shared" ref="D105:D111" si="5">IF($I105,D66,"")</f>
        <v>Erdgas</v>
      </c>
      <c r="E105" s="10">
        <f t="shared" ref="E105:G111" si="6">IF($I105,E66,NA())</f>
        <v>43.0426</v>
      </c>
      <c r="F105" s="10">
        <f t="shared" si="6"/>
        <v>43.0426</v>
      </c>
      <c r="G105" s="10">
        <f t="shared" si="6"/>
        <v>43.0426</v>
      </c>
      <c r="H105" s="3" t="s">
        <v>162</v>
      </c>
      <c r="I105" s="381" t="b">
        <v>1</v>
      </c>
      <c r="J105" s="3"/>
      <c r="K105" s="3"/>
      <c r="L105" s="3" t="str">
        <f t="shared" ref="L105:L115" si="7">IF($Q105,L75,"")</f>
        <v>Energieträger gesamt</v>
      </c>
      <c r="M105" s="9">
        <f>IF($Q105,M75,NA())</f>
        <v>41.281733459999998</v>
      </c>
      <c r="N105" s="9">
        <f>IF($Q105,N75,NA())</f>
        <v>34.437233460000002</v>
      </c>
      <c r="O105" s="9">
        <f t="shared" ref="O105" si="8">IF($Q105,O75,NA())</f>
        <v>34.437233460000002</v>
      </c>
      <c r="P105" s="3" t="s">
        <v>162</v>
      </c>
      <c r="Q105" s="381" t="b">
        <v>1</v>
      </c>
      <c r="R105" s="381"/>
      <c r="S105" s="3"/>
      <c r="T105" s="57" t="s">
        <v>158</v>
      </c>
      <c r="U105" s="58">
        <f>SUM(U106:U112)</f>
        <v>109669</v>
      </c>
      <c r="V105" s="58">
        <f t="shared" ref="V105:W105" si="9">SUM(V106:V112)</f>
        <v>110794</v>
      </c>
      <c r="W105" s="58">
        <f t="shared" si="9"/>
        <v>110794</v>
      </c>
      <c r="X105" s="3"/>
      <c r="Y105" s="3"/>
    </row>
    <row r="106" spans="2:27" ht="15.75" hidden="1" outlineLevel="1" x14ac:dyDescent="0.3">
      <c r="B106" s="3"/>
      <c r="C106" s="3"/>
      <c r="D106" s="3" t="str">
        <f t="shared" si="5"/>
        <v>Heizöl</v>
      </c>
      <c r="E106" s="10">
        <f t="shared" si="6"/>
        <v>16.005600000000001</v>
      </c>
      <c r="F106" s="10">
        <f t="shared" si="6"/>
        <v>16.005600000000001</v>
      </c>
      <c r="G106" s="10">
        <f t="shared" si="6"/>
        <v>16.005600000000001</v>
      </c>
      <c r="H106" s="3" t="s">
        <v>162</v>
      </c>
      <c r="I106" s="381" t="b">
        <v>1</v>
      </c>
      <c r="J106" s="3"/>
      <c r="K106" s="3"/>
      <c r="L106" s="3" t="str">
        <f t="shared" si="7"/>
        <v>Transport gesamt</v>
      </c>
      <c r="M106" s="9">
        <f t="shared" ref="M106:O115" si="10">IF($Q106,M76,NA())</f>
        <v>469.15642799999995</v>
      </c>
      <c r="N106" s="9">
        <f t="shared" si="10"/>
        <v>469.15642799999995</v>
      </c>
      <c r="O106" s="9">
        <f t="shared" si="10"/>
        <v>469.15642799999995</v>
      </c>
      <c r="P106" s="3" t="s">
        <v>162</v>
      </c>
      <c r="Q106" s="381" t="b">
        <v>1</v>
      </c>
      <c r="R106" s="381"/>
      <c r="S106" s="3"/>
      <c r="T106" s="31" t="s">
        <v>31</v>
      </c>
      <c r="U106" s="52">
        <f>U67</f>
        <v>14335</v>
      </c>
      <c r="V106" s="52">
        <f t="shared" ref="V106:W106" si="11">V67</f>
        <v>14335</v>
      </c>
      <c r="W106" s="52">
        <f t="shared" si="11"/>
        <v>14335</v>
      </c>
      <c r="X106" s="3"/>
      <c r="Y106" s="3"/>
    </row>
    <row r="107" spans="2:27" ht="15.75" hidden="1" outlineLevel="1" x14ac:dyDescent="0.3">
      <c r="B107" s="3"/>
      <c r="C107" s="3"/>
      <c r="D107" s="3" t="str">
        <f t="shared" si="5"/>
        <v>Strom</v>
      </c>
      <c r="E107" s="10">
        <f t="shared" si="6"/>
        <v>171.9</v>
      </c>
      <c r="F107" s="10">
        <f t="shared" si="6"/>
        <v>0</v>
      </c>
      <c r="G107" s="10">
        <f t="shared" si="6"/>
        <v>0</v>
      </c>
      <c r="H107" s="3" t="s">
        <v>162</v>
      </c>
      <c r="I107" s="381" t="b">
        <v>1</v>
      </c>
      <c r="J107" s="3"/>
      <c r="K107" s="3"/>
      <c r="L107" s="3" t="str">
        <f t="shared" si="7"/>
        <v>Zement</v>
      </c>
      <c r="M107" s="9">
        <f t="shared" si="10"/>
        <v>4548.5439999999999</v>
      </c>
      <c r="N107" s="9">
        <f t="shared" si="10"/>
        <v>4548.5439999999999</v>
      </c>
      <c r="O107" s="9">
        <f t="shared" si="10"/>
        <v>4548.5439999999999</v>
      </c>
      <c r="P107" s="3" t="s">
        <v>162</v>
      </c>
      <c r="Q107" s="381" t="b">
        <v>1</v>
      </c>
      <c r="R107" s="381"/>
      <c r="S107" s="3"/>
      <c r="T107" s="31" t="s">
        <v>32</v>
      </c>
      <c r="U107" s="52">
        <f t="shared" ref="U107:W112" si="12">U68</f>
        <v>2760</v>
      </c>
      <c r="V107" s="52">
        <f t="shared" si="12"/>
        <v>2760</v>
      </c>
      <c r="W107" s="52">
        <f t="shared" si="12"/>
        <v>2760</v>
      </c>
      <c r="X107" s="3"/>
      <c r="Y107" s="3"/>
    </row>
    <row r="108" spans="2:27" ht="15.75" hidden="1" outlineLevel="1" x14ac:dyDescent="0.3">
      <c r="B108" s="3"/>
      <c r="C108" s="3"/>
      <c r="D108" s="3" t="str">
        <f t="shared" si="5"/>
        <v/>
      </c>
      <c r="E108" s="10" t="e">
        <f t="shared" si="6"/>
        <v>#N/A</v>
      </c>
      <c r="F108" s="10" t="e">
        <f t="shared" si="6"/>
        <v>#N/A</v>
      </c>
      <c r="G108" s="10" t="e">
        <f t="shared" si="6"/>
        <v>#N/A</v>
      </c>
      <c r="H108" s="3" t="s">
        <v>162</v>
      </c>
      <c r="I108" s="381" t="b">
        <v>0</v>
      </c>
      <c r="J108" s="3"/>
      <c r="K108" s="3"/>
      <c r="L108" s="3" t="str">
        <f t="shared" si="7"/>
        <v>Gesteinskörnungen (Zuschlagsstoffe)</v>
      </c>
      <c r="M108" s="9">
        <f t="shared" si="10"/>
        <v>129.59200000000001</v>
      </c>
      <c r="N108" s="9">
        <f t="shared" si="10"/>
        <v>129.59200000000001</v>
      </c>
      <c r="O108" s="9">
        <f t="shared" si="10"/>
        <v>129.59200000000001</v>
      </c>
      <c r="P108" s="3" t="s">
        <v>162</v>
      </c>
      <c r="Q108" s="381" t="b">
        <v>1</v>
      </c>
      <c r="R108" s="381"/>
      <c r="S108" s="3"/>
      <c r="T108" s="31" t="s">
        <v>33</v>
      </c>
      <c r="U108" s="52">
        <f t="shared" si="12"/>
        <v>77400</v>
      </c>
      <c r="V108" s="52">
        <f t="shared" si="12"/>
        <v>78525</v>
      </c>
      <c r="W108" s="52">
        <f t="shared" si="12"/>
        <v>78525</v>
      </c>
      <c r="X108" s="3"/>
      <c r="Y108" s="3"/>
    </row>
    <row r="109" spans="2:27" ht="15.75" hidden="1" outlineLevel="1" x14ac:dyDescent="0.3">
      <c r="B109" s="3"/>
      <c r="C109" s="3"/>
      <c r="D109" s="3" t="str">
        <f t="shared" si="5"/>
        <v/>
      </c>
      <c r="E109" s="10" t="e">
        <f t="shared" si="6"/>
        <v>#N/A</v>
      </c>
      <c r="F109" s="10" t="e">
        <f t="shared" si="6"/>
        <v>#N/A</v>
      </c>
      <c r="G109" s="10" t="e">
        <f t="shared" si="6"/>
        <v>#N/A</v>
      </c>
      <c r="H109" s="3" t="s">
        <v>162</v>
      </c>
      <c r="I109" s="381" t="b">
        <v>0</v>
      </c>
      <c r="J109" s="3"/>
      <c r="K109" s="3"/>
      <c r="L109" s="3" t="str">
        <f t="shared" si="7"/>
        <v>Farben</v>
      </c>
      <c r="M109" s="9">
        <f t="shared" si="10"/>
        <v>208</v>
      </c>
      <c r="N109" s="9">
        <f t="shared" si="10"/>
        <v>208</v>
      </c>
      <c r="O109" s="9">
        <f t="shared" si="10"/>
        <v>208</v>
      </c>
      <c r="P109" s="3" t="s">
        <v>162</v>
      </c>
      <c r="Q109" s="381" t="b">
        <v>1</v>
      </c>
      <c r="R109" s="381"/>
      <c r="S109" s="3"/>
      <c r="T109" s="31" t="s">
        <v>122</v>
      </c>
      <c r="U109" s="52">
        <f t="shared" si="12"/>
        <v>0</v>
      </c>
      <c r="V109" s="52">
        <f t="shared" si="12"/>
        <v>0</v>
      </c>
      <c r="W109" s="52">
        <f t="shared" si="12"/>
        <v>0</v>
      </c>
      <c r="X109" s="3"/>
      <c r="Y109" s="3"/>
    </row>
    <row r="110" spans="2:27" ht="15.75" hidden="1" outlineLevel="1" x14ac:dyDescent="0.3">
      <c r="B110" s="3"/>
      <c r="C110" s="3"/>
      <c r="D110" s="3" t="str">
        <f t="shared" si="5"/>
        <v/>
      </c>
      <c r="E110" s="10" t="e">
        <f t="shared" si="6"/>
        <v>#N/A</v>
      </c>
      <c r="F110" s="10" t="e">
        <f t="shared" si="6"/>
        <v>#N/A</v>
      </c>
      <c r="G110" s="10" t="e">
        <f t="shared" si="6"/>
        <v>#N/A</v>
      </c>
      <c r="H110" s="3" t="s">
        <v>162</v>
      </c>
      <c r="I110" s="381" t="b">
        <v>0</v>
      </c>
      <c r="J110" s="3"/>
      <c r="K110" s="3"/>
      <c r="L110" s="3" t="str">
        <f t="shared" si="7"/>
        <v>Zusatzstoffe (Füllstoffe)</v>
      </c>
      <c r="M110" s="9">
        <f t="shared" si="10"/>
        <v>81.003999999999991</v>
      </c>
      <c r="N110" s="9">
        <f t="shared" si="10"/>
        <v>81.003999999999991</v>
      </c>
      <c r="O110" s="9">
        <f t="shared" si="10"/>
        <v>81.003999999999991</v>
      </c>
      <c r="P110" s="3" t="s">
        <v>162</v>
      </c>
      <c r="Q110" s="381" t="b">
        <v>1</v>
      </c>
      <c r="R110" s="381"/>
      <c r="S110" s="3"/>
      <c r="T110" s="31" t="s">
        <v>123</v>
      </c>
      <c r="U110" s="52">
        <f t="shared" si="12"/>
        <v>0</v>
      </c>
      <c r="V110" s="52">
        <f t="shared" si="12"/>
        <v>0</v>
      </c>
      <c r="W110" s="52">
        <f t="shared" si="12"/>
        <v>0</v>
      </c>
      <c r="X110" s="3"/>
      <c r="Y110" s="3"/>
    </row>
    <row r="111" spans="2:27" ht="15.75" hidden="1" outlineLevel="1" x14ac:dyDescent="0.3">
      <c r="B111" s="3"/>
      <c r="C111" s="3"/>
      <c r="D111" s="3" t="str">
        <f t="shared" si="5"/>
        <v>Diesel</v>
      </c>
      <c r="E111" s="10">
        <f t="shared" si="6"/>
        <v>35.884155059999998</v>
      </c>
      <c r="F111" s="10">
        <f t="shared" si="6"/>
        <v>35.884155059999998</v>
      </c>
      <c r="G111" s="10">
        <f t="shared" si="6"/>
        <v>35.884155059999998</v>
      </c>
      <c r="H111" s="3" t="s">
        <v>162</v>
      </c>
      <c r="I111" s="381" t="b">
        <v>1</v>
      </c>
      <c r="J111" s="3"/>
      <c r="K111" s="3"/>
      <c r="L111" s="3" t="str">
        <f t="shared" si="7"/>
        <v>Zusatzmittel</v>
      </c>
      <c r="M111" s="9">
        <f t="shared" si="10"/>
        <v>148.44746134951595</v>
      </c>
      <c r="N111" s="9">
        <f t="shared" si="10"/>
        <v>148.44746134951595</v>
      </c>
      <c r="O111" s="9">
        <f t="shared" si="10"/>
        <v>148.44746134951595</v>
      </c>
      <c r="P111" s="3" t="s">
        <v>162</v>
      </c>
      <c r="Q111" s="381" t="b">
        <v>1</v>
      </c>
      <c r="R111" s="381"/>
      <c r="S111" s="3"/>
      <c r="T111" s="31" t="s">
        <v>124</v>
      </c>
      <c r="U111" s="52">
        <f t="shared" si="12"/>
        <v>0</v>
      </c>
      <c r="V111" s="52">
        <f t="shared" si="12"/>
        <v>0</v>
      </c>
      <c r="W111" s="52">
        <f t="shared" si="12"/>
        <v>0</v>
      </c>
      <c r="X111" s="3"/>
      <c r="Y111" s="3"/>
    </row>
    <row r="112" spans="2:27" ht="16.5" hidden="1" outlineLevel="1" thickBot="1" x14ac:dyDescent="0.35">
      <c r="B112" s="3"/>
      <c r="C112" s="3"/>
      <c r="D112" s="27" t="s">
        <v>69</v>
      </c>
      <c r="E112" s="33">
        <f>SUMIF($I$105:$I$111,"WAHR",E105:E111)</f>
        <v>266.83235506</v>
      </c>
      <c r="F112" s="33">
        <f>SUMIF($I$105:$I$111,"WAHR",F105:F111)</f>
        <v>94.932355059999992</v>
      </c>
      <c r="G112" s="33">
        <f>SUMIF($I$105:$I$111,"WAHR",G105:G111)</f>
        <v>94.932355059999992</v>
      </c>
      <c r="H112" s="27" t="s">
        <v>163</v>
      </c>
      <c r="I112" s="3"/>
      <c r="J112" s="3"/>
      <c r="K112" s="3"/>
      <c r="L112" s="3" t="str">
        <f t="shared" si="7"/>
        <v/>
      </c>
      <c r="M112" s="9" t="e">
        <f t="shared" si="10"/>
        <v>#N/A</v>
      </c>
      <c r="N112" s="9" t="e">
        <f t="shared" si="10"/>
        <v>#N/A</v>
      </c>
      <c r="O112" s="9" t="e">
        <f t="shared" si="10"/>
        <v>#N/A</v>
      </c>
      <c r="P112" s="3" t="s">
        <v>162</v>
      </c>
      <c r="Q112" s="381" t="b">
        <v>0</v>
      </c>
      <c r="R112" s="381"/>
      <c r="S112" s="3"/>
      <c r="T112" s="51" t="s">
        <v>34</v>
      </c>
      <c r="U112" s="53">
        <f t="shared" si="12"/>
        <v>15174.000000000002</v>
      </c>
      <c r="V112" s="54">
        <f t="shared" si="12"/>
        <v>15174.000000000002</v>
      </c>
      <c r="W112" s="54">
        <f t="shared" si="12"/>
        <v>15174.000000000002</v>
      </c>
      <c r="X112" s="3"/>
      <c r="Y112" s="3"/>
    </row>
    <row r="113" spans="2:25" ht="16.5" hidden="1" outlineLevel="1" thickTop="1" x14ac:dyDescent="0.3">
      <c r="B113" s="3"/>
      <c r="C113" s="3"/>
      <c r="D113" s="3"/>
      <c r="E113" s="3"/>
      <c r="F113" s="3"/>
      <c r="G113" s="3"/>
      <c r="H113" s="3"/>
      <c r="I113" s="3"/>
      <c r="J113" s="3"/>
      <c r="K113" s="3"/>
      <c r="L113" s="3" t="str">
        <f t="shared" si="7"/>
        <v/>
      </c>
      <c r="M113" s="9" t="e">
        <f t="shared" si="10"/>
        <v>#N/A</v>
      </c>
      <c r="N113" s="9" t="e">
        <f t="shared" si="10"/>
        <v>#N/A</v>
      </c>
      <c r="O113" s="9" t="e">
        <f t="shared" si="10"/>
        <v>#N/A</v>
      </c>
      <c r="P113" s="3" t="s">
        <v>162</v>
      </c>
      <c r="Q113" s="381" t="b">
        <v>0</v>
      </c>
      <c r="R113" s="381"/>
      <c r="S113" s="3"/>
      <c r="T113" s="8" t="str">
        <f>IF(X113,"CAPEX","")</f>
        <v/>
      </c>
      <c r="U113" s="55" t="e">
        <f>IF($X113,U74,NA())</f>
        <v>#N/A</v>
      </c>
      <c r="V113" s="55" t="e">
        <f t="shared" ref="V113:W115" si="13">IF($X113,V74,NA())</f>
        <v>#N/A</v>
      </c>
      <c r="W113" s="55" t="e">
        <f t="shared" si="13"/>
        <v>#N/A</v>
      </c>
      <c r="X113" s="381" t="b">
        <v>0</v>
      </c>
      <c r="Y113" s="3"/>
    </row>
    <row r="114" spans="2:25" ht="15.75" hidden="1" outlineLevel="1" x14ac:dyDescent="0.3">
      <c r="B114" s="3"/>
      <c r="C114" s="3"/>
      <c r="D114" s="3"/>
      <c r="E114" s="3"/>
      <c r="F114" s="3"/>
      <c r="G114" s="3"/>
      <c r="H114" s="3"/>
      <c r="I114" s="3"/>
      <c r="J114" s="3"/>
      <c r="K114" s="3"/>
      <c r="L114" s="3" t="str">
        <f t="shared" si="7"/>
        <v/>
      </c>
      <c r="M114" s="9" t="e">
        <f t="shared" si="10"/>
        <v>#N/A</v>
      </c>
      <c r="N114" s="9" t="e">
        <f t="shared" si="10"/>
        <v>#N/A</v>
      </c>
      <c r="O114" s="9" t="e">
        <f t="shared" si="10"/>
        <v>#N/A</v>
      </c>
      <c r="P114" s="3" t="s">
        <v>162</v>
      </c>
      <c r="Q114" s="381" t="b">
        <v>0</v>
      </c>
      <c r="R114" s="381"/>
      <c r="S114" s="3"/>
      <c r="T114" s="8" t="str">
        <f>IF(X114,"Zusätzliche jährliche Kosten","")</f>
        <v/>
      </c>
      <c r="U114" s="55" t="e">
        <f>IF($X114,U75,NA())</f>
        <v>#N/A</v>
      </c>
      <c r="V114" s="55" t="e">
        <f t="shared" si="13"/>
        <v>#N/A</v>
      </c>
      <c r="W114" s="55" t="e">
        <f t="shared" si="13"/>
        <v>#N/A</v>
      </c>
      <c r="X114" s="381" t="b">
        <v>0</v>
      </c>
      <c r="Y114" s="3"/>
    </row>
    <row r="115" spans="2:25" ht="15.75" hidden="1" outlineLevel="1" x14ac:dyDescent="0.3">
      <c r="B115" s="3"/>
      <c r="C115" s="3"/>
      <c r="D115" s="3"/>
      <c r="E115" s="3"/>
      <c r="F115" s="3"/>
      <c r="G115" s="3"/>
      <c r="H115" s="3"/>
      <c r="I115" s="3"/>
      <c r="J115" s="3"/>
      <c r="K115" s="3"/>
      <c r="L115" s="3" t="str">
        <f t="shared" si="7"/>
        <v>Verpackungsmaterial</v>
      </c>
      <c r="M115" s="9">
        <f t="shared" si="10"/>
        <v>64.48</v>
      </c>
      <c r="N115" s="9">
        <f t="shared" si="10"/>
        <v>64.48</v>
      </c>
      <c r="O115" s="9">
        <f t="shared" si="10"/>
        <v>64.48</v>
      </c>
      <c r="P115" s="3" t="s">
        <v>162</v>
      </c>
      <c r="Q115" s="381" t="b">
        <v>1</v>
      </c>
      <c r="R115" s="381"/>
      <c r="S115" s="3"/>
      <c r="T115" s="59" t="str">
        <f>IF(X115,"Einmalige Kosten","")</f>
        <v/>
      </c>
      <c r="U115" s="55" t="e">
        <f>IF($X115,U76,NA())</f>
        <v>#N/A</v>
      </c>
      <c r="V115" s="55" t="e">
        <f t="shared" si="13"/>
        <v>#N/A</v>
      </c>
      <c r="W115" s="55" t="e">
        <f t="shared" si="13"/>
        <v>#N/A</v>
      </c>
      <c r="X115" s="381" t="b">
        <v>0</v>
      </c>
      <c r="Y115" s="3"/>
    </row>
    <row r="116" spans="2:25" ht="15" hidden="1" outlineLevel="1" thickBot="1" x14ac:dyDescent="0.3">
      <c r="B116" s="3"/>
      <c r="C116" s="3"/>
      <c r="D116" s="3"/>
      <c r="E116" s="3"/>
      <c r="F116" s="3"/>
      <c r="G116" s="3"/>
      <c r="H116" s="3"/>
      <c r="I116" s="3"/>
      <c r="J116" s="3"/>
      <c r="K116" s="3"/>
      <c r="L116" s="27" t="s">
        <v>69</v>
      </c>
      <c r="M116" s="28">
        <f>SUMIF($Q$105:$Q$115,"WAHR",M105:M115)</f>
        <v>5690.5056228095145</v>
      </c>
      <c r="N116" s="28">
        <f t="shared" ref="N116:O116" si="14">SUMIF($Q$105:$Q$115,"WAHR",N105:N115)</f>
        <v>5683.6611228095144</v>
      </c>
      <c r="O116" s="28">
        <f t="shared" si="14"/>
        <v>5683.6611228095144</v>
      </c>
      <c r="P116" s="27" t="s">
        <v>163</v>
      </c>
      <c r="Q116" s="3"/>
      <c r="R116" s="3"/>
      <c r="S116" s="3"/>
      <c r="T116" s="57" t="str">
        <f>IF(X116,"CO2-Kosten","")</f>
        <v>CO2-Kosten</v>
      </c>
      <c r="U116" s="58">
        <f>IF($X$116,SUMIF($X$117:$X$119,"WAHR",U117:U119),NA())</f>
        <v>152459.04944673795</v>
      </c>
      <c r="V116" s="58">
        <f t="shared" ref="V116:W116" si="15">IF($X$116,SUMIF($X$117:$X$119,"WAHR",V117:V119),NA())</f>
        <v>266382.78650412837</v>
      </c>
      <c r="W116" s="58">
        <f t="shared" si="15"/>
        <v>473569.39822956151</v>
      </c>
      <c r="X116" s="381" t="b">
        <v>1</v>
      </c>
      <c r="Y116" s="3"/>
    </row>
    <row r="117" spans="2:25" ht="16.5" hidden="1" outlineLevel="1" thickTop="1" x14ac:dyDescent="0.3">
      <c r="B117" s="3"/>
      <c r="C117" s="3"/>
      <c r="D117" s="3"/>
      <c r="E117" s="3"/>
      <c r="F117" s="3"/>
      <c r="G117" s="3"/>
      <c r="H117" s="3"/>
      <c r="I117" s="3"/>
      <c r="J117" s="3"/>
      <c r="K117" s="3"/>
      <c r="L117" s="3"/>
      <c r="M117" s="3"/>
      <c r="N117" s="3"/>
      <c r="O117" s="3"/>
      <c r="P117" s="3"/>
      <c r="Q117" s="3"/>
      <c r="R117" s="3"/>
      <c r="S117" s="3"/>
      <c r="T117" s="31" t="s">
        <v>155</v>
      </c>
      <c r="U117" s="52">
        <f>IF($X117,U78,NA())</f>
        <v>2373.3088765000002</v>
      </c>
      <c r="V117" s="52">
        <f t="shared" ref="V117:W117" si="16">IF($X117,V78,NA())</f>
        <v>4271.9559777000004</v>
      </c>
      <c r="W117" s="52">
        <f t="shared" si="16"/>
        <v>7594.5884048000007</v>
      </c>
      <c r="X117" s="381" t="b">
        <v>1</v>
      </c>
      <c r="Y117" s="3"/>
    </row>
    <row r="118" spans="2:25" ht="15.75" hidden="1" outlineLevel="1" x14ac:dyDescent="0.3">
      <c r="B118" s="3"/>
      <c r="C118" s="3"/>
      <c r="D118" s="3"/>
      <c r="E118" s="3"/>
      <c r="F118" s="3"/>
      <c r="G118" s="3"/>
      <c r="H118" s="3"/>
      <c r="I118" s="3"/>
      <c r="J118" s="3"/>
      <c r="K118" s="3"/>
      <c r="L118" s="3"/>
      <c r="M118" s="3"/>
      <c r="N118" s="3"/>
      <c r="O118" s="3"/>
      <c r="P118" s="3"/>
      <c r="Q118" s="3"/>
      <c r="R118" s="3"/>
      <c r="S118" s="3"/>
      <c r="T118" s="31" t="s">
        <v>156</v>
      </c>
      <c r="U118" s="52">
        <f t="shared" ref="U118:W119" si="17">IF($X118,U79,NA())</f>
        <v>4297.5</v>
      </c>
      <c r="V118" s="52">
        <f t="shared" si="17"/>
        <v>0</v>
      </c>
      <c r="W118" s="52">
        <f t="shared" si="17"/>
        <v>0</v>
      </c>
      <c r="X118" s="381" t="b">
        <v>1</v>
      </c>
      <c r="Y118" s="3"/>
    </row>
    <row r="119" spans="2:25" ht="15.75" hidden="1" outlineLevel="1" x14ac:dyDescent="0.3">
      <c r="B119" s="3"/>
      <c r="C119" s="3"/>
      <c r="D119" s="3"/>
      <c r="E119" s="3"/>
      <c r="F119" s="3"/>
      <c r="G119" s="3"/>
      <c r="H119" s="3"/>
      <c r="I119" s="3"/>
      <c r="J119" s="3"/>
      <c r="K119" s="3"/>
      <c r="L119" s="3"/>
      <c r="M119" s="3"/>
      <c r="N119" s="3"/>
      <c r="O119" s="3"/>
      <c r="P119" s="3"/>
      <c r="Q119" s="3"/>
      <c r="R119" s="3"/>
      <c r="S119" s="3"/>
      <c r="T119" s="31" t="s">
        <v>157</v>
      </c>
      <c r="U119" s="52">
        <f t="shared" si="17"/>
        <v>145788.24057023795</v>
      </c>
      <c r="V119" s="52">
        <f t="shared" si="17"/>
        <v>262110.83052642836</v>
      </c>
      <c r="W119" s="52">
        <f t="shared" si="17"/>
        <v>465974.80982476153</v>
      </c>
      <c r="X119" s="381" t="b">
        <v>1</v>
      </c>
      <c r="Y119" s="3"/>
    </row>
    <row r="120" spans="2:25" ht="13.5" hidden="1" outlineLevel="1" thickBot="1" x14ac:dyDescent="0.25">
      <c r="B120" s="3"/>
      <c r="C120" s="3"/>
      <c r="D120" s="3"/>
      <c r="E120" s="3"/>
      <c r="F120" s="3"/>
      <c r="G120" s="3"/>
      <c r="H120" s="3"/>
      <c r="I120" s="3"/>
      <c r="J120" s="3"/>
      <c r="K120" s="3"/>
      <c r="L120" s="3"/>
      <c r="M120" s="3"/>
      <c r="N120" s="3"/>
      <c r="O120" s="3"/>
      <c r="P120" s="3"/>
      <c r="Q120" s="3"/>
      <c r="R120" s="3"/>
      <c r="S120" s="3"/>
      <c r="T120" s="27" t="s">
        <v>69</v>
      </c>
      <c r="U120" s="56">
        <f>IF($X$116,U116,0)+IF($X$115,U115,0)+IF($X$114,U114,0)+IF($X$113,U113,0)+U105</f>
        <v>262128.04944673795</v>
      </c>
      <c r="V120" s="56">
        <f t="shared" ref="V120:W120" si="18">IF($X$116,V116,0)+IF($X$115,V115,0)+IF($X$114,V114,0)+IF($X$113,V113,0)+V105</f>
        <v>377176.78650412837</v>
      </c>
      <c r="W120" s="56">
        <f t="shared" si="18"/>
        <v>584363.39822956151</v>
      </c>
      <c r="X120" s="3"/>
      <c r="Y120" s="3"/>
    </row>
    <row r="121" spans="2:25" ht="13.5" hidden="1" outlineLevel="1" thickTop="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2:25" hidden="1" outlineLevel="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5" hidden="1" outlineLevel="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2:25" hidden="1" outlineLevel="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5" hidden="1" outlineLevel="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5" hidden="1" outlineLevel="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2:25" hidden="1" outlineLevel="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0" collapsed="1" x14ac:dyDescent="0.2"/>
    <row r="131" spans="2:20" ht="15.75" hidden="1" outlineLevel="1" x14ac:dyDescent="0.25">
      <c r="B131" s="22"/>
      <c r="C131" s="22" t="s">
        <v>114</v>
      </c>
      <c r="D131" s="17"/>
      <c r="E131" s="17"/>
      <c r="F131" s="17"/>
      <c r="G131" s="17"/>
      <c r="H131" s="17"/>
      <c r="I131" s="17"/>
      <c r="J131" s="17"/>
      <c r="K131" s="17"/>
      <c r="L131" s="17"/>
      <c r="N131" s="22" t="s">
        <v>117</v>
      </c>
      <c r="O131" s="17"/>
      <c r="P131" s="17"/>
      <c r="Q131" s="17"/>
      <c r="R131" s="17"/>
      <c r="S131" s="17"/>
      <c r="T131" s="17"/>
    </row>
    <row r="132" spans="2:20" ht="15" hidden="1" outlineLevel="1" x14ac:dyDescent="0.25">
      <c r="B132" s="65"/>
      <c r="C132" s="65">
        <v>2025</v>
      </c>
      <c r="D132" s="17"/>
      <c r="E132" s="17"/>
      <c r="F132" s="36" t="s">
        <v>27</v>
      </c>
      <c r="G132" s="36" t="s">
        <v>82</v>
      </c>
      <c r="H132" s="36" t="s">
        <v>29</v>
      </c>
      <c r="I132" s="17"/>
      <c r="J132" s="17"/>
      <c r="K132" s="17"/>
      <c r="L132" s="17"/>
      <c r="N132" s="65">
        <v>2025</v>
      </c>
      <c r="O132" s="17"/>
      <c r="P132" s="17"/>
      <c r="Q132" s="17"/>
      <c r="R132" s="17"/>
      <c r="S132" s="17"/>
      <c r="T132" s="17"/>
    </row>
    <row r="133" spans="2:20" hidden="1" outlineLevel="1" x14ac:dyDescent="0.2">
      <c r="B133" s="17"/>
      <c r="C133" s="17"/>
      <c r="D133" s="17" t="s">
        <v>244</v>
      </c>
      <c r="E133" s="280" t="str">
        <f>IF(NOT(ISBLANK($G$16)),$G$16,$E$16)</f>
        <v>Grünstrommix</v>
      </c>
      <c r="F133" s="281">
        <f>VLOOKUP(E133,D134:H137,3,FALSE)</f>
        <v>0</v>
      </c>
      <c r="G133" s="282">
        <f>VLOOKUP(E133,D134:H137,4,FALSE)</f>
        <v>0</v>
      </c>
      <c r="H133" s="282">
        <f>VLOOKUP(E133,D134:H137,5,FALSE)</f>
        <v>4.0790000000000001E-5</v>
      </c>
      <c r="I133" s="17"/>
      <c r="J133" s="17"/>
      <c r="K133" s="17"/>
      <c r="L133" s="17"/>
      <c r="N133" s="21"/>
      <c r="O133" s="17"/>
      <c r="P133" s="17"/>
      <c r="Q133" s="17"/>
      <c r="R133" s="17"/>
      <c r="S133" s="17"/>
      <c r="T133" s="17"/>
    </row>
    <row r="134" spans="2:20" hidden="1" outlineLevel="1" x14ac:dyDescent="0.2">
      <c r="B134" s="17"/>
      <c r="C134" s="17" t="s">
        <v>243</v>
      </c>
      <c r="D134" s="17" t="s">
        <v>241</v>
      </c>
      <c r="E134" s="30"/>
      <c r="F134" s="283">
        <v>0</v>
      </c>
      <c r="G134" s="284">
        <f>IF(NOT(ISBLANK('Eingabe EF'!AE60)),'Eingabe EF'!AE60,'Eingabe EF'!AC60)</f>
        <v>0</v>
      </c>
      <c r="H134" s="284">
        <f>IF(NOT(ISBLANK('Eingabe EF'!AI60)),'Eingabe EF'!AI60,'Eingabe EF'!AG60)</f>
        <v>4.0790000000000001E-5</v>
      </c>
      <c r="I134" s="17"/>
      <c r="J134" s="17"/>
      <c r="K134" s="17"/>
      <c r="L134" s="17"/>
      <c r="N134" s="21"/>
      <c r="O134" s="17"/>
      <c r="P134" s="17"/>
      <c r="Q134" s="17"/>
      <c r="R134" s="17"/>
      <c r="S134" s="17"/>
      <c r="T134" s="17"/>
    </row>
    <row r="135" spans="2:20" hidden="1" outlineLevel="1" x14ac:dyDescent="0.2">
      <c r="B135" s="17"/>
      <c r="C135" s="17" t="s">
        <v>243</v>
      </c>
      <c r="D135" s="17" t="s">
        <v>108</v>
      </c>
      <c r="E135" s="30"/>
      <c r="F135" s="283">
        <v>0</v>
      </c>
      <c r="G135" s="283">
        <f>IF(NOT(ISBLANK('Eingabe EF'!AE61)),'Eingabe EF'!AE61,'Eingabe EF'!AC61)</f>
        <v>0</v>
      </c>
      <c r="H135" s="284">
        <f>IF(NOT(ISBLANK('Eingabe EF'!AI61)),'Eingabe EF'!AI61,'Eingabe EF'!AG61)</f>
        <v>5.5713999999999995E-5</v>
      </c>
      <c r="I135" s="17"/>
      <c r="J135" s="17"/>
      <c r="K135" s="17"/>
      <c r="L135" s="17"/>
      <c r="N135" s="21"/>
      <c r="O135" s="17"/>
      <c r="P135" s="17"/>
      <c r="Q135" s="17"/>
      <c r="R135" s="17"/>
      <c r="S135" s="17"/>
      <c r="T135" s="17"/>
    </row>
    <row r="136" spans="2:20" hidden="1" outlineLevel="1" x14ac:dyDescent="0.2">
      <c r="B136" s="17"/>
      <c r="C136" s="17" t="s">
        <v>243</v>
      </c>
      <c r="D136" s="17" t="s">
        <v>109</v>
      </c>
      <c r="E136" s="30"/>
      <c r="F136" s="283">
        <v>0</v>
      </c>
      <c r="G136" s="283">
        <f>IF(NOT(ISBLANK('Eingabe EF'!AE62)),'Eingabe EF'!AE62,'Eingabe EF'!AC62)</f>
        <v>0</v>
      </c>
      <c r="H136" s="284">
        <f>IF(NOT(ISBLANK('Eingabe EF'!AI62)),'Eingabe EF'!AI62,'Eingabe EF'!AG62)</f>
        <v>1.5335600000000003E-5</v>
      </c>
      <c r="I136" s="17"/>
      <c r="J136" s="17"/>
      <c r="K136" s="17"/>
      <c r="L136" s="17"/>
      <c r="N136" s="21"/>
      <c r="O136" s="17"/>
      <c r="P136" s="17"/>
      <c r="Q136" s="17"/>
      <c r="R136" s="17"/>
      <c r="S136" s="17"/>
      <c r="T136" s="17"/>
    </row>
    <row r="137" spans="2:20" hidden="1" outlineLevel="1" x14ac:dyDescent="0.2">
      <c r="B137" s="17"/>
      <c r="C137" s="17" t="s">
        <v>243</v>
      </c>
      <c r="D137" s="17" t="s">
        <v>110</v>
      </c>
      <c r="E137" s="17"/>
      <c r="F137" s="38">
        <v>0</v>
      </c>
      <c r="G137" s="283">
        <f>IF(NOT(ISBLANK('Eingabe EF'!AE63)),'Eingabe EF'!AE63,'Eingabe EF'!AC63)</f>
        <v>0</v>
      </c>
      <c r="H137" s="284">
        <f>IF(NOT(ISBLANK('Eingabe EF'!AI63)),'Eingabe EF'!AI63,'Eingabe EF'!AG63)</f>
        <v>2.65E-6</v>
      </c>
      <c r="I137" s="17"/>
      <c r="J137" s="17"/>
      <c r="K137" s="17"/>
      <c r="L137" s="17"/>
      <c r="N137" s="17"/>
      <c r="O137" s="17"/>
      <c r="P137" s="17"/>
      <c r="Q137" s="17"/>
      <c r="R137" s="17"/>
      <c r="S137" s="17"/>
      <c r="T137" s="17"/>
    </row>
    <row r="138" spans="2:20" hidden="1" outlineLevel="1" x14ac:dyDescent="0.2">
      <c r="B138" s="17"/>
      <c r="C138" s="17"/>
      <c r="D138" s="17"/>
      <c r="E138" s="17"/>
      <c r="F138" s="20"/>
      <c r="G138" s="20"/>
      <c r="H138" s="20"/>
      <c r="I138" s="17"/>
      <c r="J138" s="17"/>
      <c r="K138" s="17"/>
      <c r="L138" s="17"/>
      <c r="N138" s="17"/>
      <c r="O138" s="17"/>
      <c r="P138" s="17"/>
      <c r="Q138" s="17"/>
      <c r="R138" s="17"/>
      <c r="S138" s="17"/>
      <c r="T138" s="17"/>
    </row>
    <row r="139" spans="2:20" ht="25.5" hidden="1" outlineLevel="1" x14ac:dyDescent="0.2">
      <c r="B139" s="17"/>
      <c r="C139" s="17"/>
      <c r="D139" s="17"/>
      <c r="E139" s="17"/>
      <c r="F139" s="36" t="s">
        <v>27</v>
      </c>
      <c r="G139" s="36" t="s">
        <v>82</v>
      </c>
      <c r="H139" s="36" t="s">
        <v>29</v>
      </c>
      <c r="I139" s="17"/>
      <c r="J139" s="40" t="s">
        <v>111</v>
      </c>
      <c r="K139" s="41" t="s">
        <v>39</v>
      </c>
      <c r="L139" s="17"/>
      <c r="N139" s="17"/>
      <c r="O139" s="17"/>
      <c r="P139" s="17"/>
      <c r="Q139" s="18"/>
      <c r="R139" s="18"/>
      <c r="S139" s="18"/>
      <c r="T139" s="18"/>
    </row>
    <row r="140" spans="2:20" ht="14.25" hidden="1" outlineLevel="1" x14ac:dyDescent="0.25">
      <c r="B140" s="77"/>
      <c r="C140" s="77" t="s">
        <v>190</v>
      </c>
      <c r="D140" s="77"/>
      <c r="E140" s="77"/>
      <c r="F140" s="78">
        <f>SUM(F142:F155)</f>
        <v>94.932355060000006</v>
      </c>
      <c r="G140" s="78">
        <f t="shared" ref="G140:H140" si="19">SUM(G142:G155)</f>
        <v>0</v>
      </c>
      <c r="H140" s="78">
        <f t="shared" si="19"/>
        <v>34.437233460000002</v>
      </c>
      <c r="I140" s="77"/>
      <c r="J140" s="78">
        <f>F140+G140</f>
        <v>94.932355060000006</v>
      </c>
      <c r="K140" s="78">
        <f>SUM(F140:H140)</f>
        <v>129.36958852000001</v>
      </c>
      <c r="L140" s="77" t="s">
        <v>197</v>
      </c>
      <c r="N140" s="17"/>
      <c r="O140" s="17"/>
      <c r="P140" s="17"/>
      <c r="Q140" s="18"/>
      <c r="R140" s="18"/>
      <c r="S140" s="18"/>
      <c r="T140" s="18"/>
    </row>
    <row r="141" spans="2:20" hidden="1" outlineLevel="1" x14ac:dyDescent="0.2">
      <c r="B141" s="17"/>
      <c r="C141" s="17" t="s">
        <v>146</v>
      </c>
      <c r="D141" s="17"/>
      <c r="E141" s="17"/>
      <c r="F141" s="17"/>
      <c r="G141" s="17"/>
      <c r="H141" s="17"/>
      <c r="I141" s="17"/>
      <c r="J141" s="17"/>
      <c r="K141" s="17"/>
      <c r="L141" s="17"/>
      <c r="N141" s="17" t="s">
        <v>146</v>
      </c>
      <c r="O141" s="17"/>
      <c r="P141" s="17"/>
      <c r="Q141" s="18"/>
      <c r="R141" s="18"/>
      <c r="S141" s="18"/>
      <c r="T141" s="18"/>
    </row>
    <row r="142" spans="2:20" ht="15.75" hidden="1" outlineLevel="1" x14ac:dyDescent="0.3">
      <c r="B142" s="276"/>
      <c r="C142" s="17"/>
      <c r="D142" s="17" t="s">
        <v>125</v>
      </c>
      <c r="E142" s="17"/>
      <c r="F142" s="38">
        <f>IF(NOT(ISBLANK('Referenz Plattenwerk'!$I16)),'Referenz Plattenwerk'!$I16,'Referenz Plattenwerk'!$F16)*IF(NOT(ISBLANK('Eingabe EF'!$AA9)),'Eingabe EF'!$AA9,'Eingabe EF'!$Y9)</f>
        <v>34.434080000000002</v>
      </c>
      <c r="G142" s="38">
        <f>IF(NOT(ISBLANK('Referenz Plattenwerk'!$I16)),'Referenz Plattenwerk'!$I16,'Referenz Plattenwerk'!$F16)*IF(NOT(ISBLANK('Eingabe EF'!$AE9)),'Eingabe EF'!$AE9,'Eingabe EF'!$AC9)</f>
        <v>0</v>
      </c>
      <c r="H142" s="38">
        <f>IF(NOT(ISBLANK('Referenz Plattenwerk'!$I16)),'Referenz Plattenwerk'!$I16,'Referenz Plattenwerk'!$F16)*IF(NOT(ISBLANK('Eingabe EF'!$AI9)),'Eingabe EF'!$AI9,'Eingabe EF'!$AG9)</f>
        <v>5.8938000000000006</v>
      </c>
      <c r="I142" s="17"/>
      <c r="J142" s="38">
        <f>F142+G142</f>
        <v>34.434080000000002</v>
      </c>
      <c r="K142" s="38">
        <f>SUM(F142:H142)</f>
        <v>40.32788</v>
      </c>
      <c r="L142" s="17" t="s">
        <v>198</v>
      </c>
      <c r="N142" s="276"/>
      <c r="O142" s="17" t="s">
        <v>125</v>
      </c>
      <c r="P142" s="17"/>
      <c r="Q142" s="19"/>
      <c r="R142" s="20"/>
      <c r="S142" s="42">
        <f>IF(NOT(ISBLANK('Referenz Plattenwerk'!$I16)),'Referenz Plattenwerk'!$I16,'Referenz Plattenwerk'!$F16)/1000*IF(NOT(ISBLANK('Eingabe Preise'!$K10)),'Eingabe Preise'!$K10,'Eingabe Preise'!$I10)</f>
        <v>11468</v>
      </c>
      <c r="T142" s="20" t="s">
        <v>106</v>
      </c>
    </row>
    <row r="143" spans="2:20" ht="15.75" hidden="1" outlineLevel="1" x14ac:dyDescent="0.3">
      <c r="B143" s="276"/>
      <c r="C143" s="17"/>
      <c r="D143" s="17" t="s">
        <v>165</v>
      </c>
      <c r="E143" s="17"/>
      <c r="F143" s="38">
        <f>IF(NOT(ISBLANK('Referenz Plattenwerk'!$I17)),'Referenz Plattenwerk'!$I17,'Referenz Plattenwerk'!$F17)*IF(NOT(ISBLANK('Eingabe EF'!$AA10)),'Eingabe EF'!$AA10,'Eingabe EF'!$Y10)</f>
        <v>6.4022399999999999</v>
      </c>
      <c r="G143" s="38">
        <f>IF(NOT(ISBLANK('Referenz Plattenwerk'!$I17)),'Referenz Plattenwerk'!$I17,'Referenz Plattenwerk'!$F17)*IF(NOT(ISBLANK('Eingabe EF'!$AE10)),'Eingabe EF'!$AE10,'Eingabe EF'!$AC10)</f>
        <v>0</v>
      </c>
      <c r="H143" s="38">
        <f>IF(NOT(ISBLANK('Referenz Plattenwerk'!$I17)),'Referenz Plattenwerk'!$I17,'Referenz Plattenwerk'!$F17)*IF(NOT(ISBLANK('Eingabe EF'!$AI10)),'Eingabe EF'!$AI10,'Eingabe EF'!$AG10)</f>
        <v>0.949824</v>
      </c>
      <c r="I143" s="17"/>
      <c r="J143" s="38">
        <f>F143+G143</f>
        <v>6.4022399999999999</v>
      </c>
      <c r="K143" s="38">
        <f>SUM(F143:H143)</f>
        <v>7.3520640000000004</v>
      </c>
      <c r="L143" s="17" t="s">
        <v>198</v>
      </c>
      <c r="N143" s="276"/>
      <c r="O143" s="17" t="s">
        <v>165</v>
      </c>
      <c r="P143" s="17"/>
      <c r="Q143" s="20"/>
      <c r="R143" s="20"/>
      <c r="S143" s="42">
        <f>IF(NOT(ISBLANK('Referenz Plattenwerk'!$I17)),'Referenz Plattenwerk'!$I17,'Referenz Plattenwerk'!$F17)/1000*IF(NOT(ISBLANK('Eingabe Preise'!$K11)),'Eingabe Preise'!$K11,'Eingabe Preise'!$I11)</f>
        <v>1104</v>
      </c>
      <c r="T143" s="20" t="s">
        <v>106</v>
      </c>
    </row>
    <row r="144" spans="2:20" ht="15.75" hidden="1" outlineLevel="1" x14ac:dyDescent="0.3">
      <c r="B144" s="276"/>
      <c r="C144" s="17"/>
      <c r="D144" s="17" t="s">
        <v>166</v>
      </c>
      <c r="E144" s="17"/>
      <c r="F144" s="38">
        <f>IF(NOT(ISBLANK('Referenz Plattenwerk'!$I18)),'Referenz Plattenwerk'!$I18,'Referenz Plattenwerk'!$F18)*F133</f>
        <v>0</v>
      </c>
      <c r="G144" s="38">
        <f>IF(NOT(ISBLANK('Referenz Plattenwerk'!$I18)),'Referenz Plattenwerk'!$I18,'Referenz Plattenwerk'!$F18)*G133</f>
        <v>0</v>
      </c>
      <c r="H144" s="38">
        <f>IF(NOT(ISBLANK('Referenz Plattenwerk'!$I18)),'Referenz Plattenwerk'!$I18,'Referenz Plattenwerk'!$F18)*H133</f>
        <v>1.83555</v>
      </c>
      <c r="I144" s="17"/>
      <c r="J144" s="38">
        <f>F144+G144</f>
        <v>0</v>
      </c>
      <c r="K144" s="38">
        <f>SUM(F144:H144)</f>
        <v>1.83555</v>
      </c>
      <c r="L144" s="17" t="s">
        <v>198</v>
      </c>
      <c r="N144" s="276"/>
      <c r="O144" s="17" t="s">
        <v>166</v>
      </c>
      <c r="P144" s="17"/>
      <c r="Q144" s="20"/>
      <c r="R144" s="20"/>
      <c r="S144" s="42">
        <f>IF(NOT(ISBLANK('Referenz Plattenwerk'!$I18)),'Referenz Plattenwerk'!$I18,'Referenz Plattenwerk'!$F18)/1000*IF(NOT(ISBLANK('Eingabe Preise'!$K15)),'Eingabe Preise'!$K15,'Eingabe Preise'!$I15)</f>
        <v>7852.5</v>
      </c>
      <c r="T144" s="20" t="s">
        <v>106</v>
      </c>
    </row>
    <row r="145" spans="2:21" ht="15.75" hidden="1" outlineLevel="1" x14ac:dyDescent="0.3">
      <c r="B145" s="276"/>
      <c r="C145" s="17"/>
      <c r="D145" s="17" t="s">
        <v>126</v>
      </c>
      <c r="E145" s="17"/>
      <c r="F145" s="44">
        <f>IF(NOT(ISBLANK('Referenz Plattenwerk'!$I19)),'Referenz Plattenwerk'!$I19,'Referenz Plattenwerk'!$F19)*IF(NOT(ISBLANK('Eingabe EF'!$AA12)),'Eingabe EF'!$AA12,0)</f>
        <v>0</v>
      </c>
      <c r="G145" s="44">
        <f>IF(NOT(ISBLANK('Referenz Plattenwerk'!$I19)),'Referenz Plattenwerk'!$I19,'Referenz Plattenwerk'!$F19)*IF(NOT(ISBLANK('Eingabe EF'!$AE12)),'Eingabe EF'!$AE12,0)</f>
        <v>0</v>
      </c>
      <c r="H145" s="44">
        <f>IF(NOT(ISBLANK('Referenz Plattenwerk'!$I19)),'Referenz Plattenwerk'!$I19,'Referenz Plattenwerk'!$F19)*IF(NOT(ISBLANK('Eingabe EF'!$AI12)),'Eingabe EF'!$AI12,0)</f>
        <v>0</v>
      </c>
      <c r="I145" s="17"/>
      <c r="J145" s="38">
        <f>F145+G145</f>
        <v>0</v>
      </c>
      <c r="K145" s="38">
        <f>SUM(F145:H145)</f>
        <v>0</v>
      </c>
      <c r="L145" s="17" t="s">
        <v>198</v>
      </c>
      <c r="N145" s="276"/>
      <c r="O145" s="17" t="s">
        <v>126</v>
      </c>
      <c r="P145" s="17"/>
      <c r="Q145" s="20"/>
      <c r="R145" s="20"/>
      <c r="S145" s="42">
        <f>IF(NOT(ISBLANK('Referenz Plattenwerk'!$I19)),'Referenz Plattenwerk'!$I19,'Referenz Plattenwerk'!$F19)/1000*IF(NOT(ISBLANK('Eingabe Preise'!$K16)),'Eingabe Preise'!$K16,0)</f>
        <v>0</v>
      </c>
      <c r="T145" s="20" t="s">
        <v>106</v>
      </c>
    </row>
    <row r="146" spans="2:21" hidden="1" outlineLevel="1" x14ac:dyDescent="0.2">
      <c r="B146" s="17"/>
      <c r="C146" s="17" t="s">
        <v>147</v>
      </c>
      <c r="D146" s="17"/>
      <c r="E146" s="17"/>
      <c r="F146" s="20"/>
      <c r="G146" s="20"/>
      <c r="H146" s="20"/>
      <c r="I146" s="17"/>
      <c r="J146" s="17"/>
      <c r="K146" s="17"/>
      <c r="L146" s="17"/>
      <c r="N146" s="17" t="s">
        <v>147</v>
      </c>
      <c r="O146" s="17"/>
      <c r="P146" s="17"/>
      <c r="Q146" s="20"/>
      <c r="R146" s="20"/>
      <c r="S146" s="20"/>
      <c r="T146" s="20"/>
    </row>
    <row r="147" spans="2:21" ht="15.75" hidden="1" outlineLevel="1" x14ac:dyDescent="0.3">
      <c r="B147" s="17"/>
      <c r="C147" s="17"/>
      <c r="D147" s="17" t="s">
        <v>31</v>
      </c>
      <c r="E147" s="17"/>
      <c r="F147" s="38">
        <f>IF(NOT(ISBLANK('Referenz Plattenwerk'!$I21)),'Referenz Plattenwerk'!$I21,'Referenz Plattenwerk'!$F21)*IF(NOT(ISBLANK('Eingabe EF'!$AA9)),'Eingabe EF'!$AA9,'Eingabe EF'!$Y9)</f>
        <v>8.6085200000000004</v>
      </c>
      <c r="G147" s="38">
        <f>IF(NOT(ISBLANK('Referenz Plattenwerk'!$I21)),'Referenz Plattenwerk'!$I21,'Referenz Plattenwerk'!$F21)*IF(NOT(ISBLANK('Eingabe EF'!$AE9)),'Eingabe EF'!$AE9,'Eingabe EF'!$AC9)</f>
        <v>0</v>
      </c>
      <c r="H147" s="38">
        <f>IF(NOT(ISBLANK('Referenz Plattenwerk'!$I21)),'Referenz Plattenwerk'!$I21,'Referenz Plattenwerk'!$F21)*IF(NOT(ISBLANK('Eingabe EF'!$AG9)),'Eingabe EF'!$AG9,'Eingabe EF'!$AIC9)</f>
        <v>1.4734500000000001</v>
      </c>
      <c r="I147" s="17"/>
      <c r="J147" s="38">
        <f t="shared" ref="J147:J148" si="20">F147+G147</f>
        <v>8.6085200000000004</v>
      </c>
      <c r="K147" s="38">
        <f t="shared" ref="K147:K158" si="21">SUM(F147:H147)</f>
        <v>10.08197</v>
      </c>
      <c r="L147" s="17" t="s">
        <v>198</v>
      </c>
      <c r="M147" s="43"/>
      <c r="N147" s="17"/>
      <c r="O147" s="17" t="s">
        <v>31</v>
      </c>
      <c r="P147" s="17"/>
      <c r="Q147" s="20"/>
      <c r="R147" s="20"/>
      <c r="S147" s="42">
        <f>IF(NOT(ISBLANK('Referenz Plattenwerk'!$I21)),'Referenz Plattenwerk'!$I21,'Referenz Plattenwerk'!$F21)/1000*IF(NOT(ISBLANK('Eingabe Preise'!$K10)),'Eingabe Preise'!$K10,'Eingabe Preise'!$I10)</f>
        <v>2867</v>
      </c>
      <c r="T147" s="20" t="s">
        <v>106</v>
      </c>
    </row>
    <row r="148" spans="2:21" ht="15.75" hidden="1" outlineLevel="1" x14ac:dyDescent="0.3">
      <c r="B148" s="17"/>
      <c r="C148" s="17"/>
      <c r="D148" s="17" t="s">
        <v>32</v>
      </c>
      <c r="E148" s="17"/>
      <c r="F148" s="38">
        <f>IF(NOT(ISBLANK('Referenz Plattenwerk'!$I22)),'Referenz Plattenwerk'!$I22,'Referenz Plattenwerk'!$F22)*IF(NOT(ISBLANK('Eingabe EF'!$AA10)),'Eingabe EF'!$AA10,'Eingabe EF'!$Y10)</f>
        <v>9.6033600000000003</v>
      </c>
      <c r="G148" s="38">
        <f>IF(NOT(ISBLANK('Referenz Plattenwerk'!$I22)),'Referenz Plattenwerk'!$I22,'Referenz Plattenwerk'!$F22)*IF(NOT(ISBLANK('Eingabe EF'!$AE10)),'Eingabe EF'!$AE10,'Eingabe EF'!$AC10)</f>
        <v>0</v>
      </c>
      <c r="H148" s="38">
        <f>IF(NOT(ISBLANK('Referenz Plattenwerk'!$I22)),'Referenz Plattenwerk'!$I22,'Referenz Plattenwerk'!$F22)*IF(NOT(ISBLANK('Eingabe EF'!$AG10)),'Eingabe EF'!$AG10,'Eingabe EF'!$AIC10)</f>
        <v>1.424736</v>
      </c>
      <c r="I148" s="17"/>
      <c r="J148" s="38">
        <f t="shared" si="20"/>
        <v>9.6033600000000003</v>
      </c>
      <c r="K148" s="38">
        <f t="shared" si="21"/>
        <v>11.028096</v>
      </c>
      <c r="L148" s="17" t="s">
        <v>198</v>
      </c>
      <c r="M148" s="43"/>
      <c r="N148" s="17"/>
      <c r="O148" s="17" t="s">
        <v>32</v>
      </c>
      <c r="P148" s="17"/>
      <c r="Q148" s="20"/>
      <c r="R148" s="20"/>
      <c r="S148" s="42">
        <f>IF(NOT(ISBLANK('Referenz Plattenwerk'!$I22)),'Referenz Plattenwerk'!$I22,'Referenz Plattenwerk'!$F22)/1000*IF(NOT(ISBLANK('Eingabe Preise'!$K11)),'Eingabe Preise'!$K11,'Eingabe Preise'!$I11)</f>
        <v>1656</v>
      </c>
      <c r="T148" s="20" t="s">
        <v>106</v>
      </c>
    </row>
    <row r="149" spans="2:21" hidden="1" outlineLevel="1" x14ac:dyDescent="0.2">
      <c r="B149" s="17"/>
      <c r="C149" s="17" t="s">
        <v>148</v>
      </c>
      <c r="D149" s="17"/>
      <c r="E149" s="17"/>
      <c r="F149" s="20"/>
      <c r="G149" s="20"/>
      <c r="H149" s="20"/>
      <c r="I149" s="17"/>
      <c r="J149" s="17"/>
      <c r="K149" s="17"/>
      <c r="L149" s="17"/>
      <c r="N149" s="17" t="s">
        <v>148</v>
      </c>
      <c r="O149" s="17"/>
      <c r="P149" s="17"/>
      <c r="Q149" s="20"/>
      <c r="R149" s="20"/>
      <c r="S149" s="20"/>
      <c r="T149" s="20"/>
    </row>
    <row r="150" spans="2:21" ht="15.75" hidden="1" outlineLevel="1" x14ac:dyDescent="0.3">
      <c r="B150" s="276"/>
      <c r="C150" s="17"/>
      <c r="D150" s="17" t="s">
        <v>150</v>
      </c>
      <c r="E150" s="17"/>
      <c r="F150" s="38">
        <f>IF(NOT(ISBLANK('Referenz Plattenwerk'!$I24)),'Referenz Plattenwerk'!$I24,'Referenz Plattenwerk'!$F24)*F133</f>
        <v>0</v>
      </c>
      <c r="G150" s="38">
        <f>IF(NOT(ISBLANK('Referenz Plattenwerk'!$I24)),'Referenz Plattenwerk'!$I24,'Referenz Plattenwerk'!$F24)*G133</f>
        <v>0</v>
      </c>
      <c r="H150" s="38">
        <f>IF(NOT(ISBLANK('Referenz Plattenwerk'!$I24)),'Referenz Plattenwerk'!$I24,'Referenz Plattenwerk'!$F24)*H133</f>
        <v>16.519950000000001</v>
      </c>
      <c r="I150" s="17"/>
      <c r="J150" s="38">
        <f t="shared" ref="J150:J158" si="22">F150+G150</f>
        <v>0</v>
      </c>
      <c r="K150" s="38">
        <f t="shared" si="21"/>
        <v>16.519950000000001</v>
      </c>
      <c r="L150" s="17" t="s">
        <v>198</v>
      </c>
      <c r="M150" s="43"/>
      <c r="N150" s="276"/>
      <c r="O150" s="17" t="s">
        <v>167</v>
      </c>
      <c r="P150" s="17"/>
      <c r="Q150" s="20"/>
      <c r="R150" s="20"/>
      <c r="S150" s="42">
        <f>IF(NOT(ISBLANK('Referenz Plattenwerk'!$I24)),'Referenz Plattenwerk'!$I24,'Referenz Plattenwerk'!$F24)/1000*IF(NOT(ISBLANK('Eingabe Preise'!$K15)),'Eingabe Preise'!$K15,'Eingabe Preise'!$I15)</f>
        <v>70672.5</v>
      </c>
      <c r="T150" s="20" t="s">
        <v>106</v>
      </c>
    </row>
    <row r="151" spans="2:21" ht="15.75" hidden="1" outlineLevel="1" x14ac:dyDescent="0.3">
      <c r="B151" s="17"/>
      <c r="C151" s="17"/>
      <c r="D151" s="17" t="s">
        <v>122</v>
      </c>
      <c r="E151" s="17"/>
      <c r="F151" s="38">
        <f>IF(NOT(ISBLANK('Referenz Plattenwerk'!$I25)),'Referenz Plattenwerk'!$I25,'Referenz Plattenwerk'!$F25)*IF(NOT(ISBLANK('Eingabe EF'!$AA13)),'Eingabe EF'!$AA13,'Eingabe EF'!$Y13)</f>
        <v>0</v>
      </c>
      <c r="G151" s="38">
        <f>IF(NOT(ISBLANK('Referenz Plattenwerk'!$I25)),'Referenz Plattenwerk'!$I25,'Referenz Plattenwerk'!$F25)*IF(NOT(ISBLANK('Eingabe EF'!$AE13)),'Eingabe EF'!$AE13,'Eingabe EF'!$AC13)</f>
        <v>0</v>
      </c>
      <c r="H151" s="38">
        <f>IF(NOT(ISBLANK('Referenz Plattenwerk'!$I25)),'Referenz Plattenwerk'!$I25,'Referenz Plattenwerk'!$F25)*IF(NOT(ISBLANK('Eingabe EF'!$AI13)),'Eingabe EF'!$AI13,'Eingabe EF'!$AG13)</f>
        <v>0</v>
      </c>
      <c r="I151" s="17"/>
      <c r="J151" s="38">
        <f t="shared" si="22"/>
        <v>0</v>
      </c>
      <c r="K151" s="38">
        <f t="shared" si="21"/>
        <v>0</v>
      </c>
      <c r="L151" s="17" t="s">
        <v>198</v>
      </c>
      <c r="M151" s="43"/>
      <c r="N151" s="17"/>
      <c r="O151" s="17" t="s">
        <v>122</v>
      </c>
      <c r="P151" s="17"/>
      <c r="Q151" s="20"/>
      <c r="R151" s="20"/>
      <c r="S151" s="42">
        <f>IF(NOT(ISBLANK('Referenz Plattenwerk'!$I25)),'Referenz Plattenwerk'!$I25,'Referenz Plattenwerk'!$F25)/1000*IF(NOT(ISBLANK('Eingabe Preise'!$K13)),'Eingabe Preise'!$K13,'Eingabe Preise'!$I13)</f>
        <v>0</v>
      </c>
      <c r="T151" s="20" t="s">
        <v>106</v>
      </c>
    </row>
    <row r="152" spans="2:21" ht="15.75" hidden="1" outlineLevel="1" x14ac:dyDescent="0.3">
      <c r="B152" s="17"/>
      <c r="C152" s="17"/>
      <c r="D152" s="17" t="s">
        <v>149</v>
      </c>
      <c r="E152" s="17"/>
      <c r="F152" s="38">
        <f>IF(NOT(ISBLANK('Referenz Plattenwerk'!$I26)),'Referenz Plattenwerk'!$I26,'Referenz Plattenwerk'!$F26)*IF(NOT(ISBLANK('Eingabe EF'!$AA14)),'Eingabe EF'!$AA14,0)</f>
        <v>0</v>
      </c>
      <c r="G152" s="38">
        <f>IF(NOT(ISBLANK('Referenz Plattenwerk'!$I26)),'Referenz Plattenwerk'!$I26,'Referenz Plattenwerk'!$F26)*IF(NOT(ISBLANK('Eingabe EF'!$AE14)),'Eingabe EF'!$AE14,0)</f>
        <v>0</v>
      </c>
      <c r="H152" s="38">
        <f>IF(NOT(ISBLANK('Referenz Plattenwerk'!$I26)),'Referenz Plattenwerk'!$I26,'Referenz Plattenwerk'!$F26)*IF(NOT(ISBLANK('Eingabe EF'!$AI14)),'Eingabe EF'!$AI14,0)</f>
        <v>0</v>
      </c>
      <c r="I152" s="17"/>
      <c r="J152" s="38">
        <f t="shared" si="22"/>
        <v>0</v>
      </c>
      <c r="K152" s="38">
        <f t="shared" si="21"/>
        <v>0</v>
      </c>
      <c r="L152" s="17" t="s">
        <v>198</v>
      </c>
      <c r="M152" s="43"/>
      <c r="N152" s="17"/>
      <c r="O152" s="17" t="s">
        <v>149</v>
      </c>
      <c r="P152" s="17"/>
      <c r="Q152" s="30"/>
      <c r="R152" s="17"/>
      <c r="S152" s="42">
        <f>IF(NOT(ISBLANK('Referenz Plattenwerk'!$I26)),'Referenz Plattenwerk'!$I26,'Referenz Plattenwerk'!$F26)/1000*IF(NOT(ISBLANK('Eingabe Preise'!$K17)),'Eingabe Preise'!$K17,0)</f>
        <v>0</v>
      </c>
      <c r="T152" s="20" t="s">
        <v>106</v>
      </c>
    </row>
    <row r="153" spans="2:21" hidden="1" outlineLevel="1" x14ac:dyDescent="0.2">
      <c r="B153" s="17"/>
      <c r="C153" s="17"/>
      <c r="D153" s="17"/>
      <c r="E153" s="17"/>
      <c r="F153" s="20"/>
      <c r="G153" s="20"/>
      <c r="H153" s="20"/>
      <c r="I153" s="17"/>
      <c r="J153" s="17"/>
      <c r="K153" s="17"/>
      <c r="L153" s="17"/>
      <c r="N153" s="17"/>
      <c r="O153" s="17"/>
      <c r="P153" s="17"/>
      <c r="Q153" s="30"/>
      <c r="R153" s="17"/>
      <c r="S153" s="17"/>
      <c r="T153" s="17"/>
    </row>
    <row r="154" spans="2:21" ht="15.75" hidden="1" outlineLevel="1" x14ac:dyDescent="0.3">
      <c r="B154" s="17"/>
      <c r="C154" s="17" t="s">
        <v>464</v>
      </c>
      <c r="D154" s="17" t="s">
        <v>34</v>
      </c>
      <c r="E154" s="17"/>
      <c r="F154" s="38">
        <f>IF(NOT(ISBLANK('Referenz Plattenwerk'!$I28)),'Referenz Plattenwerk'!$I28,'Referenz Plattenwerk'!$F28)*IF(NOT(ISBLANK('Eingabe EF'!$AA15)),'Eingabe EF'!$AA15,'Eingabe EF'!$Y15)</f>
        <v>29.238941159999996</v>
      </c>
      <c r="G154" s="38">
        <f>IF(NOT(ISBLANK('Referenz Plattenwerk'!$I28)),'Referenz Plattenwerk'!$I28,'Referenz Plattenwerk'!$F28)*IF(NOT(ISBLANK('Eingabe EF'!$AE15)),'Eingabe EF'!$AE15,'Eingabe EF'!$AC15)</f>
        <v>0</v>
      </c>
      <c r="H154" s="38">
        <f>IF(NOT(ISBLANK('Referenz Plattenwerk'!$I28)),'Referenz Plattenwerk'!$I28,'Referenz Plattenwerk'!$F28)*IF(NOT(ISBLANK('Eingabe EF'!$AI15)),'Eingabe EF'!$AI15,'Eingabe EF'!$AG15)</f>
        <v>5.1658635600000009</v>
      </c>
      <c r="I154" s="17"/>
      <c r="J154" s="38">
        <f t="shared" si="22"/>
        <v>29.238941159999996</v>
      </c>
      <c r="K154" s="38">
        <f t="shared" si="21"/>
        <v>34.404804719999994</v>
      </c>
      <c r="L154" s="17" t="s">
        <v>198</v>
      </c>
      <c r="M154" s="43"/>
      <c r="N154" s="17"/>
      <c r="O154" s="17" t="s">
        <v>34</v>
      </c>
      <c r="P154" s="17" t="s">
        <v>464</v>
      </c>
      <c r="Q154" s="30"/>
      <c r="R154" s="17"/>
      <c r="S154" s="42">
        <f>IF(NOT(ISBLANK('Referenz Plattenwerk'!$I28)),'Referenz Plattenwerk'!$I28,'Referenz Plattenwerk'!$F28)*IF(NOT(ISBLANK('Eingabe Preise'!$K14)),'Eingabe Preise'!$K14,'Eingabe Preise'!$I14)</f>
        <v>12364.000000000002</v>
      </c>
      <c r="T154" s="20" t="s">
        <v>106</v>
      </c>
    </row>
    <row r="155" spans="2:21" ht="15.75" hidden="1" outlineLevel="1" x14ac:dyDescent="0.3">
      <c r="B155" s="17"/>
      <c r="C155" s="17" t="s">
        <v>75</v>
      </c>
      <c r="D155" s="17" t="s">
        <v>34</v>
      </c>
      <c r="E155" s="17"/>
      <c r="F155" s="38">
        <f>IF(NOT(ISBLANK('Referenz Plattenwerk'!$I29)),'Referenz Plattenwerk'!$I29,'Referenz Plattenwerk'!$F29)*IF(NOT(ISBLANK('Eingabe EF'!$AA15)),'Eingabe EF'!$AA15,'Eingabe EF'!$Y15)</f>
        <v>6.645213899999999</v>
      </c>
      <c r="G155" s="38">
        <f>IF(NOT(ISBLANK('Referenz Plattenwerk'!$I29)),'Referenz Plattenwerk'!$I29,'Referenz Plattenwerk'!$F29)*IF(NOT(ISBLANK('Eingabe EF'!$AE15)),'Eingabe EF'!$AE15,'Eingabe EF'!$AC15)</f>
        <v>0</v>
      </c>
      <c r="H155" s="38">
        <f>IF(NOT(ISBLANK('Referenz Plattenwerk'!$I29)),'Referenz Plattenwerk'!$I29,'Referenz Plattenwerk'!$F29)*IF(NOT(ISBLANK('Eingabe EF'!$AI15)),'Eingabe EF'!$AI15,'Eingabe EF'!$AG15)</f>
        <v>1.1740599000000003</v>
      </c>
      <c r="I155" s="17"/>
      <c r="J155" s="38">
        <f t="shared" si="22"/>
        <v>6.645213899999999</v>
      </c>
      <c r="K155" s="38">
        <f t="shared" si="21"/>
        <v>7.8192737999999995</v>
      </c>
      <c r="L155" s="17" t="s">
        <v>198</v>
      </c>
      <c r="M155" s="43"/>
      <c r="N155" s="17"/>
      <c r="O155" s="17" t="s">
        <v>34</v>
      </c>
      <c r="P155" s="17" t="s">
        <v>75</v>
      </c>
      <c r="Q155" s="30"/>
      <c r="R155" s="17"/>
      <c r="S155" s="42">
        <f>IF(NOT(ISBLANK('Referenz Plattenwerk'!$I29)),'Referenz Plattenwerk'!$I29,'Referenz Plattenwerk'!$F29)*IF(NOT(ISBLANK('Eingabe Preise'!$K14)),'Eingabe Preise'!$K14,'Eingabe Preise'!$I14)</f>
        <v>2810.0000000000005</v>
      </c>
      <c r="T155" s="20" t="s">
        <v>106</v>
      </c>
    </row>
    <row r="156" spans="2:21" s="73" customFormat="1" ht="14.25" hidden="1" outlineLevel="1" x14ac:dyDescent="0.25">
      <c r="B156" s="70"/>
      <c r="C156" s="70" t="s">
        <v>189</v>
      </c>
      <c r="D156" s="70"/>
      <c r="E156" s="70"/>
      <c r="F156" s="72">
        <f>F157+F158</f>
        <v>0</v>
      </c>
      <c r="G156" s="72">
        <f t="shared" ref="G156:H156" si="23">G157+G158</f>
        <v>0</v>
      </c>
      <c r="H156" s="72">
        <f t="shared" si="23"/>
        <v>469.15642799999995</v>
      </c>
      <c r="I156" s="70"/>
      <c r="J156" s="72">
        <f t="shared" si="22"/>
        <v>0</v>
      </c>
      <c r="K156" s="72">
        <f t="shared" si="21"/>
        <v>469.15642799999995</v>
      </c>
      <c r="L156" s="77" t="s">
        <v>197</v>
      </c>
      <c r="N156" s="21"/>
      <c r="O156" s="21"/>
      <c r="P156" s="21"/>
      <c r="Q156" s="74"/>
      <c r="R156" s="21"/>
      <c r="S156" s="21"/>
      <c r="T156" s="21"/>
      <c r="U156" s="6"/>
    </row>
    <row r="157" spans="2:21" ht="15.75" hidden="1" outlineLevel="1" x14ac:dyDescent="0.3">
      <c r="B157" s="17"/>
      <c r="C157" s="17"/>
      <c r="D157" s="17" t="s">
        <v>45</v>
      </c>
      <c r="E157" s="17"/>
      <c r="F157" s="38">
        <f>IF(NOT(ISBLANK('Referenz Plattenwerk'!$I32)),'Referenz Plattenwerk'!$I32,'Referenz Plattenwerk'!$F32)*IF(NOT(ISBLANK('Eingabe EF'!$AA17)),'Eingabe EF'!$AA17,'Eingabe EF'!$Y17)</f>
        <v>0</v>
      </c>
      <c r="G157" s="38">
        <f>IF(NOT(ISBLANK('Referenz Plattenwerk'!$I32)),'Referenz Plattenwerk'!$I32,'Referenz Plattenwerk'!$F32)*IF(NOT(ISBLANK('Eingabe EF'!$AE17)),'Eingabe EF'!$AE17,'Eingabe EF'!$AC17)</f>
        <v>0</v>
      </c>
      <c r="H157" s="38">
        <f>IF(NOT(ISBLANK('Referenz Plattenwerk'!$I32)),'Referenz Plattenwerk'!$I32,'Referenz Plattenwerk'!$F32)*IF(NOT(ISBLANK('Eingabe EF'!$AI17)),'Eingabe EF'!$AI17,'Eingabe EF'!$AG17)</f>
        <v>109.4698332</v>
      </c>
      <c r="I157" s="17"/>
      <c r="J157" s="38">
        <f t="shared" si="22"/>
        <v>0</v>
      </c>
      <c r="K157" s="38">
        <f t="shared" si="21"/>
        <v>109.4698332</v>
      </c>
      <c r="L157" s="17" t="s">
        <v>198</v>
      </c>
      <c r="M157" s="43"/>
      <c r="N157" s="17"/>
      <c r="O157" s="17"/>
      <c r="P157" s="17"/>
      <c r="Q157" s="30"/>
      <c r="R157" s="17"/>
      <c r="S157" s="17"/>
      <c r="T157" s="17"/>
    </row>
    <row r="158" spans="2:21" ht="15.75" hidden="1" outlineLevel="1" x14ac:dyDescent="0.3">
      <c r="B158" s="17"/>
      <c r="C158" s="17"/>
      <c r="D158" s="17" t="s">
        <v>46</v>
      </c>
      <c r="E158" s="17"/>
      <c r="F158" s="38">
        <f>IF(NOT(ISBLANK('Referenz Plattenwerk'!$I33)),'Referenz Plattenwerk'!$I33,'Referenz Plattenwerk'!$F33)*IF(NOT(ISBLANK('Eingabe EF'!$AA18)),'Eingabe EF'!$AA18,'Eingabe EF'!$Y18)</f>
        <v>0</v>
      </c>
      <c r="G158" s="38">
        <f>IF(NOT(ISBLANK('Referenz Plattenwerk'!$I33)),'Referenz Plattenwerk'!$I33,'Referenz Plattenwerk'!$F33)*IF(NOT(ISBLANK('Eingabe EF'!$AE18)),'Eingabe EF'!$AE18,'Eingabe EF'!$AC18)</f>
        <v>0</v>
      </c>
      <c r="H158" s="38">
        <f>IF(NOT(ISBLANK('Referenz Plattenwerk'!$I33)),'Referenz Plattenwerk'!$I33,'Referenz Plattenwerk'!$F33)*IF(NOT(ISBLANK('Eingabe EF'!$AI18)),'Eingabe EF'!$AI18,'Eingabe EF'!$AG18)</f>
        <v>359.68659479999997</v>
      </c>
      <c r="I158" s="17"/>
      <c r="J158" s="38">
        <f t="shared" si="22"/>
        <v>0</v>
      </c>
      <c r="K158" s="38">
        <f t="shared" si="21"/>
        <v>359.68659479999997</v>
      </c>
      <c r="L158" s="17" t="s">
        <v>198</v>
      </c>
      <c r="M158" s="43"/>
      <c r="N158" s="276"/>
      <c r="O158" s="17" t="s">
        <v>30</v>
      </c>
      <c r="P158" s="17"/>
      <c r="Q158" s="30"/>
      <c r="R158" s="17"/>
      <c r="S158" s="42">
        <v>0</v>
      </c>
      <c r="T158" s="20" t="s">
        <v>106</v>
      </c>
    </row>
    <row r="159" spans="2:21" hidden="1" outlineLevel="1" x14ac:dyDescent="0.2">
      <c r="B159" s="17"/>
      <c r="C159" s="17"/>
      <c r="D159" s="17"/>
      <c r="E159" s="17"/>
      <c r="F159" s="20"/>
      <c r="G159" s="20"/>
      <c r="H159" s="20"/>
      <c r="I159" s="17"/>
      <c r="J159" s="20"/>
      <c r="K159" s="20"/>
      <c r="L159" s="17"/>
      <c r="N159" s="276"/>
      <c r="O159" s="45" t="s">
        <v>153</v>
      </c>
      <c r="P159" s="17"/>
      <c r="Q159" s="30"/>
      <c r="R159" s="17"/>
      <c r="S159" s="42">
        <v>0</v>
      </c>
      <c r="T159" s="20" t="s">
        <v>106</v>
      </c>
    </row>
    <row r="160" spans="2:21" ht="14.25" hidden="1" outlineLevel="1" x14ac:dyDescent="0.25">
      <c r="B160" s="70"/>
      <c r="C160" s="70" t="s">
        <v>68</v>
      </c>
      <c r="D160" s="71"/>
      <c r="E160" s="71"/>
      <c r="F160" s="72">
        <f>SUM(F161:F164)</f>
        <v>0</v>
      </c>
      <c r="G160" s="72">
        <f>SUM(G161:G164)</f>
        <v>0</v>
      </c>
      <c r="H160" s="72">
        <f>SUM(H161:H164)</f>
        <v>4548.5439999999999</v>
      </c>
      <c r="I160" s="71"/>
      <c r="J160" s="72">
        <f t="shared" ref="J160:J164" si="24">F160+G160</f>
        <v>0</v>
      </c>
      <c r="K160" s="72">
        <f t="shared" ref="K160:K163" si="25">SUM(F160:H160)</f>
        <v>4548.5439999999999</v>
      </c>
      <c r="L160" s="77" t="s">
        <v>197</v>
      </c>
      <c r="N160" s="276"/>
      <c r="O160" s="45" t="s">
        <v>160</v>
      </c>
      <c r="P160" s="17"/>
      <c r="Q160" s="30"/>
      <c r="R160" s="17"/>
      <c r="S160" s="42">
        <v>0</v>
      </c>
      <c r="T160" s="20" t="s">
        <v>106</v>
      </c>
    </row>
    <row r="161" spans="2:20" ht="15.75" hidden="1" outlineLevel="1" x14ac:dyDescent="0.3">
      <c r="B161" s="17"/>
      <c r="C161" s="17"/>
      <c r="D161" s="17" t="s">
        <v>47</v>
      </c>
      <c r="E161" s="17"/>
      <c r="F161" s="38">
        <f>IF(NOT(ISBLANK('Referenz Plattenwerk'!$I36)),'Referenz Plattenwerk'!$I36,'Referenz Plattenwerk'!$F36)*IF(NOT(ISBLANK('Eingabe EF'!$AA21)),'Eingabe EF'!$AA21,'Eingabe EF'!$Y21)*IF(NOT(ISBLANK('Referenz Plattenwerk'!$I$12)),'Referenz Plattenwerk'!$I$12,'Referenz Plattenwerk'!$F$12)</f>
        <v>0</v>
      </c>
      <c r="G161" s="38">
        <f>IF(NOT(ISBLANK('Referenz Plattenwerk'!$I36)),'Referenz Plattenwerk'!$I36,'Referenz Plattenwerk'!$F36)*IF(NOT(ISBLANK('Eingabe EF'!$AE21)),'Eingabe EF'!$AE21,'Eingabe EF'!$AC21)*IF(NOT(ISBLANK('Referenz Plattenwerk'!$I$12)),'Referenz Plattenwerk'!$I$12,'Referenz Plattenwerk'!$F$12)</f>
        <v>0</v>
      </c>
      <c r="H161" s="38">
        <f>IF(NOT(ISBLANK('Referenz Plattenwerk'!$I36)),'Referenz Plattenwerk'!$I36,'Referenz Plattenwerk'!$F36)*IF(NOT(ISBLANK('Eingabe EF'!$AI21)),'Eingabe EF'!$AI21,'Eingabe EF'!$AG21)*IF(NOT(ISBLANK('Referenz Plattenwerk'!$I$12)),'Referenz Plattenwerk'!$I$12,'Referenz Plattenwerk'!$F$12)</f>
        <v>1210.3</v>
      </c>
      <c r="I161" s="17"/>
      <c r="J161" s="38">
        <f t="shared" si="24"/>
        <v>0</v>
      </c>
      <c r="K161" s="38">
        <f t="shared" si="25"/>
        <v>1210.3</v>
      </c>
      <c r="L161" s="17" t="s">
        <v>198</v>
      </c>
      <c r="M161" s="43"/>
      <c r="N161" s="17"/>
      <c r="O161" s="17"/>
      <c r="P161" s="17"/>
      <c r="Q161" s="17"/>
      <c r="R161" s="17"/>
      <c r="S161" s="17"/>
      <c r="T161" s="17"/>
    </row>
    <row r="162" spans="2:20" ht="15.75" hidden="1" outlineLevel="1" x14ac:dyDescent="0.3">
      <c r="B162" s="17"/>
      <c r="C162" s="17"/>
      <c r="D162" s="17" t="s">
        <v>49</v>
      </c>
      <c r="E162" s="17"/>
      <c r="F162" s="38">
        <f>IF(NOT(ISBLANK('Referenz Plattenwerk'!$I37)),'Referenz Plattenwerk'!$I37,'Referenz Plattenwerk'!$F37)*IF(NOT(ISBLANK('Eingabe EF'!$AA22)),'Eingabe EF'!$AA22,'Eingabe EF'!$Y22)*IF(NOT(ISBLANK('Referenz Plattenwerk'!$I$12)),'Referenz Plattenwerk'!$I$12,'Referenz Plattenwerk'!$F$12)</f>
        <v>0</v>
      </c>
      <c r="G162" s="38">
        <f>IF(NOT(ISBLANK('Referenz Plattenwerk'!$I37)),'Referenz Plattenwerk'!$I37,'Referenz Plattenwerk'!$F37)*IF(NOT(ISBLANK('Eingabe EF'!$AE22)),'Eingabe EF'!$AE22,'Eingabe EF'!$AC22)*IF(NOT(ISBLANK('Referenz Plattenwerk'!$I$12)),'Referenz Plattenwerk'!$I$12,'Referenz Plattenwerk'!$F$12)</f>
        <v>0</v>
      </c>
      <c r="H162" s="38">
        <f>IF(NOT(ISBLANK('Referenz Plattenwerk'!$I37)),'Referenz Plattenwerk'!$I37,'Referenz Plattenwerk'!$F37)*IF(NOT(ISBLANK('Eingabe EF'!$AI22)),'Eingabe EF'!$AI22,'Eingabe EF'!$AG22)*IF(NOT(ISBLANK('Referenz Plattenwerk'!$I$12)),'Referenz Plattenwerk'!$I$12,'Referenz Plattenwerk'!$F$12)</f>
        <v>2415.5039999999999</v>
      </c>
      <c r="I162" s="17"/>
      <c r="J162" s="38">
        <f t="shared" si="24"/>
        <v>0</v>
      </c>
      <c r="K162" s="38">
        <f t="shared" si="25"/>
        <v>2415.5039999999999</v>
      </c>
      <c r="L162" s="17" t="s">
        <v>198</v>
      </c>
      <c r="M162" s="43"/>
      <c r="N162" s="17"/>
      <c r="O162" s="17"/>
      <c r="P162" s="17"/>
      <c r="Q162" s="17"/>
      <c r="R162" s="17"/>
      <c r="S162" s="17"/>
      <c r="T162" s="17"/>
    </row>
    <row r="163" spans="2:20" ht="15.75" hidden="1" outlineLevel="1" x14ac:dyDescent="0.3">
      <c r="B163" s="17"/>
      <c r="C163" s="17"/>
      <c r="D163" s="17" t="s">
        <v>50</v>
      </c>
      <c r="E163" s="17"/>
      <c r="F163" s="38">
        <f>IF(NOT(ISBLANK('Referenz Plattenwerk'!$I38)),'Referenz Plattenwerk'!$I38,'Referenz Plattenwerk'!$F38)*IF(NOT(ISBLANK('Eingabe EF'!$AA23)),'Eingabe EF'!$AA23,'Eingabe EF'!$Y23)*IF(NOT(ISBLANK('Referenz Plattenwerk'!$I$12)),'Referenz Plattenwerk'!$I$12,'Referenz Plattenwerk'!$F$12)</f>
        <v>0</v>
      </c>
      <c r="G163" s="38">
        <f>IF(NOT(ISBLANK('Referenz Plattenwerk'!$I38)),'Referenz Plattenwerk'!$I38,'Referenz Plattenwerk'!$F38)*IF(NOT(ISBLANK('Eingabe EF'!$AE23)),'Eingabe EF'!$AE23,'Eingabe EF'!$AC23)*IF(NOT(ISBLANK('Referenz Plattenwerk'!$I$12)),'Referenz Plattenwerk'!$I$12,'Referenz Plattenwerk'!$F$12)</f>
        <v>0</v>
      </c>
      <c r="H163" s="38">
        <f>IF(NOT(ISBLANK('Referenz Plattenwerk'!$I38)),'Referenz Plattenwerk'!$I38,'Referenz Plattenwerk'!$F38)*IF(NOT(ISBLANK('Eingabe EF'!$AI23)),'Eingabe EF'!$AI23,'Eingabe EF'!$AG23)*IF(NOT(ISBLANK('Referenz Plattenwerk'!$I$12)),'Referenz Plattenwerk'!$I$12,'Referenz Plattenwerk'!$F$12)</f>
        <v>922.7399999999999</v>
      </c>
      <c r="I163" s="17"/>
      <c r="J163" s="38">
        <f t="shared" si="24"/>
        <v>0</v>
      </c>
      <c r="K163" s="38">
        <f t="shared" si="25"/>
        <v>922.7399999999999</v>
      </c>
      <c r="L163" s="17" t="s">
        <v>198</v>
      </c>
      <c r="M163" s="43"/>
      <c r="N163" s="17"/>
      <c r="O163" s="17" t="s">
        <v>200</v>
      </c>
      <c r="P163" s="17"/>
      <c r="Q163" s="30"/>
      <c r="R163" s="17"/>
      <c r="S163" s="42">
        <f>F199*IF(NOT(ISBLANK('Eingabe Preise'!$K21)),'Eingabe Preise'!$K21,'Eingabe Preise'!$I21)</f>
        <v>4271.9559777000004</v>
      </c>
      <c r="T163" s="20" t="s">
        <v>106</v>
      </c>
    </row>
    <row r="164" spans="2:20" ht="15.75" hidden="1" outlineLevel="1" x14ac:dyDescent="0.3">
      <c r="B164" s="17"/>
      <c r="C164" s="17"/>
      <c r="D164" s="17" t="s">
        <v>161</v>
      </c>
      <c r="E164" s="17"/>
      <c r="F164" s="38">
        <f>IF(NOT(ISBLANK('Referenz Plattenwerk'!$I39)),'Referenz Plattenwerk'!$I39,'Referenz Plattenwerk'!$F39)*IF(NOT(ISBLANK('Eingabe EF'!$AA24)),'Eingabe EF'!$AA24,0)*IF(NOT(ISBLANK('Referenz Plattenwerk'!$I$12)),'Referenz Plattenwerk'!$I$12,'Referenz Plattenwerk'!$F$12)</f>
        <v>0</v>
      </c>
      <c r="G164" s="38">
        <f>IF(NOT(ISBLANK('Referenz Plattenwerk'!$I39)),'Referenz Plattenwerk'!$I39,'Referenz Plattenwerk'!$F39)*IF(NOT(ISBLANK('Eingabe EF'!$AE24)),'Eingabe EF'!$AE24,0)*IF(NOT(ISBLANK('Referenz Plattenwerk'!$I$12)),'Referenz Plattenwerk'!$I$12,'Referenz Plattenwerk'!$F$12)</f>
        <v>0</v>
      </c>
      <c r="H164" s="38">
        <f>IF(NOT(ISBLANK('Referenz Plattenwerk'!$I39)),'Referenz Plattenwerk'!$I39,'Referenz Plattenwerk'!$F39)*IF(NOT(ISBLANK('Eingabe EF'!$AI24)),'Eingabe EF'!$AI24,0)*IF(NOT(ISBLANK('Referenz Plattenwerk'!$I$12)),'Referenz Plattenwerk'!$I$12,'Referenz Plattenwerk'!$F$12)</f>
        <v>0</v>
      </c>
      <c r="I164" s="17"/>
      <c r="J164" s="38">
        <f t="shared" si="24"/>
        <v>0</v>
      </c>
      <c r="K164" s="38">
        <f t="shared" ref="K164" si="26">SUM(F164:H164)</f>
        <v>0</v>
      </c>
      <c r="L164" s="17" t="s">
        <v>198</v>
      </c>
      <c r="M164" s="43"/>
      <c r="N164" s="17"/>
      <c r="O164" s="17" t="s">
        <v>201</v>
      </c>
      <c r="P164" s="17"/>
      <c r="Q164" s="30"/>
      <c r="R164" s="17"/>
      <c r="S164" s="42">
        <f>G199*IF(NOT(ISBLANK('Eingabe Preise'!$K22)),'Eingabe Preise'!$K22,'Eingabe Preise'!$I22)</f>
        <v>0</v>
      </c>
      <c r="T164" s="20" t="s">
        <v>106</v>
      </c>
    </row>
    <row r="165" spans="2:20" ht="15.75" hidden="1" outlineLevel="1" x14ac:dyDescent="0.3">
      <c r="B165" s="17"/>
      <c r="C165" s="17"/>
      <c r="D165" s="17"/>
      <c r="E165" s="17"/>
      <c r="F165" s="20"/>
      <c r="G165" s="20"/>
      <c r="H165" s="20"/>
      <c r="I165" s="17"/>
      <c r="J165" s="17"/>
      <c r="K165" s="20"/>
      <c r="L165" s="20"/>
      <c r="M165" s="43"/>
      <c r="N165" s="17"/>
      <c r="O165" s="17" t="s">
        <v>202</v>
      </c>
      <c r="P165" s="17"/>
      <c r="Q165" s="30"/>
      <c r="R165" s="17"/>
      <c r="S165" s="42">
        <f>H199*IF(NOT(ISBLANK('Eingabe Preise'!$K23)),'Eingabe Preise'!$K23,'Eingabe Preise'!$I23)</f>
        <v>262110.83052642836</v>
      </c>
      <c r="T165" s="20" t="s">
        <v>106</v>
      </c>
    </row>
    <row r="166" spans="2:20" ht="14.25" hidden="1" outlineLevel="1" x14ac:dyDescent="0.25">
      <c r="B166" s="70"/>
      <c r="C166" s="70" t="s">
        <v>177</v>
      </c>
      <c r="D166" s="71"/>
      <c r="E166" s="71"/>
      <c r="F166" s="72">
        <f>SUM(F167:F169)</f>
        <v>0</v>
      </c>
      <c r="G166" s="72">
        <f>SUM(G167:G169)</f>
        <v>0</v>
      </c>
      <c r="H166" s="72">
        <f>SUM(H167:H169)</f>
        <v>129.59200000000001</v>
      </c>
      <c r="I166" s="71"/>
      <c r="J166" s="72">
        <f t="shared" ref="J166" si="27">F166+G166</f>
        <v>0</v>
      </c>
      <c r="K166" s="72">
        <f t="shared" ref="K166" si="28">SUM(F166:H166)</f>
        <v>129.59200000000001</v>
      </c>
      <c r="L166" s="77" t="s">
        <v>197</v>
      </c>
      <c r="M166" s="43"/>
      <c r="N166" s="17"/>
      <c r="O166" s="17"/>
      <c r="P166" s="17"/>
      <c r="Q166" s="30"/>
      <c r="R166" s="17"/>
      <c r="S166" s="67"/>
      <c r="T166" s="17"/>
    </row>
    <row r="167" spans="2:20" ht="15.75" hidden="1" outlineLevel="1" x14ac:dyDescent="0.3">
      <c r="B167" s="17"/>
      <c r="C167" s="17"/>
      <c r="D167" s="17" t="s">
        <v>178</v>
      </c>
      <c r="E167" s="17"/>
      <c r="F167" s="38">
        <f>IF(NOT(ISBLANK('Referenz Plattenwerk'!$I42)),'Referenz Plattenwerk'!$I42,'Referenz Plattenwerk'!$F42)*IF(NOT(ISBLANK('Eingabe EF'!$AA27)),'Eingabe EF'!$AA27,'Eingabe EF'!$Y27)*IF(NOT(ISBLANK('Referenz Plattenwerk'!$I$12)),'Referenz Plattenwerk'!$I$12,'Referenz Plattenwerk'!$F$12)</f>
        <v>0</v>
      </c>
      <c r="G167" s="38">
        <f>IF(NOT(ISBLANK('Referenz Plattenwerk'!$I42)),'Referenz Plattenwerk'!$I42,'Referenz Plattenwerk'!$F42)*IF(NOT(ISBLANK('Eingabe EF'!$AE27)),'Eingabe EF'!$AE27,'Eingabe EF'!$AC27)*IF(NOT(ISBLANK('Referenz Plattenwerk'!$I$12)),'Referenz Plattenwerk'!$I$12,'Referenz Plattenwerk'!$F$12)</f>
        <v>0</v>
      </c>
      <c r="H167" s="38">
        <f>IF(NOT(ISBLANK('Referenz Plattenwerk'!$I42)),'Referenz Plattenwerk'!$I42,'Referenz Plattenwerk'!$F42)*IF(NOT(ISBLANK('Eingabe EF'!$AI27)),'Eingabe EF'!$AI27,'Eingabe EF'!$AG27)*IF(NOT(ISBLANK('Referenz Plattenwerk'!$I$12)),'Referenz Plattenwerk'!$I$12,'Referenz Plattenwerk'!$F$12)</f>
        <v>129.59200000000001</v>
      </c>
      <c r="I167" s="17"/>
      <c r="J167" s="38">
        <f>F167+G167</f>
        <v>0</v>
      </c>
      <c r="K167" s="38">
        <f>SUM(F167:H167)</f>
        <v>129.59200000000001</v>
      </c>
      <c r="L167" s="17" t="s">
        <v>198</v>
      </c>
      <c r="M167" s="43"/>
      <c r="N167" s="17"/>
      <c r="O167" s="17"/>
      <c r="P167" s="17"/>
      <c r="Q167" s="30"/>
      <c r="R167" s="17"/>
      <c r="S167" s="17"/>
      <c r="T167" s="17"/>
    </row>
    <row r="168" spans="2:20" ht="15.75" hidden="1" outlineLevel="1" x14ac:dyDescent="0.3">
      <c r="B168" s="17"/>
      <c r="C168" s="17"/>
      <c r="D168" s="17" t="s">
        <v>179</v>
      </c>
      <c r="E168" s="17"/>
      <c r="F168" s="38">
        <f>IF(NOT(ISBLANK('Referenz Plattenwerk'!$I43)),'Referenz Plattenwerk'!$I43,'Referenz Plattenwerk'!$F43)*IF(NOT(ISBLANK('Eingabe EF'!$AA28)),'Eingabe EF'!$AA28,0)*IF(NOT(ISBLANK('Referenz Plattenwerk'!$I$12)),'Referenz Plattenwerk'!$I$12,'Referenz Plattenwerk'!$F$12)</f>
        <v>0</v>
      </c>
      <c r="G168" s="38">
        <f>IF(NOT(ISBLANK('Referenz Plattenwerk'!$I43)),'Referenz Plattenwerk'!$I43,'Referenz Plattenwerk'!$F43)*IF(NOT(ISBLANK('Eingabe EF'!$AE28)),'Eingabe EF'!$AE28,0)*IF(NOT(ISBLANK('Referenz Plattenwerk'!$I$12)),'Referenz Plattenwerk'!$I$12,'Referenz Plattenwerk'!$F$12)</f>
        <v>0</v>
      </c>
      <c r="H168" s="38">
        <f>IF(NOT(ISBLANK('Referenz Plattenwerk'!$I43)),'Referenz Plattenwerk'!$I43,'Referenz Plattenwerk'!$F43)*IF(NOT(ISBLANK('Eingabe EF'!$AI28)),'Eingabe EF'!$AI28,0)*IF(NOT(ISBLANK('Referenz Plattenwerk'!$I$12)),'Referenz Plattenwerk'!$I$12,'Referenz Plattenwerk'!$F$12)</f>
        <v>0</v>
      </c>
      <c r="I168" s="17"/>
      <c r="J168" s="38">
        <f t="shared" ref="J168:J169" si="29">F168+G168</f>
        <v>0</v>
      </c>
      <c r="K168" s="38">
        <f t="shared" ref="K168:K169" si="30">SUM(F168:H168)</f>
        <v>0</v>
      </c>
      <c r="L168" s="17" t="s">
        <v>198</v>
      </c>
      <c r="M168" s="43"/>
      <c r="N168" s="17"/>
      <c r="O168" s="17"/>
      <c r="P168" s="17"/>
      <c r="Q168" s="30"/>
      <c r="R168" s="17"/>
      <c r="S168" s="67"/>
      <c r="T168" s="17"/>
    </row>
    <row r="169" spans="2:20" ht="15.75" hidden="1" outlineLevel="1" x14ac:dyDescent="0.3">
      <c r="B169" s="17"/>
      <c r="C169" s="17"/>
      <c r="D169" s="17" t="s">
        <v>180</v>
      </c>
      <c r="E169" s="17"/>
      <c r="F169" s="38">
        <f>IF(NOT(ISBLANK('Referenz Plattenwerk'!$I44)),'Referenz Plattenwerk'!$I44,'Referenz Plattenwerk'!$F44)*IF(NOT(ISBLANK('Eingabe EF'!$AA29)),'Eingabe EF'!$AA29,0)*IF(NOT(ISBLANK('Referenz Plattenwerk'!$I$12)),'Referenz Plattenwerk'!$I$12,'Referenz Plattenwerk'!$F$12)</f>
        <v>0</v>
      </c>
      <c r="G169" s="38">
        <f>IF(NOT(ISBLANK('Referenz Plattenwerk'!$I44)),'Referenz Plattenwerk'!$I44,'Referenz Plattenwerk'!$F44)*IF(NOT(ISBLANK('Eingabe EF'!$AE29)),'Eingabe EF'!$AE29,0)*IF(NOT(ISBLANK('Referenz Plattenwerk'!$I$12)),'Referenz Plattenwerk'!$I$12,'Referenz Plattenwerk'!$F$12)</f>
        <v>0</v>
      </c>
      <c r="H169" s="38">
        <f>IF(NOT(ISBLANK('Referenz Plattenwerk'!$I44)),'Referenz Plattenwerk'!$I44,'Referenz Plattenwerk'!$F44)*IF(NOT(ISBLANK('Eingabe EF'!$AI29)),'Eingabe EF'!$AI29,0)*IF(NOT(ISBLANK('Referenz Plattenwerk'!$I$12)),'Referenz Plattenwerk'!$I$12,'Referenz Plattenwerk'!$F$12)</f>
        <v>0</v>
      </c>
      <c r="I169" s="17"/>
      <c r="J169" s="38">
        <f t="shared" si="29"/>
        <v>0</v>
      </c>
      <c r="K169" s="38">
        <f t="shared" si="30"/>
        <v>0</v>
      </c>
      <c r="L169" s="17" t="s">
        <v>198</v>
      </c>
      <c r="M169" s="43"/>
      <c r="N169" s="43"/>
      <c r="O169" s="43"/>
      <c r="P169" s="43"/>
      <c r="Q169" s="43"/>
      <c r="R169" s="43"/>
      <c r="S169" s="43"/>
    </row>
    <row r="170" spans="2:20" hidden="1" outlineLevel="1" x14ac:dyDescent="0.2">
      <c r="B170" s="17"/>
      <c r="C170" s="17"/>
      <c r="D170" s="17"/>
      <c r="E170" s="17"/>
      <c r="F170" s="20"/>
      <c r="G170" s="20"/>
      <c r="H170" s="20"/>
      <c r="I170" s="17"/>
      <c r="J170" s="17"/>
      <c r="K170" s="20"/>
      <c r="L170" s="20"/>
      <c r="M170" s="43"/>
      <c r="N170" s="43"/>
      <c r="O170" s="43"/>
      <c r="P170" s="43"/>
      <c r="Q170" s="43"/>
      <c r="R170" s="43"/>
      <c r="S170" s="43"/>
    </row>
    <row r="171" spans="2:20" ht="14.25" hidden="1" outlineLevel="1" x14ac:dyDescent="0.25">
      <c r="B171" s="17"/>
      <c r="C171" s="17"/>
      <c r="D171" s="21" t="s">
        <v>57</v>
      </c>
      <c r="E171" s="21"/>
      <c r="F171" s="75">
        <f>IF(NOT(ISBLANK('Referenz Plattenwerk'!$I46)),'Referenz Plattenwerk'!$I46,'Referenz Plattenwerk'!$F46)*IF(NOT(ISBLANK('Eingabe EF'!$AA31)),'Eingabe EF'!$AA31,'Eingabe EF'!$Y31)*IF(NOT(ISBLANK('Referenz Plattenwerk'!$I$12)),'Referenz Plattenwerk'!$I$12,'Referenz Plattenwerk'!$F$12)</f>
        <v>0</v>
      </c>
      <c r="G171" s="75">
        <f>IF(NOT(ISBLANK('Referenz Plattenwerk'!$I46)),'Referenz Plattenwerk'!$I46,'Referenz Plattenwerk'!$F46)*IF(NOT(ISBLANK('Eingabe EF'!$AE31)),'Eingabe EF'!$AE31,'Eingabe EF'!$AC31)*IF(NOT(ISBLANK('Referenz Plattenwerk'!$I$12)),'Referenz Plattenwerk'!$I$12,'Referenz Plattenwerk'!$F$12)</f>
        <v>0</v>
      </c>
      <c r="H171" s="75">
        <f>IF(NOT(ISBLANK('Referenz Plattenwerk'!$I46)),'Referenz Plattenwerk'!$I46,'Referenz Plattenwerk'!$F46)*IF(NOT(ISBLANK('Eingabe EF'!$AI31)),'Eingabe EF'!$AI31,'Eingabe EF'!$AG31)*IF(NOT(ISBLANK('Referenz Plattenwerk'!$I$12)),'Referenz Plattenwerk'!$I$12,'Referenz Plattenwerk'!$F$12)</f>
        <v>208</v>
      </c>
      <c r="I171" s="21"/>
      <c r="J171" s="75">
        <f>F171+G171</f>
        <v>0</v>
      </c>
      <c r="K171" s="75">
        <f t="shared" ref="K171" si="31">SUM(F171:H171)</f>
        <v>208</v>
      </c>
      <c r="L171" s="21" t="s">
        <v>197</v>
      </c>
      <c r="M171" s="43"/>
      <c r="Q171" s="43"/>
      <c r="R171" s="43"/>
      <c r="S171" s="43"/>
    </row>
    <row r="172" spans="2:20" hidden="1" outlineLevel="1" x14ac:dyDescent="0.2">
      <c r="B172" s="17"/>
      <c r="C172" s="17"/>
      <c r="D172" s="17"/>
      <c r="E172" s="17"/>
      <c r="F172" s="20"/>
      <c r="G172" s="20"/>
      <c r="H172" s="20"/>
      <c r="I172" s="17"/>
      <c r="J172" s="17"/>
      <c r="K172" s="20"/>
      <c r="L172" s="20"/>
      <c r="M172" s="43"/>
      <c r="Q172" s="43"/>
      <c r="R172" s="43"/>
      <c r="S172" s="43"/>
    </row>
    <row r="173" spans="2:20" ht="14.25" hidden="1" outlineLevel="1" x14ac:dyDescent="0.25">
      <c r="B173" s="70"/>
      <c r="C173" s="70" t="s">
        <v>181</v>
      </c>
      <c r="D173" s="71"/>
      <c r="E173" s="71"/>
      <c r="F173" s="72">
        <f>SUM(F174:F176)</f>
        <v>0</v>
      </c>
      <c r="G173" s="72">
        <f>SUM(G174:G176)</f>
        <v>0</v>
      </c>
      <c r="H173" s="72">
        <f>SUM(H174:H176)</f>
        <v>81.003999999999991</v>
      </c>
      <c r="I173" s="71"/>
      <c r="J173" s="72">
        <f t="shared" ref="J173" si="32">F173+G173</f>
        <v>0</v>
      </c>
      <c r="K173" s="72">
        <f t="shared" ref="K173" si="33">SUM(F173:H173)</f>
        <v>81.003999999999991</v>
      </c>
      <c r="L173" s="77" t="s">
        <v>197</v>
      </c>
      <c r="M173" s="43"/>
      <c r="Q173" s="43"/>
      <c r="R173" s="43"/>
      <c r="S173" s="43"/>
    </row>
    <row r="174" spans="2:20" ht="15.75" hidden="1" outlineLevel="1" x14ac:dyDescent="0.3">
      <c r="B174" s="17"/>
      <c r="C174" s="17"/>
      <c r="D174" s="17" t="s">
        <v>59</v>
      </c>
      <c r="E174" s="17"/>
      <c r="F174" s="38">
        <f>IF(NOT(ISBLANK('Referenz Plattenwerk'!$I49)),'Referenz Plattenwerk'!$I49,'Referenz Plattenwerk'!$F49)*IF(NOT(ISBLANK('Eingabe EF'!$AA34)),'Eingabe EF'!$AA34,'Eingabe EF'!$Y34)*IF(NOT(ISBLANK('Referenz Plattenwerk'!$I$12)),'Referenz Plattenwerk'!$I$12,'Referenz Plattenwerk'!$F$12)</f>
        <v>0</v>
      </c>
      <c r="G174" s="38">
        <f>IF(NOT(ISBLANK('Referenz Plattenwerk'!$I49)),'Referenz Plattenwerk'!$I49,'Referenz Plattenwerk'!$F49)*IF(NOT(ISBLANK('Eingabe EF'!$AE34)),'Eingabe EF'!$AE34,'Eingabe EF'!$AC34)*IF(NOT(ISBLANK('Referenz Plattenwerk'!$I$12)),'Referenz Plattenwerk'!$I$12,'Referenz Plattenwerk'!$F$12)</f>
        <v>0</v>
      </c>
      <c r="H174" s="38">
        <f>IF(NOT(ISBLANK('Referenz Plattenwerk'!$I49)),'Referenz Plattenwerk'!$I49,'Referenz Plattenwerk'!$F49)*IF(NOT(ISBLANK('Eingabe EF'!$AI34)),'Eingabe EF'!$AI34,'Eingabe EF'!$AG34)*IF(NOT(ISBLANK('Referenz Plattenwerk'!$I$12)),'Referenz Plattenwerk'!$I$12,'Referenz Plattenwerk'!$F$12)</f>
        <v>0</v>
      </c>
      <c r="I174" s="17"/>
      <c r="J174" s="38">
        <f>F174+G174</f>
        <v>0</v>
      </c>
      <c r="K174" s="38">
        <f>SUM(F174:H174)</f>
        <v>0</v>
      </c>
      <c r="L174" s="17" t="s">
        <v>198</v>
      </c>
      <c r="M174" s="43"/>
      <c r="Q174" s="43"/>
      <c r="R174" s="43"/>
      <c r="S174" s="43"/>
    </row>
    <row r="175" spans="2:20" ht="15.75" hidden="1" outlineLevel="1" x14ac:dyDescent="0.3">
      <c r="B175" s="17"/>
      <c r="C175" s="17"/>
      <c r="D175" s="17" t="s">
        <v>60</v>
      </c>
      <c r="E175" s="17"/>
      <c r="F175" s="38">
        <f>IF(NOT(ISBLANK('Referenz Plattenwerk'!$I50)),'Referenz Plattenwerk'!$I50,'Referenz Plattenwerk'!$F50)*IF(NOT(ISBLANK('Eingabe EF'!$AA35)),'Eingabe EF'!$AA35,'Eingabe EF'!$Y35)*IF(NOT(ISBLANK('Referenz Plattenwerk'!$I$12)),'Referenz Plattenwerk'!$I$12,'Referenz Plattenwerk'!$F$12)</f>
        <v>0</v>
      </c>
      <c r="G175" s="38">
        <f>IF(NOT(ISBLANK('Referenz Plattenwerk'!$I50)),'Referenz Plattenwerk'!$I50,'Referenz Plattenwerk'!$F50)*IF(NOT(ISBLANK('Eingabe EF'!$AE35)),'Eingabe EF'!$AE35,'Eingabe EF'!$AC35)*IF(NOT(ISBLANK('Referenz Plattenwerk'!$I$12)),'Referenz Plattenwerk'!$I$12,'Referenz Plattenwerk'!$F$12)</f>
        <v>0</v>
      </c>
      <c r="H175" s="38">
        <f>IF(NOT(ISBLANK('Referenz Plattenwerk'!$I50)),'Referenz Plattenwerk'!$I50,'Referenz Plattenwerk'!$F50)*IF(NOT(ISBLANK('Eingabe EF'!$AI35)),'Eingabe EF'!$AI35,'Eingabe EF'!$AG35)*IF(NOT(ISBLANK('Referenz Plattenwerk'!$I$12)),'Referenz Plattenwerk'!$I$12,'Referenz Plattenwerk'!$F$12)</f>
        <v>8.6840000000000011</v>
      </c>
      <c r="I175" s="17"/>
      <c r="J175" s="38">
        <f>F175+G175</f>
        <v>0</v>
      </c>
      <c r="K175" s="38">
        <f>SUM(F175:H175)</f>
        <v>8.6840000000000011</v>
      </c>
      <c r="L175" s="17" t="s">
        <v>198</v>
      </c>
      <c r="M175" s="43"/>
      <c r="Q175" s="43"/>
      <c r="R175" s="43"/>
      <c r="S175" s="43"/>
    </row>
    <row r="176" spans="2:20" ht="15.75" hidden="1" outlineLevel="1" x14ac:dyDescent="0.3">
      <c r="B176" s="17"/>
      <c r="C176" s="17"/>
      <c r="D176" s="17" t="s">
        <v>61</v>
      </c>
      <c r="E176" s="17"/>
      <c r="F176" s="38">
        <f>IF(NOT(ISBLANK('Referenz Plattenwerk'!$I51)),'Referenz Plattenwerk'!$I51,'Referenz Plattenwerk'!$F51)*IF(NOT(ISBLANK('Eingabe EF'!$AA36)),'Eingabe EF'!$AA36,'Eingabe EF'!$Y36)*IF(NOT(ISBLANK('Referenz Plattenwerk'!$I$12)),'Referenz Plattenwerk'!$I$12,'Referenz Plattenwerk'!$F$12)</f>
        <v>0</v>
      </c>
      <c r="G176" s="38">
        <f>IF(NOT(ISBLANK('Referenz Plattenwerk'!$I51)),'Referenz Plattenwerk'!$I51,'Referenz Plattenwerk'!$F51)*IF(NOT(ISBLANK('Eingabe EF'!$AE36)),'Eingabe EF'!$AE36,'Eingabe EF'!$AC36)*IF(NOT(ISBLANK('Referenz Plattenwerk'!$I$12)),'Referenz Plattenwerk'!$I$12,'Referenz Plattenwerk'!$F$12)</f>
        <v>0</v>
      </c>
      <c r="H176" s="38">
        <f>IF(NOT(ISBLANK('Referenz Plattenwerk'!$I51)),'Referenz Plattenwerk'!$I51,'Referenz Plattenwerk'!$F51)*IF(NOT(ISBLANK('Eingabe EF'!$AI36)),'Eingabe EF'!$AI36,'Eingabe EF'!$AG36)*IF(NOT(ISBLANK('Referenz Plattenwerk'!$I$12)),'Referenz Plattenwerk'!$I$12,'Referenz Plattenwerk'!$F$12)</f>
        <v>72.319999999999993</v>
      </c>
      <c r="I176" s="17"/>
      <c r="J176" s="38">
        <f>F176+G176</f>
        <v>0</v>
      </c>
      <c r="K176" s="38">
        <f>SUM(F176:H176)</f>
        <v>72.319999999999993</v>
      </c>
      <c r="L176" s="17" t="s">
        <v>198</v>
      </c>
      <c r="M176" s="43"/>
      <c r="Q176" s="43"/>
      <c r="R176" s="43"/>
      <c r="S176" s="43"/>
    </row>
    <row r="177" spans="2:19" hidden="1" outlineLevel="1" x14ac:dyDescent="0.2">
      <c r="B177" s="17"/>
      <c r="C177" s="17"/>
      <c r="D177" s="17"/>
      <c r="E177" s="17"/>
      <c r="F177" s="20"/>
      <c r="G177" s="20"/>
      <c r="H177" s="20"/>
      <c r="I177" s="17"/>
      <c r="J177" s="17"/>
      <c r="K177" s="20"/>
      <c r="L177" s="20"/>
      <c r="M177" s="43"/>
      <c r="N177" s="43"/>
      <c r="O177" s="43"/>
      <c r="P177" s="43"/>
      <c r="Q177" s="43"/>
      <c r="R177" s="43"/>
      <c r="S177" s="43"/>
    </row>
    <row r="178" spans="2:19" ht="14.25" hidden="1" outlineLevel="1" x14ac:dyDescent="0.25">
      <c r="B178" s="70"/>
      <c r="C178" s="70" t="s">
        <v>51</v>
      </c>
      <c r="D178" s="71"/>
      <c r="E178" s="71"/>
      <c r="F178" s="72">
        <f>SUM(F179:F182)</f>
        <v>0</v>
      </c>
      <c r="G178" s="72">
        <f>SUM(G179:G182)</f>
        <v>0</v>
      </c>
      <c r="H178" s="72">
        <f>SUM(H179:H182)</f>
        <v>148.44746134951595</v>
      </c>
      <c r="I178" s="71"/>
      <c r="J178" s="72">
        <f t="shared" ref="J178:J182" si="34">F178+G178</f>
        <v>0</v>
      </c>
      <c r="K178" s="72">
        <f t="shared" ref="K178" si="35">SUM(F178:H178)</f>
        <v>148.44746134951595</v>
      </c>
      <c r="L178" s="77" t="s">
        <v>197</v>
      </c>
      <c r="M178" s="43"/>
      <c r="N178" s="43"/>
      <c r="O178" s="43"/>
      <c r="P178" s="43"/>
      <c r="Q178" s="43"/>
      <c r="R178" s="43"/>
      <c r="S178" s="43"/>
    </row>
    <row r="179" spans="2:19" ht="15.75" hidden="1" outlineLevel="1" x14ac:dyDescent="0.3">
      <c r="B179" s="17"/>
      <c r="C179" s="17"/>
      <c r="D179" s="17" t="s">
        <v>52</v>
      </c>
      <c r="E179" s="17"/>
      <c r="F179"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79"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79"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79" s="17"/>
      <c r="J179" s="38">
        <f t="shared" si="34"/>
        <v>0</v>
      </c>
      <c r="K179" s="38">
        <f t="shared" ref="K179:K182" si="36">SUM(F179:H179)</f>
        <v>47.997919375812742</v>
      </c>
      <c r="L179" s="17" t="s">
        <v>198</v>
      </c>
      <c r="M179" s="43"/>
      <c r="N179" s="43"/>
      <c r="O179" s="43"/>
      <c r="P179" s="43"/>
      <c r="Q179" s="43"/>
      <c r="R179" s="43"/>
      <c r="S179" s="43"/>
    </row>
    <row r="180" spans="2:19" ht="15.75" hidden="1" outlineLevel="1" x14ac:dyDescent="0.3">
      <c r="B180" s="17"/>
      <c r="C180" s="17"/>
      <c r="D180" s="17" t="s">
        <v>54</v>
      </c>
      <c r="E180" s="17"/>
      <c r="F180"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80"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80"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80" s="17"/>
      <c r="J180" s="38">
        <f t="shared" si="34"/>
        <v>0</v>
      </c>
      <c r="K180" s="38">
        <f t="shared" si="36"/>
        <v>5.7797543707556596</v>
      </c>
      <c r="L180" s="17" t="s">
        <v>198</v>
      </c>
      <c r="M180" s="43"/>
      <c r="N180" s="43"/>
      <c r="O180" s="43"/>
      <c r="P180" s="43"/>
      <c r="Q180" s="43"/>
      <c r="R180" s="43"/>
      <c r="S180" s="43"/>
    </row>
    <row r="181" spans="2:19" ht="15.75" hidden="1" outlineLevel="1" x14ac:dyDescent="0.3">
      <c r="B181" s="17"/>
      <c r="C181" s="17"/>
      <c r="D181" s="17" t="s">
        <v>55</v>
      </c>
      <c r="E181" s="17"/>
      <c r="F181"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81"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81"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81" s="17"/>
      <c r="J181" s="38">
        <f t="shared" si="34"/>
        <v>0</v>
      </c>
      <c r="K181" s="38">
        <f t="shared" si="36"/>
        <v>1.4217598612917211E-2</v>
      </c>
      <c r="L181" s="17" t="s">
        <v>198</v>
      </c>
      <c r="M181" s="43"/>
      <c r="N181" s="43"/>
      <c r="O181" s="43"/>
      <c r="P181" s="43"/>
      <c r="Q181" s="43"/>
      <c r="R181" s="43"/>
      <c r="S181" s="43"/>
    </row>
    <row r="182" spans="2:19" ht="15.75" hidden="1" outlineLevel="1" x14ac:dyDescent="0.3">
      <c r="B182" s="17"/>
      <c r="C182" s="17"/>
      <c r="D182" s="17" t="s">
        <v>56</v>
      </c>
      <c r="E182" s="17"/>
      <c r="F182"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82"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82"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82" s="17"/>
      <c r="J182" s="38">
        <f t="shared" si="34"/>
        <v>0</v>
      </c>
      <c r="K182" s="38">
        <f t="shared" si="36"/>
        <v>94.655570004334635</v>
      </c>
      <c r="L182" s="17" t="s">
        <v>198</v>
      </c>
      <c r="M182" s="43"/>
      <c r="N182" s="43"/>
      <c r="O182" s="43"/>
      <c r="P182" s="43"/>
      <c r="Q182" s="43"/>
      <c r="R182" s="43"/>
      <c r="S182" s="43"/>
    </row>
    <row r="183" spans="2:19" hidden="1" outlineLevel="1" x14ac:dyDescent="0.2">
      <c r="B183" s="17"/>
      <c r="C183" s="17"/>
      <c r="D183" s="17"/>
      <c r="E183" s="17"/>
      <c r="F183" s="20"/>
      <c r="G183" s="20"/>
      <c r="H183" s="20"/>
      <c r="I183" s="17"/>
      <c r="J183" s="20"/>
      <c r="K183" s="20"/>
      <c r="L183" s="17"/>
      <c r="M183" s="43"/>
      <c r="N183" s="43"/>
      <c r="O183" s="43"/>
      <c r="P183" s="43"/>
      <c r="Q183" s="43"/>
      <c r="R183" s="43"/>
      <c r="S183" s="43"/>
    </row>
    <row r="184" spans="2:19" ht="14.25" hidden="1" outlineLevel="1" x14ac:dyDescent="0.25">
      <c r="B184" s="17"/>
      <c r="C184" s="17"/>
      <c r="D184" s="21" t="s">
        <v>110</v>
      </c>
      <c r="E184" s="21"/>
      <c r="F184" s="75">
        <f>IF(NOT(ISBLANK('Referenz Plattenwerk'!$I59)),'Referenz Plattenwerk'!$I59,'Referenz Plattenwerk'!$F59)*IF(NOT(ISBLANK('Eingabe EF'!$AA44)),'Eingabe EF'!$AA44,0)*IF(NOT(ISBLANK('Referenz Plattenwerk'!$I$12)),'Referenz Plattenwerk'!$I$12,'Referenz Plattenwerk'!$F$12)</f>
        <v>0</v>
      </c>
      <c r="G184" s="75">
        <f>IF(NOT(ISBLANK('Referenz Plattenwerk'!$I59)),'Referenz Plattenwerk'!$I59,'Referenz Plattenwerk'!$F59)*IF(NOT(ISBLANK('Eingabe EF'!$AE44)),'Eingabe EF'!$AE44,0)*IF(NOT(ISBLANK('Referenz Plattenwerk'!$I$12)),'Referenz Plattenwerk'!$I$12,'Referenz Plattenwerk'!$F$12)</f>
        <v>0</v>
      </c>
      <c r="H184" s="75">
        <f>IF(NOT(ISBLANK('Referenz Plattenwerk'!$I59)),'Referenz Plattenwerk'!$I59,'Referenz Plattenwerk'!$F59)*IF(NOT(ISBLANK('Eingabe EF'!$AI44)),'Eingabe EF'!$AI44,0)*IF(NOT(ISBLANK('Referenz Plattenwerk'!$I$12)),'Referenz Plattenwerk'!$I$12,'Referenz Plattenwerk'!$F$12)</f>
        <v>0</v>
      </c>
      <c r="I184" s="21"/>
      <c r="J184" s="75">
        <f>F184+G184</f>
        <v>0</v>
      </c>
      <c r="K184" s="75">
        <f>SUM(F184:H184)</f>
        <v>0</v>
      </c>
      <c r="L184" s="21" t="s">
        <v>197</v>
      </c>
      <c r="M184" s="43"/>
      <c r="N184" s="43"/>
      <c r="O184" s="43"/>
      <c r="P184" s="43"/>
      <c r="Q184" s="43"/>
      <c r="R184" s="43"/>
      <c r="S184" s="43"/>
    </row>
    <row r="185" spans="2:19" ht="14.25" hidden="1" outlineLevel="1" x14ac:dyDescent="0.25">
      <c r="B185" s="17"/>
      <c r="C185" s="17"/>
      <c r="D185" s="21" t="s">
        <v>64</v>
      </c>
      <c r="E185" s="21"/>
      <c r="F185" s="75">
        <f>IF(NOT(ISBLANK('Referenz Plattenwerk'!$I60)),'Referenz Plattenwerk'!$I60,'Referenz Plattenwerk'!$F60)*IF(NOT(ISBLANK('Eingabe EF'!$AA45)),'Eingabe EF'!$AA45,'Eingabe EF'!$Y45)</f>
        <v>0</v>
      </c>
      <c r="G185" s="75">
        <f>IF(NOT(ISBLANK('Referenz Plattenwerk'!$I60)),'Referenz Plattenwerk'!$I60,'Referenz Plattenwerk'!$F60)*IF(NOT(ISBLANK('Eingabe EF'!$AE45)),'Eingabe EF'!$AE45,'Eingabe EF'!$AC45)</f>
        <v>0</v>
      </c>
      <c r="H185" s="75">
        <f>IF(NOT(ISBLANK('Referenz Plattenwerk'!$I60)),'Referenz Plattenwerk'!$I60,'Referenz Plattenwerk'!$F60)*IF(NOT(ISBLANK('Eingabe EF'!$AI45)),'Eingabe EF'!$AI45,'Eingabe EF'!$AG45)</f>
        <v>0.54400000000000004</v>
      </c>
      <c r="I185" s="21"/>
      <c r="J185" s="75">
        <f>F185+G185</f>
        <v>0</v>
      </c>
      <c r="K185" s="75">
        <f>SUM(F185:H185)</f>
        <v>0.54400000000000004</v>
      </c>
      <c r="L185" s="21" t="s">
        <v>197</v>
      </c>
      <c r="M185" s="43"/>
      <c r="N185" s="43"/>
      <c r="O185" s="43"/>
      <c r="P185" s="43"/>
      <c r="Q185" s="43"/>
      <c r="R185" s="43"/>
      <c r="S185" s="43"/>
    </row>
    <row r="186" spans="2:19" hidden="1" outlineLevel="1" x14ac:dyDescent="0.2">
      <c r="B186" s="17"/>
      <c r="C186" s="17"/>
      <c r="D186" s="17"/>
      <c r="E186" s="17"/>
      <c r="F186" s="20"/>
      <c r="G186" s="20"/>
      <c r="H186" s="20"/>
      <c r="I186" s="17"/>
      <c r="J186" s="20"/>
      <c r="K186" s="20"/>
      <c r="L186" s="17"/>
      <c r="M186" s="43"/>
      <c r="N186" s="43"/>
      <c r="O186" s="43"/>
      <c r="P186" s="43"/>
      <c r="Q186" s="43"/>
      <c r="R186" s="43"/>
      <c r="S186" s="43"/>
    </row>
    <row r="187" spans="2:19" ht="14.25" hidden="1" outlineLevel="1" x14ac:dyDescent="0.25">
      <c r="B187" s="70"/>
      <c r="C187" s="70" t="s">
        <v>182</v>
      </c>
      <c r="D187" s="71"/>
      <c r="E187" s="71"/>
      <c r="F187" s="72">
        <f>SUM(F188:F190)</f>
        <v>0</v>
      </c>
      <c r="G187" s="72">
        <f>SUM(G188:G190)</f>
        <v>0</v>
      </c>
      <c r="H187" s="72">
        <f>SUM(H188:H190)</f>
        <v>80.47999999999999</v>
      </c>
      <c r="I187" s="71"/>
      <c r="J187" s="72">
        <f t="shared" ref="J187:J190" si="37">F187+G187</f>
        <v>0</v>
      </c>
      <c r="K187" s="72">
        <f t="shared" ref="K187" si="38">SUM(F187:H187)</f>
        <v>80.47999999999999</v>
      </c>
      <c r="L187" s="77" t="s">
        <v>197</v>
      </c>
      <c r="M187" s="43"/>
      <c r="N187" s="43"/>
      <c r="O187" s="43"/>
      <c r="P187" s="43"/>
      <c r="Q187" s="43"/>
      <c r="R187" s="43"/>
      <c r="S187" s="43"/>
    </row>
    <row r="188" spans="2:19" ht="15.75" hidden="1" outlineLevel="1" x14ac:dyDescent="0.3">
      <c r="B188" s="17"/>
      <c r="C188" s="17"/>
      <c r="D188" s="17" t="s">
        <v>183</v>
      </c>
      <c r="E188" s="17"/>
      <c r="F188" s="38">
        <f>IF(NOT(ISBLANK('Referenz Plattenwerk'!$I63)),'Referenz Plattenwerk'!$I63,'Referenz Plattenwerk'!$F63)*IF(NOT(ISBLANK('Eingabe EF'!$AA48)),'Eingabe EF'!$AA48,0)*IF(NOT(ISBLANK('Referenz Plattenwerk'!$I$12)),'Referenz Plattenwerk'!$I$12,'Referenz Plattenwerk'!$F$12)</f>
        <v>0</v>
      </c>
      <c r="G188" s="38">
        <f>IF(NOT(ISBLANK('Referenz Plattenwerk'!$I63)),'Referenz Plattenwerk'!$I63,'Referenz Plattenwerk'!$F63)*IF(NOT(ISBLANK('Eingabe EF'!$AE48)),'Eingabe EF'!$AE48,0)*IF(NOT(ISBLANK('Referenz Plattenwerk'!$I$12)),'Referenz Plattenwerk'!$I$12,'Referenz Plattenwerk'!$F$12)</f>
        <v>0</v>
      </c>
      <c r="H188" s="38">
        <f>IF(NOT(ISBLANK('Referenz Plattenwerk'!$I63)),'Referenz Plattenwerk'!$I63,'Referenz Plattenwerk'!$F63)*IF(NOT(ISBLANK('Eingabe EF'!$AI48)),'Eingabe EF'!$AI48,0)*IF(NOT(ISBLANK('Referenz Plattenwerk'!$I$12)),'Referenz Plattenwerk'!$I$12,'Referenz Plattenwerk'!$F$12)</f>
        <v>0</v>
      </c>
      <c r="I188" s="17"/>
      <c r="J188" s="38">
        <f t="shared" si="37"/>
        <v>0</v>
      </c>
      <c r="K188" s="38">
        <f t="shared" ref="K188:K190" si="39">SUM(F188:H188)</f>
        <v>0</v>
      </c>
      <c r="L188" s="17" t="s">
        <v>198</v>
      </c>
      <c r="M188" s="43"/>
      <c r="N188" s="43"/>
      <c r="O188" s="43"/>
      <c r="P188" s="43"/>
      <c r="Q188" s="43"/>
      <c r="R188" s="43"/>
      <c r="S188" s="43"/>
    </row>
    <row r="189" spans="2:19" ht="15.75" hidden="1" outlineLevel="1" x14ac:dyDescent="0.3">
      <c r="B189" s="17"/>
      <c r="C189" s="17"/>
      <c r="D189" s="17" t="s">
        <v>62</v>
      </c>
      <c r="E189" s="17"/>
      <c r="F189" s="38">
        <f>IF(NOT(ISBLANK('Referenz Plattenwerk'!$I64)),'Referenz Plattenwerk'!$I64,'Referenz Plattenwerk'!$F64)*IF(NOT(ISBLANK('Eingabe EF'!$AA49)),'Eingabe EF'!$AA49,'Eingabe EF'!$Y49)*IF(NOT(ISBLANK('Referenz Plattenwerk'!$I$12)),'Referenz Plattenwerk'!$I$12,'Referenz Plattenwerk'!$F$12)</f>
        <v>0</v>
      </c>
      <c r="G189" s="38">
        <f>IF(NOT(ISBLANK('Referenz Plattenwerk'!$I64)),'Referenz Plattenwerk'!$I64,'Referenz Plattenwerk'!$F64)*IF(NOT(ISBLANK('Eingabe EF'!$AE49)),'Eingabe EF'!$AE49,'Eingabe EF'!$AC49)*IF(NOT(ISBLANK('Referenz Plattenwerk'!$I$12)),'Referenz Plattenwerk'!$I$12,'Referenz Plattenwerk'!$F$12)</f>
        <v>0</v>
      </c>
      <c r="H189" s="38">
        <f>IF(NOT(ISBLANK('Referenz Plattenwerk'!$I64)),'Referenz Plattenwerk'!$I64,'Referenz Plattenwerk'!$F64)*IF(NOT(ISBLANK('Eingabe EF'!$AI49)),'Eingabe EF'!$AI49,'Eingabe EF'!$AG49)*IF(NOT(ISBLANK('Referenz Plattenwerk'!$I$12)),'Referenz Plattenwerk'!$I$12,'Referenz Plattenwerk'!$F$12)</f>
        <v>80.47999999999999</v>
      </c>
      <c r="I189" s="17"/>
      <c r="J189" s="38">
        <f t="shared" si="37"/>
        <v>0</v>
      </c>
      <c r="K189" s="38">
        <f t="shared" si="39"/>
        <v>80.47999999999999</v>
      </c>
      <c r="L189" s="17" t="s">
        <v>198</v>
      </c>
      <c r="M189" s="43"/>
      <c r="N189" s="43"/>
      <c r="O189" s="43"/>
      <c r="P189" s="43"/>
      <c r="Q189" s="43"/>
      <c r="R189" s="43"/>
      <c r="S189" s="43"/>
    </row>
    <row r="190" spans="2:19" ht="15.75" hidden="1" outlineLevel="1" x14ac:dyDescent="0.3">
      <c r="B190" s="17"/>
      <c r="C190" s="17"/>
      <c r="D190" s="17" t="s">
        <v>184</v>
      </c>
      <c r="E190" s="17"/>
      <c r="F190" s="38">
        <f>IF(NOT(ISBLANK('Referenz Plattenwerk'!$I65)),'Referenz Plattenwerk'!$I65,'Referenz Plattenwerk'!$F65)*IF(NOT(ISBLANK('Eingabe EF'!$AA50)),'Eingabe EF'!$AA50,0)*IF(NOT(ISBLANK('Referenz Plattenwerk'!$I$12)),'Referenz Plattenwerk'!$I$12,'Referenz Plattenwerk'!$F$12)</f>
        <v>0</v>
      </c>
      <c r="G190" s="38">
        <f>IF(NOT(ISBLANK('Referenz Plattenwerk'!$I65)),'Referenz Plattenwerk'!$I65,'Referenz Plattenwerk'!$F65)*IF(NOT(ISBLANK('Eingabe EF'!$AE50)),'Eingabe EF'!$AE50,0)*IF(NOT(ISBLANK('Referenz Plattenwerk'!$I$12)),'Referenz Plattenwerk'!$I$12,'Referenz Plattenwerk'!$F$12)</f>
        <v>0</v>
      </c>
      <c r="H190" s="38">
        <f>IF(NOT(ISBLANK('Referenz Plattenwerk'!$I65)),'Referenz Plattenwerk'!$I65,'Referenz Plattenwerk'!$F65)*IF(NOT(ISBLANK('Eingabe EF'!$AI50)),'Eingabe EF'!$AI50,0)*IF(NOT(ISBLANK('Referenz Plattenwerk'!$I$12)),'Referenz Plattenwerk'!$I$12,'Referenz Plattenwerk'!$F$12)</f>
        <v>0</v>
      </c>
      <c r="I190" s="17"/>
      <c r="J190" s="38">
        <f t="shared" si="37"/>
        <v>0</v>
      </c>
      <c r="K190" s="38">
        <f t="shared" si="39"/>
        <v>0</v>
      </c>
      <c r="L190" s="17" t="s">
        <v>198</v>
      </c>
      <c r="M190" s="43"/>
      <c r="N190" s="43"/>
      <c r="O190" s="43"/>
      <c r="P190" s="43"/>
      <c r="Q190" s="43"/>
      <c r="R190" s="43"/>
      <c r="S190" s="43"/>
    </row>
    <row r="191" spans="2:19" hidden="1" outlineLevel="1" x14ac:dyDescent="0.2">
      <c r="B191" s="17"/>
      <c r="C191" s="17"/>
      <c r="D191" s="17"/>
      <c r="E191" s="17"/>
      <c r="F191" s="20"/>
      <c r="G191" s="20"/>
      <c r="H191" s="20"/>
      <c r="I191" s="17"/>
      <c r="J191" s="17"/>
      <c r="K191" s="17"/>
      <c r="L191" s="20"/>
      <c r="M191" s="43"/>
      <c r="N191" s="43"/>
      <c r="O191" s="43"/>
      <c r="P191" s="43"/>
      <c r="Q191" s="43"/>
      <c r="R191" s="43"/>
      <c r="S191" s="43"/>
    </row>
    <row r="192" spans="2:19" ht="14.25" hidden="1" outlineLevel="1" x14ac:dyDescent="0.25">
      <c r="B192" s="70"/>
      <c r="C192" s="70" t="s">
        <v>185</v>
      </c>
      <c r="D192" s="71"/>
      <c r="E192" s="71"/>
      <c r="F192" s="72">
        <f>SUM(F193:F195)</f>
        <v>0</v>
      </c>
      <c r="G192" s="72">
        <f>SUM(G193:G195)</f>
        <v>0</v>
      </c>
      <c r="H192" s="72">
        <f>SUM(H193:H195)</f>
        <v>60</v>
      </c>
      <c r="I192" s="71"/>
      <c r="J192" s="72">
        <f>F192+G192</f>
        <v>0</v>
      </c>
      <c r="K192" s="72">
        <f t="shared" ref="K192" si="40">SUM(F192:H192)</f>
        <v>60</v>
      </c>
      <c r="L192" s="77" t="s">
        <v>197</v>
      </c>
      <c r="M192" s="43"/>
      <c r="N192" s="43"/>
      <c r="O192" s="43"/>
      <c r="P192" s="43"/>
      <c r="Q192" s="43"/>
      <c r="R192" s="43"/>
      <c r="S192" s="43"/>
    </row>
    <row r="193" spans="2:20" ht="15.75" hidden="1" outlineLevel="1" x14ac:dyDescent="0.3">
      <c r="B193" s="17"/>
      <c r="C193" s="17"/>
      <c r="D193" s="17" t="s">
        <v>66</v>
      </c>
      <c r="E193" s="17"/>
      <c r="F193" s="38">
        <f>IF(NOT(ISBLANK('Referenz Plattenwerk'!$I68)),'Referenz Plattenwerk'!$I68,'Referenz Plattenwerk'!$F68)*IF(NOT(ISBLANK('Eingabe EF'!$AA53)),'Eingabe EF'!$AA53,'Eingabe EF'!$Y53)</f>
        <v>0</v>
      </c>
      <c r="G193" s="38">
        <f>IF(NOT(ISBLANK('Referenz Plattenwerk'!$I68)),'Referenz Plattenwerk'!$I68,'Referenz Plattenwerk'!$F68)*IF(NOT(ISBLANK('Eingabe EF'!$AE53)),'Eingabe EF'!$AE53,'Eingabe EF'!$AC53)</f>
        <v>0</v>
      </c>
      <c r="H193" s="38">
        <f>IF(NOT(ISBLANK('Referenz Plattenwerk'!$I68)),'Referenz Plattenwerk'!$I68,'Referenz Plattenwerk'!$F68)*IF(NOT(ISBLANK('Eingabe EF'!$AI53)),'Eingabe EF'!$AI53,'Eingabe EF'!$AG53)</f>
        <v>60</v>
      </c>
      <c r="I193" s="17"/>
      <c r="J193" s="38">
        <f>F193+G193</f>
        <v>0</v>
      </c>
      <c r="K193" s="38">
        <f>SUM(F193:H193)</f>
        <v>60</v>
      </c>
      <c r="L193" s="17" t="s">
        <v>198</v>
      </c>
      <c r="M193" s="43"/>
      <c r="N193" s="43"/>
      <c r="O193" s="43"/>
      <c r="P193" s="43"/>
      <c r="Q193" s="43"/>
      <c r="R193" s="43"/>
      <c r="S193" s="43"/>
    </row>
    <row r="194" spans="2:20" ht="15.75" hidden="1" outlineLevel="1" x14ac:dyDescent="0.3">
      <c r="B194" s="17"/>
      <c r="C194" s="17"/>
      <c r="D194" s="17" t="s">
        <v>187</v>
      </c>
      <c r="E194" s="17"/>
      <c r="F194" s="38">
        <f>IF(NOT(ISBLANK('Referenz Plattenwerk'!$I69)),'Referenz Plattenwerk'!$I69,'Referenz Plattenwerk'!$F69)*IF(NOT(ISBLANK('Eingabe EF'!$AA54)),'Eingabe EF'!$AA54,0)</f>
        <v>0</v>
      </c>
      <c r="G194" s="38">
        <f>IF(NOT(ISBLANK('Referenz Plattenwerk'!$I69)),'Referenz Plattenwerk'!$I69,'Referenz Plattenwerk'!$F69)*IF(NOT(ISBLANK('Eingabe EF'!$AE54)),'Eingabe EF'!$AE54,0)</f>
        <v>0</v>
      </c>
      <c r="H194" s="38">
        <f>IF(NOT(ISBLANK('Referenz Plattenwerk'!$I69)),'Referenz Plattenwerk'!$I69,'Referenz Plattenwerk'!$F69)*IF(NOT(ISBLANK('Eingabe EF'!$AI54)),'Eingabe EF'!$AI54,0)</f>
        <v>0</v>
      </c>
      <c r="I194" s="17"/>
      <c r="J194" s="38">
        <f t="shared" ref="J194:J195" si="41">F194+G194</f>
        <v>0</v>
      </c>
      <c r="K194" s="38">
        <f t="shared" ref="K194:K195" si="42">SUM(F194:H194)</f>
        <v>0</v>
      </c>
      <c r="L194" s="17" t="s">
        <v>198</v>
      </c>
      <c r="M194" s="43"/>
      <c r="N194" s="43"/>
      <c r="O194" s="43"/>
      <c r="P194" s="43"/>
      <c r="Q194" s="43"/>
      <c r="R194" s="43"/>
      <c r="S194" s="43"/>
    </row>
    <row r="195" spans="2:20" ht="15.75" hidden="1" outlineLevel="1" x14ac:dyDescent="0.3">
      <c r="B195" s="17"/>
      <c r="C195" s="17"/>
      <c r="D195" s="17" t="s">
        <v>186</v>
      </c>
      <c r="E195" s="17"/>
      <c r="F195" s="38">
        <f>IF(NOT(ISBLANK('Referenz Plattenwerk'!$I70)),'Referenz Plattenwerk'!$I70,'Referenz Plattenwerk'!$F70)*IF(NOT(ISBLANK('Eingabe EF'!$AA55)),'Eingabe EF'!$AA55,0)</f>
        <v>0</v>
      </c>
      <c r="G195" s="38">
        <f>IF(NOT(ISBLANK('Referenz Plattenwerk'!$I70)),'Referenz Plattenwerk'!$I70,'Referenz Plattenwerk'!$F70)*IF(NOT(ISBLANK('Eingabe EF'!$AE55)),'Eingabe EF'!$AE55,0)</f>
        <v>0</v>
      </c>
      <c r="H195" s="38">
        <f>IF(NOT(ISBLANK('Referenz Plattenwerk'!$I70)),'Referenz Plattenwerk'!$I70,'Referenz Plattenwerk'!$F70)*IF(NOT(ISBLANK('Eingabe EF'!$AI55)),'Eingabe EF'!$AI55,0)</f>
        <v>0</v>
      </c>
      <c r="I195" s="17"/>
      <c r="J195" s="38">
        <f t="shared" si="41"/>
        <v>0</v>
      </c>
      <c r="K195" s="38">
        <f t="shared" si="42"/>
        <v>0</v>
      </c>
      <c r="L195" s="17" t="s">
        <v>198</v>
      </c>
      <c r="M195" s="43"/>
      <c r="N195" s="43"/>
      <c r="O195" s="43"/>
      <c r="P195" s="43"/>
      <c r="Q195" s="43"/>
      <c r="R195" s="43"/>
      <c r="S195" s="43"/>
    </row>
    <row r="196" spans="2:20" hidden="1" outlineLevel="1" x14ac:dyDescent="0.2">
      <c r="B196" s="17"/>
      <c r="C196" s="17"/>
      <c r="D196" s="17"/>
      <c r="E196" s="17"/>
      <c r="F196" s="20"/>
      <c r="G196" s="20"/>
      <c r="H196" s="20"/>
      <c r="I196" s="17"/>
      <c r="J196" s="17"/>
      <c r="K196" s="17"/>
      <c r="L196" s="20"/>
      <c r="M196" s="43"/>
      <c r="N196" s="43"/>
      <c r="O196" s="43"/>
      <c r="P196" s="43"/>
      <c r="Q196" s="43"/>
      <c r="R196" s="43"/>
      <c r="S196" s="43"/>
    </row>
    <row r="197" spans="2:20" ht="14.25" hidden="1" outlineLevel="1" x14ac:dyDescent="0.25">
      <c r="B197" s="17"/>
      <c r="C197" s="17"/>
      <c r="D197" s="21" t="s">
        <v>63</v>
      </c>
      <c r="E197" s="21"/>
      <c r="F197" s="75">
        <f>IF(NOT(ISBLANK('Referenz Plattenwerk'!$I72)),'Referenz Plattenwerk'!$I72,'Referenz Plattenwerk'!$F72)*IF(NOT(ISBLANK('Eingabe EF'!$AA57)),'Eingabe EF'!$AA57,'Eingabe EF'!$Y57)</f>
        <v>0</v>
      </c>
      <c r="G197" s="75">
        <f>IF(NOT(ISBLANK('Referenz Plattenwerk'!$I72)),'Referenz Plattenwerk'!$I72,'Referenz Plattenwerk'!$F72)*IF(NOT(ISBLANK('Eingabe EF'!$AE57)),'Eingabe EF'!$AE57,'Eingabe EF'!$AC57)</f>
        <v>0</v>
      </c>
      <c r="H197" s="75">
        <f>IF(NOT(ISBLANK('Referenz Plattenwerk'!$I72)),'Referenz Plattenwerk'!$I72,'Referenz Plattenwerk'!$F72)*IF(NOT(ISBLANK('Eingabe EF'!$AI57)),'Eingabe EF'!$AI57,'Eingabe EF'!$AG57)</f>
        <v>64.48</v>
      </c>
      <c r="I197" s="21"/>
      <c r="J197" s="75">
        <f t="shared" ref="J197" si="43">F197+G197</f>
        <v>0</v>
      </c>
      <c r="K197" s="75">
        <f t="shared" ref="K197" si="44">SUM(F197:H197)</f>
        <v>64.48</v>
      </c>
      <c r="L197" s="21" t="s">
        <v>197</v>
      </c>
      <c r="M197" s="43"/>
      <c r="N197" s="43"/>
      <c r="O197" s="43"/>
      <c r="P197" s="43"/>
      <c r="Q197" s="43"/>
      <c r="R197" s="43"/>
      <c r="S197" s="43"/>
    </row>
    <row r="198" spans="2:20" hidden="1" outlineLevel="1" x14ac:dyDescent="0.2">
      <c r="B198" s="17"/>
      <c r="C198" s="17"/>
      <c r="D198" s="17"/>
      <c r="E198" s="17"/>
      <c r="F198" s="20"/>
      <c r="G198" s="20"/>
      <c r="H198" s="20"/>
      <c r="I198" s="17"/>
      <c r="J198" s="17"/>
      <c r="K198" s="17"/>
      <c r="L198" s="20"/>
      <c r="M198" s="43"/>
      <c r="N198" s="43"/>
      <c r="O198" s="43"/>
      <c r="P198" s="43"/>
      <c r="Q198" s="43"/>
      <c r="R198" s="43"/>
      <c r="S198" s="43"/>
    </row>
    <row r="199" spans="2:20" ht="15" hidden="1" outlineLevel="1" thickBot="1" x14ac:dyDescent="0.3">
      <c r="B199" s="17"/>
      <c r="C199" s="17"/>
      <c r="D199" s="68" t="s">
        <v>69</v>
      </c>
      <c r="E199" s="68"/>
      <c r="F199" s="69">
        <f>SUM(F142:F197)-F156-F160-F166-F173-F178-F187-F192</f>
        <v>94.932355060000006</v>
      </c>
      <c r="G199" s="69">
        <f>SUM(G142:G197)-G156-G160-G166-G173-G178-G187-G192</f>
        <v>0</v>
      </c>
      <c r="H199" s="69">
        <f>SUM(H142:H197)-H156-H160-H166-H173-H178-H187-H192</f>
        <v>5824.6851228095193</v>
      </c>
      <c r="I199" s="21"/>
      <c r="J199" s="69">
        <f t="shared" ref="J199" si="45">SUM(J142:J197)-J156-J160-J166-J173-J178-J187-J192</f>
        <v>94.932355060000006</v>
      </c>
      <c r="K199" s="69">
        <f>SUM(K142:K197)-K156-K160-K166-K173-K178-K187-K192</f>
        <v>5919.6174778695195</v>
      </c>
      <c r="L199" s="69" t="s">
        <v>197</v>
      </c>
      <c r="M199" s="43"/>
      <c r="N199" s="43"/>
      <c r="O199" s="43"/>
      <c r="P199" s="43"/>
      <c r="Q199" s="43"/>
      <c r="R199" s="43"/>
      <c r="S199" s="43"/>
    </row>
    <row r="200" spans="2:20" ht="13.5" hidden="1" outlineLevel="1" thickTop="1" x14ac:dyDescent="0.2">
      <c r="B200" s="17"/>
      <c r="C200" s="17"/>
      <c r="D200" s="17"/>
      <c r="E200" s="17"/>
      <c r="F200" s="20"/>
      <c r="G200" s="20"/>
      <c r="H200" s="20"/>
      <c r="I200" s="17"/>
      <c r="J200" s="17"/>
      <c r="K200" s="17"/>
      <c r="L200" s="20"/>
      <c r="M200" s="43"/>
      <c r="N200" s="43"/>
      <c r="O200" s="43"/>
      <c r="P200" s="43"/>
      <c r="Q200" s="43"/>
      <c r="R200" s="43"/>
      <c r="S200" s="43"/>
    </row>
    <row r="201" spans="2:20" collapsed="1" x14ac:dyDescent="0.2"/>
    <row r="203" spans="2:20" ht="15.75" hidden="1" outlineLevel="1" x14ac:dyDescent="0.25">
      <c r="B203" s="22"/>
      <c r="C203" s="22" t="s">
        <v>114</v>
      </c>
      <c r="D203" s="17"/>
      <c r="E203" s="17"/>
      <c r="F203" s="17"/>
      <c r="G203" s="17"/>
      <c r="H203" s="17"/>
      <c r="I203" s="17"/>
      <c r="J203" s="17"/>
      <c r="K203" s="17"/>
      <c r="L203" s="17"/>
      <c r="N203" s="22" t="s">
        <v>117</v>
      </c>
      <c r="O203" s="17"/>
      <c r="P203" s="17"/>
      <c r="Q203" s="17"/>
      <c r="R203" s="17"/>
      <c r="S203" s="17"/>
      <c r="T203" s="17"/>
    </row>
    <row r="204" spans="2:20" ht="15" hidden="1" outlineLevel="1" x14ac:dyDescent="0.25">
      <c r="B204" s="65"/>
      <c r="C204" s="65">
        <v>2030</v>
      </c>
      <c r="D204" s="25"/>
      <c r="E204" s="25"/>
      <c r="F204" s="36" t="s">
        <v>27</v>
      </c>
      <c r="G204" s="36" t="s">
        <v>82</v>
      </c>
      <c r="H204" s="36" t="s">
        <v>29</v>
      </c>
      <c r="I204" s="25"/>
      <c r="J204" s="25"/>
      <c r="K204" s="25"/>
      <c r="L204" s="25"/>
      <c r="N204" s="65">
        <v>2030</v>
      </c>
      <c r="O204" s="17"/>
      <c r="P204" s="17"/>
      <c r="Q204" s="17"/>
      <c r="R204" s="17"/>
      <c r="S204" s="17"/>
      <c r="T204" s="17"/>
    </row>
    <row r="205" spans="2:20" hidden="1" outlineLevel="1" x14ac:dyDescent="0.2">
      <c r="B205" s="17"/>
      <c r="C205" s="17"/>
      <c r="D205" s="17" t="s">
        <v>244</v>
      </c>
      <c r="E205" s="280" t="str">
        <f>IF(NOT(ISBLANK($G$16)),$G$16,$E$16)</f>
        <v>Grünstrommix</v>
      </c>
      <c r="F205" s="281">
        <f>VLOOKUP(E205,D206:H209,3,FALSE)</f>
        <v>0</v>
      </c>
      <c r="G205" s="282">
        <f>VLOOKUP(E205,D206:H209,4,FALSE)</f>
        <v>0</v>
      </c>
      <c r="H205" s="282">
        <f>VLOOKUP(E205,D206:H209,5,FALSE)</f>
        <v>4.0790000000000001E-5</v>
      </c>
      <c r="I205" s="17"/>
      <c r="J205" s="17"/>
      <c r="K205" s="17"/>
      <c r="L205" s="17"/>
      <c r="N205" s="17"/>
      <c r="O205" s="17"/>
      <c r="P205" s="17"/>
      <c r="Q205" s="17"/>
      <c r="R205" s="17"/>
      <c r="S205" s="17"/>
      <c r="T205" s="17"/>
    </row>
    <row r="206" spans="2:20" hidden="1" outlineLevel="1" x14ac:dyDescent="0.2">
      <c r="B206" s="17"/>
      <c r="C206" s="17" t="s">
        <v>243</v>
      </c>
      <c r="D206" s="17" t="s">
        <v>241</v>
      </c>
      <c r="E206" s="30"/>
      <c r="F206" s="283">
        <v>0</v>
      </c>
      <c r="G206" s="284">
        <f>IF(NOT(ISBLANK('Eingabe EF'!AW60)),'Eingabe EF'!AW60,'Eingabe EF'!AU60)</f>
        <v>0</v>
      </c>
      <c r="H206" s="284">
        <f>IF(NOT(ISBLANK('Eingabe EF'!BA60)),'Eingabe EF'!BA60,'Eingabe EF'!AY60)</f>
        <v>4.0790000000000001E-5</v>
      </c>
      <c r="I206" s="17"/>
      <c r="J206" s="17"/>
      <c r="K206" s="17"/>
      <c r="L206" s="17"/>
      <c r="N206" s="17"/>
      <c r="O206" s="17"/>
      <c r="P206" s="17"/>
      <c r="Q206" s="17"/>
      <c r="R206" s="17"/>
      <c r="S206" s="17"/>
      <c r="T206" s="17"/>
    </row>
    <row r="207" spans="2:20" hidden="1" outlineLevel="1" x14ac:dyDescent="0.2">
      <c r="B207" s="17"/>
      <c r="C207" s="17" t="s">
        <v>243</v>
      </c>
      <c r="D207" s="17" t="s">
        <v>108</v>
      </c>
      <c r="E207" s="30"/>
      <c r="F207" s="283">
        <v>0</v>
      </c>
      <c r="G207" s="283">
        <f>IF(NOT(ISBLANK('Eingabe EF'!AW61)),'Eingabe EF'!AW61,'Eingabe EF'!AU61)</f>
        <v>0</v>
      </c>
      <c r="H207" s="284">
        <f>IF(NOT(ISBLANK('Eingabe EF'!BA61)),'Eingabe EF'!BA61,'Eingabe EF'!AY61)</f>
        <v>5.5713999999999995E-5</v>
      </c>
      <c r="I207" s="17"/>
      <c r="J207" s="17"/>
      <c r="K207" s="17"/>
      <c r="L207" s="17"/>
      <c r="N207" s="17"/>
      <c r="O207" s="17"/>
      <c r="P207" s="17"/>
      <c r="Q207" s="17"/>
      <c r="R207" s="17"/>
      <c r="S207" s="17"/>
      <c r="T207" s="17"/>
    </row>
    <row r="208" spans="2:20" hidden="1" outlineLevel="1" x14ac:dyDescent="0.2">
      <c r="B208" s="17"/>
      <c r="C208" s="17" t="s">
        <v>243</v>
      </c>
      <c r="D208" s="17" t="s">
        <v>109</v>
      </c>
      <c r="E208" s="30"/>
      <c r="F208" s="283">
        <v>0</v>
      </c>
      <c r="G208" s="283">
        <f>IF(NOT(ISBLANK('Eingabe EF'!AW62)),'Eingabe EF'!AW62,'Eingabe EF'!AU62)</f>
        <v>0</v>
      </c>
      <c r="H208" s="284">
        <f>IF(NOT(ISBLANK('Eingabe EF'!BA62)),'Eingabe EF'!BA62,'Eingabe EF'!AY62)</f>
        <v>1.5335600000000003E-5</v>
      </c>
      <c r="I208" s="17"/>
      <c r="J208" s="17"/>
      <c r="K208" s="17"/>
      <c r="L208" s="17"/>
      <c r="N208" s="17"/>
      <c r="O208" s="17"/>
      <c r="P208" s="17"/>
      <c r="Q208" s="17"/>
      <c r="R208" s="17"/>
      <c r="S208" s="17"/>
      <c r="T208" s="17"/>
    </row>
    <row r="209" spans="2:20" hidden="1" outlineLevel="1" x14ac:dyDescent="0.2">
      <c r="B209" s="17"/>
      <c r="C209" s="17" t="s">
        <v>243</v>
      </c>
      <c r="D209" s="17" t="s">
        <v>110</v>
      </c>
      <c r="E209" s="30"/>
      <c r="F209" s="38">
        <v>0</v>
      </c>
      <c r="G209" s="38">
        <f>IF(NOT(ISBLANK('Eingabe EF'!AW63)),'Eingabe EF'!AW63,'Eingabe EF'!AU63)</f>
        <v>0</v>
      </c>
      <c r="H209" s="284">
        <f>IF(NOT(ISBLANK('Eingabe EF'!BA63)),'Eingabe EF'!BA63,'Eingabe EF'!AY63)</f>
        <v>2.65E-6</v>
      </c>
      <c r="I209" s="17"/>
      <c r="J209" s="17"/>
      <c r="K209" s="17"/>
      <c r="L209" s="17"/>
      <c r="N209" s="17"/>
      <c r="O209" s="17"/>
      <c r="P209" s="17"/>
      <c r="Q209" s="17"/>
      <c r="R209" s="17"/>
      <c r="S209" s="17"/>
      <c r="T209" s="17"/>
    </row>
    <row r="210" spans="2:20" hidden="1" outlineLevel="1" x14ac:dyDescent="0.2">
      <c r="B210" s="17"/>
      <c r="C210" s="17"/>
      <c r="D210" s="17"/>
      <c r="E210" s="30"/>
      <c r="F210" s="30"/>
      <c r="G210" s="30"/>
      <c r="H210" s="30"/>
      <c r="I210" s="17"/>
      <c r="J210" s="17"/>
      <c r="K210" s="17"/>
      <c r="L210" s="17"/>
      <c r="N210" s="17"/>
      <c r="O210" s="17"/>
      <c r="P210" s="17"/>
      <c r="Q210" s="17"/>
      <c r="R210" s="17"/>
      <c r="S210" s="17"/>
      <c r="T210" s="17"/>
    </row>
    <row r="211" spans="2:20" hidden="1" outlineLevel="1" x14ac:dyDescent="0.2">
      <c r="B211" s="17"/>
      <c r="C211" s="17"/>
      <c r="D211" s="17"/>
      <c r="E211" s="17"/>
      <c r="F211" s="17"/>
      <c r="G211" s="17"/>
      <c r="H211" s="17"/>
      <c r="I211" s="17"/>
      <c r="J211" s="17"/>
      <c r="K211" s="17"/>
      <c r="L211" s="17"/>
      <c r="N211" s="17"/>
      <c r="O211" s="17"/>
      <c r="P211" s="17"/>
      <c r="Q211" s="17"/>
      <c r="R211" s="17"/>
      <c r="S211" s="17"/>
      <c r="T211" s="17"/>
    </row>
    <row r="212" spans="2:20" ht="25.5" hidden="1" outlineLevel="1" x14ac:dyDescent="0.2">
      <c r="B212" s="17"/>
      <c r="C212" s="17"/>
      <c r="D212" s="17"/>
      <c r="E212" s="17"/>
      <c r="F212" s="36" t="s">
        <v>27</v>
      </c>
      <c r="G212" s="36" t="s">
        <v>82</v>
      </c>
      <c r="H212" s="36" t="s">
        <v>29</v>
      </c>
      <c r="I212" s="17"/>
      <c r="J212" s="40" t="s">
        <v>111</v>
      </c>
      <c r="K212" s="41" t="s">
        <v>39</v>
      </c>
      <c r="L212" s="17"/>
      <c r="N212" s="17"/>
      <c r="O212" s="17"/>
      <c r="P212" s="17"/>
      <c r="Q212" s="18"/>
      <c r="R212" s="17"/>
      <c r="S212" s="18"/>
      <c r="T212" s="18"/>
    </row>
    <row r="213" spans="2:20" ht="14.25" hidden="1" outlineLevel="1" x14ac:dyDescent="0.25">
      <c r="B213" s="77"/>
      <c r="C213" s="77" t="s">
        <v>190</v>
      </c>
      <c r="D213" s="77"/>
      <c r="E213" s="77"/>
      <c r="F213" s="78">
        <f>SUM(F215:F228)</f>
        <v>94.932355060000006</v>
      </c>
      <c r="G213" s="78">
        <f>SUM(G215:G228)</f>
        <v>0</v>
      </c>
      <c r="H213" s="78">
        <f>SUM(H215:H228)</f>
        <v>34.437233460000002</v>
      </c>
      <c r="I213" s="77"/>
      <c r="J213" s="78">
        <f>F213+G213</f>
        <v>94.932355060000006</v>
      </c>
      <c r="K213" s="78">
        <f>SUM(F213:H213)</f>
        <v>129.36958852000001</v>
      </c>
      <c r="L213" s="77" t="s">
        <v>197</v>
      </c>
      <c r="N213" s="17"/>
      <c r="O213" s="17"/>
      <c r="P213" s="17"/>
      <c r="Q213" s="18"/>
      <c r="R213" s="17"/>
      <c r="S213" s="18"/>
      <c r="T213" s="18"/>
    </row>
    <row r="214" spans="2:20" hidden="1" outlineLevel="1" x14ac:dyDescent="0.2">
      <c r="B214" s="17"/>
      <c r="C214" s="17" t="s">
        <v>146</v>
      </c>
      <c r="D214" s="17"/>
      <c r="E214" s="17"/>
      <c r="F214" s="17"/>
      <c r="G214" s="17"/>
      <c r="H214" s="17"/>
      <c r="I214" s="17"/>
      <c r="J214" s="17"/>
      <c r="K214" s="17"/>
      <c r="L214" s="17"/>
      <c r="N214" s="17" t="s">
        <v>146</v>
      </c>
      <c r="O214" s="17"/>
      <c r="P214" s="17"/>
      <c r="Q214" s="18"/>
      <c r="R214" s="17"/>
      <c r="S214" s="18"/>
      <c r="T214" s="18"/>
    </row>
    <row r="215" spans="2:20" ht="15.75" hidden="1" outlineLevel="1" x14ac:dyDescent="0.3">
      <c r="B215" s="276"/>
      <c r="C215" s="17"/>
      <c r="D215" s="17" t="s">
        <v>125</v>
      </c>
      <c r="E215" s="17"/>
      <c r="F215" s="38">
        <f>IF(NOT(ISBLANK('Referenz Plattenwerk'!$I16)),'Referenz Plattenwerk'!$I16,'Referenz Plattenwerk'!$F16)*IF(NOT(ISBLANK('Eingabe EF'!$AS9)),'Eingabe EF'!$AS9,'Eingabe EF'!$AQ9)</f>
        <v>34.434080000000002</v>
      </c>
      <c r="G215" s="38">
        <f>IF(NOT(ISBLANK('Referenz Plattenwerk'!$I16)),'Referenz Plattenwerk'!$I16,'Referenz Plattenwerk'!$F16)*IF(NOT(ISBLANK('Eingabe EF'!$AW9)),'Eingabe EF'!$AW9,'Eingabe EF'!$AU9)</f>
        <v>0</v>
      </c>
      <c r="H215" s="38">
        <f>IF(NOT(ISBLANK('Referenz Plattenwerk'!$I16)),'Referenz Plattenwerk'!$I16,'Referenz Plattenwerk'!$F16)*IF(NOT(ISBLANK('Eingabe EF'!$BA9)),'Eingabe EF'!$BA9,'Eingabe EF'!$AY9)</f>
        <v>5.8938000000000006</v>
      </c>
      <c r="I215" s="17"/>
      <c r="J215" s="38">
        <f>F215+G215</f>
        <v>34.434080000000002</v>
      </c>
      <c r="K215" s="38">
        <f>SUM(F215:H215)</f>
        <v>40.32788</v>
      </c>
      <c r="L215" s="17" t="s">
        <v>198</v>
      </c>
      <c r="N215" s="276"/>
      <c r="O215" s="17" t="s">
        <v>125</v>
      </c>
      <c r="P215" s="17"/>
      <c r="Q215" s="19"/>
      <c r="R215" s="17"/>
      <c r="S215" s="42">
        <f>IF(NOT(ISBLANK('Referenz Plattenwerk'!$I16)),'Referenz Plattenwerk'!$I16,'Referenz Plattenwerk'!$F16)/1000*IF(NOT(ISBLANK('Eingabe Preise'!$O10)),'Eingabe Preise'!$O10,'Eingabe Preise'!$M10)</f>
        <v>11468</v>
      </c>
      <c r="T215" s="20" t="s">
        <v>106</v>
      </c>
    </row>
    <row r="216" spans="2:20" ht="15.75" hidden="1" outlineLevel="1" x14ac:dyDescent="0.3">
      <c r="B216" s="276"/>
      <c r="C216" s="17"/>
      <c r="D216" s="17" t="s">
        <v>165</v>
      </c>
      <c r="E216" s="17"/>
      <c r="F216" s="38">
        <f>IF(NOT(ISBLANK('Referenz Plattenwerk'!$I17)),'Referenz Plattenwerk'!$I17,'Referenz Plattenwerk'!$F17)*IF(NOT(ISBLANK('Eingabe EF'!$AS10)),'Eingabe EF'!$AS10,'Eingabe EF'!$AQ10)</f>
        <v>6.4022399999999999</v>
      </c>
      <c r="G216" s="38">
        <f>IF(NOT(ISBLANK('Referenz Plattenwerk'!$I17)),'Referenz Plattenwerk'!$I17,'Referenz Plattenwerk'!$F17)*IF(NOT(ISBLANK('Eingabe EF'!$AW10)),'Eingabe EF'!$AW10,'Eingabe EF'!$AU10)</f>
        <v>0</v>
      </c>
      <c r="H216" s="38">
        <f>IF(NOT(ISBLANK('Referenz Plattenwerk'!$I17)),'Referenz Plattenwerk'!$I17,'Referenz Plattenwerk'!$F17)*IF(NOT(ISBLANK('Eingabe EF'!$BA10)),'Eingabe EF'!$BA10,'Eingabe EF'!$AY10)</f>
        <v>0.949824</v>
      </c>
      <c r="I216" s="17"/>
      <c r="J216" s="38">
        <f>F216+G216</f>
        <v>6.4022399999999999</v>
      </c>
      <c r="K216" s="38">
        <f>SUM(F216:H216)</f>
        <v>7.3520640000000004</v>
      </c>
      <c r="L216" s="17" t="s">
        <v>198</v>
      </c>
      <c r="N216" s="276"/>
      <c r="O216" s="17" t="s">
        <v>165</v>
      </c>
      <c r="P216" s="17"/>
      <c r="Q216" s="20"/>
      <c r="R216" s="17"/>
      <c r="S216" s="42">
        <f>IF(NOT(ISBLANK('Referenz Plattenwerk'!$I17)),'Referenz Plattenwerk'!$I17,'Referenz Plattenwerk'!$F17)/1000*IF(NOT(ISBLANK('Eingabe Preise'!$O11)),'Eingabe Preise'!$O11,'Eingabe Preise'!$M11)</f>
        <v>1104</v>
      </c>
      <c r="T216" s="20" t="s">
        <v>106</v>
      </c>
    </row>
    <row r="217" spans="2:20" ht="15.75" hidden="1" outlineLevel="1" x14ac:dyDescent="0.3">
      <c r="B217" s="276"/>
      <c r="C217" s="17"/>
      <c r="D217" s="17" t="s">
        <v>152</v>
      </c>
      <c r="E217" s="17"/>
      <c r="F217" s="38">
        <f>IF(NOT(ISBLANK('Referenz Plattenwerk'!$I18)),'Referenz Plattenwerk'!$I18,'Referenz Plattenwerk'!$F18)*F205</f>
        <v>0</v>
      </c>
      <c r="G217" s="38">
        <f>IF(NOT(ISBLANK('Referenz Plattenwerk'!$I18)),'Referenz Plattenwerk'!$I18,'Referenz Plattenwerk'!$F18)*G205</f>
        <v>0</v>
      </c>
      <c r="H217" s="38">
        <f>IF(NOT(ISBLANK('Referenz Plattenwerk'!$I18)),'Referenz Plattenwerk'!$I18,'Referenz Plattenwerk'!$F18)*H205</f>
        <v>1.83555</v>
      </c>
      <c r="I217" s="17"/>
      <c r="J217" s="38">
        <f>F217+G217</f>
        <v>0</v>
      </c>
      <c r="K217" s="38">
        <f>SUM(F217:H217)</f>
        <v>1.83555</v>
      </c>
      <c r="L217" s="17" t="s">
        <v>198</v>
      </c>
      <c r="N217" s="276"/>
      <c r="O217" s="17" t="s">
        <v>152</v>
      </c>
      <c r="P217" s="17"/>
      <c r="Q217" s="20"/>
      <c r="R217" s="17"/>
      <c r="S217" s="42">
        <f>IF(NOT(ISBLANK('Referenz Plattenwerk'!$I18)),'Referenz Plattenwerk'!$I18,'Referenz Plattenwerk'!$F18)/1000*IF(NOT(ISBLANK('Eingabe Preise'!$O15)),'Eingabe Preise'!$O15,'Eingabe Preise'!$M15)</f>
        <v>7852.5</v>
      </c>
      <c r="T217" s="20" t="s">
        <v>106</v>
      </c>
    </row>
    <row r="218" spans="2:20" ht="15.75" hidden="1" outlineLevel="1" x14ac:dyDescent="0.3">
      <c r="B218" s="276"/>
      <c r="C218" s="17"/>
      <c r="D218" s="17" t="s">
        <v>126</v>
      </c>
      <c r="E218" s="17"/>
      <c r="F218" s="44">
        <f>IF(NOT(ISBLANK('Referenz Plattenwerk'!$I19)),'Referenz Plattenwerk'!$I19,'Referenz Plattenwerk'!$F19)*IF(NOT(ISBLANK('Eingabe EF'!$AS12)),'Eingabe EF'!$AS12,0)</f>
        <v>0</v>
      </c>
      <c r="G218" s="44">
        <f>IF(NOT(ISBLANK('Referenz Plattenwerk'!$I19)),'Referenz Plattenwerk'!$I19,'Referenz Plattenwerk'!$F19)*IF(NOT(ISBLANK('Eingabe EF'!$AW12)),'Eingabe EF'!$AW12,0)</f>
        <v>0</v>
      </c>
      <c r="H218" s="44">
        <f>IF(NOT(ISBLANK('Referenz Plattenwerk'!$I19)),'Referenz Plattenwerk'!$I19,'Referenz Plattenwerk'!$F19)*IF(NOT(ISBLANK('Eingabe EF'!$BA12)),'Eingabe EF'!$BA12,0)</f>
        <v>0</v>
      </c>
      <c r="I218" s="17"/>
      <c r="J218" s="38">
        <f>F218+G218</f>
        <v>0</v>
      </c>
      <c r="K218" s="38">
        <f>SUM(F218:H218)</f>
        <v>0</v>
      </c>
      <c r="L218" s="17" t="s">
        <v>198</v>
      </c>
      <c r="N218" s="276"/>
      <c r="O218" s="17" t="s">
        <v>126</v>
      </c>
      <c r="P218" s="17"/>
      <c r="Q218" s="20"/>
      <c r="R218" s="17"/>
      <c r="S218" s="42">
        <f>IF(NOT(ISBLANK('Referenz Plattenwerk'!$I19)),'Referenz Plattenwerk'!$I19,'Referenz Plattenwerk'!$F19)/1000*IF(NOT(ISBLANK('Eingabe Preise'!$O16)),'Eingabe Preise'!$O16,0)</f>
        <v>0</v>
      </c>
      <c r="T218" s="20" t="s">
        <v>106</v>
      </c>
    </row>
    <row r="219" spans="2:20" hidden="1" outlineLevel="1" x14ac:dyDescent="0.2">
      <c r="B219" s="17"/>
      <c r="C219" s="17" t="s">
        <v>147</v>
      </c>
      <c r="D219" s="17"/>
      <c r="E219" s="17"/>
      <c r="F219" s="17"/>
      <c r="G219" s="17"/>
      <c r="H219" s="17"/>
      <c r="I219" s="17"/>
      <c r="J219" s="17"/>
      <c r="K219" s="17"/>
      <c r="L219" s="17"/>
      <c r="N219" s="17" t="s">
        <v>147</v>
      </c>
      <c r="O219" s="17"/>
      <c r="P219" s="17"/>
      <c r="Q219" s="20"/>
      <c r="R219" s="17"/>
      <c r="S219" s="20"/>
      <c r="T219" s="20"/>
    </row>
    <row r="220" spans="2:20" ht="15.75" hidden="1" outlineLevel="1" x14ac:dyDescent="0.3">
      <c r="B220" s="17"/>
      <c r="C220" s="17"/>
      <c r="D220" s="17" t="s">
        <v>31</v>
      </c>
      <c r="E220" s="17"/>
      <c r="F220" s="44">
        <f>IF(NOT(ISBLANK('Referenz Plattenwerk'!$I21)),'Referenz Plattenwerk'!$I21,'Referenz Plattenwerk'!$F21)*IF(NOT(ISBLANK('Eingabe EF'!$AS9)),'Eingabe EF'!$AS9,'Eingabe EF'!$AQ9)</f>
        <v>8.6085200000000004</v>
      </c>
      <c r="G220" s="44">
        <f>IF(NOT(ISBLANK('Referenz Plattenwerk'!$I21)),'Referenz Plattenwerk'!$I21,'Referenz Plattenwerk'!$F21)*IF(NOT(ISBLANK('Eingabe EF'!$AW9)),'Eingabe EF'!$AW9,'Eingabe EF'!$AU9)</f>
        <v>0</v>
      </c>
      <c r="H220" s="44">
        <f>IF(NOT(ISBLANK('Referenz Plattenwerk'!$I21)),'Referenz Plattenwerk'!$I21,'Referenz Plattenwerk'!$F21)*IF(NOT(ISBLANK('Eingabe EF'!$BA9)),'Eingabe EF'!$BA9,'Eingabe EF'!$AY9)</f>
        <v>1.4734500000000001</v>
      </c>
      <c r="I220" s="17"/>
      <c r="J220" s="38">
        <f t="shared" ref="J220:J221" si="46">F220+G220</f>
        <v>8.6085200000000004</v>
      </c>
      <c r="K220" s="38">
        <f t="shared" ref="K220:K221" si="47">SUM(F220:H220)</f>
        <v>10.08197</v>
      </c>
      <c r="L220" s="17" t="s">
        <v>198</v>
      </c>
      <c r="N220" s="17"/>
      <c r="O220" s="17" t="s">
        <v>31</v>
      </c>
      <c r="P220" s="17"/>
      <c r="Q220" s="20"/>
      <c r="R220" s="17"/>
      <c r="S220" s="42">
        <f>IF(NOT(ISBLANK('Referenz Plattenwerk'!$I21)),'Referenz Plattenwerk'!$I21,'Referenz Plattenwerk'!$F21)/1000*IF(NOT(ISBLANK('Eingabe Preise'!$O10)),'Eingabe Preise'!$O10,'Eingabe Preise'!$M10)</f>
        <v>2867</v>
      </c>
      <c r="T220" s="20" t="s">
        <v>106</v>
      </c>
    </row>
    <row r="221" spans="2:20" ht="15.75" hidden="1" outlineLevel="1" x14ac:dyDescent="0.3">
      <c r="B221" s="17"/>
      <c r="C221" s="17"/>
      <c r="D221" s="17" t="s">
        <v>32</v>
      </c>
      <c r="E221" s="17"/>
      <c r="F221" s="44">
        <f>IF(NOT(ISBLANK('Referenz Plattenwerk'!$I22)),'Referenz Plattenwerk'!$I22,'Referenz Plattenwerk'!$F22)*IF(NOT(ISBLANK('Eingabe EF'!$AS10)),'Eingabe EF'!$AS10,'Eingabe EF'!$AQ10)</f>
        <v>9.6033600000000003</v>
      </c>
      <c r="G221" s="44">
        <f>IF(NOT(ISBLANK('Referenz Plattenwerk'!$I22)),'Referenz Plattenwerk'!$I22,'Referenz Plattenwerk'!$F22)*IF(NOT(ISBLANK('Eingabe EF'!$AW10)),'Eingabe EF'!$AW10,'Eingabe EF'!$AU10)</f>
        <v>0</v>
      </c>
      <c r="H221" s="44">
        <f>IF(NOT(ISBLANK('Referenz Plattenwerk'!$I22)),'Referenz Plattenwerk'!$I22,'Referenz Plattenwerk'!$F22)*IF(NOT(ISBLANK('Eingabe EF'!$BA10)),'Eingabe EF'!$BA10,'Eingabe EF'!$AY10)</f>
        <v>1.424736</v>
      </c>
      <c r="I221" s="17"/>
      <c r="J221" s="38">
        <f t="shared" si="46"/>
        <v>9.6033600000000003</v>
      </c>
      <c r="K221" s="38">
        <f t="shared" si="47"/>
        <v>11.028096</v>
      </c>
      <c r="L221" s="17" t="s">
        <v>198</v>
      </c>
      <c r="N221" s="17"/>
      <c r="O221" s="17" t="s">
        <v>32</v>
      </c>
      <c r="P221" s="17"/>
      <c r="Q221" s="20"/>
      <c r="R221" s="17"/>
      <c r="S221" s="42">
        <f>IF(NOT(ISBLANK('Referenz Plattenwerk'!$I22)),'Referenz Plattenwerk'!$I22,'Referenz Plattenwerk'!$F22)/1000*IF(NOT(ISBLANK('Eingabe Preise'!$O11)),'Eingabe Preise'!$O11,'Eingabe Preise'!$M11)</f>
        <v>1656</v>
      </c>
      <c r="T221" s="20" t="s">
        <v>106</v>
      </c>
    </row>
    <row r="222" spans="2:20" hidden="1" outlineLevel="1" x14ac:dyDescent="0.2">
      <c r="B222" s="17"/>
      <c r="C222" s="17" t="s">
        <v>148</v>
      </c>
      <c r="D222" s="17"/>
      <c r="E222" s="17"/>
      <c r="F222" s="17"/>
      <c r="G222" s="17"/>
      <c r="H222" s="17"/>
      <c r="I222" s="17"/>
      <c r="J222" s="17"/>
      <c r="K222" s="17"/>
      <c r="L222" s="17"/>
      <c r="N222" s="17" t="s">
        <v>148</v>
      </c>
      <c r="O222" s="17"/>
      <c r="P222" s="17"/>
      <c r="Q222" s="20"/>
      <c r="R222" s="17"/>
      <c r="S222" s="20"/>
      <c r="T222" s="20"/>
    </row>
    <row r="223" spans="2:20" ht="15.75" hidden="1" outlineLevel="1" x14ac:dyDescent="0.3">
      <c r="B223" s="276"/>
      <c r="C223" s="17"/>
      <c r="D223" s="17" t="s">
        <v>150</v>
      </c>
      <c r="E223" s="17"/>
      <c r="F223" s="44">
        <f>IF(NOT(ISBLANK('Referenz Plattenwerk'!$I24)),'Referenz Plattenwerk'!$I24,'Referenz Plattenwerk'!$F24)*F205</f>
        <v>0</v>
      </c>
      <c r="G223" s="44">
        <f>IF(NOT(ISBLANK('Referenz Plattenwerk'!$I24)),'Referenz Plattenwerk'!$I24,'Referenz Plattenwerk'!$F24)*G205</f>
        <v>0</v>
      </c>
      <c r="H223" s="44">
        <f>IF(NOT(ISBLANK('Referenz Plattenwerk'!$I24)),'Referenz Plattenwerk'!$I24,'Referenz Plattenwerk'!$F24)*H205</f>
        <v>16.519950000000001</v>
      </c>
      <c r="I223" s="17"/>
      <c r="J223" s="38">
        <f t="shared" ref="J223:J231" si="48">F223+G223</f>
        <v>0</v>
      </c>
      <c r="K223" s="38">
        <f t="shared" ref="K223:K231" si="49">SUM(F223:H223)</f>
        <v>16.519950000000001</v>
      </c>
      <c r="L223" s="17" t="s">
        <v>198</v>
      </c>
      <c r="N223" s="276"/>
      <c r="O223" s="17" t="s">
        <v>150</v>
      </c>
      <c r="P223" s="17"/>
      <c r="Q223" s="20"/>
      <c r="R223" s="17"/>
      <c r="S223" s="42">
        <f>IF(NOT(ISBLANK('Referenz Plattenwerk'!$I24)),'Referenz Plattenwerk'!$I24,'Referenz Plattenwerk'!$F24)/1000*IF(NOT(ISBLANK('Eingabe Preise'!$O15)),'Eingabe Preise'!$O15,'Eingabe Preise'!$M15)</f>
        <v>70672.5</v>
      </c>
      <c r="T223" s="20" t="s">
        <v>106</v>
      </c>
    </row>
    <row r="224" spans="2:20" ht="15.75" hidden="1" outlineLevel="1" x14ac:dyDescent="0.3">
      <c r="B224" s="17"/>
      <c r="C224" s="17"/>
      <c r="D224" s="17" t="s">
        <v>122</v>
      </c>
      <c r="E224" s="17"/>
      <c r="F224" s="44">
        <f>IF(NOT(ISBLANK('Referenz Plattenwerk'!$I25)),'Referenz Plattenwerk'!$I25,'Referenz Plattenwerk'!$F25)*IF(NOT(ISBLANK('Eingabe EF'!$AS13)),'Eingabe EF'!$AS13,'Eingabe EF'!$AQ13)</f>
        <v>0</v>
      </c>
      <c r="G224" s="44">
        <f>IF(NOT(ISBLANK('Referenz Plattenwerk'!$I25)),'Referenz Plattenwerk'!$I25,'Referenz Plattenwerk'!$F25)*IF(NOT(ISBLANK('Eingabe EF'!$AW13)),'Eingabe EF'!$AW13,'Eingabe EF'!$AU13)</f>
        <v>0</v>
      </c>
      <c r="H224" s="44">
        <f>IF(NOT(ISBLANK('Referenz Plattenwerk'!$I25)),'Referenz Plattenwerk'!$I25,'Referenz Plattenwerk'!$F25)*IF(NOT(ISBLANK('Eingabe EF'!$BA13)),'Eingabe EF'!$BA13,'Eingabe EF'!$AY13)</f>
        <v>0</v>
      </c>
      <c r="I224" s="17"/>
      <c r="J224" s="38">
        <f t="shared" si="48"/>
        <v>0</v>
      </c>
      <c r="K224" s="38">
        <f t="shared" si="49"/>
        <v>0</v>
      </c>
      <c r="L224" s="17" t="s">
        <v>198</v>
      </c>
      <c r="N224" s="17"/>
      <c r="O224" s="17" t="s">
        <v>122</v>
      </c>
      <c r="P224" s="17"/>
      <c r="Q224" s="20"/>
      <c r="R224" s="17"/>
      <c r="S224" s="42">
        <f>IF(NOT(ISBLANK('Referenz Plattenwerk'!$I25)),'Referenz Plattenwerk'!$I25,'Referenz Plattenwerk'!$F25)/1000*IF(NOT(ISBLANK('Eingabe Preise'!$O13)),'Eingabe Preise'!$O13,'Eingabe Preise'!$M13)</f>
        <v>0</v>
      </c>
      <c r="T224" s="20" t="s">
        <v>106</v>
      </c>
    </row>
    <row r="225" spans="2:20" ht="15.75" hidden="1" outlineLevel="1" x14ac:dyDescent="0.3">
      <c r="B225" s="17"/>
      <c r="C225" s="17"/>
      <c r="D225" s="17" t="s">
        <v>149</v>
      </c>
      <c r="E225" s="17"/>
      <c r="F225" s="44">
        <f>IF(NOT(ISBLANK('Referenz Plattenwerk'!$I26)),'Referenz Plattenwerk'!$I26,'Referenz Plattenwerk'!$F26)*IF(NOT(ISBLANK('Eingabe EF'!$AS14)),'Eingabe EF'!$AS14,0)</f>
        <v>0</v>
      </c>
      <c r="G225" s="44">
        <f>IF(NOT(ISBLANK('Referenz Plattenwerk'!$I26)),'Referenz Plattenwerk'!$I26,'Referenz Plattenwerk'!$F26)*IF(NOT(ISBLANK('Eingabe EF'!$AW14)),'Eingabe EF'!$AW14,0)</f>
        <v>0</v>
      </c>
      <c r="H225" s="44">
        <f>IF(NOT(ISBLANK('Referenz Plattenwerk'!$I26)),'Referenz Plattenwerk'!$I26,'Referenz Plattenwerk'!$F26)*IF(NOT(ISBLANK('Eingabe EF'!$BA14)),'Eingabe EF'!$BA14,0)</f>
        <v>0</v>
      </c>
      <c r="I225" s="17"/>
      <c r="J225" s="38">
        <f t="shared" si="48"/>
        <v>0</v>
      </c>
      <c r="K225" s="38">
        <f t="shared" si="49"/>
        <v>0</v>
      </c>
      <c r="L225" s="17" t="s">
        <v>198</v>
      </c>
      <c r="N225" s="17"/>
      <c r="O225" s="17" t="s">
        <v>149</v>
      </c>
      <c r="P225" s="17"/>
      <c r="Q225" s="30"/>
      <c r="R225" s="17"/>
      <c r="S225" s="42">
        <f>IF(NOT(ISBLANK('Referenz Plattenwerk'!$I26)),'Referenz Plattenwerk'!$I26,'Referenz Plattenwerk'!$F26)/1000*IF(NOT(ISBLANK('Eingabe Preise'!$O17)),'Eingabe Preise'!$O17,0)</f>
        <v>0</v>
      </c>
      <c r="T225" s="20" t="s">
        <v>106</v>
      </c>
    </row>
    <row r="226" spans="2:20" hidden="1" outlineLevel="1" x14ac:dyDescent="0.2">
      <c r="B226" s="17"/>
      <c r="C226" s="17"/>
      <c r="D226" s="17"/>
      <c r="E226" s="17"/>
      <c r="F226" s="17"/>
      <c r="G226" s="17"/>
      <c r="H226" s="17"/>
      <c r="I226" s="17"/>
      <c r="J226" s="17"/>
      <c r="K226" s="17"/>
      <c r="L226" s="17"/>
      <c r="N226" s="17"/>
      <c r="O226" s="17"/>
      <c r="P226" s="17"/>
      <c r="Q226" s="30"/>
      <c r="R226" s="17"/>
      <c r="S226" s="17"/>
      <c r="T226" s="17"/>
    </row>
    <row r="227" spans="2:20" ht="15.75" hidden="1" outlineLevel="1" x14ac:dyDescent="0.3">
      <c r="B227" s="17"/>
      <c r="C227" s="17" t="s">
        <v>464</v>
      </c>
      <c r="D227" s="17" t="s">
        <v>34</v>
      </c>
      <c r="E227" s="17"/>
      <c r="F227" s="44">
        <f>IF(NOT(ISBLANK('Referenz Plattenwerk'!$I28)),'Referenz Plattenwerk'!$I28,'Referenz Plattenwerk'!$F28)*IF(NOT(ISBLANK('Eingabe EF'!$AS15)),'Eingabe EF'!$AS15,'Eingabe EF'!$AQ15)</f>
        <v>29.238941159999996</v>
      </c>
      <c r="G227" s="44">
        <f>IF(NOT(ISBLANK('Referenz Plattenwerk'!$I28)),'Referenz Plattenwerk'!$I28,'Referenz Plattenwerk'!$F28)*IF(NOT(ISBLANK('Eingabe EF'!$AW15)),'Eingabe EF'!$AW15,'Eingabe EF'!$AU15)</f>
        <v>0</v>
      </c>
      <c r="H227" s="44">
        <f>IF(NOT(ISBLANK('Referenz Plattenwerk'!$I28)),'Referenz Plattenwerk'!$I28,'Referenz Plattenwerk'!$F28)*IF(NOT(ISBLANK('Eingabe EF'!$BA15)),'Eingabe EF'!$BA15,'Eingabe EF'!$AY15)</f>
        <v>5.1658635600000009</v>
      </c>
      <c r="I227" s="17"/>
      <c r="J227" s="38">
        <f t="shared" ref="J227:J229" si="50">F227+G227</f>
        <v>29.238941159999996</v>
      </c>
      <c r="K227" s="38">
        <f t="shared" ref="K227:K229" si="51">SUM(F227:H227)</f>
        <v>34.404804719999994</v>
      </c>
      <c r="L227" s="17" t="s">
        <v>198</v>
      </c>
      <c r="N227" s="17"/>
      <c r="O227" s="17" t="s">
        <v>34</v>
      </c>
      <c r="P227" s="17" t="s">
        <v>464</v>
      </c>
      <c r="Q227" s="30"/>
      <c r="R227" s="17"/>
      <c r="S227" s="42">
        <f>IF(NOT(ISBLANK('Referenz Plattenwerk'!$I28)),'Referenz Plattenwerk'!$I28,'Referenz Plattenwerk'!$F28)*IF(NOT(ISBLANK('Eingabe Preise'!$O14)),'Eingabe Preise'!$O14,'Eingabe Preise'!$M14)</f>
        <v>12364.000000000002</v>
      </c>
      <c r="T227" s="20" t="s">
        <v>106</v>
      </c>
    </row>
    <row r="228" spans="2:20" ht="15.75" hidden="1" outlineLevel="1" x14ac:dyDescent="0.3">
      <c r="B228" s="17"/>
      <c r="C228" s="17" t="s">
        <v>75</v>
      </c>
      <c r="D228" s="17" t="s">
        <v>34</v>
      </c>
      <c r="E228" s="17"/>
      <c r="F228" s="44">
        <f>IF(NOT(ISBLANK('Referenz Plattenwerk'!$I29)),'Referenz Plattenwerk'!$I29,'Referenz Plattenwerk'!$F29)*IF(NOT(ISBLANK('Eingabe EF'!$AS15)),'Eingabe EF'!$AS15,'Eingabe EF'!$AQ15)</f>
        <v>6.645213899999999</v>
      </c>
      <c r="G228" s="44">
        <f>IF(NOT(ISBLANK('Referenz Plattenwerk'!$I29)),'Referenz Plattenwerk'!$I29,'Referenz Plattenwerk'!$F29)*IF(NOT(ISBLANK('Eingabe EF'!$AW15)),'Eingabe EF'!$AW15,'Eingabe EF'!$AU15)</f>
        <v>0</v>
      </c>
      <c r="H228" s="44">
        <f>IF(NOT(ISBLANK('Referenz Plattenwerk'!$I29)),'Referenz Plattenwerk'!$I29,'Referenz Plattenwerk'!$F29)*IF(NOT(ISBLANK('Eingabe EF'!$BA15)),'Eingabe EF'!$BA15,'Eingabe EF'!$AY15)</f>
        <v>1.1740599000000003</v>
      </c>
      <c r="I228" s="17"/>
      <c r="J228" s="38">
        <f t="shared" si="50"/>
        <v>6.645213899999999</v>
      </c>
      <c r="K228" s="38">
        <f t="shared" si="51"/>
        <v>7.8192737999999995</v>
      </c>
      <c r="L228" s="17" t="s">
        <v>198</v>
      </c>
      <c r="N228" s="17"/>
      <c r="O228" s="17" t="s">
        <v>34</v>
      </c>
      <c r="P228" s="17" t="s">
        <v>75</v>
      </c>
      <c r="Q228" s="30"/>
      <c r="R228" s="17"/>
      <c r="S228" s="42">
        <f>IF(NOT(ISBLANK('Referenz Plattenwerk'!$I29)),'Referenz Plattenwerk'!$I29,'Referenz Plattenwerk'!$F29)*IF(NOT(ISBLANK('Eingabe Preise'!$O14)),'Eingabe Preise'!$O14,'Eingabe Preise'!$M14)</f>
        <v>2810.0000000000005</v>
      </c>
      <c r="T228" s="20" t="s">
        <v>106</v>
      </c>
    </row>
    <row r="229" spans="2:20" ht="14.25" hidden="1" outlineLevel="1" x14ac:dyDescent="0.25">
      <c r="B229" s="70"/>
      <c r="C229" s="70" t="s">
        <v>189</v>
      </c>
      <c r="D229" s="70"/>
      <c r="E229" s="70"/>
      <c r="F229" s="72">
        <f>F230+F231</f>
        <v>0</v>
      </c>
      <c r="G229" s="72">
        <f t="shared" ref="G229:H229" si="52">G230+G231</f>
        <v>0</v>
      </c>
      <c r="H229" s="72">
        <f t="shared" si="52"/>
        <v>469.15642799999995</v>
      </c>
      <c r="I229" s="70"/>
      <c r="J229" s="72">
        <f t="shared" si="50"/>
        <v>0</v>
      </c>
      <c r="K229" s="72">
        <f t="shared" si="51"/>
        <v>469.15642799999995</v>
      </c>
      <c r="L229" s="77" t="s">
        <v>197</v>
      </c>
      <c r="N229" s="17"/>
      <c r="O229" s="17"/>
      <c r="P229" s="17"/>
      <c r="Q229" s="30"/>
      <c r="R229" s="17"/>
      <c r="S229" s="17"/>
      <c r="T229" s="17"/>
    </row>
    <row r="230" spans="2:20" ht="15.75" hidden="1" outlineLevel="1" x14ac:dyDescent="0.3">
      <c r="B230" s="17"/>
      <c r="C230" s="17"/>
      <c r="D230" s="17" t="s">
        <v>45</v>
      </c>
      <c r="E230" s="17"/>
      <c r="F230" s="44">
        <f>IF(NOT(ISBLANK('Referenz Plattenwerk'!$I32)),'Referenz Plattenwerk'!$I32,'Referenz Plattenwerk'!$F32)*IF(NOT(ISBLANK('Eingabe EF'!$AS17)),'Eingabe EF'!$AS17,'Eingabe EF'!$AQ17)</f>
        <v>0</v>
      </c>
      <c r="G230" s="44">
        <f>IF(NOT(ISBLANK('Referenz Plattenwerk'!$I32)),'Referenz Plattenwerk'!$I32,'Referenz Plattenwerk'!$F32)*IF(NOT(ISBLANK('Eingabe EF'!$AW17)),'Eingabe EF'!$AW17,'Eingabe EF'!$AU17)</f>
        <v>0</v>
      </c>
      <c r="H230" s="44">
        <f>IF(NOT(ISBLANK('Referenz Plattenwerk'!$I32)),'Referenz Plattenwerk'!$I32,'Referenz Plattenwerk'!$F32)*IF(NOT(ISBLANK('Eingabe EF'!$BA17)),'Eingabe EF'!$BA17,'Eingabe EF'!$AY17)</f>
        <v>109.4698332</v>
      </c>
      <c r="I230" s="17"/>
      <c r="J230" s="38">
        <f t="shared" si="48"/>
        <v>0</v>
      </c>
      <c r="K230" s="38">
        <f t="shared" si="49"/>
        <v>109.4698332</v>
      </c>
      <c r="L230" s="17" t="s">
        <v>198</v>
      </c>
      <c r="N230" s="17"/>
      <c r="O230" s="17"/>
      <c r="P230" s="17"/>
      <c r="Q230" s="30"/>
      <c r="R230" s="17"/>
      <c r="S230" s="17"/>
      <c r="T230" s="17"/>
    </row>
    <row r="231" spans="2:20" ht="15.75" hidden="1" outlineLevel="1" x14ac:dyDescent="0.3">
      <c r="B231" s="17"/>
      <c r="C231" s="17"/>
      <c r="D231" s="17" t="s">
        <v>46</v>
      </c>
      <c r="E231" s="17"/>
      <c r="F231" s="44">
        <f>IF(NOT(ISBLANK('Referenz Plattenwerk'!$I33)),'Referenz Plattenwerk'!$I33,'Referenz Plattenwerk'!$F33)*IF(NOT(ISBLANK('Eingabe EF'!$AS18)),'Eingabe EF'!$AS18,'Eingabe EF'!$AQ18)</f>
        <v>0</v>
      </c>
      <c r="G231" s="44">
        <f>IF(NOT(ISBLANK('Referenz Plattenwerk'!$I33)),'Referenz Plattenwerk'!$I33,'Referenz Plattenwerk'!$F33)*IF(NOT(ISBLANK('Eingabe EF'!$AW18)),'Eingabe EF'!$AW18,'Eingabe EF'!$AU18)</f>
        <v>0</v>
      </c>
      <c r="H231" s="44">
        <f>IF(NOT(ISBLANK('Referenz Plattenwerk'!$I33)),'Referenz Plattenwerk'!$I33,'Referenz Plattenwerk'!$F33)*IF(NOT(ISBLANK('Eingabe EF'!$BA18)),'Eingabe EF'!$BA18,'Eingabe EF'!$AY18)</f>
        <v>359.68659479999997</v>
      </c>
      <c r="I231" s="17"/>
      <c r="J231" s="38">
        <f t="shared" si="48"/>
        <v>0</v>
      </c>
      <c r="K231" s="38">
        <f t="shared" si="49"/>
        <v>359.68659479999997</v>
      </c>
      <c r="L231" s="17" t="s">
        <v>198</v>
      </c>
      <c r="N231" s="276"/>
      <c r="O231" s="17" t="s">
        <v>30</v>
      </c>
      <c r="P231" s="17"/>
      <c r="Q231" s="30"/>
      <c r="R231" s="17"/>
      <c r="S231" s="42">
        <v>0</v>
      </c>
      <c r="T231" s="20" t="s">
        <v>106</v>
      </c>
    </row>
    <row r="232" spans="2:20" hidden="1" outlineLevel="1" x14ac:dyDescent="0.2">
      <c r="B232" s="17"/>
      <c r="C232" s="17"/>
      <c r="D232" s="17"/>
      <c r="E232" s="17"/>
      <c r="F232" s="20"/>
      <c r="G232" s="20"/>
      <c r="H232" s="20"/>
      <c r="I232" s="17"/>
      <c r="J232" s="20"/>
      <c r="K232" s="20"/>
      <c r="L232" s="17"/>
      <c r="N232" s="276"/>
      <c r="O232" s="45" t="s">
        <v>153</v>
      </c>
      <c r="P232" s="17"/>
      <c r="Q232" s="30"/>
      <c r="R232" s="17"/>
      <c r="S232" s="42">
        <v>0</v>
      </c>
      <c r="T232" s="20" t="s">
        <v>106</v>
      </c>
    </row>
    <row r="233" spans="2:20" ht="14.25" hidden="1" outlineLevel="1" x14ac:dyDescent="0.25">
      <c r="B233" s="70"/>
      <c r="C233" s="70" t="s">
        <v>68</v>
      </c>
      <c r="D233" s="71"/>
      <c r="E233" s="71"/>
      <c r="F233" s="72">
        <f>SUM(F234:F237)</f>
        <v>0</v>
      </c>
      <c r="G233" s="72">
        <f t="shared" ref="G233" si="53">SUM(G234:G237)</f>
        <v>0</v>
      </c>
      <c r="H233" s="72">
        <f>SUM(H234:H237)</f>
        <v>4548.5439999999999</v>
      </c>
      <c r="I233" s="71"/>
      <c r="J233" s="72">
        <f t="shared" ref="J233:J237" si="54">F233+G233</f>
        <v>0</v>
      </c>
      <c r="K233" s="72">
        <f t="shared" ref="K233" si="55">SUM(F233:H233)</f>
        <v>4548.5439999999999</v>
      </c>
      <c r="L233" s="77" t="s">
        <v>197</v>
      </c>
      <c r="N233" s="276"/>
      <c r="O233" s="45" t="s">
        <v>160</v>
      </c>
      <c r="P233" s="17"/>
      <c r="Q233" s="30"/>
      <c r="R233" s="17"/>
      <c r="S233" s="42">
        <v>0</v>
      </c>
      <c r="T233" s="20" t="s">
        <v>106</v>
      </c>
    </row>
    <row r="234" spans="2:20" ht="15.75" hidden="1" outlineLevel="1" x14ac:dyDescent="0.3">
      <c r="B234" s="17"/>
      <c r="C234" s="17"/>
      <c r="D234" s="17" t="s">
        <v>47</v>
      </c>
      <c r="E234" s="17"/>
      <c r="F234" s="38">
        <f>IF(NOT(ISBLANK('Referenz Plattenwerk'!$I36)),'Referenz Plattenwerk'!$I36,'Referenz Plattenwerk'!$F36)*IF(NOT(ISBLANK('Eingabe EF'!$AS21)),'Eingabe EF'!$AS21,'Eingabe EF'!$AQ21)*IF(NOT(ISBLANK('Referenz Plattenwerk'!$I$12)),'Referenz Plattenwerk'!$I$12,'Referenz Plattenwerk'!$F$12)</f>
        <v>0</v>
      </c>
      <c r="G234" s="38">
        <f>IF(NOT(ISBLANK('Referenz Plattenwerk'!$I36)),'Referenz Plattenwerk'!$I36,'Referenz Plattenwerk'!$F36)*IF(NOT(ISBLANK('Eingabe EF'!$AW21)),'Eingabe EF'!$AW21,'Eingabe EF'!$AU21)*IF(NOT(ISBLANK('Referenz Plattenwerk'!$I$12)),'Referenz Plattenwerk'!$I$12,'Referenz Plattenwerk'!$F$12)</f>
        <v>0</v>
      </c>
      <c r="H234" s="38">
        <f>IF(NOT(ISBLANK('Referenz Plattenwerk'!$I36)),'Referenz Plattenwerk'!$I36,'Referenz Plattenwerk'!$F36)*IF(NOT(ISBLANK('Eingabe EF'!$BA21)),'Eingabe EF'!$BA21,'Eingabe EF'!$AY21)*IF(NOT(ISBLANK('Referenz Plattenwerk'!$I$12)),'Referenz Plattenwerk'!$I$12,'Referenz Plattenwerk'!$F$12)</f>
        <v>1210.3</v>
      </c>
      <c r="I234" s="17"/>
      <c r="J234" s="38">
        <f t="shared" si="54"/>
        <v>0</v>
      </c>
      <c r="K234" s="38">
        <f t="shared" ref="K234:K237" si="56">SUM(F234:H234)</f>
        <v>1210.3</v>
      </c>
      <c r="L234" s="17" t="s">
        <v>198</v>
      </c>
      <c r="N234" s="17"/>
      <c r="O234" s="17"/>
      <c r="P234" s="17"/>
      <c r="Q234" s="17"/>
      <c r="R234" s="17"/>
      <c r="S234" s="17"/>
      <c r="T234" s="17"/>
    </row>
    <row r="235" spans="2:20" ht="15.75" hidden="1" outlineLevel="1" x14ac:dyDescent="0.3">
      <c r="B235" s="17"/>
      <c r="C235" s="17"/>
      <c r="D235" s="17" t="s">
        <v>49</v>
      </c>
      <c r="E235" s="17"/>
      <c r="F235" s="38">
        <f>IF(NOT(ISBLANK('Referenz Plattenwerk'!$I37)),'Referenz Plattenwerk'!$I37,'Referenz Plattenwerk'!$F37)*IF(NOT(ISBLANK('Eingabe EF'!$AS22)),'Eingabe EF'!$AS22,'Eingabe EF'!$AQ22)*IF(NOT(ISBLANK('Referenz Plattenwerk'!$I$12)),'Referenz Plattenwerk'!$I$12,'Referenz Plattenwerk'!$F$12)</f>
        <v>0</v>
      </c>
      <c r="G235" s="38">
        <f>IF(NOT(ISBLANK('Referenz Plattenwerk'!$I37)),'Referenz Plattenwerk'!$I37,'Referenz Plattenwerk'!$F37)*IF(NOT(ISBLANK('Eingabe EF'!$AW22)),'Eingabe EF'!$AW22,'Eingabe EF'!$AU22)*IF(NOT(ISBLANK('Referenz Plattenwerk'!$I$12)),'Referenz Plattenwerk'!$I$12,'Referenz Plattenwerk'!$F$12)</f>
        <v>0</v>
      </c>
      <c r="H235" s="38">
        <f>IF(NOT(ISBLANK('Referenz Plattenwerk'!$I37)),'Referenz Plattenwerk'!$I37,'Referenz Plattenwerk'!$F37)*IF(NOT(ISBLANK('Eingabe EF'!$BA22)),'Eingabe EF'!$BA22,'Eingabe EF'!$AY22)*IF(NOT(ISBLANK('Referenz Plattenwerk'!$I$12)),'Referenz Plattenwerk'!$I$12,'Referenz Plattenwerk'!$F$12)</f>
        <v>2415.5039999999999</v>
      </c>
      <c r="I235" s="17"/>
      <c r="J235" s="38">
        <f t="shared" si="54"/>
        <v>0</v>
      </c>
      <c r="K235" s="38">
        <f t="shared" si="56"/>
        <v>2415.5039999999999</v>
      </c>
      <c r="L235" s="17" t="s">
        <v>198</v>
      </c>
      <c r="N235" s="17"/>
      <c r="O235" s="17"/>
      <c r="P235" s="17"/>
      <c r="Q235" s="17"/>
      <c r="R235" s="17"/>
      <c r="S235" s="17"/>
      <c r="T235" s="17"/>
    </row>
    <row r="236" spans="2:20" ht="15.75" hidden="1" outlineLevel="1" x14ac:dyDescent="0.3">
      <c r="B236" s="17"/>
      <c r="C236" s="17"/>
      <c r="D236" s="17" t="s">
        <v>50</v>
      </c>
      <c r="E236" s="17"/>
      <c r="F236" s="38">
        <f>IF(NOT(ISBLANK('Referenz Plattenwerk'!$I38)),'Referenz Plattenwerk'!$I38,'Referenz Plattenwerk'!$F38)*IF(NOT(ISBLANK('Eingabe EF'!$AS23)),'Eingabe EF'!$AS23,'Eingabe EF'!$AQ23)*IF(NOT(ISBLANK('Referenz Plattenwerk'!$I$12)),'Referenz Plattenwerk'!$I$12,'Referenz Plattenwerk'!$F$12)</f>
        <v>0</v>
      </c>
      <c r="G236" s="38">
        <f>IF(NOT(ISBLANK('Referenz Plattenwerk'!$I38)),'Referenz Plattenwerk'!$I38,'Referenz Plattenwerk'!$F38)*IF(NOT(ISBLANK('Eingabe EF'!$AW23)),'Eingabe EF'!$AW23,'Eingabe EF'!$AU23)*IF(NOT(ISBLANK('Referenz Plattenwerk'!$I$12)),'Referenz Plattenwerk'!$I$12,'Referenz Plattenwerk'!$F$12)</f>
        <v>0</v>
      </c>
      <c r="H236" s="38">
        <f>IF(NOT(ISBLANK('Referenz Plattenwerk'!$I38)),'Referenz Plattenwerk'!$I38,'Referenz Plattenwerk'!$F38)*IF(NOT(ISBLANK('Eingabe EF'!$BA23)),'Eingabe EF'!$BA23,'Eingabe EF'!$AY23)*IF(NOT(ISBLANK('Referenz Plattenwerk'!$I$12)),'Referenz Plattenwerk'!$I$12,'Referenz Plattenwerk'!$F$12)</f>
        <v>922.7399999999999</v>
      </c>
      <c r="I236" s="17"/>
      <c r="J236" s="38">
        <f t="shared" si="54"/>
        <v>0</v>
      </c>
      <c r="K236" s="38">
        <f t="shared" si="56"/>
        <v>922.7399999999999</v>
      </c>
      <c r="L236" s="17" t="s">
        <v>198</v>
      </c>
      <c r="N236" s="17"/>
      <c r="O236" s="17" t="s">
        <v>200</v>
      </c>
      <c r="P236" s="17"/>
      <c r="Q236" s="30"/>
      <c r="R236" s="17"/>
      <c r="S236" s="42">
        <f>F272*IF(NOT(ISBLANK('Eingabe Preise'!$O21)),'Eingabe Preise'!$O21,'Eingabe Preise'!$M21)</f>
        <v>7594.5884048000007</v>
      </c>
      <c r="T236" s="20" t="s">
        <v>106</v>
      </c>
    </row>
    <row r="237" spans="2:20" ht="15.75" hidden="1" outlineLevel="1" x14ac:dyDescent="0.3">
      <c r="B237" s="17"/>
      <c r="C237" s="17"/>
      <c r="D237" s="17" t="s">
        <v>161</v>
      </c>
      <c r="E237" s="17"/>
      <c r="F237" s="38">
        <f>IF(NOT(ISBLANK('Referenz Plattenwerk'!$I39)),'Referenz Plattenwerk'!$I39,'Referenz Plattenwerk'!$F39)*IF(NOT(ISBLANK('Eingabe EF'!$AS24)),'Eingabe EF'!$AS24,0)*IF(NOT(ISBLANK('Referenz Plattenwerk'!$I$12)),'Referenz Plattenwerk'!$I$12,'Referenz Plattenwerk'!$F$12)</f>
        <v>0</v>
      </c>
      <c r="G237" s="38">
        <f>IF(NOT(ISBLANK('Referenz Plattenwerk'!$I39)),'Referenz Plattenwerk'!$I39,'Referenz Plattenwerk'!$F39)*IF(NOT(ISBLANK('Eingabe EF'!$AW24)),'Eingabe EF'!$AW24,0)*IF(NOT(ISBLANK('Referenz Plattenwerk'!$I$12)),'Referenz Plattenwerk'!$I$12,'Referenz Plattenwerk'!$F$12)</f>
        <v>0</v>
      </c>
      <c r="H237" s="38">
        <f>IF(NOT(ISBLANK('Referenz Plattenwerk'!$I39)),'Referenz Plattenwerk'!$I39,'Referenz Plattenwerk'!$F39)*IF(NOT(ISBLANK('Eingabe EF'!$BA24)),'Eingabe EF'!$BA24,0)*IF(NOT(ISBLANK('Referenz Plattenwerk'!$I$12)),'Referenz Plattenwerk'!$I$12,'Referenz Plattenwerk'!$F$12)</f>
        <v>0</v>
      </c>
      <c r="I237" s="17"/>
      <c r="J237" s="38">
        <f t="shared" si="54"/>
        <v>0</v>
      </c>
      <c r="K237" s="38">
        <f t="shared" si="56"/>
        <v>0</v>
      </c>
      <c r="L237" s="17" t="s">
        <v>198</v>
      </c>
      <c r="N237" s="17"/>
      <c r="O237" s="17" t="s">
        <v>201</v>
      </c>
      <c r="P237" s="17"/>
      <c r="Q237" s="30"/>
      <c r="R237" s="17"/>
      <c r="S237" s="42">
        <f>G272*IF(NOT(ISBLANK('Eingabe Preise'!$O22)),'Eingabe Preise'!$O22,'Eingabe Preise'!$M22)</f>
        <v>0</v>
      </c>
      <c r="T237" s="20" t="s">
        <v>106</v>
      </c>
    </row>
    <row r="238" spans="2:20" ht="15.75" hidden="1" outlineLevel="1" x14ac:dyDescent="0.3">
      <c r="B238" s="17"/>
      <c r="C238" s="17"/>
      <c r="D238" s="17"/>
      <c r="E238" s="17"/>
      <c r="F238" s="17"/>
      <c r="G238" s="17"/>
      <c r="H238" s="17"/>
      <c r="I238" s="17"/>
      <c r="J238" s="20"/>
      <c r="K238" s="20"/>
      <c r="L238" s="17"/>
      <c r="N238" s="17"/>
      <c r="O238" s="17" t="s">
        <v>202</v>
      </c>
      <c r="P238" s="17"/>
      <c r="Q238" s="30"/>
      <c r="R238" s="17"/>
      <c r="S238" s="42">
        <f>H272*IF(NOT(ISBLANK('Eingabe Preise'!$O23)),'Eingabe Preise'!$O23,'Eingabe Preise'!$M23)</f>
        <v>465974.80982476153</v>
      </c>
      <c r="T238" s="20" t="s">
        <v>106</v>
      </c>
    </row>
    <row r="239" spans="2:20" ht="14.25" hidden="1" outlineLevel="1" x14ac:dyDescent="0.25">
      <c r="B239" s="70"/>
      <c r="C239" s="70" t="s">
        <v>177</v>
      </c>
      <c r="D239" s="71"/>
      <c r="E239" s="71"/>
      <c r="F239" s="72">
        <f>SUM(F240:F242)</f>
        <v>0</v>
      </c>
      <c r="G239" s="72">
        <f t="shared" ref="G239:H239" si="57">SUM(G240:G242)</f>
        <v>0</v>
      </c>
      <c r="H239" s="72">
        <f t="shared" si="57"/>
        <v>129.59200000000001</v>
      </c>
      <c r="I239" s="71"/>
      <c r="J239" s="72">
        <f t="shared" ref="J239" si="58">F239+G239</f>
        <v>0</v>
      </c>
      <c r="K239" s="72">
        <f t="shared" ref="K239" si="59">SUM(F239:H239)</f>
        <v>129.59200000000001</v>
      </c>
      <c r="L239" s="77" t="s">
        <v>197</v>
      </c>
      <c r="N239" s="17"/>
      <c r="O239" s="17"/>
      <c r="P239" s="17"/>
      <c r="Q239" s="17"/>
      <c r="R239" s="17"/>
      <c r="S239" s="17"/>
      <c r="T239" s="17"/>
    </row>
    <row r="240" spans="2:20" ht="15.75" hidden="1" outlineLevel="1" x14ac:dyDescent="0.3">
      <c r="B240" s="17"/>
      <c r="C240" s="17"/>
      <c r="D240" s="17" t="s">
        <v>178</v>
      </c>
      <c r="E240" s="17"/>
      <c r="F240" s="38">
        <f>IF(NOT(ISBLANK('Referenz Plattenwerk'!$I42)),'Referenz Plattenwerk'!$I42,'Referenz Plattenwerk'!$F42)*IF(NOT(ISBLANK('Eingabe EF'!$AS27)),'Eingabe EF'!$AS27,'Eingabe EF'!$AQ27)*IF(NOT(ISBLANK('Referenz Plattenwerk'!$I$12)),'Referenz Plattenwerk'!$I$12,'Referenz Plattenwerk'!$F$12)</f>
        <v>0</v>
      </c>
      <c r="G240" s="38">
        <f>IF(NOT(ISBLANK('Referenz Plattenwerk'!$I42)),'Referenz Plattenwerk'!$I42,'Referenz Plattenwerk'!$F42)*IF(NOT(ISBLANK('Eingabe EF'!$AW27)),'Eingabe EF'!$AW27,'Eingabe EF'!$AU27)*IF(NOT(ISBLANK('Referenz Plattenwerk'!$I$12)),'Referenz Plattenwerk'!$I$12,'Referenz Plattenwerk'!$F$12)</f>
        <v>0</v>
      </c>
      <c r="H240" s="38">
        <f>IF(NOT(ISBLANK('Referenz Plattenwerk'!$I42)),'Referenz Plattenwerk'!$I42,'Referenz Plattenwerk'!$F42)*IF(NOT(ISBLANK('Eingabe EF'!$BA27)),'Eingabe EF'!$BA27,'Eingabe EF'!$AY27)*IF(NOT(ISBLANK('Referenz Plattenwerk'!$I$12)),'Referenz Plattenwerk'!$I$12,'Referenz Plattenwerk'!$F$12)</f>
        <v>129.59200000000001</v>
      </c>
      <c r="I240" s="17"/>
      <c r="J240" s="38">
        <f>F240+G240</f>
        <v>0</v>
      </c>
      <c r="K240" s="38">
        <f>SUM(F240:H240)</f>
        <v>129.59200000000001</v>
      </c>
      <c r="L240" s="17" t="s">
        <v>198</v>
      </c>
      <c r="N240" s="17"/>
      <c r="O240" s="17"/>
      <c r="P240" s="17"/>
      <c r="Q240" s="17"/>
      <c r="R240" s="17"/>
      <c r="S240" s="17"/>
      <c r="T240" s="17"/>
    </row>
    <row r="241" spans="2:20" ht="15.75" hidden="1" outlineLevel="1" x14ac:dyDescent="0.3">
      <c r="B241" s="17"/>
      <c r="C241" s="17"/>
      <c r="D241" s="17" t="s">
        <v>179</v>
      </c>
      <c r="E241" s="17"/>
      <c r="F241" s="38">
        <f>IF(NOT(ISBLANK('Referenz Plattenwerk'!$I43)),'Referenz Plattenwerk'!$I43,'Referenz Plattenwerk'!$F43)*IF(NOT(ISBLANK('Eingabe EF'!$AS28)),'Eingabe EF'!$AS28,0)*IF(NOT(ISBLANK('Referenz Plattenwerk'!$I$12)),'Referenz Plattenwerk'!$I$12,'Referenz Plattenwerk'!$F$12)</f>
        <v>0</v>
      </c>
      <c r="G241" s="38">
        <f>IF(NOT(ISBLANK('Referenz Plattenwerk'!$I43)),'Referenz Plattenwerk'!$I43,'Referenz Plattenwerk'!$F43)*IF(NOT(ISBLANK('Eingabe EF'!$AW28)),'Eingabe EF'!$AW28,0)*IF(NOT(ISBLANK('Referenz Plattenwerk'!$I$12)),'Referenz Plattenwerk'!$I$12,'Referenz Plattenwerk'!$F$12)</f>
        <v>0</v>
      </c>
      <c r="H241" s="38">
        <f>IF(NOT(ISBLANK('Referenz Plattenwerk'!$I43)),'Referenz Plattenwerk'!$I43,'Referenz Plattenwerk'!$F43)*IF(NOT(ISBLANK('Eingabe EF'!$BA28)),'Eingabe EF'!$BA28,0)*IF(NOT(ISBLANK('Referenz Plattenwerk'!$I$12)),'Referenz Plattenwerk'!$I$12,'Referenz Plattenwerk'!$F$12)</f>
        <v>0</v>
      </c>
      <c r="I241" s="17"/>
      <c r="J241" s="38">
        <f>F241+G241</f>
        <v>0</v>
      </c>
      <c r="K241" s="38">
        <f t="shared" ref="K241:K242" si="60">SUM(F241:H241)</f>
        <v>0</v>
      </c>
      <c r="L241" s="17" t="s">
        <v>198</v>
      </c>
      <c r="N241" s="17"/>
      <c r="O241" s="17"/>
      <c r="P241" s="17"/>
      <c r="Q241" s="18"/>
      <c r="R241" s="17"/>
      <c r="S241" s="18"/>
      <c r="T241" s="18"/>
    </row>
    <row r="242" spans="2:20" ht="15.75" hidden="1" outlineLevel="1" x14ac:dyDescent="0.3">
      <c r="B242" s="17"/>
      <c r="C242" s="17"/>
      <c r="D242" s="17" t="s">
        <v>180</v>
      </c>
      <c r="E242" s="17"/>
      <c r="F242" s="38">
        <f>IF(NOT(ISBLANK('Referenz Plattenwerk'!$I44)),'Referenz Plattenwerk'!$I44,'Referenz Plattenwerk'!$F44)*IF(NOT(ISBLANK('Eingabe EF'!$AS29)),'Eingabe EF'!$AS29,0)*IF(NOT(ISBLANK('Referenz Plattenwerk'!$I$12)),'Referenz Plattenwerk'!$I$12,'Referenz Plattenwerk'!$F$12)</f>
        <v>0</v>
      </c>
      <c r="G242" s="38">
        <f>IF(NOT(ISBLANK('Referenz Plattenwerk'!$I44)),'Referenz Plattenwerk'!$I44,'Referenz Plattenwerk'!$F44)*IF(NOT(ISBLANK('Eingabe EF'!$AW29)),'Eingabe EF'!$AW29,0)*IF(NOT(ISBLANK('Referenz Plattenwerk'!$I$12)),'Referenz Plattenwerk'!$I$12,'Referenz Plattenwerk'!$F$12)</f>
        <v>0</v>
      </c>
      <c r="H242" s="38">
        <f>IF(NOT(ISBLANK('Referenz Plattenwerk'!$I44)),'Referenz Plattenwerk'!$I44,'Referenz Plattenwerk'!$F44)*IF(NOT(ISBLANK('Eingabe EF'!$BA29)),'Eingabe EF'!$BA29,0)*IF(NOT(ISBLANK('Referenz Plattenwerk'!$I$12)),'Referenz Plattenwerk'!$I$12,'Referenz Plattenwerk'!$F$12)</f>
        <v>0</v>
      </c>
      <c r="I242" s="17"/>
      <c r="J242" s="38">
        <f t="shared" ref="J242" si="61">F242+G242</f>
        <v>0</v>
      </c>
      <c r="K242" s="38">
        <f t="shared" si="60"/>
        <v>0</v>
      </c>
      <c r="L242" s="17" t="s">
        <v>198</v>
      </c>
      <c r="N242" s="21" t="s">
        <v>223</v>
      </c>
      <c r="O242" s="17"/>
      <c r="P242" s="17"/>
      <c r="Q242" s="17"/>
      <c r="R242" s="17"/>
      <c r="S242" s="17"/>
      <c r="T242" s="17"/>
    </row>
    <row r="243" spans="2:20" hidden="1" outlineLevel="1" x14ac:dyDescent="0.2">
      <c r="B243" s="17"/>
      <c r="C243" s="17"/>
      <c r="D243" s="17"/>
      <c r="E243" s="17"/>
      <c r="F243" s="17"/>
      <c r="G243" s="17"/>
      <c r="H243" s="17"/>
      <c r="I243" s="17"/>
      <c r="J243" s="20"/>
      <c r="K243" s="20"/>
      <c r="L243" s="17"/>
      <c r="N243" s="276"/>
      <c r="O243" s="17" t="s">
        <v>224</v>
      </c>
      <c r="P243" s="17"/>
      <c r="Q243" s="18"/>
      <c r="R243" s="17"/>
      <c r="S243" s="42">
        <v>0</v>
      </c>
      <c r="T243" s="20" t="s">
        <v>106</v>
      </c>
    </row>
    <row r="244" spans="2:20" ht="14.25" hidden="1" outlineLevel="1" x14ac:dyDescent="0.25">
      <c r="B244" s="17"/>
      <c r="C244" s="17"/>
      <c r="D244" s="21" t="s">
        <v>57</v>
      </c>
      <c r="E244" s="21"/>
      <c r="F244" s="75">
        <f>IF(NOT(ISBLANK('Referenz Plattenwerk'!$I46)),'Referenz Plattenwerk'!$I46,'Referenz Plattenwerk'!$F46)*IF(NOT(ISBLANK('Eingabe EF'!$AS31)),'Eingabe EF'!$AS31,'Eingabe EF'!$AQ31)*IF(NOT(ISBLANK('Referenz Plattenwerk'!$I$12)),'Referenz Plattenwerk'!$I$12,'Referenz Plattenwerk'!$F$12)</f>
        <v>0</v>
      </c>
      <c r="G244" s="75">
        <f>IF(NOT(ISBLANK('Referenz Plattenwerk'!$I46)),'Referenz Plattenwerk'!$I46,'Referenz Plattenwerk'!$F46)*IF(NOT(ISBLANK('Eingabe EF'!$AW31)),'Eingabe EF'!$AW31,'Eingabe EF'!$AU31)*IF(NOT(ISBLANK('Referenz Plattenwerk'!$I$12)),'Referenz Plattenwerk'!$I$12,'Referenz Plattenwerk'!$F$12)</f>
        <v>0</v>
      </c>
      <c r="H244" s="75">
        <f>IF(NOT(ISBLANK('Referenz Plattenwerk'!$I46)),'Referenz Plattenwerk'!$I46,'Referenz Plattenwerk'!$F46)*IF(NOT(ISBLANK('Eingabe EF'!$BA31)),'Eingabe EF'!$BA31,'Eingabe EF'!$AY31)*IF(NOT(ISBLANK('Referenz Plattenwerk'!$I$12)),'Referenz Plattenwerk'!$I$12,'Referenz Plattenwerk'!$F$12)</f>
        <v>208</v>
      </c>
      <c r="I244" s="21"/>
      <c r="J244" s="75">
        <f>F244+G244</f>
        <v>0</v>
      </c>
      <c r="K244" s="75">
        <f t="shared" ref="K244" si="62">SUM(F244:H244)</f>
        <v>208</v>
      </c>
      <c r="L244" s="21" t="s">
        <v>197</v>
      </c>
      <c r="N244" s="276"/>
      <c r="O244" s="17" t="s">
        <v>225</v>
      </c>
      <c r="P244" s="17"/>
      <c r="Q244" s="17"/>
      <c r="R244" s="17"/>
      <c r="S244" s="42">
        <v>0</v>
      </c>
      <c r="T244" s="20" t="s">
        <v>106</v>
      </c>
    </row>
    <row r="245" spans="2:20" hidden="1" outlineLevel="1" x14ac:dyDescent="0.2">
      <c r="B245" s="17"/>
      <c r="C245" s="17"/>
      <c r="D245" s="17"/>
      <c r="E245" s="17"/>
      <c r="F245" s="17"/>
      <c r="G245" s="17"/>
      <c r="H245" s="17"/>
      <c r="I245" s="17"/>
      <c r="J245" s="20"/>
      <c r="K245" s="20"/>
      <c r="L245" s="17"/>
      <c r="N245" s="17"/>
      <c r="O245" s="17"/>
      <c r="P245" s="17"/>
      <c r="Q245" s="18"/>
      <c r="R245" s="17"/>
      <c r="S245" s="18"/>
      <c r="T245" s="18"/>
    </row>
    <row r="246" spans="2:20" ht="14.25" hidden="1" outlineLevel="1" x14ac:dyDescent="0.25">
      <c r="B246" s="70"/>
      <c r="C246" s="70" t="s">
        <v>181</v>
      </c>
      <c r="D246" s="71"/>
      <c r="E246" s="71"/>
      <c r="F246" s="72">
        <f>SUM(F247:F249)</f>
        <v>0</v>
      </c>
      <c r="G246" s="72">
        <f t="shared" ref="G246:H246" si="63">SUM(G247:G249)</f>
        <v>0</v>
      </c>
      <c r="H246" s="72">
        <f t="shared" si="63"/>
        <v>81.003999999999991</v>
      </c>
      <c r="I246" s="71"/>
      <c r="J246" s="72">
        <f t="shared" ref="J246" si="64">F246+G246</f>
        <v>0</v>
      </c>
      <c r="K246" s="72">
        <f t="shared" ref="K246" si="65">SUM(F246:H246)</f>
        <v>81.003999999999991</v>
      </c>
      <c r="L246" s="77" t="s">
        <v>197</v>
      </c>
      <c r="N246" s="276"/>
      <c r="O246" s="17" t="s">
        <v>227</v>
      </c>
      <c r="P246" s="17"/>
      <c r="Q246" s="17"/>
      <c r="R246" s="17"/>
      <c r="S246" s="42">
        <v>0</v>
      </c>
      <c r="T246" s="20" t="s">
        <v>106</v>
      </c>
    </row>
    <row r="247" spans="2:20" ht="15.75" hidden="1" outlineLevel="1" x14ac:dyDescent="0.3">
      <c r="B247" s="17"/>
      <c r="C247" s="17"/>
      <c r="D247" s="17" t="s">
        <v>59</v>
      </c>
      <c r="E247" s="17"/>
      <c r="F247" s="38">
        <f>IF(NOT(ISBLANK('Referenz Plattenwerk'!$I49)),'Referenz Plattenwerk'!$I49,'Referenz Plattenwerk'!$F49)*IF(NOT(ISBLANK('Eingabe EF'!$AS34)),'Eingabe EF'!$AS34,'Eingabe EF'!$AQ34)*IF(NOT(ISBLANK('Referenz Plattenwerk'!$I$12)),'Referenz Plattenwerk'!$I$12,'Referenz Plattenwerk'!$F$12)</f>
        <v>0</v>
      </c>
      <c r="G247" s="38">
        <f>IF(NOT(ISBLANK('Referenz Plattenwerk'!$I49)),'Referenz Plattenwerk'!$I49,'Referenz Plattenwerk'!$F49)*IF(NOT(ISBLANK('Eingabe EF'!$AW34)),'Eingabe EF'!$AW34,'Eingabe EF'!$AU34)*IF(NOT(ISBLANK('Referenz Plattenwerk'!$I$12)),'Referenz Plattenwerk'!$I$12,'Referenz Plattenwerk'!$F$12)</f>
        <v>0</v>
      </c>
      <c r="H247" s="38">
        <f>IF(NOT(ISBLANK('Referenz Plattenwerk'!$I49)),'Referenz Plattenwerk'!$I49,'Referenz Plattenwerk'!$F49)*IF(NOT(ISBLANK('Eingabe EF'!$BA34)),'Eingabe EF'!$BA34,'Eingabe EF'!$AY34)*IF(NOT(ISBLANK('Referenz Plattenwerk'!$I$12)),'Referenz Plattenwerk'!$I$12,'Referenz Plattenwerk'!$F$12)</f>
        <v>0</v>
      </c>
      <c r="I247" s="17"/>
      <c r="J247" s="38">
        <f>F247+G247</f>
        <v>0</v>
      </c>
      <c r="K247" s="38">
        <f>SUM(F247:H247)</f>
        <v>0</v>
      </c>
      <c r="L247" s="17" t="s">
        <v>198</v>
      </c>
      <c r="N247" s="276"/>
      <c r="O247" s="17" t="s">
        <v>228</v>
      </c>
      <c r="P247" s="17"/>
      <c r="Q247" s="18"/>
      <c r="R247" s="17"/>
      <c r="S247" s="42">
        <v>0</v>
      </c>
      <c r="T247" s="20" t="s">
        <v>106</v>
      </c>
    </row>
    <row r="248" spans="2:20" ht="15.75" hidden="1" outlineLevel="1" x14ac:dyDescent="0.3">
      <c r="B248" s="17"/>
      <c r="C248" s="17"/>
      <c r="D248" s="17" t="s">
        <v>60</v>
      </c>
      <c r="E248" s="17"/>
      <c r="F248" s="38">
        <f>IF(NOT(ISBLANK('Referenz Plattenwerk'!$I50)),'Referenz Plattenwerk'!$I50,'Referenz Plattenwerk'!$F50)*IF(NOT(ISBLANK('Eingabe EF'!$AS35)),'Eingabe EF'!$AS35,'Eingabe EF'!$AQ35)*IF(NOT(ISBLANK('Referenz Plattenwerk'!$I$12)),'Referenz Plattenwerk'!$I$12,'Referenz Plattenwerk'!$F$12)</f>
        <v>0</v>
      </c>
      <c r="G248" s="38">
        <f>IF(NOT(ISBLANK('Referenz Plattenwerk'!$I50)),'Referenz Plattenwerk'!$I50,'Referenz Plattenwerk'!$F50)*IF(NOT(ISBLANK('Eingabe EF'!$AW35)),'Eingabe EF'!$AW35,'Eingabe EF'!$AU35)*IF(NOT(ISBLANK('Referenz Plattenwerk'!$I$12)),'Referenz Plattenwerk'!$I$12,'Referenz Plattenwerk'!$F$12)</f>
        <v>0</v>
      </c>
      <c r="H248" s="38">
        <f>IF(NOT(ISBLANK('Referenz Plattenwerk'!$I50)),'Referenz Plattenwerk'!$I50,'Referenz Plattenwerk'!$F50)*IF(NOT(ISBLANK('Eingabe EF'!$BA35)),'Eingabe EF'!$BA35,'Eingabe EF'!$AY35)*IF(NOT(ISBLANK('Referenz Plattenwerk'!$I$12)),'Referenz Plattenwerk'!$I$12,'Referenz Plattenwerk'!$F$12)</f>
        <v>8.6840000000000011</v>
      </c>
      <c r="I248" s="17"/>
      <c r="J248" s="38">
        <f>F248+G248</f>
        <v>0</v>
      </c>
      <c r="K248" s="38">
        <f>SUM(F248:H248)</f>
        <v>8.6840000000000011</v>
      </c>
      <c r="L248" s="17" t="s">
        <v>198</v>
      </c>
      <c r="N248" s="17"/>
      <c r="O248" s="17"/>
      <c r="P248" s="17"/>
      <c r="Q248" s="18"/>
      <c r="R248" s="17"/>
      <c r="S248" s="18"/>
      <c r="T248" s="18"/>
    </row>
    <row r="249" spans="2:20" ht="15.75" hidden="1" outlineLevel="1" x14ac:dyDescent="0.3">
      <c r="B249" s="17"/>
      <c r="C249" s="17"/>
      <c r="D249" s="17" t="s">
        <v>61</v>
      </c>
      <c r="E249" s="17"/>
      <c r="F249" s="38">
        <f>IF(NOT(ISBLANK('Referenz Plattenwerk'!$I51)),'Referenz Plattenwerk'!$I51,'Referenz Plattenwerk'!$F51)*IF(NOT(ISBLANK('Eingabe EF'!$AS36)),'Eingabe EF'!$AS36,'Eingabe EF'!$AQ36)*IF(NOT(ISBLANK('Referenz Plattenwerk'!$I$12)),'Referenz Plattenwerk'!$I$12,'Referenz Plattenwerk'!$F$12)</f>
        <v>0</v>
      </c>
      <c r="G249" s="38">
        <f>IF(NOT(ISBLANK('Referenz Plattenwerk'!$I51)),'Referenz Plattenwerk'!$I51,'Referenz Plattenwerk'!$F51)*IF(NOT(ISBLANK('Eingabe EF'!$AW36)),'Eingabe EF'!$AW36,'Eingabe EF'!$AU36)*IF(NOT(ISBLANK('Referenz Plattenwerk'!$I$12)),'Referenz Plattenwerk'!$I$12,'Referenz Plattenwerk'!$F$12)</f>
        <v>0</v>
      </c>
      <c r="H249" s="38">
        <f>IF(NOT(ISBLANK('Referenz Plattenwerk'!$I51)),'Referenz Plattenwerk'!$I51,'Referenz Plattenwerk'!$F51)*IF(NOT(ISBLANK('Eingabe EF'!$BA36)),'Eingabe EF'!$BA36,'Eingabe EF'!$AY36)*IF(NOT(ISBLANK('Referenz Plattenwerk'!$I$12)),'Referenz Plattenwerk'!$I$12,'Referenz Plattenwerk'!$F$12)</f>
        <v>72.319999999999993</v>
      </c>
      <c r="I249" s="17"/>
      <c r="J249" s="38">
        <f>F249+G249</f>
        <v>0</v>
      </c>
      <c r="K249" s="38">
        <f>SUM(F249:H249)</f>
        <v>72.319999999999993</v>
      </c>
      <c r="L249" s="17" t="s">
        <v>198</v>
      </c>
      <c r="N249" s="17"/>
      <c r="O249" s="17"/>
      <c r="P249" s="17"/>
      <c r="Q249" s="17"/>
      <c r="R249" s="17"/>
      <c r="S249" s="17"/>
      <c r="T249" s="17"/>
    </row>
    <row r="250" spans="2:20" hidden="1" outlineLevel="1" x14ac:dyDescent="0.2">
      <c r="B250" s="17"/>
      <c r="C250" s="17"/>
      <c r="D250" s="17"/>
      <c r="E250" s="17"/>
      <c r="F250" s="17"/>
      <c r="G250" s="17"/>
      <c r="H250" s="17"/>
      <c r="I250" s="17"/>
      <c r="J250" s="17"/>
      <c r="K250" s="20"/>
      <c r="L250" s="20"/>
      <c r="N250" s="17"/>
      <c r="O250" s="17"/>
      <c r="P250" s="17"/>
      <c r="Q250" s="18"/>
      <c r="R250" s="17"/>
      <c r="S250" s="18"/>
      <c r="T250" s="18"/>
    </row>
    <row r="251" spans="2:20" ht="14.25" hidden="1" outlineLevel="1" x14ac:dyDescent="0.25">
      <c r="B251" s="70"/>
      <c r="C251" s="70" t="s">
        <v>51</v>
      </c>
      <c r="D251" s="71"/>
      <c r="E251" s="71"/>
      <c r="F251" s="72">
        <f>SUM(F252:F255)</f>
        <v>0</v>
      </c>
      <c r="G251" s="72">
        <f t="shared" ref="G251:H251" si="66">SUM(G252:G255)</f>
        <v>0</v>
      </c>
      <c r="H251" s="72">
        <f t="shared" si="66"/>
        <v>148.44746134951595</v>
      </c>
      <c r="I251" s="71"/>
      <c r="J251" s="72">
        <f t="shared" ref="J251:J255" si="67">F251+G251</f>
        <v>0</v>
      </c>
      <c r="K251" s="72">
        <f t="shared" ref="K251" si="68">SUM(F251:H251)</f>
        <v>148.44746134951595</v>
      </c>
      <c r="L251" s="77" t="s">
        <v>197</v>
      </c>
    </row>
    <row r="252" spans="2:20" ht="15.75" hidden="1" outlineLevel="1" x14ac:dyDescent="0.3">
      <c r="B252" s="17"/>
      <c r="C252" s="17"/>
      <c r="D252" s="17" t="s">
        <v>52</v>
      </c>
      <c r="E252" s="17"/>
      <c r="F252"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52"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52"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52" s="17"/>
      <c r="J252" s="38">
        <f t="shared" si="67"/>
        <v>0</v>
      </c>
      <c r="K252" s="38">
        <f t="shared" ref="K252:K255" si="69">SUM(F252:H252)</f>
        <v>47.997919375812742</v>
      </c>
      <c r="L252" s="17" t="s">
        <v>198</v>
      </c>
    </row>
    <row r="253" spans="2:20" ht="15.75" hidden="1" outlineLevel="1" x14ac:dyDescent="0.3">
      <c r="B253" s="17"/>
      <c r="C253" s="17"/>
      <c r="D253" s="17" t="s">
        <v>54</v>
      </c>
      <c r="E253" s="17"/>
      <c r="F253"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53"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53"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53" s="17"/>
      <c r="J253" s="38">
        <f t="shared" si="67"/>
        <v>0</v>
      </c>
      <c r="K253" s="38">
        <f t="shared" si="69"/>
        <v>5.7797543707556596</v>
      </c>
      <c r="L253" s="17" t="s">
        <v>198</v>
      </c>
    </row>
    <row r="254" spans="2:20" ht="15.75" hidden="1" outlineLevel="1" x14ac:dyDescent="0.3">
      <c r="B254" s="17"/>
      <c r="C254" s="17"/>
      <c r="D254" s="17" t="s">
        <v>55</v>
      </c>
      <c r="E254" s="17"/>
      <c r="F254"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54"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54"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54" s="17"/>
      <c r="J254" s="38">
        <f t="shared" si="67"/>
        <v>0</v>
      </c>
      <c r="K254" s="38">
        <f t="shared" si="69"/>
        <v>1.4217598612917211E-2</v>
      </c>
      <c r="L254" s="17" t="s">
        <v>198</v>
      </c>
    </row>
    <row r="255" spans="2:20" ht="15.75" hidden="1" outlineLevel="1" x14ac:dyDescent="0.3">
      <c r="B255" s="17"/>
      <c r="C255" s="17"/>
      <c r="D255" s="17" t="s">
        <v>56</v>
      </c>
      <c r="E255" s="17"/>
      <c r="F255"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55"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55"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55" s="17"/>
      <c r="J255" s="38">
        <f t="shared" si="67"/>
        <v>0</v>
      </c>
      <c r="K255" s="38">
        <f t="shared" si="69"/>
        <v>94.655570004334635</v>
      </c>
      <c r="L255" s="17" t="s">
        <v>198</v>
      </c>
    </row>
    <row r="256" spans="2:20" hidden="1" outlineLevel="1" x14ac:dyDescent="0.2">
      <c r="B256" s="17"/>
      <c r="C256" s="17"/>
      <c r="D256" s="17"/>
      <c r="E256" s="17"/>
      <c r="F256" s="17"/>
      <c r="G256" s="17"/>
      <c r="H256" s="17"/>
      <c r="I256" s="17"/>
      <c r="J256" s="17"/>
      <c r="K256" s="17"/>
      <c r="L256" s="20"/>
    </row>
    <row r="257" spans="2:12" ht="14.25" hidden="1" outlineLevel="1" x14ac:dyDescent="0.25">
      <c r="B257" s="17"/>
      <c r="C257" s="17"/>
      <c r="D257" s="21" t="s">
        <v>110</v>
      </c>
      <c r="E257" s="21"/>
      <c r="F257" s="75">
        <f>IF(NOT(ISBLANK('Referenz Plattenwerk'!$I59)),'Referenz Plattenwerk'!$I59,'Referenz Plattenwerk'!$F59)*IF(NOT(ISBLANK('Eingabe EF'!$AS44)),'Eingabe EF'!$AS44,0)*IF(NOT(ISBLANK('Referenz Plattenwerk'!$I$12)),'Referenz Plattenwerk'!$I$12,'Referenz Plattenwerk'!$F$12)</f>
        <v>0</v>
      </c>
      <c r="G257" s="75">
        <f>IF(NOT(ISBLANK('Referenz Plattenwerk'!$I59)),'Referenz Plattenwerk'!$I59,'Referenz Plattenwerk'!$F59)*IF(NOT(ISBLANK('Eingabe EF'!$AW44)),'Eingabe EF'!$AW44,0)*IF(NOT(ISBLANK('Referenz Plattenwerk'!$I$12)),'Referenz Plattenwerk'!$I$12,'Referenz Plattenwerk'!$F$12)</f>
        <v>0</v>
      </c>
      <c r="H257" s="75">
        <f>IF(NOT(ISBLANK('Referenz Plattenwerk'!$I59)),'Referenz Plattenwerk'!$I59,'Referenz Plattenwerk'!$F59)*IF(NOT(ISBLANK('Eingabe EF'!$BA44)),'Eingabe EF'!$BA44,0)*IF(NOT(ISBLANK('Referenz Plattenwerk'!$I$12)),'Referenz Plattenwerk'!$I$12,'Referenz Plattenwerk'!$F$12)</f>
        <v>0</v>
      </c>
      <c r="I257" s="21"/>
      <c r="J257" s="75">
        <f>F257+G257</f>
        <v>0</v>
      </c>
      <c r="K257" s="75">
        <f>SUM(F257:H257)</f>
        <v>0</v>
      </c>
      <c r="L257" s="21" t="s">
        <v>197</v>
      </c>
    </row>
    <row r="258" spans="2:12" ht="14.25" hidden="1" outlineLevel="1" x14ac:dyDescent="0.25">
      <c r="B258" s="17"/>
      <c r="C258" s="17"/>
      <c r="D258" s="21" t="s">
        <v>64</v>
      </c>
      <c r="E258" s="21"/>
      <c r="F258" s="76">
        <f>IF(NOT(ISBLANK('Referenz Plattenwerk'!$I60)),'Referenz Plattenwerk'!$I60,'Referenz Plattenwerk'!$F60)*IF(NOT(ISBLANK('Eingabe EF'!$AS45)),'Eingabe EF'!$AS45,'Eingabe EF'!$AQ45)</f>
        <v>0</v>
      </c>
      <c r="G258" s="76">
        <f>IF(NOT(ISBLANK('Referenz Plattenwerk'!$I60)),'Referenz Plattenwerk'!$I60,'Referenz Plattenwerk'!$F60)*IF(NOT(ISBLANK('Eingabe EF'!$AW45)),'Eingabe EF'!$AW45,'Eingabe EF'!$AU45)</f>
        <v>0</v>
      </c>
      <c r="H258" s="76">
        <f>IF(NOT(ISBLANK('Referenz Plattenwerk'!$I60)),'Referenz Plattenwerk'!$I60,'Referenz Plattenwerk'!$F60)*IF(NOT(ISBLANK('Eingabe EF'!$BA45)),'Eingabe EF'!$BA45,'Eingabe EF'!$AY45)</f>
        <v>0.54400000000000004</v>
      </c>
      <c r="I258" s="21"/>
      <c r="J258" s="75">
        <f>F258+G258</f>
        <v>0</v>
      </c>
      <c r="K258" s="75">
        <f>SUM(F258:H258)</f>
        <v>0.54400000000000004</v>
      </c>
      <c r="L258" s="21" t="s">
        <v>197</v>
      </c>
    </row>
    <row r="259" spans="2:12" hidden="1" outlineLevel="1" x14ac:dyDescent="0.2">
      <c r="B259" s="17"/>
      <c r="C259" s="17"/>
      <c r="D259" s="17"/>
      <c r="E259" s="17"/>
      <c r="F259" s="17"/>
      <c r="G259" s="17"/>
      <c r="H259" s="17"/>
      <c r="I259" s="17"/>
      <c r="J259" s="17"/>
      <c r="K259" s="17"/>
      <c r="L259" s="20"/>
    </row>
    <row r="260" spans="2:12" ht="14.25" hidden="1" outlineLevel="1" x14ac:dyDescent="0.25">
      <c r="B260" s="70"/>
      <c r="C260" s="70" t="s">
        <v>182</v>
      </c>
      <c r="D260" s="71"/>
      <c r="E260" s="71"/>
      <c r="F260" s="72">
        <f>SUM(F261:F263)</f>
        <v>0</v>
      </c>
      <c r="G260" s="72">
        <f t="shared" ref="G260:H260" si="70">SUM(G261:G263)</f>
        <v>0</v>
      </c>
      <c r="H260" s="72">
        <f t="shared" si="70"/>
        <v>80.47999999999999</v>
      </c>
      <c r="I260" s="71"/>
      <c r="J260" s="72">
        <f t="shared" ref="J260" si="71">F260+G260</f>
        <v>0</v>
      </c>
      <c r="K260" s="72">
        <f t="shared" ref="K260" si="72">SUM(F260:H260)</f>
        <v>80.47999999999999</v>
      </c>
      <c r="L260" s="77" t="s">
        <v>197</v>
      </c>
    </row>
    <row r="261" spans="2:12" ht="15.75" hidden="1" outlineLevel="1" x14ac:dyDescent="0.3">
      <c r="B261" s="17"/>
      <c r="C261" s="17"/>
      <c r="D261" s="17" t="s">
        <v>183</v>
      </c>
      <c r="E261" s="17"/>
      <c r="F261" s="38">
        <f>IF(NOT(ISBLANK('Referenz Plattenwerk'!$I63)),'Referenz Plattenwerk'!$I63,'Referenz Plattenwerk'!$F63)*IF(NOT(ISBLANK('Eingabe EF'!$AS48)),'Eingabe EF'!$AS48,0)*IF(NOT(ISBLANK('Referenz Plattenwerk'!$I$12)),'Referenz Plattenwerk'!$I$12,'Referenz Plattenwerk'!$F$12)</f>
        <v>0</v>
      </c>
      <c r="G261" s="38">
        <f>IF(NOT(ISBLANK('Referenz Plattenwerk'!$I63)),'Referenz Plattenwerk'!$I63,'Referenz Plattenwerk'!$F63)*IF(NOT(ISBLANK('Eingabe EF'!$AW48)),'Eingabe EF'!$AW48,0)*IF(NOT(ISBLANK('Referenz Plattenwerk'!$I$12)),'Referenz Plattenwerk'!$I$12,'Referenz Plattenwerk'!$F$12)</f>
        <v>0</v>
      </c>
      <c r="H261" s="38">
        <f>IF(NOT(ISBLANK('Referenz Plattenwerk'!$I63)),'Referenz Plattenwerk'!$I63,'Referenz Plattenwerk'!$F63)*IF(NOT(ISBLANK('Eingabe EF'!$BA48)),'Eingabe EF'!$BA48,0)*IF(NOT(ISBLANK('Referenz Plattenwerk'!$I$12)),'Referenz Plattenwerk'!$I$12,'Referenz Plattenwerk'!$F$12)</f>
        <v>0</v>
      </c>
      <c r="I261" s="17"/>
      <c r="J261" s="38">
        <f>F261+G261</f>
        <v>0</v>
      </c>
      <c r="K261" s="38">
        <f>SUM(F261:H261)</f>
        <v>0</v>
      </c>
      <c r="L261" s="17" t="s">
        <v>198</v>
      </c>
    </row>
    <row r="262" spans="2:12" ht="15.75" hidden="1" outlineLevel="1" x14ac:dyDescent="0.3">
      <c r="B262" s="17"/>
      <c r="C262" s="17"/>
      <c r="D262" s="17" t="s">
        <v>62</v>
      </c>
      <c r="E262" s="17"/>
      <c r="F262" s="38">
        <f>IF(NOT(ISBLANK('Referenz Plattenwerk'!$I64)),'Referenz Plattenwerk'!$I64,'Referenz Plattenwerk'!$F64)*IF(NOT(ISBLANK('Eingabe EF'!$AS49)),'Eingabe EF'!$AS49,'Eingabe EF'!$AQ49)*IF(NOT(ISBLANK('Referenz Plattenwerk'!$I$12)),'Referenz Plattenwerk'!$I$12,'Referenz Plattenwerk'!$F$12)</f>
        <v>0</v>
      </c>
      <c r="G262" s="38">
        <f>IF(NOT(ISBLANK('Referenz Plattenwerk'!$I64)),'Referenz Plattenwerk'!$I64,'Referenz Plattenwerk'!$F64)*IF(NOT(ISBLANK('Eingabe EF'!$AW49)),'Eingabe EF'!$AW49,'Eingabe EF'!$AU49)*IF(NOT(ISBLANK('Referenz Plattenwerk'!$I$12)),'Referenz Plattenwerk'!$I$12,'Referenz Plattenwerk'!$F$12)</f>
        <v>0</v>
      </c>
      <c r="H262" s="38">
        <f>IF(NOT(ISBLANK('Referenz Plattenwerk'!$I64)),'Referenz Plattenwerk'!$I64,'Referenz Plattenwerk'!$F64)*IF(NOT(ISBLANK('Eingabe EF'!$BA49)),'Eingabe EF'!$BA49,'Eingabe EF'!$AY49)*IF(NOT(ISBLANK('Referenz Plattenwerk'!$I$12)),'Referenz Plattenwerk'!$I$12,'Referenz Plattenwerk'!$F$12)</f>
        <v>80.47999999999999</v>
      </c>
      <c r="I262" s="17"/>
      <c r="J262" s="38">
        <f t="shared" ref="J262" si="73">F262+G262</f>
        <v>0</v>
      </c>
      <c r="K262" s="38">
        <f t="shared" ref="K262" si="74">SUM(F262:H262)</f>
        <v>80.47999999999999</v>
      </c>
      <c r="L262" s="17" t="s">
        <v>198</v>
      </c>
    </row>
    <row r="263" spans="2:12" ht="15.75" hidden="1" outlineLevel="1" x14ac:dyDescent="0.3">
      <c r="B263" s="17"/>
      <c r="C263" s="17"/>
      <c r="D263" s="17" t="s">
        <v>184</v>
      </c>
      <c r="E263" s="17"/>
      <c r="F263" s="38">
        <f>IF(NOT(ISBLANK('Referenz Plattenwerk'!$I65)),'Referenz Plattenwerk'!$I65,'Referenz Plattenwerk'!$F65)*IF(NOT(ISBLANK('Eingabe EF'!$AS50)),'Eingabe EF'!$AS50,0)*IF(NOT(ISBLANK('Referenz Plattenwerk'!$I$12)),'Referenz Plattenwerk'!$I$12,'Referenz Plattenwerk'!$F$12)</f>
        <v>0</v>
      </c>
      <c r="G263" s="38">
        <f>IF(NOT(ISBLANK('Referenz Plattenwerk'!$I65)),'Referenz Plattenwerk'!$I65,'Referenz Plattenwerk'!$F65)*IF(NOT(ISBLANK('Eingabe EF'!$AW50)),'Eingabe EF'!$AW50,0)*IF(NOT(ISBLANK('Referenz Plattenwerk'!$I$12)),'Referenz Plattenwerk'!$I$12,'Referenz Plattenwerk'!$F$12)</f>
        <v>0</v>
      </c>
      <c r="H263" s="38">
        <f>IF(NOT(ISBLANK('Referenz Plattenwerk'!$I65)),'Referenz Plattenwerk'!$I65,'Referenz Plattenwerk'!$F65)*IF(NOT(ISBLANK('Eingabe EF'!$BA50)),'Eingabe EF'!$BA50,0)*IF(NOT(ISBLANK('Referenz Plattenwerk'!$I$12)),'Referenz Plattenwerk'!$I$12,'Referenz Plattenwerk'!$F$12)</f>
        <v>0</v>
      </c>
      <c r="I263" s="17"/>
      <c r="J263" s="38">
        <f>F263+G263</f>
        <v>0</v>
      </c>
      <c r="K263" s="38">
        <f>SUM(F263:H263)</f>
        <v>0</v>
      </c>
      <c r="L263" s="17" t="s">
        <v>198</v>
      </c>
    </row>
    <row r="264" spans="2:12" hidden="1" outlineLevel="1" x14ac:dyDescent="0.2">
      <c r="B264" s="17"/>
      <c r="C264" s="17"/>
      <c r="D264" s="17"/>
      <c r="E264" s="17"/>
      <c r="F264" s="17"/>
      <c r="G264" s="17"/>
      <c r="H264" s="17"/>
      <c r="I264" s="17"/>
      <c r="J264" s="17"/>
      <c r="K264" s="17"/>
      <c r="L264" s="20"/>
    </row>
    <row r="265" spans="2:12" ht="14.25" hidden="1" outlineLevel="1" x14ac:dyDescent="0.25">
      <c r="B265" s="70"/>
      <c r="C265" s="70" t="s">
        <v>185</v>
      </c>
      <c r="D265" s="71"/>
      <c r="E265" s="71"/>
      <c r="F265" s="72">
        <f>SUM(F266:F268)</f>
        <v>0</v>
      </c>
      <c r="G265" s="72">
        <f t="shared" ref="G265:H265" si="75">SUM(G266:G268)</f>
        <v>0</v>
      </c>
      <c r="H265" s="72">
        <f t="shared" si="75"/>
        <v>60</v>
      </c>
      <c r="I265" s="71"/>
      <c r="J265" s="72">
        <f t="shared" ref="J265" si="76">F265+G265</f>
        <v>0</v>
      </c>
      <c r="K265" s="72">
        <f t="shared" ref="K265" si="77">SUM(F265:H265)</f>
        <v>60</v>
      </c>
      <c r="L265" s="77" t="s">
        <v>197</v>
      </c>
    </row>
    <row r="266" spans="2:12" ht="15.75" hidden="1" outlineLevel="1" x14ac:dyDescent="0.3">
      <c r="B266" s="17"/>
      <c r="C266" s="17"/>
      <c r="D266" s="17" t="s">
        <v>66</v>
      </c>
      <c r="E266" s="17"/>
      <c r="F266" s="44">
        <f>IF(NOT(ISBLANK('Referenz Plattenwerk'!$I68)),'Referenz Plattenwerk'!$I68,'Referenz Plattenwerk'!$F68)*IF(NOT(ISBLANK('Eingabe EF'!$AS53)),'Eingabe EF'!$AS53,'Eingabe EF'!$AQ53)</f>
        <v>0</v>
      </c>
      <c r="G266" s="44">
        <f>IF(NOT(ISBLANK('Referenz Plattenwerk'!$I68)),'Referenz Plattenwerk'!$I68,'Referenz Plattenwerk'!$F68)*IF(NOT(ISBLANK('Eingabe EF'!$AW53)),'Eingabe EF'!$AW53,'Eingabe EF'!$AU53)</f>
        <v>0</v>
      </c>
      <c r="H266" s="44">
        <f>IF(NOT(ISBLANK('Referenz Plattenwerk'!$I68)),'Referenz Plattenwerk'!$I68,'Referenz Plattenwerk'!$F68)*IF(NOT(ISBLANK('Eingabe EF'!$BA53)),'Eingabe EF'!$BA53,'Eingabe EF'!$AY53)</f>
        <v>60</v>
      </c>
      <c r="I266" s="17"/>
      <c r="J266" s="38">
        <f>F266+G266</f>
        <v>0</v>
      </c>
      <c r="K266" s="38">
        <f>SUM(F266:H266)</f>
        <v>60</v>
      </c>
      <c r="L266" s="17" t="s">
        <v>198</v>
      </c>
    </row>
    <row r="267" spans="2:12" ht="15.75" hidden="1" outlineLevel="1" x14ac:dyDescent="0.3">
      <c r="B267" s="17"/>
      <c r="C267" s="17"/>
      <c r="D267" s="17" t="s">
        <v>187</v>
      </c>
      <c r="E267" s="17"/>
      <c r="F267" s="44">
        <f>IF(NOT(ISBLANK('Referenz Plattenwerk'!$I69)),'Referenz Plattenwerk'!$I69,'Referenz Plattenwerk'!$F69)*IF(NOT(ISBLANK('Eingabe EF'!$AS54)),'Eingabe EF'!$AS54,0)</f>
        <v>0</v>
      </c>
      <c r="G267" s="44">
        <f>IF(NOT(ISBLANK('Referenz Plattenwerk'!$I69)),'Referenz Plattenwerk'!$I69,'Referenz Plattenwerk'!$F69)*IF(NOT(ISBLANK('Eingabe EF'!$AW54)),'Eingabe EF'!$AW54,0)</f>
        <v>0</v>
      </c>
      <c r="H267" s="44">
        <f>IF(NOT(ISBLANK('Referenz Plattenwerk'!$I69)),'Referenz Plattenwerk'!$I69,'Referenz Plattenwerk'!$F69)*IF(NOT(ISBLANK('Eingabe EF'!$BA54)),'Eingabe EF'!$BA54,0)</f>
        <v>0</v>
      </c>
      <c r="I267" s="17"/>
      <c r="J267" s="38">
        <f t="shared" ref="J267:J268" si="78">F267+G267</f>
        <v>0</v>
      </c>
      <c r="K267" s="38">
        <f t="shared" ref="K267:K268" si="79">SUM(F267:H267)</f>
        <v>0</v>
      </c>
      <c r="L267" s="17" t="s">
        <v>198</v>
      </c>
    </row>
    <row r="268" spans="2:12" ht="15.75" hidden="1" outlineLevel="1" x14ac:dyDescent="0.3">
      <c r="B268" s="17"/>
      <c r="C268" s="17"/>
      <c r="D268" s="17" t="s">
        <v>186</v>
      </c>
      <c r="E268" s="17"/>
      <c r="F268" s="44">
        <f>IF(NOT(ISBLANK('Referenz Plattenwerk'!$I70)),'Referenz Plattenwerk'!$I70,'Referenz Plattenwerk'!$F70)*IF(NOT(ISBLANK('Eingabe EF'!$AS55)),'Eingabe EF'!$AS55,0)</f>
        <v>0</v>
      </c>
      <c r="G268" s="44">
        <f>IF(NOT(ISBLANK('Referenz Plattenwerk'!$I70)),'Referenz Plattenwerk'!$I70,'Referenz Plattenwerk'!$F70)*IF(NOT(ISBLANK('Eingabe EF'!$AW55)),'Eingabe EF'!$AW55,0)</f>
        <v>0</v>
      </c>
      <c r="H268" s="44">
        <f>IF(NOT(ISBLANK('Referenz Plattenwerk'!$I70)),'Referenz Plattenwerk'!$I70,'Referenz Plattenwerk'!$F70)*IF(NOT(ISBLANK('Eingabe EF'!$BA55)),'Eingabe EF'!$BA55,0)</f>
        <v>0</v>
      </c>
      <c r="I268" s="17"/>
      <c r="J268" s="38">
        <f t="shared" si="78"/>
        <v>0</v>
      </c>
      <c r="K268" s="38">
        <f t="shared" si="79"/>
        <v>0</v>
      </c>
      <c r="L268" s="17" t="s">
        <v>198</v>
      </c>
    </row>
    <row r="269" spans="2:12" hidden="1" outlineLevel="1" x14ac:dyDescent="0.2">
      <c r="B269" s="17"/>
      <c r="C269" s="17"/>
      <c r="D269" s="17"/>
      <c r="E269" s="17"/>
      <c r="F269" s="17"/>
      <c r="G269" s="17"/>
      <c r="H269" s="17"/>
      <c r="I269" s="17"/>
      <c r="J269" s="17"/>
      <c r="K269" s="17"/>
      <c r="L269" s="20"/>
    </row>
    <row r="270" spans="2:12" ht="14.25" hidden="1" outlineLevel="1" x14ac:dyDescent="0.25">
      <c r="B270" s="17"/>
      <c r="C270" s="17"/>
      <c r="D270" s="21" t="s">
        <v>63</v>
      </c>
      <c r="E270" s="21"/>
      <c r="F270" s="76">
        <f>IF(NOT(ISBLANK('Referenz Plattenwerk'!$I72)),'Referenz Plattenwerk'!$I72,'Referenz Plattenwerk'!$F72)*IF(NOT(ISBLANK('Eingabe EF'!$AS57)),'Eingabe EF'!$AS57,'Eingabe EF'!$AQ57)</f>
        <v>0</v>
      </c>
      <c r="G270" s="76">
        <f>IF(NOT(ISBLANK('Referenz Plattenwerk'!$I72)),'Referenz Plattenwerk'!$I72,'Referenz Plattenwerk'!$F72)*IF(NOT(ISBLANK('Eingabe EF'!$AW57)),'Eingabe EF'!$AW57,'Eingabe EF'!$AU57)</f>
        <v>0</v>
      </c>
      <c r="H270" s="76">
        <f>IF(NOT(ISBLANK('Referenz Plattenwerk'!$I72)),'Referenz Plattenwerk'!$I72,'Referenz Plattenwerk'!$F72)*IF(NOT(ISBLANK('Eingabe EF'!$BA57)),'Eingabe EF'!$BA57,'Eingabe EF'!$AY57)</f>
        <v>64.48</v>
      </c>
      <c r="I270" s="21"/>
      <c r="J270" s="75">
        <f t="shared" ref="J270" si="80">F270+G270</f>
        <v>0</v>
      </c>
      <c r="K270" s="75">
        <f t="shared" ref="K270" si="81">SUM(F270:H270)</f>
        <v>64.48</v>
      </c>
      <c r="L270" s="21" t="s">
        <v>197</v>
      </c>
    </row>
    <row r="271" spans="2:12" hidden="1" outlineLevel="1" x14ac:dyDescent="0.2">
      <c r="B271" s="17"/>
      <c r="C271" s="17"/>
      <c r="D271" s="17"/>
      <c r="E271" s="17"/>
      <c r="F271" s="20"/>
      <c r="G271" s="20"/>
      <c r="H271" s="20"/>
      <c r="I271" s="17"/>
      <c r="J271" s="17"/>
      <c r="K271" s="20"/>
      <c r="L271" s="20"/>
    </row>
    <row r="272" spans="2:12" ht="15" hidden="1" outlineLevel="1" thickBot="1" x14ac:dyDescent="0.3">
      <c r="B272" s="17"/>
      <c r="C272" s="17"/>
      <c r="D272" s="68" t="s">
        <v>69</v>
      </c>
      <c r="E272" s="68"/>
      <c r="F272" s="69">
        <f>SUM(F215:F270)-F229-F233-F239-F246-F251-F260-F265</f>
        <v>94.932355060000006</v>
      </c>
      <c r="G272" s="69">
        <f t="shared" ref="G272:H272" si="82">SUM(G215:G270)-G229-G233-G239-G246-G251-G260-G265</f>
        <v>0</v>
      </c>
      <c r="H272" s="69">
        <f t="shared" si="82"/>
        <v>5824.6851228095193</v>
      </c>
      <c r="I272" s="21"/>
      <c r="J272" s="69">
        <f t="shared" ref="J272:K272" si="83">SUM(J215:J270)-J229-J233-J239-J246-J251-J260-J265</f>
        <v>94.932355060000006</v>
      </c>
      <c r="K272" s="69">
        <f t="shared" si="83"/>
        <v>5919.6174778695195</v>
      </c>
      <c r="L272" s="69" t="s">
        <v>197</v>
      </c>
    </row>
    <row r="273" spans="2:12" ht="13.5" hidden="1" outlineLevel="1" thickTop="1" x14ac:dyDescent="0.2">
      <c r="B273" s="17"/>
      <c r="C273" s="17"/>
      <c r="D273" s="17"/>
      <c r="E273" s="17"/>
      <c r="F273" s="20"/>
      <c r="G273" s="20"/>
      <c r="H273" s="20"/>
      <c r="I273" s="17"/>
      <c r="J273" s="17"/>
      <c r="K273" s="20"/>
      <c r="L273" s="20"/>
    </row>
    <row r="274" spans="2:12" collapsed="1" x14ac:dyDescent="0.2"/>
  </sheetData>
  <sheetProtection algorithmName="SHA-512" hashValue="cFC+qp4PDwBhnJprQLQhWH5v/37jFMCR2hjI6eo0wePE6YmuXT6pPNHWlk0LOhxDagW7N4u3y8KQf8K77q9FfA==" saltValue="369hJGc5Rroi0HeCd/xS5Q==" spinCount="100000" sheet="1" selectLockedCells="1"/>
  <mergeCells count="4">
    <mergeCell ref="C64:C65"/>
    <mergeCell ref="S64:S65"/>
    <mergeCell ref="K73:K74"/>
    <mergeCell ref="D6:L6"/>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xdr:col>
                    <xdr:colOff>523875</xdr:colOff>
                    <xdr:row>65</xdr:row>
                    <xdr:rowOff>28575</xdr:rowOff>
                  </from>
                  <to>
                    <xdr:col>2</xdr:col>
                    <xdr:colOff>704850</xdr:colOff>
                    <xdr:row>66</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2</xdr:col>
                    <xdr:colOff>523875</xdr:colOff>
                    <xdr:row>66</xdr:row>
                    <xdr:rowOff>28575</xdr:rowOff>
                  </from>
                  <to>
                    <xdr:col>2</xdr:col>
                    <xdr:colOff>704850</xdr:colOff>
                    <xdr:row>66</xdr:row>
                    <xdr:rowOff>190500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xdr:col>
                    <xdr:colOff>523875</xdr:colOff>
                    <xdr:row>67</xdr:row>
                    <xdr:rowOff>28575</xdr:rowOff>
                  </from>
                  <to>
                    <xdr:col>2</xdr:col>
                    <xdr:colOff>704850</xdr:colOff>
                    <xdr:row>67</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xdr:col>
                    <xdr:colOff>523875</xdr:colOff>
                    <xdr:row>68</xdr:row>
                    <xdr:rowOff>19050</xdr:rowOff>
                  </from>
                  <to>
                    <xdr:col>2</xdr:col>
                    <xdr:colOff>704850</xdr:colOff>
                    <xdr:row>68</xdr:row>
                    <xdr:rowOff>190500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xdr:col>
                    <xdr:colOff>523875</xdr:colOff>
                    <xdr:row>69</xdr:row>
                    <xdr:rowOff>19050</xdr:rowOff>
                  </from>
                  <to>
                    <xdr:col>2</xdr:col>
                    <xdr:colOff>704850</xdr:colOff>
                    <xdr:row>69</xdr:row>
                    <xdr:rowOff>180975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2</xdr:col>
                    <xdr:colOff>523875</xdr:colOff>
                    <xdr:row>70</xdr:row>
                    <xdr:rowOff>0</xdr:rowOff>
                  </from>
                  <to>
                    <xdr:col>2</xdr:col>
                    <xdr:colOff>704850</xdr:colOff>
                    <xdr:row>70</xdr:row>
                    <xdr:rowOff>180975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2</xdr:col>
                    <xdr:colOff>523875</xdr:colOff>
                    <xdr:row>71</xdr:row>
                    <xdr:rowOff>9525</xdr:rowOff>
                  </from>
                  <to>
                    <xdr:col>2</xdr:col>
                    <xdr:colOff>704850</xdr:colOff>
                    <xdr:row>71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18</xdr:col>
                    <xdr:colOff>457200</xdr:colOff>
                    <xdr:row>76</xdr:row>
                    <xdr:rowOff>0</xdr:rowOff>
                  </from>
                  <to>
                    <xdr:col>18</xdr:col>
                    <xdr:colOff>676275</xdr:colOff>
                    <xdr:row>76</xdr:row>
                    <xdr:rowOff>180975</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18</xdr:col>
                    <xdr:colOff>571500</xdr:colOff>
                    <xdr:row>77</xdr:row>
                    <xdr:rowOff>19050</xdr:rowOff>
                  </from>
                  <to>
                    <xdr:col>19</xdr:col>
                    <xdr:colOff>0</xdr:colOff>
                    <xdr:row>78</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18</xdr:col>
                    <xdr:colOff>571500</xdr:colOff>
                    <xdr:row>78</xdr:row>
                    <xdr:rowOff>19050</xdr:rowOff>
                  </from>
                  <to>
                    <xdr:col>19</xdr:col>
                    <xdr:colOff>0</xdr:colOff>
                    <xdr:row>79</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18</xdr:col>
                    <xdr:colOff>571500</xdr:colOff>
                    <xdr:row>79</xdr:row>
                    <xdr:rowOff>9525</xdr:rowOff>
                  </from>
                  <to>
                    <xdr:col>19</xdr:col>
                    <xdr:colOff>0</xdr:colOff>
                    <xdr:row>79</xdr:row>
                    <xdr:rowOff>190500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18</xdr:col>
                    <xdr:colOff>457200</xdr:colOff>
                    <xdr:row>74</xdr:row>
                    <xdr:rowOff>9525</xdr:rowOff>
                  </from>
                  <to>
                    <xdr:col>18</xdr:col>
                    <xdr:colOff>676275</xdr:colOff>
                    <xdr:row>75</xdr:row>
                    <xdr:rowOff>9525</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18</xdr:col>
                    <xdr:colOff>457200</xdr:colOff>
                    <xdr:row>73</xdr:row>
                    <xdr:rowOff>0</xdr:rowOff>
                  </from>
                  <to>
                    <xdr:col>18</xdr:col>
                    <xdr:colOff>676275</xdr:colOff>
                    <xdr:row>74</xdr:row>
                    <xdr:rowOff>9525</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18</xdr:col>
                    <xdr:colOff>457200</xdr:colOff>
                    <xdr:row>75</xdr:row>
                    <xdr:rowOff>9525</xdr:rowOff>
                  </from>
                  <to>
                    <xdr:col>18</xdr:col>
                    <xdr:colOff>676275</xdr:colOff>
                    <xdr:row>76</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10</xdr:col>
                    <xdr:colOff>514350</xdr:colOff>
                    <xdr:row>73</xdr:row>
                    <xdr:rowOff>152400</xdr:rowOff>
                  </from>
                  <to>
                    <xdr:col>10</xdr:col>
                    <xdr:colOff>723900</xdr:colOff>
                    <xdr:row>75</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10</xdr:col>
                    <xdr:colOff>514350</xdr:colOff>
                    <xdr:row>74</xdr:row>
                    <xdr:rowOff>171450</xdr:rowOff>
                  </from>
                  <to>
                    <xdr:col>10</xdr:col>
                    <xdr:colOff>723900</xdr:colOff>
                    <xdr:row>75</xdr:row>
                    <xdr:rowOff>190500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10</xdr:col>
                    <xdr:colOff>514350</xdr:colOff>
                    <xdr:row>75</xdr:row>
                    <xdr:rowOff>180975</xdr:rowOff>
                  </from>
                  <to>
                    <xdr:col>10</xdr:col>
                    <xdr:colOff>723900</xdr:colOff>
                    <xdr:row>76</xdr:row>
                    <xdr:rowOff>190500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10</xdr:col>
                    <xdr:colOff>514350</xdr:colOff>
                    <xdr:row>76</xdr:row>
                    <xdr:rowOff>180975</xdr:rowOff>
                  </from>
                  <to>
                    <xdr:col>10</xdr:col>
                    <xdr:colOff>723900</xdr:colOff>
                    <xdr:row>78</xdr:row>
                    <xdr:rowOff>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10</xdr:col>
                    <xdr:colOff>514350</xdr:colOff>
                    <xdr:row>77</xdr:row>
                    <xdr:rowOff>180975</xdr:rowOff>
                  </from>
                  <to>
                    <xdr:col>10</xdr:col>
                    <xdr:colOff>723900</xdr:colOff>
                    <xdr:row>79</xdr:row>
                    <xdr:rowOff>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10</xdr:col>
                    <xdr:colOff>514350</xdr:colOff>
                    <xdr:row>78</xdr:row>
                    <xdr:rowOff>180975</xdr:rowOff>
                  </from>
                  <to>
                    <xdr:col>10</xdr:col>
                    <xdr:colOff>723900</xdr:colOff>
                    <xdr:row>80</xdr:row>
                    <xdr:rowOff>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10</xdr:col>
                    <xdr:colOff>514350</xdr:colOff>
                    <xdr:row>79</xdr:row>
                    <xdr:rowOff>180975</xdr:rowOff>
                  </from>
                  <to>
                    <xdr:col>10</xdr:col>
                    <xdr:colOff>723900</xdr:colOff>
                    <xdr:row>81</xdr:row>
                    <xdr:rowOff>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10</xdr:col>
                    <xdr:colOff>514350</xdr:colOff>
                    <xdr:row>80</xdr:row>
                    <xdr:rowOff>190500</xdr:rowOff>
                  </from>
                  <to>
                    <xdr:col>10</xdr:col>
                    <xdr:colOff>723900</xdr:colOff>
                    <xdr:row>81</xdr:row>
                    <xdr:rowOff>190500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10</xdr:col>
                    <xdr:colOff>514350</xdr:colOff>
                    <xdr:row>82</xdr:row>
                    <xdr:rowOff>171450</xdr:rowOff>
                  </from>
                  <to>
                    <xdr:col>10</xdr:col>
                    <xdr:colOff>723900</xdr:colOff>
                    <xdr:row>83</xdr:row>
                    <xdr:rowOff>180975</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10</xdr:col>
                    <xdr:colOff>514350</xdr:colOff>
                    <xdr:row>83</xdr:row>
                    <xdr:rowOff>171450</xdr:rowOff>
                  </from>
                  <to>
                    <xdr:col>10</xdr:col>
                    <xdr:colOff>723900</xdr:colOff>
                    <xdr:row>84</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promptTitle="Grünstrom" prompt="Bitte eine Grünstrom-Quelle auswählen" xr:uid="{CF67D9D7-89DD-40E8-9767-750CDF7DCCE2}">
          <x14:formula1>
            <xm:f>'Drop-Down'!$B$3:$B$6</xm:f>
          </x14:formula1>
          <xm:sqref>G16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1803-7656-4943-8243-C8B8384FE939}">
  <sheetPr>
    <pageSetUpPr fitToPage="1"/>
  </sheetPr>
  <dimension ref="B2:AA277"/>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246</v>
      </c>
      <c r="E3" s="90"/>
      <c r="F3" s="90"/>
      <c r="G3" s="90"/>
      <c r="H3" s="90"/>
      <c r="I3" s="90"/>
      <c r="J3" s="90"/>
      <c r="K3" s="90"/>
      <c r="L3" s="90"/>
      <c r="M3" s="3"/>
    </row>
    <row r="4" spans="2:13" x14ac:dyDescent="0.2">
      <c r="B4" s="3"/>
      <c r="C4" s="90"/>
      <c r="D4" s="3"/>
      <c r="E4" s="3"/>
      <c r="F4" s="3"/>
      <c r="G4" s="3"/>
      <c r="H4" s="3"/>
      <c r="I4" s="3"/>
      <c r="J4" s="3"/>
      <c r="K4" s="3"/>
      <c r="L4" s="3"/>
      <c r="M4" s="3"/>
    </row>
    <row r="5" spans="2:13" ht="22.5" customHeight="1" x14ac:dyDescent="0.2">
      <c r="B5" s="3"/>
      <c r="C5" s="90"/>
      <c r="D5" s="109" t="s">
        <v>326</v>
      </c>
      <c r="E5" s="104"/>
      <c r="F5" s="104"/>
      <c r="G5" s="104"/>
      <c r="H5" s="104"/>
      <c r="I5" s="104"/>
      <c r="J5" s="104"/>
      <c r="K5" s="104"/>
      <c r="L5" s="104"/>
      <c r="M5" s="3"/>
    </row>
    <row r="6" spans="2:13" ht="180" customHeight="1" x14ac:dyDescent="0.2">
      <c r="B6" s="3"/>
      <c r="C6" s="94"/>
      <c r="D6" s="396" t="s">
        <v>470</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328</v>
      </c>
      <c r="E11" s="95"/>
      <c r="F11" s="96"/>
      <c r="G11" s="7"/>
      <c r="H11" s="7"/>
      <c r="I11" s="7"/>
      <c r="J11" s="7"/>
      <c r="K11" s="7"/>
      <c r="L11" s="3"/>
      <c r="M11" s="3"/>
    </row>
    <row r="12" spans="2:13" ht="14.25" x14ac:dyDescent="0.2">
      <c r="B12" s="3"/>
      <c r="C12" s="3"/>
      <c r="D12" s="3"/>
      <c r="E12" s="3"/>
      <c r="F12" s="3"/>
      <c r="G12" s="3"/>
      <c r="H12" s="7"/>
      <c r="I12" s="7"/>
      <c r="J12" s="7"/>
      <c r="K12" s="7"/>
      <c r="L12" s="3"/>
      <c r="M12" s="3"/>
    </row>
    <row r="13" spans="2:13" ht="14.25" customHeight="1" x14ac:dyDescent="0.2">
      <c r="B13" s="3"/>
      <c r="C13" s="3"/>
      <c r="D13" s="8"/>
      <c r="E13" s="398">
        <v>2025</v>
      </c>
      <c r="F13" s="398"/>
      <c r="G13" s="398"/>
      <c r="H13" s="13"/>
      <c r="I13" s="398">
        <v>2030</v>
      </c>
      <c r="J13" s="398"/>
      <c r="K13" s="398"/>
      <c r="L13" s="8"/>
      <c r="M13" s="3"/>
    </row>
    <row r="14" spans="2:13" x14ac:dyDescent="0.2">
      <c r="B14" s="3"/>
      <c r="C14" s="3"/>
      <c r="D14" s="8"/>
      <c r="E14" s="102" t="s">
        <v>80</v>
      </c>
      <c r="F14" s="102"/>
      <c r="G14" s="102" t="s">
        <v>77</v>
      </c>
      <c r="H14" s="13"/>
      <c r="I14" s="102" t="s">
        <v>80</v>
      </c>
      <c r="J14" s="102"/>
      <c r="K14" s="102" t="s">
        <v>77</v>
      </c>
      <c r="L14" s="8"/>
      <c r="M14" s="3"/>
    </row>
    <row r="15" spans="2:13" x14ac:dyDescent="0.2">
      <c r="B15" s="3"/>
      <c r="C15" s="3"/>
      <c r="D15" s="3"/>
      <c r="E15" s="3"/>
      <c r="F15" s="3"/>
      <c r="G15" s="3"/>
      <c r="H15" s="3"/>
      <c r="I15" s="3"/>
      <c r="J15" s="3"/>
      <c r="K15" s="3"/>
      <c r="L15" s="3"/>
      <c r="M15" s="3"/>
    </row>
    <row r="16" spans="2:13" ht="25.5" x14ac:dyDescent="0.2">
      <c r="B16" s="3"/>
      <c r="C16" s="3"/>
      <c r="D16" s="11" t="s">
        <v>461</v>
      </c>
      <c r="E16" s="80">
        <v>100000</v>
      </c>
      <c r="F16" s="15" t="s">
        <v>252</v>
      </c>
      <c r="G16" s="274"/>
      <c r="H16" s="15" t="s">
        <v>252</v>
      </c>
      <c r="I16" s="80">
        <v>100000</v>
      </c>
      <c r="J16" s="15" t="s">
        <v>252</v>
      </c>
      <c r="K16" s="274"/>
      <c r="L16" s="15" t="s">
        <v>252</v>
      </c>
      <c r="M16" s="3"/>
    </row>
    <row r="17" spans="2:27" x14ac:dyDescent="0.2">
      <c r="B17" s="3"/>
      <c r="C17" s="3"/>
      <c r="D17" s="8"/>
      <c r="E17" s="81"/>
      <c r="F17" s="15"/>
      <c r="G17" s="15"/>
      <c r="H17" s="15"/>
      <c r="I17" s="81"/>
      <c r="J17" s="15"/>
      <c r="K17" s="15"/>
      <c r="L17" s="3"/>
      <c r="M17" s="3"/>
    </row>
    <row r="18" spans="2:27" x14ac:dyDescent="0.2">
      <c r="B18" s="3"/>
      <c r="C18" s="3"/>
      <c r="D18" s="12" t="s">
        <v>222</v>
      </c>
      <c r="E18" s="80">
        <v>200000</v>
      </c>
      <c r="F18" s="15" t="s">
        <v>105</v>
      </c>
      <c r="G18" s="274"/>
      <c r="H18" s="15" t="s">
        <v>105</v>
      </c>
      <c r="I18" s="80">
        <v>0</v>
      </c>
      <c r="J18" s="15" t="s">
        <v>105</v>
      </c>
      <c r="K18" s="274"/>
      <c r="L18" s="3" t="s">
        <v>105</v>
      </c>
      <c r="M18" s="3"/>
    </row>
    <row r="19" spans="2:27" ht="14.25" x14ac:dyDescent="0.2">
      <c r="B19" s="3"/>
      <c r="C19" s="3"/>
      <c r="D19" s="79" t="s">
        <v>226</v>
      </c>
      <c r="E19" s="80">
        <v>1000</v>
      </c>
      <c r="F19" s="15" t="s">
        <v>106</v>
      </c>
      <c r="G19" s="274"/>
      <c r="H19" s="15" t="s">
        <v>106</v>
      </c>
      <c r="I19" s="80">
        <v>1000</v>
      </c>
      <c r="J19" s="15" t="s">
        <v>106</v>
      </c>
      <c r="K19" s="274"/>
      <c r="L19" s="3" t="s">
        <v>106</v>
      </c>
      <c r="M19" s="3"/>
    </row>
    <row r="20" spans="2:27" ht="14.25" x14ac:dyDescent="0.2">
      <c r="B20" s="3"/>
      <c r="C20" s="3"/>
      <c r="D20" s="79" t="s">
        <v>191</v>
      </c>
      <c r="E20" s="80">
        <v>0</v>
      </c>
      <c r="F20" s="15" t="s">
        <v>105</v>
      </c>
      <c r="G20" s="274"/>
      <c r="H20" s="15" t="s">
        <v>105</v>
      </c>
      <c r="I20" s="80">
        <v>0</v>
      </c>
      <c r="J20" s="15" t="s">
        <v>105</v>
      </c>
      <c r="K20" s="274"/>
      <c r="L20" s="3" t="s">
        <v>105</v>
      </c>
      <c r="M20" s="3"/>
    </row>
    <row r="21" spans="2:27" x14ac:dyDescent="0.2">
      <c r="B21" s="3"/>
      <c r="C21" s="3"/>
      <c r="D21" s="79"/>
      <c r="E21" s="79"/>
      <c r="F21" s="79"/>
      <c r="G21" s="79"/>
      <c r="H21" s="79"/>
      <c r="I21" s="79"/>
      <c r="J21" s="79"/>
      <c r="K21" s="79"/>
      <c r="L21" s="79"/>
      <c r="M21" s="3"/>
    </row>
    <row r="22" spans="2:27" x14ac:dyDescent="0.2">
      <c r="B22" s="3"/>
      <c r="C22" s="3"/>
      <c r="D22" s="79"/>
      <c r="E22" s="15"/>
      <c r="F22" s="15"/>
      <c r="G22" s="15"/>
      <c r="H22" s="15"/>
      <c r="I22" s="15"/>
      <c r="J22" s="15"/>
      <c r="K22" s="15"/>
      <c r="L22" s="15"/>
      <c r="M22" s="3"/>
    </row>
    <row r="23" spans="2:27" x14ac:dyDescent="0.2">
      <c r="B23" s="3"/>
      <c r="C23" s="3"/>
      <c r="D23" s="79" t="s">
        <v>25</v>
      </c>
      <c r="E23" s="80">
        <v>10</v>
      </c>
      <c r="F23" s="15" t="s">
        <v>98</v>
      </c>
      <c r="G23" s="115"/>
      <c r="H23" s="15" t="s">
        <v>98</v>
      </c>
      <c r="I23" s="80">
        <v>10</v>
      </c>
      <c r="J23" s="15" t="s">
        <v>98</v>
      </c>
      <c r="K23" s="115"/>
      <c r="L23" s="15" t="s">
        <v>98</v>
      </c>
      <c r="M23" s="3"/>
    </row>
    <row r="24" spans="2:27" x14ac:dyDescent="0.2">
      <c r="B24" s="3"/>
      <c r="C24" s="3"/>
      <c r="D24" s="79" t="s">
        <v>26</v>
      </c>
      <c r="E24" s="82">
        <v>8</v>
      </c>
      <c r="F24" s="15" t="s">
        <v>99</v>
      </c>
      <c r="G24" s="275"/>
      <c r="H24" s="15" t="s">
        <v>99</v>
      </c>
      <c r="I24" s="82">
        <v>8</v>
      </c>
      <c r="J24" s="15" t="s">
        <v>99</v>
      </c>
      <c r="K24" s="275"/>
      <c r="L24" s="15" t="s">
        <v>99</v>
      </c>
      <c r="M24" s="3"/>
    </row>
    <row r="25" spans="2:27" x14ac:dyDescent="0.2">
      <c r="B25" s="3"/>
      <c r="C25" s="3"/>
      <c r="D25" s="15"/>
      <c r="E25" s="82"/>
      <c r="F25" s="15"/>
      <c r="G25" s="15"/>
      <c r="H25" s="15"/>
      <c r="I25" s="81"/>
      <c r="J25" s="15"/>
      <c r="K25" s="15"/>
      <c r="L25" s="3"/>
      <c r="M25" s="3"/>
    </row>
    <row r="26" spans="2:27" x14ac:dyDescent="0.2">
      <c r="B26" s="3"/>
      <c r="C26" s="3"/>
      <c r="D26" s="15"/>
      <c r="E26" s="10"/>
      <c r="F26" s="3"/>
      <c r="G26" s="3"/>
      <c r="H26" s="3"/>
      <c r="I26" s="16"/>
      <c r="J26" s="3"/>
      <c r="K26" s="3"/>
      <c r="L26" s="3"/>
      <c r="M26" s="3"/>
    </row>
    <row r="27" spans="2:27" ht="13.5" x14ac:dyDescent="0.2">
      <c r="B27" s="3"/>
      <c r="C27" s="3"/>
      <c r="D27" s="66" t="s">
        <v>168</v>
      </c>
      <c r="E27" s="10"/>
      <c r="F27" s="3"/>
      <c r="G27" s="3"/>
      <c r="H27" s="3"/>
      <c r="I27" s="16"/>
      <c r="J27" s="3"/>
      <c r="K27" s="3"/>
      <c r="L27" s="3"/>
      <c r="M27" s="3"/>
    </row>
    <row r="28" spans="2:27" ht="13.5" x14ac:dyDescent="0.2">
      <c r="B28" s="3"/>
      <c r="C28" s="3"/>
      <c r="D28" s="66" t="s">
        <v>215</v>
      </c>
      <c r="E28" s="10"/>
      <c r="F28" s="3"/>
      <c r="G28" s="3"/>
      <c r="H28" s="3"/>
      <c r="I28" s="16"/>
      <c r="J28" s="3"/>
      <c r="K28" s="3"/>
      <c r="L28" s="3"/>
      <c r="M28" s="3"/>
    </row>
    <row r="29" spans="2:27" x14ac:dyDescent="0.2">
      <c r="B29" s="3"/>
      <c r="C29" s="3"/>
      <c r="D29" s="15"/>
      <c r="E29" s="10"/>
      <c r="F29" s="3"/>
      <c r="G29" s="3"/>
      <c r="H29" s="3"/>
      <c r="I29" s="16"/>
      <c r="J29" s="3"/>
      <c r="K29" s="3"/>
      <c r="L29" s="3"/>
      <c r="M29" s="3"/>
    </row>
    <row r="31" spans="2:27" x14ac:dyDescent="0.2">
      <c r="B31" s="3"/>
      <c r="C31" s="3"/>
      <c r="D31" s="14"/>
      <c r="E31" s="3"/>
      <c r="F31" s="3"/>
      <c r="G31" s="3"/>
      <c r="H31" s="3"/>
      <c r="I31" s="3"/>
      <c r="J31" s="3"/>
      <c r="K31" s="3"/>
      <c r="L31" s="3"/>
      <c r="M31" s="3"/>
      <c r="N31" s="3"/>
      <c r="O31" s="3"/>
      <c r="P31" s="3"/>
      <c r="Q31" s="3"/>
      <c r="R31" s="3"/>
      <c r="S31" s="3"/>
      <c r="T31" s="3"/>
      <c r="U31" s="3"/>
      <c r="V31" s="3"/>
      <c r="W31" s="3"/>
      <c r="X31" s="3"/>
      <c r="Y31" s="3"/>
      <c r="Z31" s="3"/>
      <c r="AA31" s="3"/>
    </row>
    <row r="32" spans="2:27" ht="18" x14ac:dyDescent="0.25">
      <c r="B32" s="3"/>
      <c r="C32" s="97" t="s">
        <v>247</v>
      </c>
      <c r="D32" s="14"/>
      <c r="E32" s="3"/>
      <c r="F32" s="3"/>
      <c r="G32" s="3"/>
      <c r="H32" s="3"/>
      <c r="I32" s="3"/>
      <c r="J32" s="3"/>
      <c r="K32" s="3"/>
      <c r="L32" s="3"/>
      <c r="M32" s="3"/>
      <c r="N32" s="3"/>
      <c r="O32" s="3"/>
      <c r="P32" s="3"/>
      <c r="Q32" s="3"/>
      <c r="R32" s="3"/>
      <c r="S32" s="3"/>
      <c r="T32" s="3"/>
      <c r="U32" s="3"/>
      <c r="V32" s="3"/>
      <c r="W32" s="3"/>
      <c r="X32" s="3"/>
      <c r="Y32" s="3"/>
      <c r="Z32" s="3"/>
      <c r="AA32" s="3"/>
    </row>
    <row r="33" spans="2:27" x14ac:dyDescent="0.2">
      <c r="B33" s="3"/>
      <c r="C33" s="3"/>
      <c r="D33" s="14"/>
      <c r="E33" s="3"/>
      <c r="F33" s="3"/>
      <c r="G33" s="3"/>
      <c r="H33" s="3"/>
      <c r="I33" s="3"/>
      <c r="J33" s="3"/>
      <c r="K33" s="3"/>
      <c r="L33" s="3"/>
      <c r="M33" s="3"/>
      <c r="N33" s="3"/>
      <c r="O33" s="3"/>
      <c r="P33" s="3"/>
      <c r="Q33" s="3"/>
      <c r="R33" s="3"/>
      <c r="S33" s="3"/>
      <c r="T33" s="3"/>
      <c r="U33" s="3"/>
      <c r="V33" s="3"/>
      <c r="W33" s="3"/>
      <c r="X33" s="3"/>
      <c r="Y33" s="3"/>
      <c r="Z33" s="3"/>
      <c r="AA33" s="3"/>
    </row>
    <row r="34" spans="2:27" ht="15" x14ac:dyDescent="0.25">
      <c r="B34" s="3"/>
      <c r="C34" s="92" t="s">
        <v>112</v>
      </c>
      <c r="D34" s="3"/>
      <c r="E34" s="3"/>
      <c r="F34" s="3"/>
      <c r="G34" s="3"/>
      <c r="H34" s="3"/>
      <c r="I34" s="3"/>
      <c r="J34" s="3"/>
      <c r="K34" s="92" t="s">
        <v>116</v>
      </c>
      <c r="L34" s="3"/>
      <c r="M34" s="3"/>
      <c r="N34" s="3"/>
      <c r="O34" s="3"/>
      <c r="P34" s="3"/>
      <c r="Q34" s="3"/>
      <c r="R34" s="3"/>
      <c r="S34" s="93" t="s">
        <v>84</v>
      </c>
      <c r="T34" s="3"/>
      <c r="U34" s="3"/>
      <c r="V34" s="3"/>
      <c r="W34" s="3"/>
      <c r="X34" s="3"/>
      <c r="Y34" s="3"/>
      <c r="Z34" s="3"/>
      <c r="AA34" s="3"/>
    </row>
    <row r="35" spans="2:27" x14ac:dyDescent="0.2">
      <c r="B35" s="3"/>
      <c r="C35" s="3"/>
      <c r="D35" s="14"/>
      <c r="E35" s="3"/>
      <c r="F35" s="3"/>
      <c r="G35" s="3"/>
      <c r="H35" s="3"/>
      <c r="I35" s="3"/>
      <c r="J35" s="3"/>
      <c r="K35" s="3"/>
      <c r="L35" s="3"/>
      <c r="M35" s="3"/>
      <c r="N35" s="3"/>
      <c r="O35" s="3"/>
      <c r="P35" s="3"/>
      <c r="Q35" s="3"/>
      <c r="R35" s="3"/>
      <c r="S35" s="3"/>
      <c r="T35" s="3"/>
      <c r="U35" s="3"/>
      <c r="V35" s="3"/>
      <c r="W35" s="3"/>
      <c r="X35" s="3"/>
      <c r="Y35" s="3"/>
      <c r="Z35" s="3"/>
      <c r="AA35" s="3"/>
    </row>
    <row r="36" spans="2:27" x14ac:dyDescent="0.2">
      <c r="B36" s="3"/>
      <c r="C36" s="3"/>
      <c r="D36" s="3"/>
      <c r="E36" s="3"/>
      <c r="F36" s="3"/>
      <c r="G36" s="3"/>
      <c r="H36" s="3"/>
      <c r="I36" s="3"/>
      <c r="J36" s="3"/>
      <c r="K36" s="3"/>
      <c r="L36" s="3"/>
      <c r="M36" s="3"/>
      <c r="N36" s="3"/>
      <c r="O36" s="3"/>
      <c r="P36" s="3"/>
      <c r="Q36" s="3"/>
      <c r="R36" s="3"/>
      <c r="S36" s="3"/>
      <c r="T36" s="3"/>
      <c r="U36" s="3"/>
      <c r="V36" s="3"/>
      <c r="W36" s="3"/>
      <c r="X36" s="3"/>
      <c r="Y36" s="3"/>
      <c r="Z36" s="3"/>
      <c r="AA36" s="3"/>
    </row>
    <row r="37" spans="2:27" x14ac:dyDescent="0.2">
      <c r="B37" s="3"/>
      <c r="C37" s="3"/>
      <c r="D37" s="3"/>
      <c r="E37" s="3"/>
      <c r="F37" s="3"/>
      <c r="G37" s="3"/>
      <c r="H37" s="3"/>
      <c r="I37" s="3"/>
      <c r="J37" s="3"/>
      <c r="K37" s="3"/>
      <c r="L37" s="3"/>
      <c r="M37" s="3"/>
      <c r="N37" s="3"/>
      <c r="O37" s="3"/>
      <c r="P37" s="3"/>
      <c r="Q37" s="3"/>
      <c r="R37" s="3"/>
      <c r="S37" s="3"/>
      <c r="T37" s="3"/>
      <c r="U37" s="3"/>
      <c r="V37" s="3"/>
      <c r="W37" s="3"/>
      <c r="X37" s="3"/>
      <c r="Y37" s="3"/>
      <c r="Z37" s="3"/>
      <c r="AA37" s="3"/>
    </row>
    <row r="38" spans="2:27" x14ac:dyDescent="0.2">
      <c r="B38" s="3"/>
      <c r="C38" s="3"/>
      <c r="D38" s="3"/>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3"/>
      <c r="E39" s="3"/>
      <c r="F39" s="3"/>
      <c r="G39" s="3"/>
      <c r="H39" s="3"/>
      <c r="I39" s="3"/>
      <c r="J39" s="3"/>
      <c r="K39" s="3"/>
      <c r="L39" s="3"/>
      <c r="M39" s="3"/>
      <c r="N39" s="3"/>
      <c r="O39" s="3"/>
      <c r="P39" s="3"/>
      <c r="Q39" s="3"/>
      <c r="R39" s="3"/>
      <c r="S39" s="3"/>
      <c r="T39" s="3"/>
      <c r="U39" s="3"/>
      <c r="V39" s="3"/>
      <c r="W39" s="3"/>
      <c r="X39" s="3"/>
      <c r="Y39" s="3"/>
      <c r="Z39" s="3"/>
      <c r="AA39" s="3"/>
    </row>
    <row r="40" spans="2:27" x14ac:dyDescent="0.2">
      <c r="B40" s="3"/>
      <c r="C40" s="3"/>
      <c r="D40" s="3"/>
      <c r="E40" s="3"/>
      <c r="F40" s="3"/>
      <c r="G40" s="3"/>
      <c r="H40" s="3"/>
      <c r="I40" s="3"/>
      <c r="J40" s="3"/>
      <c r="K40" s="3"/>
      <c r="L40" s="3"/>
      <c r="M40" s="3"/>
      <c r="N40" s="3"/>
      <c r="O40" s="3"/>
      <c r="P40" s="3"/>
      <c r="Q40" s="3"/>
      <c r="R40" s="3"/>
      <c r="S40" s="3"/>
      <c r="T40" s="3"/>
      <c r="U40" s="3"/>
      <c r="V40" s="3"/>
      <c r="W40" s="3"/>
      <c r="X40" s="3"/>
      <c r="Y40" s="3"/>
      <c r="Z40" s="3"/>
      <c r="AA40" s="3"/>
    </row>
    <row r="41" spans="2:27" x14ac:dyDescent="0.2">
      <c r="B41" s="3"/>
      <c r="C41" s="3"/>
      <c r="D41" s="3"/>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ht="15" customHeight="1" x14ac:dyDescent="0.25">
      <c r="B66" s="3"/>
      <c r="C66" s="97"/>
      <c r="D66" s="62"/>
      <c r="E66" s="3"/>
      <c r="F66" s="3"/>
      <c r="G66" s="3"/>
      <c r="H66" s="3"/>
      <c r="I66" s="3"/>
      <c r="J66" s="3"/>
      <c r="K66" s="3"/>
      <c r="L66" s="3"/>
      <c r="M66" s="3"/>
      <c r="N66" s="3"/>
      <c r="O66" s="3"/>
      <c r="P66" s="3"/>
      <c r="Q66" s="3"/>
      <c r="R66" s="3"/>
      <c r="S66" s="3"/>
      <c r="T66" s="3"/>
      <c r="U66" s="3"/>
      <c r="V66" s="3"/>
      <c r="W66" s="3"/>
      <c r="X66" s="3"/>
      <c r="Y66" s="85"/>
      <c r="Z66" s="85"/>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84"/>
      <c r="Z67" s="84"/>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84"/>
      <c r="Z68" s="84"/>
      <c r="AA68" s="3"/>
    </row>
    <row r="69" spans="2:27" ht="15" customHeight="1" x14ac:dyDescent="0.25">
      <c r="B69" s="3"/>
      <c r="C69" s="3"/>
      <c r="D69" s="23" t="s">
        <v>113</v>
      </c>
      <c r="E69" s="24"/>
      <c r="F69" s="24"/>
      <c r="G69" s="24"/>
      <c r="H69" s="24"/>
      <c r="I69" s="3"/>
      <c r="J69" s="3"/>
      <c r="K69" s="3"/>
      <c r="L69" s="23" t="s">
        <v>194</v>
      </c>
      <c r="M69" s="24"/>
      <c r="N69" s="24"/>
      <c r="O69" s="24"/>
      <c r="P69" s="24"/>
      <c r="Q69" s="3"/>
      <c r="R69" s="3"/>
      <c r="S69" s="3"/>
      <c r="T69" s="23" t="s">
        <v>199</v>
      </c>
      <c r="U69" s="24"/>
      <c r="V69" s="24"/>
      <c r="W69" s="24"/>
      <c r="X69" s="3"/>
      <c r="Y69" s="84"/>
      <c r="Z69" s="84"/>
      <c r="AA69" s="3"/>
    </row>
    <row r="70" spans="2:27" ht="15" customHeight="1" x14ac:dyDescent="0.25">
      <c r="B70" s="3"/>
      <c r="C70" s="397" t="s">
        <v>145</v>
      </c>
      <c r="D70" s="46"/>
      <c r="E70" s="46">
        <v>2020</v>
      </c>
      <c r="F70" s="47">
        <v>2025</v>
      </c>
      <c r="G70" s="47">
        <v>2030</v>
      </c>
      <c r="H70" s="34"/>
      <c r="I70" s="3"/>
      <c r="J70" s="3"/>
      <c r="K70" s="3"/>
      <c r="L70" s="34"/>
      <c r="M70" s="46">
        <v>2020</v>
      </c>
      <c r="N70" s="47">
        <v>2025</v>
      </c>
      <c r="O70" s="47">
        <v>2030</v>
      </c>
      <c r="P70" s="34"/>
      <c r="Q70" s="3"/>
      <c r="R70" s="3"/>
      <c r="S70" s="397" t="s">
        <v>145</v>
      </c>
      <c r="T70" s="34"/>
      <c r="U70" s="47">
        <v>2020</v>
      </c>
      <c r="V70" s="47">
        <v>2025</v>
      </c>
      <c r="W70" s="47">
        <v>2030</v>
      </c>
      <c r="X70" s="3"/>
      <c r="Y70" s="84"/>
      <c r="Z70" s="84"/>
      <c r="AA70" s="63"/>
    </row>
    <row r="71" spans="2:27" x14ac:dyDescent="0.2">
      <c r="B71" s="3"/>
      <c r="C71" s="397"/>
      <c r="D71" s="24"/>
      <c r="E71" s="48" t="s">
        <v>89</v>
      </c>
      <c r="F71" s="49"/>
      <c r="G71" s="49"/>
      <c r="H71" s="24"/>
      <c r="I71" s="3"/>
      <c r="J71" s="3"/>
      <c r="K71" s="3"/>
      <c r="L71" s="24"/>
      <c r="M71" s="48" t="s">
        <v>89</v>
      </c>
      <c r="N71" s="49"/>
      <c r="O71" s="49"/>
      <c r="P71" s="24"/>
      <c r="Q71" s="3"/>
      <c r="R71" s="3"/>
      <c r="S71" s="397"/>
      <c r="T71" s="24"/>
      <c r="U71" s="50" t="s">
        <v>89</v>
      </c>
      <c r="V71" s="50"/>
      <c r="W71" s="59"/>
      <c r="X71" s="3"/>
      <c r="Y71" s="84"/>
      <c r="Z71" s="84"/>
      <c r="AA71" s="63"/>
    </row>
    <row r="72" spans="2:27" ht="15.75" x14ac:dyDescent="0.3">
      <c r="B72" s="3"/>
      <c r="C72" s="3"/>
      <c r="D72" s="29" t="s">
        <v>31</v>
      </c>
      <c r="E72" s="32">
        <f>'Referenz Plattenwerk'!$U$16+'Referenz Plattenwerk'!U21</f>
        <v>43.0426</v>
      </c>
      <c r="F72" s="32">
        <f>J147+J152</f>
        <v>43.0426</v>
      </c>
      <c r="G72" s="32">
        <f>J218+J223</f>
        <v>43.0426</v>
      </c>
      <c r="H72" s="25" t="s">
        <v>162</v>
      </c>
      <c r="I72" s="3"/>
      <c r="J72" s="3"/>
      <c r="K72" s="3"/>
      <c r="L72" s="29" t="s">
        <v>115</v>
      </c>
      <c r="M72" s="26">
        <f>'Referenz Plattenwerk'!Q74</f>
        <v>94.932355060000006</v>
      </c>
      <c r="N72" s="26">
        <f>F204</f>
        <v>94.932355060000006</v>
      </c>
      <c r="O72" s="26">
        <f>F275</f>
        <v>94.932355060000006</v>
      </c>
      <c r="P72" s="25" t="s">
        <v>162</v>
      </c>
      <c r="Q72" s="3"/>
      <c r="R72" s="3"/>
      <c r="S72" s="3"/>
      <c r="T72" s="57" t="s">
        <v>158</v>
      </c>
      <c r="U72" s="58">
        <f>SUM(U73:U79)</f>
        <v>109669</v>
      </c>
      <c r="V72" s="58">
        <f t="shared" ref="V72:W72" si="0">SUM(V73:V79)</f>
        <v>92469</v>
      </c>
      <c r="W72" s="58">
        <f t="shared" si="0"/>
        <v>92469</v>
      </c>
      <c r="X72" s="3"/>
      <c r="Y72" s="114"/>
      <c r="Z72" s="114"/>
      <c r="AA72" s="63"/>
    </row>
    <row r="73" spans="2:27" ht="15.75" x14ac:dyDescent="0.3">
      <c r="B73" s="3"/>
      <c r="C73" s="3"/>
      <c r="D73" s="8" t="s">
        <v>32</v>
      </c>
      <c r="E73" s="10">
        <f>'Referenz Plattenwerk'!$U$17+'Referenz Plattenwerk'!U22</f>
        <v>16.005600000000001</v>
      </c>
      <c r="F73" s="10">
        <f>J148+J153</f>
        <v>16.005600000000001</v>
      </c>
      <c r="G73" s="10">
        <f>J219+J224</f>
        <v>16.005600000000001</v>
      </c>
      <c r="H73" s="3" t="s">
        <v>162</v>
      </c>
      <c r="I73" s="3"/>
      <c r="J73" s="3"/>
      <c r="K73" s="3"/>
      <c r="L73" s="8" t="s">
        <v>28</v>
      </c>
      <c r="M73" s="9">
        <f>'Referenz Plattenwerk'!R74</f>
        <v>171.9</v>
      </c>
      <c r="N73" s="9">
        <f>G204</f>
        <v>97.138569957888194</v>
      </c>
      <c r="O73" s="9">
        <f>G275</f>
        <v>47.874209324752655</v>
      </c>
      <c r="P73" s="3" t="s">
        <v>162</v>
      </c>
      <c r="Q73" s="3"/>
      <c r="R73" s="3"/>
      <c r="S73" s="3"/>
      <c r="T73" s="31" t="s">
        <v>31</v>
      </c>
      <c r="U73" s="52">
        <f>'Referenz Plattenwerk'!AB16</f>
        <v>14335</v>
      </c>
      <c r="V73" s="52">
        <f>S147+S152</f>
        <v>14335</v>
      </c>
      <c r="W73" s="52">
        <f>S218+S223</f>
        <v>14335</v>
      </c>
      <c r="X73" s="3"/>
      <c r="Y73" s="114"/>
      <c r="Z73" s="114"/>
      <c r="AA73" s="63"/>
    </row>
    <row r="74" spans="2:27" ht="15.75" x14ac:dyDescent="0.3">
      <c r="B74" s="3"/>
      <c r="C74" s="3"/>
      <c r="D74" s="29" t="s">
        <v>33</v>
      </c>
      <c r="E74" s="32">
        <f>'Referenz Plattenwerk'!$U$18+'Referenz Plattenwerk'!R24</f>
        <v>171.9</v>
      </c>
      <c r="F74" s="32">
        <f>J149+J155</f>
        <v>97.138569957888194</v>
      </c>
      <c r="G74" s="32">
        <f>J220+J226</f>
        <v>47.874209324752655</v>
      </c>
      <c r="H74" s="25" t="s">
        <v>162</v>
      </c>
      <c r="I74" s="3"/>
      <c r="J74" s="3"/>
      <c r="K74" s="3"/>
      <c r="L74" s="29" t="s">
        <v>29</v>
      </c>
      <c r="M74" s="26">
        <f>'Referenz Plattenwerk'!S74</f>
        <v>5831.5296228095176</v>
      </c>
      <c r="N74" s="26">
        <f>H204</f>
        <v>5826.1412320180052</v>
      </c>
      <c r="O74" s="26">
        <f>H275</f>
        <v>5818.9192315063419</v>
      </c>
      <c r="P74" s="25" t="s">
        <v>162</v>
      </c>
      <c r="Q74" s="3"/>
      <c r="R74" s="3"/>
      <c r="S74" s="3"/>
      <c r="T74" s="31" t="s">
        <v>32</v>
      </c>
      <c r="U74" s="52">
        <f>'Referenz Plattenwerk'!AB17</f>
        <v>2760</v>
      </c>
      <c r="V74" s="52">
        <f>S148+S153</f>
        <v>2760</v>
      </c>
      <c r="W74" s="52">
        <f>S219+S224</f>
        <v>2760</v>
      </c>
      <c r="X74" s="3"/>
      <c r="Y74" s="114"/>
      <c r="Z74" s="114"/>
      <c r="AA74" s="63"/>
    </row>
    <row r="75" spans="2:27" ht="16.5" thickBot="1" x14ac:dyDescent="0.35">
      <c r="B75" s="3"/>
      <c r="C75" s="3"/>
      <c r="D75" s="8" t="s">
        <v>126</v>
      </c>
      <c r="E75" s="10">
        <f>'Referenz Plattenwerk'!$U$19</f>
        <v>0</v>
      </c>
      <c r="F75" s="10">
        <f>J150</f>
        <v>0</v>
      </c>
      <c r="G75" s="10">
        <f>J221</f>
        <v>0</v>
      </c>
      <c r="H75" s="3" t="s">
        <v>162</v>
      </c>
      <c r="I75" s="3"/>
      <c r="J75" s="3"/>
      <c r="K75" s="3"/>
      <c r="L75" s="27" t="s">
        <v>69</v>
      </c>
      <c r="M75" s="28">
        <f>SUM(M72:M74)</f>
        <v>6098.3619778695174</v>
      </c>
      <c r="N75" s="28">
        <f t="shared" ref="N75:O75" si="1">SUM(N72:N74)</f>
        <v>6018.2121570358931</v>
      </c>
      <c r="O75" s="28">
        <f t="shared" si="1"/>
        <v>5961.725795891095</v>
      </c>
      <c r="P75" s="27" t="s">
        <v>163</v>
      </c>
      <c r="Q75" s="3"/>
      <c r="R75" s="3"/>
      <c r="S75" s="3"/>
      <c r="T75" s="31" t="s">
        <v>33</v>
      </c>
      <c r="U75" s="52">
        <f>'Referenz Plattenwerk'!AB18</f>
        <v>77400</v>
      </c>
      <c r="V75" s="52">
        <f>S149+S155</f>
        <v>60200</v>
      </c>
      <c r="W75" s="52">
        <f>S220+S226</f>
        <v>60200</v>
      </c>
      <c r="X75" s="3"/>
      <c r="Y75" s="114"/>
      <c r="Z75" s="114"/>
      <c r="AA75" s="63"/>
    </row>
    <row r="76" spans="2:27" ht="16.5" thickTop="1" x14ac:dyDescent="0.3">
      <c r="B76" s="3"/>
      <c r="C76" s="3"/>
      <c r="D76" s="29" t="s">
        <v>122</v>
      </c>
      <c r="E76" s="32">
        <f>'Referenz Plattenwerk'!$U$25</f>
        <v>0</v>
      </c>
      <c r="F76" s="32">
        <f>J156</f>
        <v>0</v>
      </c>
      <c r="G76" s="32">
        <f>J227</f>
        <v>0</v>
      </c>
      <c r="H76" s="25" t="s">
        <v>162</v>
      </c>
      <c r="I76" s="3"/>
      <c r="J76" s="3"/>
      <c r="K76" s="3"/>
      <c r="L76" s="3"/>
      <c r="M76" s="3"/>
      <c r="N76" s="3"/>
      <c r="O76" s="3"/>
      <c r="P76" s="3"/>
      <c r="Q76" s="3"/>
      <c r="R76" s="3"/>
      <c r="S76" s="3"/>
      <c r="T76" s="31" t="s">
        <v>122</v>
      </c>
      <c r="U76" s="52">
        <f>'Referenz Plattenwerk'!AB19</f>
        <v>0</v>
      </c>
      <c r="V76" s="52">
        <f>S156</f>
        <v>0</v>
      </c>
      <c r="W76" s="52">
        <f>S227</f>
        <v>0</v>
      </c>
      <c r="X76" s="3"/>
      <c r="Y76" s="114"/>
      <c r="Z76" s="114"/>
      <c r="AA76" s="63"/>
    </row>
    <row r="77" spans="2:27" ht="15.75" x14ac:dyDescent="0.3">
      <c r="B77" s="3"/>
      <c r="C77" s="3"/>
      <c r="D77" s="8" t="s">
        <v>149</v>
      </c>
      <c r="E77" s="10">
        <f>'Referenz Plattenwerk'!$U$26</f>
        <v>0</v>
      </c>
      <c r="F77" s="10">
        <f>J157</f>
        <v>0</v>
      </c>
      <c r="G77" s="10">
        <f>J228</f>
        <v>0</v>
      </c>
      <c r="H77" s="3" t="s">
        <v>162</v>
      </c>
      <c r="I77" s="3"/>
      <c r="J77" s="3"/>
      <c r="K77" s="3"/>
      <c r="L77" s="3"/>
      <c r="M77" s="3"/>
      <c r="N77" s="3"/>
      <c r="O77" s="3"/>
      <c r="P77" s="3"/>
      <c r="Q77" s="3"/>
      <c r="R77" s="3"/>
      <c r="S77" s="3"/>
      <c r="T77" s="31" t="s">
        <v>123</v>
      </c>
      <c r="U77" s="52">
        <f>'Referenz Plattenwerk'!AB20</f>
        <v>0</v>
      </c>
      <c r="V77" s="52">
        <f>S150</f>
        <v>0</v>
      </c>
      <c r="W77" s="52">
        <f>S221</f>
        <v>0</v>
      </c>
      <c r="X77" s="3"/>
      <c r="Y77" s="114"/>
      <c r="Z77" s="114"/>
      <c r="AA77" s="63"/>
    </row>
    <row r="78" spans="2:27" ht="15.75" x14ac:dyDescent="0.3">
      <c r="B78" s="3"/>
      <c r="C78" s="3"/>
      <c r="D78" s="29" t="s">
        <v>34</v>
      </c>
      <c r="E78" s="32">
        <f>'Referenz Plattenwerk'!$U$28+'Referenz Plattenwerk'!$U$29</f>
        <v>35.884155059999998</v>
      </c>
      <c r="F78" s="32">
        <f>J159+J160</f>
        <v>35.884155059999998</v>
      </c>
      <c r="G78" s="32">
        <f>J230+J231</f>
        <v>35.884155059999998</v>
      </c>
      <c r="H78" s="25" t="s">
        <v>162</v>
      </c>
      <c r="I78" s="3"/>
      <c r="J78" s="3"/>
      <c r="K78" s="3"/>
      <c r="L78" s="23" t="s">
        <v>192</v>
      </c>
      <c r="M78" s="24"/>
      <c r="N78" s="24"/>
      <c r="O78" s="24"/>
      <c r="P78" s="24"/>
      <c r="Q78" s="3"/>
      <c r="R78" s="3"/>
      <c r="S78" s="3"/>
      <c r="T78" s="31" t="s">
        <v>466</v>
      </c>
      <c r="U78" s="52">
        <f>'Referenz Plattenwerk'!AB21</f>
        <v>0</v>
      </c>
      <c r="V78" s="52">
        <f>S157</f>
        <v>0</v>
      </c>
      <c r="W78" s="52">
        <f>S228</f>
        <v>0</v>
      </c>
      <c r="X78" s="3"/>
      <c r="Y78" s="114"/>
      <c r="Z78" s="114"/>
      <c r="AA78" s="63"/>
    </row>
    <row r="79" spans="2:27" ht="15.75" thickBot="1" x14ac:dyDescent="0.3">
      <c r="B79" s="3"/>
      <c r="C79" s="3"/>
      <c r="D79" s="27" t="s">
        <v>69</v>
      </c>
      <c r="E79" s="33">
        <f>SUM(E72:E78)</f>
        <v>266.83235506</v>
      </c>
      <c r="F79" s="33">
        <f>SUM(F72:F78)</f>
        <v>192.07092501788821</v>
      </c>
      <c r="G79" s="33">
        <f>SUM(G72:G78)</f>
        <v>142.80656438475268</v>
      </c>
      <c r="H79" s="27" t="s">
        <v>163</v>
      </c>
      <c r="I79" s="3"/>
      <c r="J79" s="3"/>
      <c r="K79" s="397" t="s">
        <v>145</v>
      </c>
      <c r="L79" s="34"/>
      <c r="M79" s="46">
        <v>2020</v>
      </c>
      <c r="N79" s="47">
        <v>2025</v>
      </c>
      <c r="O79" s="47">
        <v>2030</v>
      </c>
      <c r="P79" s="34"/>
      <c r="Q79" s="3"/>
      <c r="R79" s="3"/>
      <c r="S79" s="3"/>
      <c r="T79" s="51" t="s">
        <v>34</v>
      </c>
      <c r="U79" s="53">
        <f>'Referenz Plattenwerk'!AB22</f>
        <v>15174.000000000002</v>
      </c>
      <c r="V79" s="54">
        <f>S159+S160</f>
        <v>15174.000000000002</v>
      </c>
      <c r="W79" s="54">
        <f>S230+S231</f>
        <v>15174.000000000002</v>
      </c>
      <c r="X79" s="3"/>
      <c r="Y79" s="114"/>
      <c r="Z79" s="114"/>
      <c r="AA79" s="63"/>
    </row>
    <row r="80" spans="2:27" ht="13.5" thickTop="1" x14ac:dyDescent="0.2">
      <c r="B80" s="3"/>
      <c r="C80" s="3"/>
      <c r="D80" s="3"/>
      <c r="E80" s="3"/>
      <c r="F80" s="3"/>
      <c r="G80" s="3"/>
      <c r="H80" s="3"/>
      <c r="I80" s="3"/>
      <c r="J80" s="3"/>
      <c r="K80" s="397"/>
      <c r="L80" s="24"/>
      <c r="M80" s="48" t="s">
        <v>89</v>
      </c>
      <c r="N80" s="49"/>
      <c r="O80" s="49"/>
      <c r="P80" s="24"/>
      <c r="Q80" s="3"/>
      <c r="R80" s="3"/>
      <c r="S80" s="3"/>
      <c r="T80" s="8" t="s">
        <v>30</v>
      </c>
      <c r="U80" s="55">
        <v>0</v>
      </c>
      <c r="V80" s="55">
        <f>S163</f>
        <v>36000</v>
      </c>
      <c r="W80" s="55">
        <f>S234</f>
        <v>36000</v>
      </c>
      <c r="X80" s="3"/>
      <c r="Y80" s="114"/>
      <c r="Z80" s="114"/>
      <c r="AA80" s="63"/>
    </row>
    <row r="81" spans="2:27" ht="15.75" x14ac:dyDescent="0.3">
      <c r="B81" s="3"/>
      <c r="C81" s="3"/>
      <c r="D81" s="3"/>
      <c r="E81" s="3"/>
      <c r="F81" s="3"/>
      <c r="G81" s="3"/>
      <c r="H81" s="3"/>
      <c r="I81" s="3"/>
      <c r="J81" s="3"/>
      <c r="K81" s="3"/>
      <c r="L81" s="29" t="str">
        <f>C145</f>
        <v>Energieträger gesamt</v>
      </c>
      <c r="M81" s="26">
        <f>SUM('Referenz Plattenwerk'!S16:S29)</f>
        <v>41.281733459999998</v>
      </c>
      <c r="N81" s="26">
        <f>H145</f>
        <v>35.893342668486227</v>
      </c>
      <c r="O81" s="26">
        <f>H216</f>
        <v>28.671342156822377</v>
      </c>
      <c r="P81" s="25" t="s">
        <v>162</v>
      </c>
      <c r="Q81" s="3"/>
      <c r="R81" s="3"/>
      <c r="S81" s="3"/>
      <c r="T81" s="8" t="s">
        <v>153</v>
      </c>
      <c r="U81" s="55">
        <v>0</v>
      </c>
      <c r="V81" s="55">
        <f>S164</f>
        <v>1000</v>
      </c>
      <c r="W81" s="55">
        <f>S235</f>
        <v>1000</v>
      </c>
      <c r="X81" s="3"/>
      <c r="Y81" s="114"/>
      <c r="Z81" s="114"/>
      <c r="AA81" s="63"/>
    </row>
    <row r="82" spans="2:27" ht="15.75" x14ac:dyDescent="0.3">
      <c r="B82" s="3"/>
      <c r="C82" s="3"/>
      <c r="D82" s="3"/>
      <c r="E82" s="3"/>
      <c r="F82" s="3"/>
      <c r="G82" s="3"/>
      <c r="H82" s="3"/>
      <c r="I82" s="3"/>
      <c r="J82" s="3"/>
      <c r="K82" s="3"/>
      <c r="L82" s="8" t="str">
        <f>C161</f>
        <v>Transport gesamt</v>
      </c>
      <c r="M82" s="9">
        <f>'Referenz Plattenwerk'!S32+'Referenz Plattenwerk'!S33</f>
        <v>469.15642799999995</v>
      </c>
      <c r="N82" s="9">
        <f>H161</f>
        <v>469.15642799999995</v>
      </c>
      <c r="O82" s="9">
        <f>H232</f>
        <v>469.15642799999995</v>
      </c>
      <c r="P82" s="3" t="s">
        <v>162</v>
      </c>
      <c r="Q82" s="3"/>
      <c r="R82" s="3"/>
      <c r="S82" s="3"/>
      <c r="T82" s="59" t="s">
        <v>160</v>
      </c>
      <c r="U82" s="61">
        <v>0</v>
      </c>
      <c r="V82" s="61">
        <f>S165</f>
        <v>0</v>
      </c>
      <c r="W82" s="61">
        <f>S236</f>
        <v>0</v>
      </c>
      <c r="X82" s="3"/>
      <c r="Y82" s="114"/>
      <c r="Z82" s="114"/>
      <c r="AA82" s="63"/>
    </row>
    <row r="83" spans="2:27" ht="15.75" x14ac:dyDescent="0.3">
      <c r="B83" s="3"/>
      <c r="C83" s="3"/>
      <c r="D83" s="3"/>
      <c r="E83" s="3"/>
      <c r="F83" s="3"/>
      <c r="G83" s="3"/>
      <c r="H83" s="3"/>
      <c r="I83" s="3"/>
      <c r="J83" s="3"/>
      <c r="K83" s="3"/>
      <c r="L83" s="29" t="str">
        <f>C165</f>
        <v>Zement</v>
      </c>
      <c r="M83" s="26">
        <f>'Referenz Plattenwerk'!S35</f>
        <v>4548.5439999999999</v>
      </c>
      <c r="N83" s="26">
        <f>H165</f>
        <v>4548.5439999999999</v>
      </c>
      <c r="O83" s="26">
        <f>H236</f>
        <v>4548.5439999999999</v>
      </c>
      <c r="P83" s="25" t="s">
        <v>162</v>
      </c>
      <c r="Q83" s="3"/>
      <c r="R83" s="3"/>
      <c r="S83" s="3"/>
      <c r="T83" s="57" t="s">
        <v>154</v>
      </c>
      <c r="U83" s="58">
        <f>SUM(U84:U86)</f>
        <v>152459.04944673795</v>
      </c>
      <c r="V83" s="58">
        <f t="shared" ref="V83:W83" si="2">SUM(V84:V86)</f>
        <v>270819.5470666152</v>
      </c>
      <c r="W83" s="58">
        <f t="shared" si="2"/>
        <v>476938.06367128756</v>
      </c>
      <c r="X83" s="3"/>
      <c r="Y83" s="114"/>
      <c r="Z83" s="114"/>
      <c r="AA83" s="63"/>
    </row>
    <row r="84" spans="2:27" ht="15.75" x14ac:dyDescent="0.3">
      <c r="B84" s="3"/>
      <c r="C84" s="3"/>
      <c r="D84" s="3"/>
      <c r="E84" s="3"/>
      <c r="F84" s="3"/>
      <c r="G84" s="3"/>
      <c r="H84" s="3"/>
      <c r="I84" s="3"/>
      <c r="J84" s="3"/>
      <c r="K84" s="3"/>
      <c r="L84" s="8" t="str">
        <f>C171</f>
        <v>Gesteinskörnungen (Zuschlagsstoffe)</v>
      </c>
      <c r="M84" s="9">
        <f>'Referenz Plattenwerk'!S41</f>
        <v>129.59200000000001</v>
      </c>
      <c r="N84" s="9">
        <f>H171</f>
        <v>129.59200000000001</v>
      </c>
      <c r="O84" s="9">
        <f>H242</f>
        <v>129.59200000000001</v>
      </c>
      <c r="P84" s="3" t="s">
        <v>162</v>
      </c>
      <c r="Q84" s="3"/>
      <c r="R84" s="3"/>
      <c r="S84" s="3"/>
      <c r="T84" s="31" t="s">
        <v>155</v>
      </c>
      <c r="U84" s="52">
        <f>'Referenz Plattenwerk'!AB26</f>
        <v>2373.3088765000002</v>
      </c>
      <c r="V84" s="52">
        <f>S168</f>
        <v>4271.9559777000004</v>
      </c>
      <c r="W84" s="52">
        <f>S239</f>
        <v>7594.5884048000007</v>
      </c>
      <c r="X84" s="3"/>
      <c r="Y84" s="114"/>
      <c r="Z84" s="114"/>
      <c r="AA84" s="63"/>
    </row>
    <row r="85" spans="2:27" ht="15.75" x14ac:dyDescent="0.3">
      <c r="B85" s="3"/>
      <c r="C85" s="3"/>
      <c r="D85" s="3"/>
      <c r="E85" s="3"/>
      <c r="F85" s="3"/>
      <c r="G85" s="3"/>
      <c r="H85" s="3"/>
      <c r="I85" s="3"/>
      <c r="J85" s="3"/>
      <c r="K85" s="3"/>
      <c r="L85" s="29" t="str">
        <f>D176</f>
        <v>Farben</v>
      </c>
      <c r="M85" s="26">
        <f>'Referenz Plattenwerk'!S46</f>
        <v>208</v>
      </c>
      <c r="N85" s="26">
        <f>H176</f>
        <v>208</v>
      </c>
      <c r="O85" s="26">
        <f>H247</f>
        <v>208</v>
      </c>
      <c r="P85" s="25" t="s">
        <v>162</v>
      </c>
      <c r="Q85" s="3"/>
      <c r="R85" s="3"/>
      <c r="S85" s="3"/>
      <c r="T85" s="31" t="s">
        <v>156</v>
      </c>
      <c r="U85" s="52">
        <f>'Referenz Plattenwerk'!AB27</f>
        <v>4297.5</v>
      </c>
      <c r="V85" s="52">
        <f>S169</f>
        <v>4371.2356481049683</v>
      </c>
      <c r="W85" s="52">
        <f>S240</f>
        <v>3829.9367459802124</v>
      </c>
      <c r="X85" s="3"/>
      <c r="Y85" s="114"/>
      <c r="Z85" s="114"/>
      <c r="AA85" s="63"/>
    </row>
    <row r="86" spans="2:27" ht="15.75" x14ac:dyDescent="0.3">
      <c r="B86" s="3"/>
      <c r="C86" s="3"/>
      <c r="D86" s="3"/>
      <c r="E86" s="3"/>
      <c r="F86" s="3"/>
      <c r="G86" s="3"/>
      <c r="H86" s="3"/>
      <c r="I86" s="3"/>
      <c r="J86" s="3"/>
      <c r="K86" s="3"/>
      <c r="L86" s="8" t="str">
        <f>C178</f>
        <v>Zusatzstoffe (Füllstoffe)</v>
      </c>
      <c r="M86" s="9">
        <f>'Referenz Plattenwerk'!S48</f>
        <v>81.003999999999991</v>
      </c>
      <c r="N86" s="9">
        <f>H178</f>
        <v>81.003999999999991</v>
      </c>
      <c r="O86" s="9">
        <f>H249</f>
        <v>81.003999999999991</v>
      </c>
      <c r="P86" s="3" t="s">
        <v>162</v>
      </c>
      <c r="Q86" s="3"/>
      <c r="R86" s="3"/>
      <c r="S86" s="3"/>
      <c r="T86" s="31" t="s">
        <v>157</v>
      </c>
      <c r="U86" s="52">
        <f>'Referenz Plattenwerk'!AB28</f>
        <v>145788.24057023795</v>
      </c>
      <c r="V86" s="52">
        <f>S170</f>
        <v>262176.35544081021</v>
      </c>
      <c r="W86" s="52">
        <f>S241</f>
        <v>465513.53852050734</v>
      </c>
      <c r="X86" s="3"/>
      <c r="Y86" s="114"/>
      <c r="Z86" s="114"/>
      <c r="AA86" s="63"/>
    </row>
    <row r="87" spans="2:27" ht="16.5" thickBot="1" x14ac:dyDescent="0.35">
      <c r="B87" s="3"/>
      <c r="C87" s="3"/>
      <c r="D87" s="3"/>
      <c r="E87" s="3"/>
      <c r="F87" s="3"/>
      <c r="G87" s="3"/>
      <c r="H87" s="3"/>
      <c r="I87" s="3"/>
      <c r="J87" s="3"/>
      <c r="K87" s="3"/>
      <c r="L87" s="29" t="str">
        <f>C183</f>
        <v>Zusatzmittel</v>
      </c>
      <c r="M87" s="26">
        <f>'Referenz Plattenwerk'!S53</f>
        <v>148.44746134951595</v>
      </c>
      <c r="N87" s="26">
        <f>H183</f>
        <v>148.44746134951595</v>
      </c>
      <c r="O87" s="26">
        <f>H254</f>
        <v>148.44746134951595</v>
      </c>
      <c r="P87" s="25" t="s">
        <v>162</v>
      </c>
      <c r="Q87" s="3"/>
      <c r="R87" s="3"/>
      <c r="S87" s="3"/>
      <c r="T87" s="27" t="s">
        <v>69</v>
      </c>
      <c r="U87" s="56">
        <f>U83+U82+U81+U80+U72</f>
        <v>262128.04944673795</v>
      </c>
      <c r="V87" s="56">
        <f t="shared" ref="V87:W87" si="3">V83+V82+V81+V80+V72</f>
        <v>400288.5470666152</v>
      </c>
      <c r="W87" s="56">
        <f t="shared" si="3"/>
        <v>606407.06367128761</v>
      </c>
      <c r="X87" s="3"/>
      <c r="Y87" s="114"/>
      <c r="Z87" s="114"/>
      <c r="AA87" s="63"/>
    </row>
    <row r="88" spans="2:27" ht="16.5" thickTop="1" x14ac:dyDescent="0.3">
      <c r="B88" s="3"/>
      <c r="C88" s="3"/>
      <c r="D88" s="3"/>
      <c r="E88" s="3"/>
      <c r="F88" s="3"/>
      <c r="G88" s="3"/>
      <c r="H88" s="3"/>
      <c r="I88" s="3"/>
      <c r="J88" s="3"/>
      <c r="K88" s="3"/>
      <c r="L88" s="8" t="s">
        <v>193</v>
      </c>
      <c r="M88" s="9">
        <f>'Referenz Plattenwerk'!S59+'Referenz Plattenwerk'!S60</f>
        <v>0.54400000000000004</v>
      </c>
      <c r="N88" s="9">
        <f>H189+H190</f>
        <v>0.54400000000000004</v>
      </c>
      <c r="O88" s="9">
        <f>H260+H261</f>
        <v>0.54400000000000004</v>
      </c>
      <c r="P88" s="3" t="s">
        <v>162</v>
      </c>
      <c r="Q88" s="3"/>
      <c r="R88" s="3"/>
      <c r="S88" s="3"/>
      <c r="T88" s="3"/>
      <c r="U88" s="3"/>
      <c r="V88" s="3"/>
      <c r="W88" s="3"/>
      <c r="X88" s="3"/>
      <c r="Y88" s="63"/>
      <c r="Z88" s="63"/>
      <c r="AA88" s="63"/>
    </row>
    <row r="89" spans="2:27" ht="16.5" thickBot="1" x14ac:dyDescent="0.35">
      <c r="B89" s="3"/>
      <c r="C89" s="3"/>
      <c r="D89" s="3"/>
      <c r="E89" s="3"/>
      <c r="F89" s="3"/>
      <c r="G89" s="3"/>
      <c r="H89" s="3"/>
      <c r="I89" s="3"/>
      <c r="J89" s="3"/>
      <c r="K89" s="3"/>
      <c r="L89" s="29" t="str">
        <f>C192</f>
        <v>Oberflächenschutzsysteme</v>
      </c>
      <c r="M89" s="26">
        <f>'Referenz Plattenwerk'!S62</f>
        <v>80.47999999999999</v>
      </c>
      <c r="N89" s="26">
        <f>H192</f>
        <v>80.47999999999999</v>
      </c>
      <c r="O89" s="26">
        <f>H263</f>
        <v>80.47999999999999</v>
      </c>
      <c r="P89" s="25" t="s">
        <v>162</v>
      </c>
      <c r="Q89" s="3"/>
      <c r="R89" s="3"/>
      <c r="S89" s="3"/>
      <c r="T89" s="105" t="s">
        <v>210</v>
      </c>
      <c r="U89" s="106">
        <f>U87-U86</f>
        <v>116339.8088765</v>
      </c>
      <c r="V89" s="106">
        <f>V87-V86</f>
        <v>138112.19162580499</v>
      </c>
      <c r="W89" s="106">
        <f>W87-W86</f>
        <v>140893.52515078027</v>
      </c>
      <c r="X89" s="3"/>
      <c r="Y89" s="3"/>
      <c r="Z89" s="3"/>
      <c r="AA89" s="3"/>
    </row>
    <row r="90" spans="2:27" ht="16.5" thickBot="1" x14ac:dyDescent="0.35">
      <c r="B90" s="3"/>
      <c r="C90" s="3"/>
      <c r="D90" s="3"/>
      <c r="E90" s="3"/>
      <c r="F90" s="3"/>
      <c r="G90" s="3"/>
      <c r="H90" s="3"/>
      <c r="I90" s="3"/>
      <c r="J90" s="3"/>
      <c r="K90" s="3"/>
      <c r="L90" s="8" t="str">
        <f>C197</f>
        <v>Oberflächenbearbeitung (vor/nach Erhärtung)</v>
      </c>
      <c r="M90" s="9">
        <f>'Referenz Plattenwerk'!S67</f>
        <v>60</v>
      </c>
      <c r="N90" s="9">
        <f>H197</f>
        <v>60</v>
      </c>
      <c r="O90" s="9">
        <f>H268</f>
        <v>60</v>
      </c>
      <c r="P90" s="3" t="s">
        <v>162</v>
      </c>
      <c r="Q90" s="3"/>
      <c r="R90" s="3"/>
      <c r="S90" s="3"/>
      <c r="T90" s="107" t="s">
        <v>159</v>
      </c>
      <c r="U90" s="108">
        <f>U87-U83</f>
        <v>109669</v>
      </c>
      <c r="V90" s="108">
        <f>V87-V83</f>
        <v>129469</v>
      </c>
      <c r="W90" s="108">
        <f>W87-W83</f>
        <v>129469.00000000006</v>
      </c>
      <c r="X90" s="3"/>
      <c r="Y90" s="3"/>
      <c r="Z90" s="3"/>
      <c r="AA90" s="3"/>
    </row>
    <row r="91" spans="2:27" ht="15.75" x14ac:dyDescent="0.3">
      <c r="B91" s="3"/>
      <c r="C91" s="3"/>
      <c r="D91" s="3"/>
      <c r="E91" s="3"/>
      <c r="F91" s="3"/>
      <c r="G91" s="3"/>
      <c r="H91" s="3"/>
      <c r="I91" s="3"/>
      <c r="J91" s="3"/>
      <c r="K91" s="3"/>
      <c r="L91" s="29" t="str">
        <f>D202</f>
        <v>Verpackungsmaterial</v>
      </c>
      <c r="M91" s="26">
        <f>'Referenz Plattenwerk'!S72</f>
        <v>64.48</v>
      </c>
      <c r="N91" s="26">
        <f>H202</f>
        <v>64.48</v>
      </c>
      <c r="O91" s="26">
        <f>H273</f>
        <v>64.48</v>
      </c>
      <c r="P91" s="25" t="s">
        <v>162</v>
      </c>
      <c r="Q91" s="3"/>
      <c r="R91" s="3"/>
      <c r="S91" s="3"/>
      <c r="T91" s="3"/>
      <c r="U91" s="3"/>
      <c r="V91" s="3"/>
      <c r="W91" s="3"/>
      <c r="X91" s="3"/>
      <c r="Y91" s="3"/>
      <c r="Z91" s="3"/>
      <c r="AA91" s="3"/>
    </row>
    <row r="92" spans="2:27" ht="15" thickBot="1" x14ac:dyDescent="0.3">
      <c r="B92" s="3"/>
      <c r="C92" s="3"/>
      <c r="D92" s="3"/>
      <c r="E92" s="3"/>
      <c r="F92" s="3"/>
      <c r="G92" s="3"/>
      <c r="H92" s="3"/>
      <c r="I92" s="3"/>
      <c r="J92" s="3"/>
      <c r="K92" s="3"/>
      <c r="L92" s="27" t="s">
        <v>69</v>
      </c>
      <c r="M92" s="28">
        <f>SUM(M81:M91)</f>
        <v>5831.529622809514</v>
      </c>
      <c r="N92" s="28">
        <f t="shared" ref="N92" si="4">SUM(N81:N91)</f>
        <v>5826.1412320180007</v>
      </c>
      <c r="O92" s="28">
        <f>SUM(O81:O91)</f>
        <v>5818.9192315063365</v>
      </c>
      <c r="P92" s="27" t="s">
        <v>163</v>
      </c>
      <c r="Q92" s="3"/>
      <c r="R92" s="3"/>
      <c r="S92" s="3"/>
      <c r="T92" s="3"/>
      <c r="U92" s="3"/>
      <c r="V92" s="3"/>
      <c r="W92" s="3"/>
      <c r="X92" s="3"/>
      <c r="Y92" s="3"/>
      <c r="Z92" s="3"/>
      <c r="AA92" s="3"/>
    </row>
    <row r="93" spans="2:27" ht="13.5" thickTop="1" x14ac:dyDescent="0.2">
      <c r="B93" s="3"/>
      <c r="C93" s="3"/>
      <c r="D93" s="3"/>
      <c r="E93" s="3"/>
      <c r="F93" s="3"/>
      <c r="G93" s="3"/>
      <c r="H93" s="3"/>
      <c r="I93" s="3"/>
      <c r="J93" s="3"/>
      <c r="K93" s="3"/>
      <c r="L93" s="8"/>
      <c r="M93" s="83"/>
      <c r="N93" s="83"/>
      <c r="O93" s="83"/>
      <c r="P93" s="8"/>
      <c r="Q93" s="3"/>
      <c r="R93" s="3"/>
      <c r="S93" s="3"/>
      <c r="T93" s="3"/>
      <c r="U93" s="3"/>
      <c r="V93" s="3"/>
      <c r="W93" s="3"/>
      <c r="X93" s="3"/>
      <c r="Y93" s="3"/>
      <c r="Z93" s="3"/>
      <c r="AA93" s="3"/>
    </row>
    <row r="94" spans="2:27" x14ac:dyDescent="0.2">
      <c r="B94" s="3"/>
      <c r="C94" s="3"/>
      <c r="D94" s="3"/>
      <c r="E94" s="3"/>
      <c r="F94" s="3"/>
      <c r="G94" s="3"/>
      <c r="H94" s="3"/>
      <c r="I94" s="3"/>
      <c r="J94" s="3"/>
      <c r="K94" s="3"/>
      <c r="L94" s="8"/>
      <c r="M94" s="83"/>
      <c r="N94" s="83"/>
      <c r="O94" s="83"/>
      <c r="P94" s="8"/>
      <c r="Q94" s="3"/>
      <c r="R94" s="3"/>
      <c r="S94" s="3"/>
      <c r="T94" s="3"/>
      <c r="U94" s="3"/>
      <c r="V94" s="3"/>
      <c r="W94" s="3"/>
      <c r="X94" s="3"/>
      <c r="Y94" s="3"/>
      <c r="Z94" s="3"/>
      <c r="AA94" s="3"/>
    </row>
    <row r="95" spans="2:27" ht="15" x14ac:dyDescent="0.25">
      <c r="B95" s="3"/>
      <c r="C95" s="3"/>
      <c r="D95" s="3"/>
      <c r="E95" s="3"/>
      <c r="F95" s="3"/>
      <c r="G95" s="3"/>
      <c r="H95" s="3"/>
      <c r="I95" s="3"/>
      <c r="J95" s="3"/>
      <c r="K95" s="3"/>
      <c r="L95" s="23" t="s">
        <v>208</v>
      </c>
      <c r="M95" s="3"/>
      <c r="N95" s="3"/>
      <c r="O95" s="3"/>
      <c r="P95" s="3"/>
      <c r="Q95" s="3"/>
      <c r="R95" s="3"/>
      <c r="S95" s="3"/>
      <c r="T95" s="3"/>
      <c r="U95" s="3"/>
      <c r="V95" s="3"/>
      <c r="W95" s="3"/>
      <c r="X95" s="3"/>
      <c r="Y95" s="3"/>
      <c r="Z95" s="3"/>
      <c r="AA95" s="3"/>
    </row>
    <row r="96" spans="2:27" ht="15" x14ac:dyDescent="0.25">
      <c r="B96" s="3"/>
      <c r="C96" s="3"/>
      <c r="D96" s="3"/>
      <c r="E96" s="3"/>
      <c r="F96" s="3"/>
      <c r="G96" s="3"/>
      <c r="H96" s="3"/>
      <c r="I96" s="3"/>
      <c r="J96" s="3"/>
      <c r="K96" s="3"/>
      <c r="L96" s="34"/>
      <c r="M96" s="46">
        <v>2020</v>
      </c>
      <c r="N96" s="47">
        <v>2025</v>
      </c>
      <c r="O96" s="47">
        <v>2030</v>
      </c>
      <c r="P96" s="34"/>
      <c r="Q96" s="3"/>
      <c r="R96" s="3"/>
      <c r="S96" s="3"/>
      <c r="T96" s="3"/>
      <c r="U96" s="3"/>
      <c r="V96" s="3"/>
      <c r="W96" s="3"/>
      <c r="X96" s="3"/>
      <c r="Y96" s="3"/>
      <c r="Z96" s="3"/>
      <c r="AA96" s="3"/>
    </row>
    <row r="97" spans="2:27" x14ac:dyDescent="0.2">
      <c r="B97" s="3"/>
      <c r="C97" s="3"/>
      <c r="D97" s="3"/>
      <c r="E97" s="3"/>
      <c r="F97" s="3"/>
      <c r="G97" s="3"/>
      <c r="H97" s="3"/>
      <c r="I97" s="3"/>
      <c r="J97" s="3"/>
      <c r="K97" s="3"/>
      <c r="L97" s="24"/>
      <c r="M97" s="48" t="s">
        <v>89</v>
      </c>
      <c r="N97" s="49"/>
      <c r="O97" s="49"/>
      <c r="P97" s="24"/>
      <c r="Q97" s="3"/>
      <c r="R97" s="3"/>
      <c r="S97" s="3"/>
      <c r="T97" s="3"/>
      <c r="U97" s="3"/>
      <c r="V97" s="3"/>
      <c r="W97" s="3"/>
      <c r="X97" s="3"/>
      <c r="Y97" s="3"/>
      <c r="Z97" s="3"/>
      <c r="AA97" s="3"/>
    </row>
    <row r="98" spans="2:27" ht="15.75" x14ac:dyDescent="0.3">
      <c r="B98" s="3"/>
      <c r="C98" s="3"/>
      <c r="D98" s="3"/>
      <c r="E98" s="3"/>
      <c r="F98" s="3"/>
      <c r="G98" s="3"/>
      <c r="H98" s="3"/>
      <c r="I98" s="3"/>
      <c r="J98" s="3"/>
      <c r="K98" s="3"/>
      <c r="L98" s="29" t="s">
        <v>115</v>
      </c>
      <c r="M98" s="98">
        <f>M72/IF(NOT(ISBLANK('Referenz Plattenwerk'!$I$12)),'Referenz Plattenwerk'!$I$12,'Referenz Plattenwerk'!$F$12)</f>
        <v>2.3733088764999999E-3</v>
      </c>
      <c r="N98" s="98">
        <f>N72/IF(NOT(ISBLANK('Referenz Plattenwerk'!$I$12)),'Referenz Plattenwerk'!$I$12,'Referenz Plattenwerk'!$F$12)</f>
        <v>2.3733088764999999E-3</v>
      </c>
      <c r="O98" s="98">
        <f>O72/IF(NOT(ISBLANK('Referenz Plattenwerk'!$I$12)),'Referenz Plattenwerk'!$I$12,'Referenz Plattenwerk'!$F$12)</f>
        <v>2.3733088764999999E-3</v>
      </c>
      <c r="P98" s="25" t="s">
        <v>207</v>
      </c>
      <c r="Q98" s="3"/>
      <c r="R98" s="3"/>
      <c r="S98" s="3"/>
      <c r="T98" s="3"/>
      <c r="U98" s="3"/>
      <c r="V98" s="3"/>
      <c r="W98" s="3"/>
      <c r="X98" s="3"/>
      <c r="Y98" s="3"/>
      <c r="Z98" s="3"/>
      <c r="AA98" s="3"/>
    </row>
    <row r="99" spans="2:27" ht="15.75" x14ac:dyDescent="0.3">
      <c r="B99" s="3"/>
      <c r="C99" s="3"/>
      <c r="D99" s="3"/>
      <c r="E99" s="3"/>
      <c r="F99" s="3"/>
      <c r="G99" s="3"/>
      <c r="H99" s="3"/>
      <c r="I99" s="3"/>
      <c r="J99" s="3"/>
      <c r="K99" s="3"/>
      <c r="L99" s="8" t="s">
        <v>28</v>
      </c>
      <c r="M99" s="99">
        <f>M73/IF(NOT(ISBLANK('Referenz Plattenwerk'!$I$12)),'Referenz Plattenwerk'!$I$12,'Referenz Plattenwerk'!$F$12)</f>
        <v>4.2975000000000001E-3</v>
      </c>
      <c r="N99" s="99">
        <f>N73/IF(NOT(ISBLANK('Referenz Plattenwerk'!$I$12)),'Referenz Plattenwerk'!$I$12,'Referenz Plattenwerk'!$F$12)</f>
        <v>2.4284642489472048E-3</v>
      </c>
      <c r="O99" s="99">
        <f>O73/IF(NOT(ISBLANK('Referenz Plattenwerk'!$I$12)),'Referenz Plattenwerk'!$I$12,'Referenz Plattenwerk'!$F$12)</f>
        <v>1.1968552331188165E-3</v>
      </c>
      <c r="P99" s="3" t="s">
        <v>207</v>
      </c>
      <c r="Q99" s="3"/>
      <c r="R99" s="3"/>
      <c r="S99" s="3"/>
      <c r="T99" s="3"/>
      <c r="U99" s="3"/>
      <c r="V99" s="3"/>
      <c r="W99" s="3"/>
      <c r="X99" s="3"/>
      <c r="Y99" s="3"/>
      <c r="Z99" s="3"/>
      <c r="AA99" s="3"/>
    </row>
    <row r="100" spans="2:27" ht="15.75" x14ac:dyDescent="0.3">
      <c r="B100" s="3"/>
      <c r="C100" s="3"/>
      <c r="D100" s="3"/>
      <c r="E100" s="3"/>
      <c r="F100" s="3"/>
      <c r="G100" s="3"/>
      <c r="H100" s="3"/>
      <c r="I100" s="3"/>
      <c r="J100" s="3"/>
      <c r="K100" s="3"/>
      <c r="L100" s="29" t="s">
        <v>29</v>
      </c>
      <c r="M100" s="98">
        <f>M74/IF(NOT(ISBLANK('Referenz Plattenwerk'!$I$12)),'Referenz Plattenwerk'!$I$12,'Referenz Plattenwerk'!$F$12)</f>
        <v>0.14578824057023795</v>
      </c>
      <c r="N100" s="98">
        <f>N74/IF(NOT(ISBLANK('Referenz Plattenwerk'!$I$12)),'Referenz Plattenwerk'!$I$12,'Referenz Plattenwerk'!$F$12)</f>
        <v>0.14565353080045013</v>
      </c>
      <c r="O100" s="98">
        <f>O74/IF(NOT(ISBLANK('Referenz Plattenwerk'!$I$12)),'Referenz Plattenwerk'!$I$12,'Referenz Plattenwerk'!$F$12)</f>
        <v>0.14547298078765855</v>
      </c>
      <c r="P100" s="25" t="s">
        <v>207</v>
      </c>
      <c r="Q100" s="3"/>
      <c r="R100" s="3"/>
      <c r="S100" s="3"/>
      <c r="T100" s="3"/>
      <c r="U100" s="3"/>
      <c r="V100" s="3"/>
      <c r="W100" s="3"/>
      <c r="X100" s="3"/>
      <c r="Y100" s="3"/>
      <c r="Z100" s="3"/>
      <c r="AA100" s="3"/>
    </row>
    <row r="101" spans="2:27" ht="15" thickBot="1" x14ac:dyDescent="0.3">
      <c r="B101" s="3"/>
      <c r="C101" s="3"/>
      <c r="D101" s="3"/>
      <c r="E101" s="3"/>
      <c r="F101" s="3"/>
      <c r="G101" s="3"/>
      <c r="H101" s="3"/>
      <c r="I101" s="3"/>
      <c r="J101" s="3"/>
      <c r="K101" s="3"/>
      <c r="L101" s="27" t="s">
        <v>69</v>
      </c>
      <c r="M101" s="100">
        <f>M75/IF(NOT(ISBLANK('Referenz Plattenwerk'!$I$12)),'Referenz Plattenwerk'!$I$12,'Referenz Plattenwerk'!$F$12)</f>
        <v>0.15245904944673794</v>
      </c>
      <c r="N101" s="100">
        <f>N75/IF(NOT(ISBLANK('Referenz Plattenwerk'!$I$12)),'Referenz Plattenwerk'!$I$12,'Referenz Plattenwerk'!$F$12)</f>
        <v>0.15045530392589732</v>
      </c>
      <c r="O101" s="100">
        <f>O75/IF(NOT(ISBLANK('Referenz Plattenwerk'!$I$12)),'Referenz Plattenwerk'!$I$12,'Referenz Plattenwerk'!$F$12)</f>
        <v>0.14904314489727738</v>
      </c>
      <c r="P101" s="27" t="s">
        <v>209</v>
      </c>
      <c r="Q101" s="3"/>
      <c r="R101" s="3"/>
      <c r="S101" s="3"/>
      <c r="T101" s="3"/>
      <c r="U101" s="3"/>
      <c r="V101" s="3"/>
      <c r="W101" s="3"/>
      <c r="X101" s="3"/>
      <c r="Y101" s="3"/>
      <c r="Z101" s="3"/>
      <c r="AA101" s="3"/>
    </row>
    <row r="102" spans="2:27" ht="13.5" thickTop="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7" spans="2:27" hidden="1" outlineLevel="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2:27" ht="15.75" hidden="1" outlineLevel="1" x14ac:dyDescent="0.25">
      <c r="B108" s="3"/>
      <c r="C108" s="3"/>
      <c r="D108" s="62" t="s">
        <v>144</v>
      </c>
      <c r="E108" s="3"/>
      <c r="F108" s="3"/>
      <c r="G108" s="3"/>
      <c r="H108" s="3"/>
      <c r="I108" s="3"/>
      <c r="J108" s="3"/>
      <c r="K108" s="3"/>
      <c r="L108" s="62" t="s">
        <v>144</v>
      </c>
      <c r="M108" s="3"/>
      <c r="N108" s="3"/>
      <c r="O108" s="3"/>
      <c r="P108" s="3"/>
      <c r="Q108" s="3"/>
      <c r="R108" s="3"/>
      <c r="S108" s="62" t="s">
        <v>144</v>
      </c>
      <c r="T108" s="24"/>
      <c r="U108" s="24"/>
      <c r="V108" s="24"/>
      <c r="W108" s="24"/>
      <c r="X108" s="3"/>
      <c r="Y108" s="3"/>
    </row>
    <row r="109" spans="2:27" ht="15" hidden="1" outlineLevel="1" x14ac:dyDescent="0.25">
      <c r="B109" s="3"/>
      <c r="C109" s="3"/>
      <c r="D109" s="35" t="s">
        <v>113</v>
      </c>
      <c r="E109" s="35">
        <v>2020</v>
      </c>
      <c r="F109" s="35">
        <v>2025</v>
      </c>
      <c r="G109" s="35">
        <v>2030</v>
      </c>
      <c r="H109" s="34"/>
      <c r="I109" s="3"/>
      <c r="J109" s="3"/>
      <c r="K109" s="3"/>
      <c r="L109" s="35" t="s">
        <v>264</v>
      </c>
      <c r="M109" s="35">
        <v>2020</v>
      </c>
      <c r="N109" s="35">
        <v>2025</v>
      </c>
      <c r="O109" s="35">
        <v>2030</v>
      </c>
      <c r="P109" s="34"/>
      <c r="Q109" s="3"/>
      <c r="R109" s="3"/>
      <c r="S109" s="3"/>
      <c r="T109" s="46" t="s">
        <v>199</v>
      </c>
      <c r="U109" s="47">
        <v>2020</v>
      </c>
      <c r="V109" s="47">
        <v>2025</v>
      </c>
      <c r="W109" s="47">
        <v>2030</v>
      </c>
      <c r="X109" s="3"/>
      <c r="Y109" s="3"/>
    </row>
    <row r="110" spans="2:27" hidden="1" outlineLevel="1" x14ac:dyDescent="0.2">
      <c r="B110" s="3"/>
      <c r="C110" s="3"/>
      <c r="D110" s="24"/>
      <c r="E110" s="60" t="s">
        <v>89</v>
      </c>
      <c r="F110" s="59"/>
      <c r="G110" s="59"/>
      <c r="H110" s="24"/>
      <c r="I110" s="3"/>
      <c r="J110" s="3"/>
      <c r="K110" s="3"/>
      <c r="L110" s="24"/>
      <c r="M110" s="60" t="s">
        <v>89</v>
      </c>
      <c r="N110" s="59"/>
      <c r="O110" s="59"/>
      <c r="P110" s="24"/>
      <c r="Q110" s="3"/>
      <c r="R110" s="3"/>
      <c r="S110" s="3"/>
      <c r="T110" s="24"/>
      <c r="U110" s="50" t="s">
        <v>89</v>
      </c>
      <c r="V110" s="50"/>
      <c r="W110" s="59"/>
      <c r="X110" s="3"/>
      <c r="Y110" s="3"/>
    </row>
    <row r="111" spans="2:27" ht="15.75" hidden="1" outlineLevel="1" x14ac:dyDescent="0.3">
      <c r="B111" s="3"/>
      <c r="C111" s="3"/>
      <c r="D111" s="3" t="str">
        <f t="shared" ref="D111:D117" si="5">IF($I111,D72,"")</f>
        <v>Erdgas</v>
      </c>
      <c r="E111" s="10">
        <f t="shared" ref="E111:G117" si="6">IF($I111,E72,NA())</f>
        <v>43.0426</v>
      </c>
      <c r="F111" s="10">
        <f t="shared" si="6"/>
        <v>43.0426</v>
      </c>
      <c r="G111" s="10">
        <f t="shared" si="6"/>
        <v>43.0426</v>
      </c>
      <c r="H111" s="3" t="s">
        <v>162</v>
      </c>
      <c r="I111" s="381" t="b">
        <v>1</v>
      </c>
      <c r="J111" s="3"/>
      <c r="K111" s="3"/>
      <c r="L111" s="3" t="str">
        <f t="shared" ref="L111:L121" si="7">IF($Q111,L81,"")</f>
        <v>Energieträger gesamt</v>
      </c>
      <c r="M111" s="9">
        <f>IF($Q111,M81,NA())</f>
        <v>41.281733459999998</v>
      </c>
      <c r="N111" s="9">
        <f>IF($Q111,N81,NA())</f>
        <v>35.893342668486227</v>
      </c>
      <c r="O111" s="9">
        <f t="shared" ref="O111" si="8">IF($Q111,O81,NA())</f>
        <v>28.671342156822377</v>
      </c>
      <c r="P111" s="3" t="s">
        <v>162</v>
      </c>
      <c r="Q111" s="381" t="b">
        <v>1</v>
      </c>
      <c r="R111" s="3"/>
      <c r="S111" s="3"/>
      <c r="T111" s="57" t="s">
        <v>158</v>
      </c>
      <c r="U111" s="58">
        <f>SUM(U112:U118)</f>
        <v>109669</v>
      </c>
      <c r="V111" s="58">
        <f t="shared" ref="V111:W111" si="9">SUM(V112:V118)</f>
        <v>92469</v>
      </c>
      <c r="W111" s="58">
        <f t="shared" si="9"/>
        <v>92469</v>
      </c>
      <c r="X111" s="3"/>
      <c r="Y111" s="3"/>
    </row>
    <row r="112" spans="2:27" ht="15.75" hidden="1" outlineLevel="1" x14ac:dyDescent="0.3">
      <c r="B112" s="3"/>
      <c r="C112" s="3"/>
      <c r="D112" s="3" t="str">
        <f t="shared" si="5"/>
        <v>Heizöl</v>
      </c>
      <c r="E112" s="10">
        <f t="shared" si="6"/>
        <v>16.005600000000001</v>
      </c>
      <c r="F112" s="10">
        <f t="shared" si="6"/>
        <v>16.005600000000001</v>
      </c>
      <c r="G112" s="10">
        <f t="shared" si="6"/>
        <v>16.005600000000001</v>
      </c>
      <c r="H112" s="3" t="s">
        <v>162</v>
      </c>
      <c r="I112" s="381" t="b">
        <v>1</v>
      </c>
      <c r="J112" s="3"/>
      <c r="K112" s="3"/>
      <c r="L112" s="3" t="str">
        <f t="shared" si="7"/>
        <v>Transport gesamt</v>
      </c>
      <c r="M112" s="9">
        <f t="shared" ref="M112:O121" si="10">IF($Q112,M82,NA())</f>
        <v>469.15642799999995</v>
      </c>
      <c r="N112" s="9">
        <f t="shared" si="10"/>
        <v>469.15642799999995</v>
      </c>
      <c r="O112" s="9">
        <f t="shared" si="10"/>
        <v>469.15642799999995</v>
      </c>
      <c r="P112" s="3" t="s">
        <v>162</v>
      </c>
      <c r="Q112" s="381" t="b">
        <v>1</v>
      </c>
      <c r="R112" s="3"/>
      <c r="S112" s="3"/>
      <c r="T112" s="31" t="s">
        <v>31</v>
      </c>
      <c r="U112" s="52">
        <f>U73</f>
        <v>14335</v>
      </c>
      <c r="V112" s="52">
        <f t="shared" ref="V112:W112" si="11">V73</f>
        <v>14335</v>
      </c>
      <c r="W112" s="52">
        <f t="shared" si="11"/>
        <v>14335</v>
      </c>
      <c r="X112" s="3"/>
      <c r="Y112" s="3"/>
    </row>
    <row r="113" spans="2:25" ht="15.75" hidden="1" outlineLevel="1" x14ac:dyDescent="0.3">
      <c r="B113" s="3"/>
      <c r="C113" s="3"/>
      <c r="D113" s="3" t="str">
        <f t="shared" si="5"/>
        <v>Strom</v>
      </c>
      <c r="E113" s="10">
        <f t="shared" si="6"/>
        <v>171.9</v>
      </c>
      <c r="F113" s="10">
        <f t="shared" si="6"/>
        <v>97.138569957888194</v>
      </c>
      <c r="G113" s="10">
        <f t="shared" si="6"/>
        <v>47.874209324752655</v>
      </c>
      <c r="H113" s="3" t="s">
        <v>162</v>
      </c>
      <c r="I113" s="381" t="b">
        <v>1</v>
      </c>
      <c r="J113" s="3"/>
      <c r="K113" s="3"/>
      <c r="L113" s="3" t="str">
        <f t="shared" si="7"/>
        <v>Zement</v>
      </c>
      <c r="M113" s="9">
        <f t="shared" si="10"/>
        <v>4548.5439999999999</v>
      </c>
      <c r="N113" s="9">
        <f t="shared" si="10"/>
        <v>4548.5439999999999</v>
      </c>
      <c r="O113" s="9">
        <f t="shared" si="10"/>
        <v>4548.5439999999999</v>
      </c>
      <c r="P113" s="3" t="s">
        <v>162</v>
      </c>
      <c r="Q113" s="381" t="b">
        <v>1</v>
      </c>
      <c r="R113" s="3"/>
      <c r="S113" s="3"/>
      <c r="T113" s="31" t="s">
        <v>32</v>
      </c>
      <c r="U113" s="52">
        <f t="shared" ref="U113:W118" si="12">U74</f>
        <v>2760</v>
      </c>
      <c r="V113" s="52">
        <f t="shared" si="12"/>
        <v>2760</v>
      </c>
      <c r="W113" s="52">
        <f t="shared" si="12"/>
        <v>2760</v>
      </c>
      <c r="X113" s="3"/>
      <c r="Y113" s="3"/>
    </row>
    <row r="114" spans="2:25" ht="15.75" hidden="1" outlineLevel="1" x14ac:dyDescent="0.3">
      <c r="B114" s="3"/>
      <c r="C114" s="3"/>
      <c r="D114" s="3" t="str">
        <f t="shared" si="5"/>
        <v/>
      </c>
      <c r="E114" s="10" t="e">
        <f t="shared" si="6"/>
        <v>#N/A</v>
      </c>
      <c r="F114" s="10" t="e">
        <f t="shared" si="6"/>
        <v>#N/A</v>
      </c>
      <c r="G114" s="10" t="e">
        <f t="shared" si="6"/>
        <v>#N/A</v>
      </c>
      <c r="H114" s="3" t="s">
        <v>162</v>
      </c>
      <c r="I114" s="381" t="b">
        <v>0</v>
      </c>
      <c r="J114" s="3"/>
      <c r="K114" s="3"/>
      <c r="L114" s="3" t="str">
        <f t="shared" si="7"/>
        <v>Gesteinskörnungen (Zuschlagsstoffe)</v>
      </c>
      <c r="M114" s="9">
        <f t="shared" si="10"/>
        <v>129.59200000000001</v>
      </c>
      <c r="N114" s="9">
        <f t="shared" si="10"/>
        <v>129.59200000000001</v>
      </c>
      <c r="O114" s="9">
        <f t="shared" si="10"/>
        <v>129.59200000000001</v>
      </c>
      <c r="P114" s="3" t="s">
        <v>162</v>
      </c>
      <c r="Q114" s="381" t="b">
        <v>1</v>
      </c>
      <c r="R114" s="3"/>
      <c r="S114" s="3"/>
      <c r="T114" s="31" t="s">
        <v>33</v>
      </c>
      <c r="U114" s="52">
        <f t="shared" si="12"/>
        <v>77400</v>
      </c>
      <c r="V114" s="52">
        <f t="shared" si="12"/>
        <v>60200</v>
      </c>
      <c r="W114" s="52">
        <f t="shared" si="12"/>
        <v>60200</v>
      </c>
      <c r="X114" s="3"/>
      <c r="Y114" s="3"/>
    </row>
    <row r="115" spans="2:25" ht="15.75" hidden="1" outlineLevel="1" x14ac:dyDescent="0.3">
      <c r="B115" s="3"/>
      <c r="C115" s="3"/>
      <c r="D115" s="3" t="str">
        <f t="shared" si="5"/>
        <v/>
      </c>
      <c r="E115" s="10" t="e">
        <f t="shared" si="6"/>
        <v>#N/A</v>
      </c>
      <c r="F115" s="10" t="e">
        <f t="shared" si="6"/>
        <v>#N/A</v>
      </c>
      <c r="G115" s="10" t="e">
        <f t="shared" si="6"/>
        <v>#N/A</v>
      </c>
      <c r="H115" s="3" t="s">
        <v>162</v>
      </c>
      <c r="I115" s="381" t="b">
        <v>0</v>
      </c>
      <c r="J115" s="3"/>
      <c r="K115" s="3"/>
      <c r="L115" s="3" t="str">
        <f t="shared" si="7"/>
        <v>Farben</v>
      </c>
      <c r="M115" s="9">
        <f t="shared" si="10"/>
        <v>208</v>
      </c>
      <c r="N115" s="9">
        <f t="shared" si="10"/>
        <v>208</v>
      </c>
      <c r="O115" s="9">
        <f t="shared" si="10"/>
        <v>208</v>
      </c>
      <c r="P115" s="3" t="s">
        <v>162</v>
      </c>
      <c r="Q115" s="381" t="b">
        <v>1</v>
      </c>
      <c r="R115" s="3"/>
      <c r="S115" s="3"/>
      <c r="T115" s="31" t="s">
        <v>122</v>
      </c>
      <c r="U115" s="52">
        <f t="shared" si="12"/>
        <v>0</v>
      </c>
      <c r="V115" s="52">
        <f t="shared" si="12"/>
        <v>0</v>
      </c>
      <c r="W115" s="52">
        <f t="shared" si="12"/>
        <v>0</v>
      </c>
      <c r="X115" s="3"/>
      <c r="Y115" s="3"/>
    </row>
    <row r="116" spans="2:25" ht="15.75" hidden="1" outlineLevel="1" x14ac:dyDescent="0.3">
      <c r="B116" s="3"/>
      <c r="C116" s="3"/>
      <c r="D116" s="3" t="str">
        <f t="shared" si="5"/>
        <v/>
      </c>
      <c r="E116" s="10" t="e">
        <f t="shared" si="6"/>
        <v>#N/A</v>
      </c>
      <c r="F116" s="10" t="e">
        <f t="shared" si="6"/>
        <v>#N/A</v>
      </c>
      <c r="G116" s="10" t="e">
        <f t="shared" si="6"/>
        <v>#N/A</v>
      </c>
      <c r="H116" s="3" t="s">
        <v>162</v>
      </c>
      <c r="I116" s="381" t="b">
        <v>0</v>
      </c>
      <c r="J116" s="3"/>
      <c r="K116" s="3"/>
      <c r="L116" s="3" t="str">
        <f t="shared" si="7"/>
        <v>Zusatzstoffe (Füllstoffe)</v>
      </c>
      <c r="M116" s="9">
        <f t="shared" si="10"/>
        <v>81.003999999999991</v>
      </c>
      <c r="N116" s="9">
        <f t="shared" si="10"/>
        <v>81.003999999999991</v>
      </c>
      <c r="O116" s="9">
        <f t="shared" si="10"/>
        <v>81.003999999999991</v>
      </c>
      <c r="P116" s="3" t="s">
        <v>162</v>
      </c>
      <c r="Q116" s="381" t="b">
        <v>1</v>
      </c>
      <c r="R116" s="3"/>
      <c r="S116" s="3"/>
      <c r="T116" s="31" t="s">
        <v>123</v>
      </c>
      <c r="U116" s="52">
        <f t="shared" si="12"/>
        <v>0</v>
      </c>
      <c r="V116" s="52">
        <f t="shared" si="12"/>
        <v>0</v>
      </c>
      <c r="W116" s="52">
        <f t="shared" si="12"/>
        <v>0</v>
      </c>
      <c r="X116" s="3"/>
      <c r="Y116" s="3"/>
    </row>
    <row r="117" spans="2:25" ht="15.75" hidden="1" outlineLevel="1" x14ac:dyDescent="0.3">
      <c r="B117" s="3"/>
      <c r="C117" s="3"/>
      <c r="D117" s="3" t="str">
        <f t="shared" si="5"/>
        <v>Diesel</v>
      </c>
      <c r="E117" s="10">
        <f t="shared" si="6"/>
        <v>35.884155059999998</v>
      </c>
      <c r="F117" s="10">
        <f t="shared" si="6"/>
        <v>35.884155059999998</v>
      </c>
      <c r="G117" s="10">
        <f t="shared" si="6"/>
        <v>35.884155059999998</v>
      </c>
      <c r="H117" s="3" t="s">
        <v>162</v>
      </c>
      <c r="I117" s="381" t="b">
        <v>1</v>
      </c>
      <c r="J117" s="3"/>
      <c r="K117" s="3"/>
      <c r="L117" s="3" t="str">
        <f t="shared" si="7"/>
        <v>Zusatzmittel</v>
      </c>
      <c r="M117" s="9">
        <f t="shared" si="10"/>
        <v>148.44746134951595</v>
      </c>
      <c r="N117" s="9">
        <f t="shared" si="10"/>
        <v>148.44746134951595</v>
      </c>
      <c r="O117" s="9">
        <f t="shared" si="10"/>
        <v>148.44746134951595</v>
      </c>
      <c r="P117" s="3" t="s">
        <v>162</v>
      </c>
      <c r="Q117" s="381" t="b">
        <v>1</v>
      </c>
      <c r="R117" s="3"/>
      <c r="S117" s="3"/>
      <c r="T117" s="31" t="s">
        <v>124</v>
      </c>
      <c r="U117" s="52">
        <f t="shared" si="12"/>
        <v>0</v>
      </c>
      <c r="V117" s="52">
        <f t="shared" si="12"/>
        <v>0</v>
      </c>
      <c r="W117" s="52">
        <f t="shared" si="12"/>
        <v>0</v>
      </c>
      <c r="X117" s="3"/>
      <c r="Y117" s="3"/>
    </row>
    <row r="118" spans="2:25" ht="16.5" hidden="1" outlineLevel="1" thickBot="1" x14ac:dyDescent="0.35">
      <c r="B118" s="3"/>
      <c r="C118" s="3"/>
      <c r="D118" s="27" t="s">
        <v>69</v>
      </c>
      <c r="E118" s="33">
        <f>SUMIF($I$111:$I$117,"WAHR",E111:E117)</f>
        <v>266.83235506</v>
      </c>
      <c r="F118" s="33">
        <f>SUMIF($I$111:$I$117,"WAHR",F111:F117)</f>
        <v>192.07092501788821</v>
      </c>
      <c r="G118" s="33">
        <f>SUMIF($I$111:$I$117,"WAHR",G111:G117)</f>
        <v>142.80656438475268</v>
      </c>
      <c r="H118" s="27" t="s">
        <v>163</v>
      </c>
      <c r="I118" s="3"/>
      <c r="J118" s="3"/>
      <c r="K118" s="3"/>
      <c r="L118" s="3" t="str">
        <f t="shared" si="7"/>
        <v/>
      </c>
      <c r="M118" s="9" t="e">
        <f t="shared" si="10"/>
        <v>#N/A</v>
      </c>
      <c r="N118" s="9" t="e">
        <f t="shared" si="10"/>
        <v>#N/A</v>
      </c>
      <c r="O118" s="9" t="e">
        <f t="shared" si="10"/>
        <v>#N/A</v>
      </c>
      <c r="P118" s="3" t="s">
        <v>162</v>
      </c>
      <c r="Q118" s="381" t="b">
        <v>0</v>
      </c>
      <c r="R118" s="3"/>
      <c r="S118" s="3"/>
      <c r="T118" s="51" t="s">
        <v>34</v>
      </c>
      <c r="U118" s="53">
        <f t="shared" si="12"/>
        <v>15174.000000000002</v>
      </c>
      <c r="V118" s="54">
        <f t="shared" si="12"/>
        <v>15174.000000000002</v>
      </c>
      <c r="W118" s="54">
        <f t="shared" si="12"/>
        <v>15174.000000000002</v>
      </c>
      <c r="X118" s="3"/>
      <c r="Y118" s="3"/>
    </row>
    <row r="119" spans="2:25" ht="16.5" hidden="1" outlineLevel="1" thickTop="1" x14ac:dyDescent="0.3">
      <c r="B119" s="3"/>
      <c r="C119" s="3"/>
      <c r="D119" s="3"/>
      <c r="E119" s="3"/>
      <c r="F119" s="3"/>
      <c r="G119" s="3"/>
      <c r="H119" s="3"/>
      <c r="I119" s="3"/>
      <c r="J119" s="3"/>
      <c r="K119" s="3"/>
      <c r="L119" s="3" t="str">
        <f t="shared" si="7"/>
        <v/>
      </c>
      <c r="M119" s="9" t="e">
        <f t="shared" si="10"/>
        <v>#N/A</v>
      </c>
      <c r="N119" s="9" t="e">
        <f t="shared" si="10"/>
        <v>#N/A</v>
      </c>
      <c r="O119" s="9" t="e">
        <f t="shared" si="10"/>
        <v>#N/A</v>
      </c>
      <c r="P119" s="3" t="s">
        <v>162</v>
      </c>
      <c r="Q119" s="381" t="b">
        <v>0</v>
      </c>
      <c r="R119" s="3"/>
      <c r="S119" s="3"/>
      <c r="T119" s="8" t="str">
        <f>IF(X119,"CAPEX","")</f>
        <v>CAPEX</v>
      </c>
      <c r="U119" s="55">
        <f>IF($X119,U80,NA())</f>
        <v>0</v>
      </c>
      <c r="V119" s="55">
        <f t="shared" ref="V119:W121" si="13">IF($X119,V80,NA())</f>
        <v>36000</v>
      </c>
      <c r="W119" s="55">
        <f t="shared" si="13"/>
        <v>36000</v>
      </c>
      <c r="X119" s="381" t="b">
        <v>1</v>
      </c>
      <c r="Y119" s="3"/>
    </row>
    <row r="120" spans="2:25" ht="15.75" hidden="1" outlineLevel="1" x14ac:dyDescent="0.3">
      <c r="B120" s="3"/>
      <c r="C120" s="3"/>
      <c r="D120" s="3"/>
      <c r="E120" s="3"/>
      <c r="F120" s="3"/>
      <c r="G120" s="3"/>
      <c r="H120" s="3"/>
      <c r="I120" s="3"/>
      <c r="J120" s="3"/>
      <c r="K120" s="3"/>
      <c r="L120" s="3" t="str">
        <f t="shared" si="7"/>
        <v/>
      </c>
      <c r="M120" s="9" t="e">
        <f t="shared" si="10"/>
        <v>#N/A</v>
      </c>
      <c r="N120" s="9" t="e">
        <f t="shared" si="10"/>
        <v>#N/A</v>
      </c>
      <c r="O120" s="9" t="e">
        <f t="shared" si="10"/>
        <v>#N/A</v>
      </c>
      <c r="P120" s="3" t="s">
        <v>162</v>
      </c>
      <c r="Q120" s="381" t="b">
        <v>0</v>
      </c>
      <c r="R120" s="3"/>
      <c r="S120" s="3"/>
      <c r="T120" s="8" t="str">
        <f>IF(X120,"Zusätzliche jährliche Kosten","")</f>
        <v/>
      </c>
      <c r="U120" s="55" t="e">
        <f>IF($X120,U81,NA())</f>
        <v>#N/A</v>
      </c>
      <c r="V120" s="55" t="e">
        <f t="shared" si="13"/>
        <v>#N/A</v>
      </c>
      <c r="W120" s="55" t="e">
        <f t="shared" si="13"/>
        <v>#N/A</v>
      </c>
      <c r="X120" s="381" t="b">
        <v>0</v>
      </c>
      <c r="Y120" s="3"/>
    </row>
    <row r="121" spans="2:25" ht="15.75" hidden="1" outlineLevel="1" x14ac:dyDescent="0.3">
      <c r="B121" s="3"/>
      <c r="C121" s="3"/>
      <c r="D121" s="3"/>
      <c r="E121" s="3"/>
      <c r="F121" s="3"/>
      <c r="G121" s="3"/>
      <c r="H121" s="3"/>
      <c r="I121" s="3"/>
      <c r="J121" s="3"/>
      <c r="K121" s="3"/>
      <c r="L121" s="3" t="str">
        <f t="shared" si="7"/>
        <v>Verpackungsmaterial</v>
      </c>
      <c r="M121" s="9">
        <f t="shared" si="10"/>
        <v>64.48</v>
      </c>
      <c r="N121" s="9">
        <f t="shared" si="10"/>
        <v>64.48</v>
      </c>
      <c r="O121" s="9">
        <f t="shared" si="10"/>
        <v>64.48</v>
      </c>
      <c r="P121" s="3" t="s">
        <v>162</v>
      </c>
      <c r="Q121" s="381" t="b">
        <v>1</v>
      </c>
      <c r="R121" s="3"/>
      <c r="S121" s="3"/>
      <c r="T121" s="59" t="str">
        <f>IF(X121,"Einmalige Kosten","")</f>
        <v/>
      </c>
      <c r="U121" s="55" t="e">
        <f>IF($X121,U82,NA())</f>
        <v>#N/A</v>
      </c>
      <c r="V121" s="55" t="e">
        <f t="shared" si="13"/>
        <v>#N/A</v>
      </c>
      <c r="W121" s="55" t="e">
        <f t="shared" si="13"/>
        <v>#N/A</v>
      </c>
      <c r="X121" s="381" t="b">
        <v>0</v>
      </c>
      <c r="Y121" s="3"/>
    </row>
    <row r="122" spans="2:25" ht="15" hidden="1" outlineLevel="1" thickBot="1" x14ac:dyDescent="0.3">
      <c r="B122" s="3"/>
      <c r="C122" s="3"/>
      <c r="D122" s="3"/>
      <c r="E122" s="3"/>
      <c r="F122" s="3"/>
      <c r="G122" s="3"/>
      <c r="H122" s="3"/>
      <c r="I122" s="3"/>
      <c r="J122" s="3"/>
      <c r="K122" s="3"/>
      <c r="L122" s="27" t="s">
        <v>69</v>
      </c>
      <c r="M122" s="28">
        <f>SUMIF($Q$111:$Q$121,"WAHR",M111:M121)</f>
        <v>5690.5056228095145</v>
      </c>
      <c r="N122" s="28">
        <f t="shared" ref="N122:O122" si="14">SUMIF($Q$111:$Q$121,"WAHR",N111:N121)</f>
        <v>5685.1172320180012</v>
      </c>
      <c r="O122" s="28">
        <f t="shared" si="14"/>
        <v>5677.895231506337</v>
      </c>
      <c r="P122" s="27" t="s">
        <v>163</v>
      </c>
      <c r="Q122" s="3"/>
      <c r="R122" s="3"/>
      <c r="S122" s="3"/>
      <c r="T122" s="57" t="str">
        <f>IF(X122,"CO2-Kosten","")</f>
        <v>CO2-Kosten</v>
      </c>
      <c r="U122" s="58">
        <f>IF($X$122,SUMIF($X$123:$X$125,"WAHR",U123:U125),NA())</f>
        <v>152459.04944673795</v>
      </c>
      <c r="V122" s="58">
        <f t="shared" ref="V122:W122" si="15">IF($X$122,SUMIF($X$123:$X$125,"WAHR",V123:V125),NA())</f>
        <v>270819.5470666152</v>
      </c>
      <c r="W122" s="58">
        <f t="shared" si="15"/>
        <v>476938.06367128756</v>
      </c>
      <c r="X122" s="381" t="b">
        <v>1</v>
      </c>
      <c r="Y122" s="3"/>
    </row>
    <row r="123" spans="2:25" ht="16.5" hidden="1" outlineLevel="1" thickTop="1" x14ac:dyDescent="0.3">
      <c r="B123" s="3"/>
      <c r="C123" s="3"/>
      <c r="D123" s="3"/>
      <c r="E123" s="3"/>
      <c r="F123" s="3"/>
      <c r="G123" s="3"/>
      <c r="H123" s="3"/>
      <c r="I123" s="3"/>
      <c r="J123" s="3"/>
      <c r="K123" s="3"/>
      <c r="L123" s="3"/>
      <c r="M123" s="3"/>
      <c r="N123" s="3"/>
      <c r="O123" s="3"/>
      <c r="P123" s="3"/>
      <c r="Q123" s="3"/>
      <c r="R123" s="3"/>
      <c r="S123" s="3"/>
      <c r="T123" s="31" t="s">
        <v>155</v>
      </c>
      <c r="U123" s="52">
        <f>IF($X123,U84,NA())</f>
        <v>2373.3088765000002</v>
      </c>
      <c r="V123" s="52">
        <f t="shared" ref="V123:W123" si="16">IF($X123,V84,NA())</f>
        <v>4271.9559777000004</v>
      </c>
      <c r="W123" s="52">
        <f t="shared" si="16"/>
        <v>7594.5884048000007</v>
      </c>
      <c r="X123" s="381" t="b">
        <v>1</v>
      </c>
      <c r="Y123" s="3"/>
    </row>
    <row r="124" spans="2:25" ht="15.75" hidden="1" outlineLevel="1" x14ac:dyDescent="0.3">
      <c r="B124" s="3"/>
      <c r="C124" s="3"/>
      <c r="D124" s="3"/>
      <c r="E124" s="3"/>
      <c r="F124" s="3"/>
      <c r="G124" s="3"/>
      <c r="H124" s="3"/>
      <c r="I124" s="3"/>
      <c r="J124" s="3"/>
      <c r="K124" s="3"/>
      <c r="L124" s="3"/>
      <c r="M124" s="3"/>
      <c r="N124" s="3"/>
      <c r="O124" s="3"/>
      <c r="P124" s="3"/>
      <c r="Q124" s="3"/>
      <c r="R124" s="3"/>
      <c r="S124" s="3"/>
      <c r="T124" s="31" t="s">
        <v>156</v>
      </c>
      <c r="U124" s="52">
        <f t="shared" ref="U124:W125" si="17">IF($X124,U85,NA())</f>
        <v>4297.5</v>
      </c>
      <c r="V124" s="52">
        <f t="shared" si="17"/>
        <v>4371.2356481049683</v>
      </c>
      <c r="W124" s="52">
        <f t="shared" si="17"/>
        <v>3829.9367459802124</v>
      </c>
      <c r="X124" s="381" t="b">
        <v>1</v>
      </c>
      <c r="Y124" s="3"/>
    </row>
    <row r="125" spans="2:25" ht="15.75" hidden="1" outlineLevel="1" x14ac:dyDescent="0.3">
      <c r="B125" s="3"/>
      <c r="C125" s="3"/>
      <c r="D125" s="3"/>
      <c r="E125" s="3"/>
      <c r="F125" s="3"/>
      <c r="G125" s="3"/>
      <c r="H125" s="3"/>
      <c r="I125" s="3"/>
      <c r="J125" s="3"/>
      <c r="K125" s="3"/>
      <c r="L125" s="3"/>
      <c r="M125" s="3"/>
      <c r="N125" s="3"/>
      <c r="O125" s="3"/>
      <c r="P125" s="3"/>
      <c r="Q125" s="3"/>
      <c r="R125" s="3"/>
      <c r="S125" s="3"/>
      <c r="T125" s="31" t="s">
        <v>157</v>
      </c>
      <c r="U125" s="52">
        <f t="shared" si="17"/>
        <v>145788.24057023795</v>
      </c>
      <c r="V125" s="52">
        <f t="shared" si="17"/>
        <v>262176.35544081021</v>
      </c>
      <c r="W125" s="52">
        <f t="shared" si="17"/>
        <v>465513.53852050734</v>
      </c>
      <c r="X125" s="381" t="b">
        <v>1</v>
      </c>
      <c r="Y125" s="3"/>
    </row>
    <row r="126" spans="2:25" ht="13.5" hidden="1" outlineLevel="1" thickBot="1" x14ac:dyDescent="0.25">
      <c r="B126" s="3"/>
      <c r="C126" s="3"/>
      <c r="D126" s="103" t="str">
        <f>IF(AND($G$16&gt;0,K16&lt;G16),"Bitte den Handeingabewert 'selbsterzeugte Strommenge' für 2030 auch anpassen. Dieser muss dem Werte Ihrer Handeingabe 2025 entsprechen, sollte nur eine Maßnahme in 2025 umgesetzt werden.","")</f>
        <v/>
      </c>
      <c r="E126" s="3"/>
      <c r="F126" s="3"/>
      <c r="G126" s="3"/>
      <c r="H126" s="3"/>
      <c r="I126" s="3"/>
      <c r="J126" s="3"/>
      <c r="K126" s="3"/>
      <c r="L126" s="3"/>
      <c r="M126" s="3"/>
      <c r="N126" s="3"/>
      <c r="O126" s="3"/>
      <c r="P126" s="3"/>
      <c r="Q126" s="3"/>
      <c r="R126" s="3"/>
      <c r="S126" s="3"/>
      <c r="T126" s="27" t="s">
        <v>69</v>
      </c>
      <c r="U126" s="56">
        <f>IF($X$122,U122,0)+IF($X$121,U121,0)+IF($X$120,U120,0)+IF($X$119,U119,0)+U111</f>
        <v>262128.04944673795</v>
      </c>
      <c r="V126" s="56">
        <f t="shared" ref="V126:W126" si="18">IF($X$122,V122,0)+IF($X$121,V121,0)+IF($X$120,V120,0)+IF($X$119,V119,0)+V111</f>
        <v>399288.5470666152</v>
      </c>
      <c r="W126" s="56">
        <f t="shared" si="18"/>
        <v>605407.06367128761</v>
      </c>
      <c r="X126" s="381"/>
      <c r="Y126" s="3"/>
    </row>
    <row r="127" spans="2:25" ht="13.5" hidden="1" outlineLevel="1" thickTop="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2:25" hidden="1" outlineLevel="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2:25" hidden="1" outlineLevel="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2:25" hidden="1" outlineLevel="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2:25" hidden="1" outlineLevel="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2:25" hidden="1" outlineLevel="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2:25" hidden="1" outlineLevel="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collapsed="1" x14ac:dyDescent="0.2"/>
    <row r="137" spans="2:25" ht="15.75" hidden="1" outlineLevel="1" x14ac:dyDescent="0.25">
      <c r="B137" s="22"/>
      <c r="C137" s="22" t="s">
        <v>114</v>
      </c>
      <c r="D137" s="17"/>
      <c r="E137" s="17"/>
      <c r="F137" s="17"/>
      <c r="G137" s="17"/>
      <c r="H137" s="17"/>
      <c r="I137" s="17"/>
      <c r="J137" s="17"/>
      <c r="K137" s="17"/>
      <c r="L137" s="17"/>
      <c r="N137" s="22" t="s">
        <v>117</v>
      </c>
      <c r="O137" s="17"/>
      <c r="P137" s="17"/>
      <c r="Q137" s="17"/>
      <c r="R137" s="17"/>
      <c r="S137" s="17"/>
      <c r="T137" s="17"/>
    </row>
    <row r="138" spans="2:25" ht="15" hidden="1" outlineLevel="1" x14ac:dyDescent="0.25">
      <c r="B138" s="65"/>
      <c r="C138" s="65">
        <v>2025</v>
      </c>
      <c r="D138" s="17"/>
      <c r="E138" s="17"/>
      <c r="F138" s="17"/>
      <c r="G138" s="17"/>
      <c r="H138" s="17"/>
      <c r="I138" s="17"/>
      <c r="J138" s="17"/>
      <c r="K138" s="17"/>
      <c r="L138" s="17"/>
      <c r="N138" s="65">
        <v>2025</v>
      </c>
      <c r="O138" s="17"/>
      <c r="P138" s="17"/>
      <c r="Q138" s="17"/>
      <c r="R138" s="17"/>
      <c r="S138" s="17"/>
      <c r="T138" s="17"/>
    </row>
    <row r="139" spans="2:25" ht="15" hidden="1" outlineLevel="1" x14ac:dyDescent="0.25">
      <c r="B139" s="65"/>
      <c r="C139" s="65"/>
      <c r="D139" s="17"/>
      <c r="E139" s="17" t="s">
        <v>39</v>
      </c>
      <c r="F139" s="17" t="s">
        <v>140</v>
      </c>
      <c r="G139" s="17" t="s">
        <v>251</v>
      </c>
      <c r="H139" s="17"/>
      <c r="I139" s="17"/>
      <c r="J139" s="17"/>
      <c r="K139" s="17"/>
      <c r="L139" s="17"/>
      <c r="N139" s="65"/>
      <c r="O139" s="17"/>
      <c r="P139" s="17"/>
      <c r="Q139" s="17"/>
      <c r="R139" s="17"/>
      <c r="S139" s="17"/>
      <c r="T139" s="17"/>
    </row>
    <row r="140" spans="2:25" ht="15" hidden="1" outlineLevel="1" x14ac:dyDescent="0.25">
      <c r="B140" s="65"/>
      <c r="C140" s="65"/>
      <c r="D140" s="17" t="s">
        <v>250</v>
      </c>
      <c r="E140" s="285">
        <f>IF(NOT(ISBLANK($G$16)),$G$16,$E$16)</f>
        <v>100000</v>
      </c>
      <c r="F140" s="25"/>
      <c r="G140" s="25"/>
      <c r="H140" s="17" t="s">
        <v>42</v>
      </c>
      <c r="I140" s="17"/>
      <c r="J140" s="17"/>
      <c r="K140" s="17"/>
      <c r="L140" s="17"/>
      <c r="N140" s="65"/>
      <c r="O140" s="17"/>
      <c r="P140" s="17"/>
      <c r="Q140" s="17"/>
      <c r="R140" s="17"/>
      <c r="S140" s="17"/>
      <c r="T140" s="17"/>
    </row>
    <row r="141" spans="2:25" hidden="1" outlineLevel="1" x14ac:dyDescent="0.2">
      <c r="B141" s="17"/>
      <c r="C141" s="17"/>
      <c r="D141" s="17" t="s">
        <v>248</v>
      </c>
      <c r="E141" s="285">
        <f>IF(NOT(ISBLANK('Referenz Plattenwerk'!$I$18)),'Referenz Plattenwerk'!$I$18,'Referenz Plattenwerk'!$F$18)</f>
        <v>45000</v>
      </c>
      <c r="F141" s="285">
        <f>IF($E$140&lt;E141,$E$140,E141)</f>
        <v>45000</v>
      </c>
      <c r="G141" s="285">
        <f>IF(F141&lt;E141,E141-F141,0)</f>
        <v>0</v>
      </c>
      <c r="H141" s="17" t="s">
        <v>42</v>
      </c>
      <c r="I141" s="17"/>
      <c r="J141" s="17"/>
      <c r="K141" s="17"/>
      <c r="L141" s="17"/>
      <c r="N141" s="21"/>
      <c r="O141" s="17"/>
      <c r="P141" s="17"/>
      <c r="Q141" s="17"/>
      <c r="R141" s="17"/>
      <c r="S141" s="17"/>
      <c r="T141" s="17"/>
    </row>
    <row r="142" spans="2:25" hidden="1" outlineLevel="1" x14ac:dyDescent="0.2">
      <c r="B142" s="17"/>
      <c r="C142" s="17"/>
      <c r="D142" s="17" t="s">
        <v>249</v>
      </c>
      <c r="E142" s="285">
        <f>IF(NOT(ISBLANK('Referenz Plattenwerk'!$I$24)),'Referenz Plattenwerk'!$I$24,'Referenz Plattenwerk'!$F$24)</f>
        <v>405000</v>
      </c>
      <c r="F142" s="285">
        <f>IF(F141=E140,0,E140-F141)</f>
        <v>55000</v>
      </c>
      <c r="G142" s="285">
        <f>IF(F142&lt;E142,E142-F142,0)</f>
        <v>350000</v>
      </c>
      <c r="H142" s="20" t="s">
        <v>42</v>
      </c>
      <c r="I142" s="17"/>
      <c r="J142" s="17"/>
      <c r="K142" s="17"/>
      <c r="L142" s="17"/>
      <c r="N142" s="17"/>
      <c r="O142" s="17"/>
      <c r="P142" s="17"/>
      <c r="Q142" s="17"/>
      <c r="R142" s="17"/>
      <c r="S142" s="17"/>
      <c r="T142" s="17"/>
    </row>
    <row r="143" spans="2:25" hidden="1" outlineLevel="1" x14ac:dyDescent="0.2">
      <c r="B143" s="17"/>
      <c r="C143" s="17"/>
      <c r="D143" s="17"/>
      <c r="E143" s="17"/>
      <c r="F143" s="20"/>
      <c r="G143" s="20"/>
      <c r="H143" s="20"/>
      <c r="I143" s="17"/>
      <c r="J143" s="17"/>
      <c r="K143" s="17"/>
      <c r="L143" s="17"/>
      <c r="N143" s="17"/>
      <c r="O143" s="17"/>
      <c r="P143" s="17"/>
      <c r="Q143" s="17"/>
      <c r="R143" s="17"/>
      <c r="S143" s="17"/>
      <c r="T143" s="17"/>
    </row>
    <row r="144" spans="2:25" ht="25.5" hidden="1" outlineLevel="1" x14ac:dyDescent="0.2">
      <c r="B144" s="17"/>
      <c r="C144" s="17"/>
      <c r="D144" s="17"/>
      <c r="E144" s="17"/>
      <c r="F144" s="36" t="s">
        <v>27</v>
      </c>
      <c r="G144" s="36" t="s">
        <v>82</v>
      </c>
      <c r="H144" s="36" t="s">
        <v>29</v>
      </c>
      <c r="I144" s="17"/>
      <c r="J144" s="40" t="s">
        <v>111</v>
      </c>
      <c r="K144" s="41" t="s">
        <v>39</v>
      </c>
      <c r="L144" s="17"/>
      <c r="N144" s="17"/>
      <c r="O144" s="17"/>
      <c r="P144" s="17"/>
      <c r="Q144" s="18"/>
      <c r="R144" s="18"/>
      <c r="S144" s="18"/>
      <c r="T144" s="18"/>
    </row>
    <row r="145" spans="2:20" ht="14.25" hidden="1" outlineLevel="1" x14ac:dyDescent="0.25">
      <c r="B145" s="77"/>
      <c r="C145" s="77" t="s">
        <v>190</v>
      </c>
      <c r="D145" s="77"/>
      <c r="E145" s="77"/>
      <c r="F145" s="78">
        <f>SUM(F147:F160)</f>
        <v>94.932355060000006</v>
      </c>
      <c r="G145" s="78">
        <f t="shared" ref="G145:H145" si="19">SUM(G147:G160)</f>
        <v>97.138569957888194</v>
      </c>
      <c r="H145" s="78">
        <f t="shared" si="19"/>
        <v>35.893342668486227</v>
      </c>
      <c r="I145" s="77"/>
      <c r="J145" s="78">
        <f>F145+G145</f>
        <v>192.07092501788821</v>
      </c>
      <c r="K145" s="78">
        <f>SUM(F145:H145)</f>
        <v>227.96426768637446</v>
      </c>
      <c r="L145" s="77" t="s">
        <v>197</v>
      </c>
      <c r="N145" s="17"/>
      <c r="O145" s="17"/>
      <c r="P145" s="17"/>
      <c r="Q145" s="18"/>
      <c r="R145" s="18"/>
      <c r="S145" s="18"/>
      <c r="T145" s="18"/>
    </row>
    <row r="146" spans="2:20" hidden="1" outlineLevel="1" x14ac:dyDescent="0.2">
      <c r="B146" s="17"/>
      <c r="C146" s="17" t="s">
        <v>146</v>
      </c>
      <c r="D146" s="17"/>
      <c r="E146" s="17"/>
      <c r="F146" s="17"/>
      <c r="G146" s="17"/>
      <c r="H146" s="17"/>
      <c r="I146" s="17"/>
      <c r="J146" s="17"/>
      <c r="K146" s="17"/>
      <c r="L146" s="17"/>
      <c r="N146" s="17" t="s">
        <v>146</v>
      </c>
      <c r="O146" s="17"/>
      <c r="P146" s="17"/>
      <c r="Q146" s="18"/>
      <c r="R146" s="18"/>
      <c r="S146" s="18"/>
      <c r="T146" s="18"/>
    </row>
    <row r="147" spans="2:20" ht="15.75" hidden="1" outlineLevel="1" x14ac:dyDescent="0.3">
      <c r="B147" s="276"/>
      <c r="C147" s="17"/>
      <c r="D147" s="17" t="s">
        <v>125</v>
      </c>
      <c r="E147" s="17"/>
      <c r="F147" s="38">
        <f>IF(NOT(ISBLANK('Referenz Plattenwerk'!$I16)),'Referenz Plattenwerk'!$I16,'Referenz Plattenwerk'!$F16)*IF(NOT(ISBLANK('Eingabe EF'!$AA9)),'Eingabe EF'!$AA9,'Eingabe EF'!$Y9)</f>
        <v>34.434080000000002</v>
      </c>
      <c r="G147" s="38">
        <f>IF(NOT(ISBLANK('Referenz Plattenwerk'!$I16)),'Referenz Plattenwerk'!$I16,'Referenz Plattenwerk'!$F16)*IF(NOT(ISBLANK('Eingabe EF'!$AE9)),'Eingabe EF'!$AE9,'Eingabe EF'!$AC9)</f>
        <v>0</v>
      </c>
      <c r="H147" s="38">
        <f>IF(NOT(ISBLANK('Referenz Plattenwerk'!$I16)),'Referenz Plattenwerk'!$I16,'Referenz Plattenwerk'!$F16)*IF(NOT(ISBLANK('Eingabe EF'!$AI9)),'Eingabe EF'!$AI9,'Eingabe EF'!$AG9)</f>
        <v>5.8938000000000006</v>
      </c>
      <c r="I147" s="17"/>
      <c r="J147" s="38">
        <f>F147+G147</f>
        <v>34.434080000000002</v>
      </c>
      <c r="K147" s="38">
        <f>SUM(F147:H147)</f>
        <v>40.32788</v>
      </c>
      <c r="L147" s="17" t="s">
        <v>198</v>
      </c>
      <c r="N147" s="276"/>
      <c r="O147" s="17" t="s">
        <v>125</v>
      </c>
      <c r="P147" s="17"/>
      <c r="Q147" s="19"/>
      <c r="R147" s="20"/>
      <c r="S147" s="42">
        <f>IF(NOT(ISBLANK('Referenz Plattenwerk'!$I16)),'Referenz Plattenwerk'!$I16,'Referenz Plattenwerk'!$F16)/1000*IF(NOT(ISBLANK('Eingabe Preise'!$K10)),'Eingabe Preise'!$K10,'Eingabe Preise'!$I10)</f>
        <v>11468</v>
      </c>
      <c r="T147" s="20" t="s">
        <v>106</v>
      </c>
    </row>
    <row r="148" spans="2:20" ht="15.75" hidden="1" outlineLevel="1" x14ac:dyDescent="0.3">
      <c r="B148" s="276"/>
      <c r="C148" s="17"/>
      <c r="D148" s="17" t="s">
        <v>165</v>
      </c>
      <c r="E148" s="17"/>
      <c r="F148" s="38">
        <f>IF(NOT(ISBLANK('Referenz Plattenwerk'!$I17)),'Referenz Plattenwerk'!$I17,'Referenz Plattenwerk'!$F17)*IF(NOT(ISBLANK('Eingabe EF'!$AA10)),'Eingabe EF'!$AA10,'Eingabe EF'!$Y10)</f>
        <v>6.4022399999999999</v>
      </c>
      <c r="G148" s="38">
        <f>IF(NOT(ISBLANK('Referenz Plattenwerk'!$I17)),'Referenz Plattenwerk'!$I17,'Referenz Plattenwerk'!$F17)*IF(NOT(ISBLANK('Eingabe EF'!$AE10)),'Eingabe EF'!$AE10,'Eingabe EF'!$AC10)</f>
        <v>0</v>
      </c>
      <c r="H148" s="38">
        <f>IF(NOT(ISBLANK('Referenz Plattenwerk'!$I17)),'Referenz Plattenwerk'!$I17,'Referenz Plattenwerk'!$F17)*IF(NOT(ISBLANK('Eingabe EF'!$AI10)),'Eingabe EF'!$AI10,'Eingabe EF'!$AG10)</f>
        <v>0.949824</v>
      </c>
      <c r="I148" s="17"/>
      <c r="J148" s="38">
        <f>F148+G148</f>
        <v>6.4022399999999999</v>
      </c>
      <c r="K148" s="38">
        <f>SUM(F148:H148)</f>
        <v>7.3520640000000004</v>
      </c>
      <c r="L148" s="17" t="s">
        <v>198</v>
      </c>
      <c r="N148" s="276"/>
      <c r="O148" s="17" t="s">
        <v>165</v>
      </c>
      <c r="P148" s="17"/>
      <c r="Q148" s="20"/>
      <c r="R148" s="20"/>
      <c r="S148" s="42">
        <f>IF(NOT(ISBLANK('Referenz Plattenwerk'!$I17)),'Referenz Plattenwerk'!$I17,'Referenz Plattenwerk'!$F17)/1000*IF(NOT(ISBLANK('Eingabe Preise'!$K11)),'Eingabe Preise'!$K11,'Eingabe Preise'!$I11)</f>
        <v>1104</v>
      </c>
      <c r="T148" s="20" t="s">
        <v>106</v>
      </c>
    </row>
    <row r="149" spans="2:20" ht="15.75" hidden="1" outlineLevel="1" x14ac:dyDescent="0.3">
      <c r="B149" s="286"/>
      <c r="C149" s="17"/>
      <c r="D149" s="17" t="s">
        <v>166</v>
      </c>
      <c r="E149" s="17"/>
      <c r="F149" s="38">
        <f>G141*IF(NOT(ISBLANK('Eingabe EF'!$AA$11)),'Eingabe EF'!$AA$11,'Eingabe EF'!$Y$11)+F141*IF(NOT(ISBLANK('Eingabe EF'!$AA$61)),'Eingabe EF'!$AA$61,'Eingabe EF'!$Y$61)</f>
        <v>0</v>
      </c>
      <c r="G149" s="38">
        <f>G141*IF(NOT(ISBLANK('Eingabe EF'!$AE$11)),'Eingabe EF'!$AE$11,'Eingabe EF'!$AC$11)+F141*IF(NOT(ISBLANK('Eingabe EF'!$AE$61)),'Eingabe EF'!$AE$61,'Eingabe EF'!$AC$61)</f>
        <v>0</v>
      </c>
      <c r="H149" s="38">
        <f>G141*IF(NOT(ISBLANK('Eingabe EF'!$AI$11)),'Eingabe EF'!$AI$11,'Eingabe EF'!$AG$11)+F141*IF(NOT(ISBLANK('Eingabe EF'!$AI$61)),'Eingabe EF'!$AI$61,'Eingabe EF'!$AG$61)</f>
        <v>2.5071299999999996</v>
      </c>
      <c r="I149" s="17"/>
      <c r="J149" s="38">
        <f>F149+G149</f>
        <v>0</v>
      </c>
      <c r="K149" s="38">
        <f>SUM(F149:H149)</f>
        <v>2.5071299999999996</v>
      </c>
      <c r="L149" s="17" t="s">
        <v>198</v>
      </c>
      <c r="N149" s="286"/>
      <c r="O149" s="17" t="s">
        <v>166</v>
      </c>
      <c r="P149" s="17"/>
      <c r="Q149" s="20"/>
      <c r="R149" s="20"/>
      <c r="S149" s="42">
        <f>G141/1000*IF(NOT(ISBLANK('Eingabe Preise'!$K12)),'Eingabe Preise'!$K12,'Eingabe Preise'!$I12)</f>
        <v>0</v>
      </c>
      <c r="T149" s="20" t="s">
        <v>106</v>
      </c>
    </row>
    <row r="150" spans="2:20" ht="15.75" hidden="1" outlineLevel="1" x14ac:dyDescent="0.3">
      <c r="B150" s="276"/>
      <c r="C150" s="17"/>
      <c r="D150" s="17" t="s">
        <v>126</v>
      </c>
      <c r="E150" s="17"/>
      <c r="F150" s="44">
        <f>IF(NOT(ISBLANK('Referenz Plattenwerk'!$I19)),'Referenz Plattenwerk'!$I19,'Referenz Plattenwerk'!$F19)*IF(NOT(ISBLANK('Eingabe EF'!$AA12)),'Eingabe EF'!$AA12,0)</f>
        <v>0</v>
      </c>
      <c r="G150" s="44">
        <f>IF(NOT(ISBLANK('Referenz Plattenwerk'!$I19)),'Referenz Plattenwerk'!$I19,'Referenz Plattenwerk'!$F19)*IF(NOT(ISBLANK('Eingabe EF'!$AE12)),'Eingabe EF'!$AE12,0)</f>
        <v>0</v>
      </c>
      <c r="H150" s="44">
        <f>IF(NOT(ISBLANK('Referenz Plattenwerk'!$I19)),'Referenz Plattenwerk'!$I19,'Referenz Plattenwerk'!$F19)*IF(NOT(ISBLANK('Eingabe EF'!$AI12)),'Eingabe EF'!$AI12,0)</f>
        <v>0</v>
      </c>
      <c r="I150" s="17"/>
      <c r="J150" s="38">
        <f>F150+G150</f>
        <v>0</v>
      </c>
      <c r="K150" s="38">
        <f>SUM(F150:H150)</f>
        <v>0</v>
      </c>
      <c r="L150" s="17" t="s">
        <v>198</v>
      </c>
      <c r="N150" s="276"/>
      <c r="O150" s="17" t="s">
        <v>126</v>
      </c>
      <c r="P150" s="17"/>
      <c r="Q150" s="20"/>
      <c r="R150" s="20"/>
      <c r="S150" s="42">
        <f>IF(NOT(ISBLANK('Referenz Plattenwerk'!$I19)),'Referenz Plattenwerk'!$I19,'Referenz Plattenwerk'!$F19)/1000*IF(NOT(ISBLANK('Eingabe Preise'!$K16)),'Eingabe Preise'!$K16,0)</f>
        <v>0</v>
      </c>
      <c r="T150" s="20" t="s">
        <v>106</v>
      </c>
    </row>
    <row r="151" spans="2:20" hidden="1" outlineLevel="1" x14ac:dyDescent="0.2">
      <c r="B151" s="17"/>
      <c r="C151" s="17" t="s">
        <v>147</v>
      </c>
      <c r="D151" s="17"/>
      <c r="E151" s="17"/>
      <c r="F151" s="20"/>
      <c r="G151" s="20"/>
      <c r="H151" s="20"/>
      <c r="I151" s="17"/>
      <c r="J151" s="17"/>
      <c r="K151" s="17"/>
      <c r="L151" s="17"/>
      <c r="N151" s="17" t="s">
        <v>147</v>
      </c>
      <c r="O151" s="17"/>
      <c r="P151" s="17"/>
      <c r="Q151" s="20"/>
      <c r="R151" s="20"/>
      <c r="S151" s="20"/>
      <c r="T151" s="20"/>
    </row>
    <row r="152" spans="2:20" ht="15.75" hidden="1" outlineLevel="1" x14ac:dyDescent="0.3">
      <c r="B152" s="17"/>
      <c r="C152" s="17"/>
      <c r="D152" s="17" t="s">
        <v>31</v>
      </c>
      <c r="E152" s="17"/>
      <c r="F152" s="38">
        <f>IF(NOT(ISBLANK('Referenz Plattenwerk'!$I21)),'Referenz Plattenwerk'!$I21,'Referenz Plattenwerk'!$F21)*IF(NOT(ISBLANK('Eingabe EF'!$AA9)),'Eingabe EF'!$AA9,'Eingabe EF'!$Y9)</f>
        <v>8.6085200000000004</v>
      </c>
      <c r="G152" s="38">
        <f>IF(NOT(ISBLANK('Referenz Plattenwerk'!$I21)),'Referenz Plattenwerk'!$I21,'Referenz Plattenwerk'!$F21)*IF(NOT(ISBLANK('Eingabe EF'!$AE9)),'Eingabe EF'!$AE9,'Eingabe EF'!$AC9)</f>
        <v>0</v>
      </c>
      <c r="H152" s="38">
        <f>IF(NOT(ISBLANK('Referenz Plattenwerk'!$I21)),'Referenz Plattenwerk'!$I21,'Referenz Plattenwerk'!$F21)*IF(NOT(ISBLANK('Eingabe EF'!$AG9)),'Eingabe EF'!$AG9,'Eingabe EF'!$AIC9)</f>
        <v>1.4734500000000001</v>
      </c>
      <c r="I152" s="17"/>
      <c r="J152" s="38">
        <f t="shared" ref="J152:J153" si="20">F152+G152</f>
        <v>8.6085200000000004</v>
      </c>
      <c r="K152" s="38">
        <f t="shared" ref="K152:K163" si="21">SUM(F152:H152)</f>
        <v>10.08197</v>
      </c>
      <c r="L152" s="17" t="s">
        <v>198</v>
      </c>
      <c r="M152" s="43"/>
      <c r="N152" s="17"/>
      <c r="O152" s="17" t="s">
        <v>31</v>
      </c>
      <c r="P152" s="17"/>
      <c r="Q152" s="20"/>
      <c r="R152" s="20"/>
      <c r="S152" s="42">
        <f>IF(NOT(ISBLANK('Referenz Plattenwerk'!$I21)),'Referenz Plattenwerk'!$I21,'Referenz Plattenwerk'!$F21)/1000*IF(NOT(ISBLANK('Eingabe Preise'!$K10)),'Eingabe Preise'!$K10,'Eingabe Preise'!$I10)</f>
        <v>2867</v>
      </c>
      <c r="T152" s="20" t="s">
        <v>106</v>
      </c>
    </row>
    <row r="153" spans="2:20" ht="15.75" hidden="1" outlineLevel="1" x14ac:dyDescent="0.3">
      <c r="B153" s="17"/>
      <c r="C153" s="17"/>
      <c r="D153" s="17" t="s">
        <v>32</v>
      </c>
      <c r="E153" s="17"/>
      <c r="F153" s="38">
        <f>IF(NOT(ISBLANK('Referenz Plattenwerk'!$I22)),'Referenz Plattenwerk'!$I22,'Referenz Plattenwerk'!$F22)*IF(NOT(ISBLANK('Eingabe EF'!$AA10)),'Eingabe EF'!$AA10,'Eingabe EF'!$Y10)</f>
        <v>9.6033600000000003</v>
      </c>
      <c r="G153" s="38">
        <f>IF(NOT(ISBLANK('Referenz Plattenwerk'!$I22)),'Referenz Plattenwerk'!$I22,'Referenz Plattenwerk'!$F22)*IF(NOT(ISBLANK('Eingabe EF'!$AE10)),'Eingabe EF'!$AE10,'Eingabe EF'!$AC10)</f>
        <v>0</v>
      </c>
      <c r="H153" s="38">
        <f>IF(NOT(ISBLANK('Referenz Plattenwerk'!$I22)),'Referenz Plattenwerk'!$I22,'Referenz Plattenwerk'!$F22)*IF(NOT(ISBLANK('Eingabe EF'!$AG10)),'Eingabe EF'!$AG10,'Eingabe EF'!$AIC10)</f>
        <v>1.424736</v>
      </c>
      <c r="I153" s="17"/>
      <c r="J153" s="38">
        <f t="shared" si="20"/>
        <v>9.6033600000000003</v>
      </c>
      <c r="K153" s="38">
        <f t="shared" si="21"/>
        <v>11.028096</v>
      </c>
      <c r="L153" s="17" t="s">
        <v>198</v>
      </c>
      <c r="M153" s="43"/>
      <c r="N153" s="17"/>
      <c r="O153" s="17" t="s">
        <v>32</v>
      </c>
      <c r="P153" s="17"/>
      <c r="Q153" s="20"/>
      <c r="R153" s="20"/>
      <c r="S153" s="42">
        <f>IF(NOT(ISBLANK('Referenz Plattenwerk'!$I22)),'Referenz Plattenwerk'!$I22,'Referenz Plattenwerk'!$F22)/1000*IF(NOT(ISBLANK('Eingabe Preise'!$K11)),'Eingabe Preise'!$K11,'Eingabe Preise'!$I11)</f>
        <v>1656</v>
      </c>
      <c r="T153" s="20" t="s">
        <v>106</v>
      </c>
    </row>
    <row r="154" spans="2:20" hidden="1" outlineLevel="1" x14ac:dyDescent="0.2">
      <c r="B154" s="17"/>
      <c r="C154" s="17" t="s">
        <v>148</v>
      </c>
      <c r="D154" s="17"/>
      <c r="E154" s="17"/>
      <c r="F154" s="20"/>
      <c r="G154" s="20"/>
      <c r="H154" s="20"/>
      <c r="I154" s="17"/>
      <c r="J154" s="17"/>
      <c r="K154" s="17"/>
      <c r="L154" s="17"/>
      <c r="N154" s="17" t="s">
        <v>148</v>
      </c>
      <c r="O154" s="17"/>
      <c r="P154" s="17"/>
      <c r="Q154" s="20"/>
      <c r="R154" s="20"/>
      <c r="S154" s="20"/>
      <c r="T154" s="20"/>
    </row>
    <row r="155" spans="2:20" ht="15.75" hidden="1" outlineLevel="1" x14ac:dyDescent="0.3">
      <c r="B155" s="286"/>
      <c r="C155" s="17"/>
      <c r="D155" s="17" t="s">
        <v>150</v>
      </c>
      <c r="E155" s="17"/>
      <c r="F155" s="38">
        <f>G142*IF(NOT(ISBLANK('Eingabe EF'!$AA$11)),'Eingabe EF'!$AA$11,'Eingabe EF'!$Y$11)+F142*IF(NOT(ISBLANK('Eingabe EF'!$AA$61)),'Eingabe EF'!$AA$61,'Eingabe EF'!$Y$61)</f>
        <v>0</v>
      </c>
      <c r="G155" s="38">
        <f>G142*IF(NOT(ISBLANK('Eingabe EF'!$AE$11)),'Eingabe EF'!$AE$11,'Eingabe EF'!$AC$11)+F142*IF(NOT(ISBLANK('Eingabe EF'!$AE$61)),'Eingabe EF'!$AE$61,'Eingabe EF'!$AC$61)</f>
        <v>97.138569957888194</v>
      </c>
      <c r="H155" s="38">
        <f>G142*IF(NOT(ISBLANK('Eingabe EF'!$AI$11)),'Eingabe EF'!$AI$11,'Eingabe EF'!$AG$11)+F142*IF(NOT(ISBLANK('Eingabe EF'!$AI$61)),'Eingabe EF'!$AI$61,'Eingabe EF'!$AG$61)</f>
        <v>17.304479208486228</v>
      </c>
      <c r="I155" s="17"/>
      <c r="J155" s="38">
        <f t="shared" ref="J155:J163" si="22">F155+G155</f>
        <v>97.138569957888194</v>
      </c>
      <c r="K155" s="38">
        <f t="shared" si="21"/>
        <v>114.44304916637442</v>
      </c>
      <c r="L155" s="17" t="s">
        <v>198</v>
      </c>
      <c r="M155" s="43"/>
      <c r="N155" s="286"/>
      <c r="O155" s="17" t="s">
        <v>167</v>
      </c>
      <c r="P155" s="17"/>
      <c r="Q155" s="20"/>
      <c r="R155" s="20"/>
      <c r="S155" s="42">
        <f>G142/1000*IF(NOT(ISBLANK('Eingabe Preise'!$K12)),'Eingabe Preise'!$K12,'Eingabe Preise'!$I12)</f>
        <v>60200</v>
      </c>
      <c r="T155" s="20" t="s">
        <v>106</v>
      </c>
    </row>
    <row r="156" spans="2:20" ht="15.75" hidden="1" outlineLevel="1" x14ac:dyDescent="0.3">
      <c r="B156" s="17"/>
      <c r="C156" s="17"/>
      <c r="D156" s="17" t="s">
        <v>122</v>
      </c>
      <c r="E156" s="17"/>
      <c r="F156" s="38">
        <f>IF(NOT(ISBLANK('Referenz Plattenwerk'!$I25)),'Referenz Plattenwerk'!$I25,'Referenz Plattenwerk'!$F25)*IF(NOT(ISBLANK('Eingabe EF'!$AA13)),'Eingabe EF'!$AA13,'Eingabe EF'!$Y13)</f>
        <v>0</v>
      </c>
      <c r="G156" s="38">
        <f>IF(NOT(ISBLANK('Referenz Plattenwerk'!$I25)),'Referenz Plattenwerk'!$I25,'Referenz Plattenwerk'!$F25)*IF(NOT(ISBLANK('Eingabe EF'!$AE13)),'Eingabe EF'!$AE13,'Eingabe EF'!$AC13)</f>
        <v>0</v>
      </c>
      <c r="H156" s="38">
        <f>IF(NOT(ISBLANK('Referenz Plattenwerk'!$I25)),'Referenz Plattenwerk'!$I25,'Referenz Plattenwerk'!$F25)*IF(NOT(ISBLANK('Eingabe EF'!$AI13)),'Eingabe EF'!$AI13,'Eingabe EF'!$AG13)</f>
        <v>0</v>
      </c>
      <c r="I156" s="17"/>
      <c r="J156" s="38">
        <f t="shared" si="22"/>
        <v>0</v>
      </c>
      <c r="K156" s="38">
        <f t="shared" si="21"/>
        <v>0</v>
      </c>
      <c r="L156" s="17" t="s">
        <v>198</v>
      </c>
      <c r="M156" s="43"/>
      <c r="N156" s="17"/>
      <c r="O156" s="17" t="s">
        <v>122</v>
      </c>
      <c r="P156" s="17"/>
      <c r="Q156" s="20"/>
      <c r="R156" s="20"/>
      <c r="S156" s="42">
        <f>IF(NOT(ISBLANK('Referenz Plattenwerk'!$I25)),'Referenz Plattenwerk'!$I25,'Referenz Plattenwerk'!$F25)/1000*IF(NOT(ISBLANK('Eingabe Preise'!$K13)),'Eingabe Preise'!$K13,'Eingabe Preise'!$I13)</f>
        <v>0</v>
      </c>
      <c r="T156" s="20" t="s">
        <v>106</v>
      </c>
    </row>
    <row r="157" spans="2:20" ht="15.75" hidden="1" outlineLevel="1" x14ac:dyDescent="0.3">
      <c r="B157" s="17"/>
      <c r="C157" s="17"/>
      <c r="D157" s="17" t="s">
        <v>149</v>
      </c>
      <c r="E157" s="17"/>
      <c r="F157" s="38">
        <f>IF(NOT(ISBLANK('Referenz Plattenwerk'!$I26)),'Referenz Plattenwerk'!$I26,'Referenz Plattenwerk'!$F26)*IF(NOT(ISBLANK('Eingabe EF'!$AA14)),'Eingabe EF'!$AA14,0)</f>
        <v>0</v>
      </c>
      <c r="G157" s="38">
        <f>IF(NOT(ISBLANK('Referenz Plattenwerk'!$I26)),'Referenz Plattenwerk'!$I26,'Referenz Plattenwerk'!$F26)*IF(NOT(ISBLANK('Eingabe EF'!$AE14)),'Eingabe EF'!$AE14,0)</f>
        <v>0</v>
      </c>
      <c r="H157" s="38">
        <f>IF(NOT(ISBLANK('Referenz Plattenwerk'!$I26)),'Referenz Plattenwerk'!$I26,'Referenz Plattenwerk'!$F26)*IF(NOT(ISBLANK('Eingabe EF'!$AI14)),'Eingabe EF'!$AI14,0)</f>
        <v>0</v>
      </c>
      <c r="I157" s="17"/>
      <c r="J157" s="38">
        <f t="shared" si="22"/>
        <v>0</v>
      </c>
      <c r="K157" s="38">
        <f t="shared" si="21"/>
        <v>0</v>
      </c>
      <c r="L157" s="17" t="s">
        <v>198</v>
      </c>
      <c r="M157" s="43"/>
      <c r="N157" s="17"/>
      <c r="O157" s="17" t="s">
        <v>149</v>
      </c>
      <c r="P157" s="17"/>
      <c r="Q157" s="30"/>
      <c r="R157" s="17"/>
      <c r="S157" s="42">
        <f>IF(NOT(ISBLANK('Referenz Plattenwerk'!$I26)),'Referenz Plattenwerk'!$I26,'Referenz Plattenwerk'!$F26)/1000*IF(NOT(ISBLANK('Eingabe Preise'!$K17)),'Eingabe Preise'!$K17,0)</f>
        <v>0</v>
      </c>
      <c r="T157" s="20" t="s">
        <v>106</v>
      </c>
    </row>
    <row r="158" spans="2:20" hidden="1" outlineLevel="1" x14ac:dyDescent="0.2">
      <c r="B158" s="17"/>
      <c r="C158" s="17"/>
      <c r="D158" s="17"/>
      <c r="E158" s="17"/>
      <c r="F158" s="20"/>
      <c r="G158" s="20"/>
      <c r="H158" s="20"/>
      <c r="I158" s="17"/>
      <c r="J158" s="17"/>
      <c r="K158" s="17"/>
      <c r="L158" s="17"/>
      <c r="N158" s="17"/>
      <c r="O158" s="17"/>
      <c r="P158" s="17"/>
      <c r="Q158" s="30"/>
      <c r="R158" s="17"/>
      <c r="S158" s="17"/>
      <c r="T158" s="17"/>
    </row>
    <row r="159" spans="2:20" ht="15.75" hidden="1" outlineLevel="1" x14ac:dyDescent="0.3">
      <c r="B159" s="17"/>
      <c r="C159" s="17" t="s">
        <v>464</v>
      </c>
      <c r="D159" s="17" t="s">
        <v>34</v>
      </c>
      <c r="E159" s="17"/>
      <c r="F159" s="38">
        <f>IF(NOT(ISBLANK('Referenz Plattenwerk'!$I28)),'Referenz Plattenwerk'!$I28,'Referenz Plattenwerk'!$F28)*IF(NOT(ISBLANK('Eingabe EF'!$AA15)),'Eingabe EF'!$AA15,'Eingabe EF'!$Y15)</f>
        <v>29.238941159999996</v>
      </c>
      <c r="G159" s="38">
        <f>IF(NOT(ISBLANK('Referenz Plattenwerk'!$I28)),'Referenz Plattenwerk'!$I28,'Referenz Plattenwerk'!$F28)*IF(NOT(ISBLANK('Eingabe EF'!$AE15)),'Eingabe EF'!$AE15,'Eingabe EF'!$AC15)</f>
        <v>0</v>
      </c>
      <c r="H159" s="38">
        <f>IF(NOT(ISBLANK('Referenz Plattenwerk'!$I28)),'Referenz Plattenwerk'!$I28,'Referenz Plattenwerk'!$F28)*IF(NOT(ISBLANK('Eingabe EF'!$AI15)),'Eingabe EF'!$AI15,'Eingabe EF'!$AG15)</f>
        <v>5.1658635600000009</v>
      </c>
      <c r="I159" s="17"/>
      <c r="J159" s="38">
        <f t="shared" si="22"/>
        <v>29.238941159999996</v>
      </c>
      <c r="K159" s="38">
        <f t="shared" si="21"/>
        <v>34.404804719999994</v>
      </c>
      <c r="L159" s="17" t="s">
        <v>198</v>
      </c>
      <c r="M159" s="43"/>
      <c r="N159" s="17"/>
      <c r="O159" s="17" t="s">
        <v>34</v>
      </c>
      <c r="P159" s="17" t="s">
        <v>464</v>
      </c>
      <c r="Q159" s="30"/>
      <c r="R159" s="17"/>
      <c r="S159" s="42">
        <f>IF(NOT(ISBLANK('Referenz Plattenwerk'!$I28)),'Referenz Plattenwerk'!$I28,'Referenz Plattenwerk'!$F28)*IF(NOT(ISBLANK('Eingabe Preise'!$K14)),'Eingabe Preise'!$K14,'Eingabe Preise'!$I14)</f>
        <v>12364.000000000002</v>
      </c>
      <c r="T159" s="20" t="s">
        <v>106</v>
      </c>
    </row>
    <row r="160" spans="2:20" ht="15.75" hidden="1" outlineLevel="1" x14ac:dyDescent="0.3">
      <c r="B160" s="17"/>
      <c r="C160" s="17" t="s">
        <v>75</v>
      </c>
      <c r="D160" s="17" t="s">
        <v>34</v>
      </c>
      <c r="E160" s="17"/>
      <c r="F160" s="38">
        <f>IF(NOT(ISBLANK('Referenz Plattenwerk'!$I29)),'Referenz Plattenwerk'!$I29,'Referenz Plattenwerk'!$F29)*IF(NOT(ISBLANK('Eingabe EF'!$AA15)),'Eingabe EF'!$AA15,'Eingabe EF'!$Y15)</f>
        <v>6.645213899999999</v>
      </c>
      <c r="G160" s="38">
        <f>IF(NOT(ISBLANK('Referenz Plattenwerk'!$I29)),'Referenz Plattenwerk'!$I29,'Referenz Plattenwerk'!$F29)*IF(NOT(ISBLANK('Eingabe EF'!$AE15)),'Eingabe EF'!$AE15,'Eingabe EF'!$AC15)</f>
        <v>0</v>
      </c>
      <c r="H160" s="38">
        <f>IF(NOT(ISBLANK('Referenz Plattenwerk'!$I29)),'Referenz Plattenwerk'!$I29,'Referenz Plattenwerk'!$F29)*IF(NOT(ISBLANK('Eingabe EF'!$AI15)),'Eingabe EF'!$AI15,'Eingabe EF'!$AG15)</f>
        <v>1.1740599000000003</v>
      </c>
      <c r="I160" s="17"/>
      <c r="J160" s="38">
        <f t="shared" si="22"/>
        <v>6.645213899999999</v>
      </c>
      <c r="K160" s="38">
        <f t="shared" si="21"/>
        <v>7.8192737999999995</v>
      </c>
      <c r="L160" s="17" t="s">
        <v>198</v>
      </c>
      <c r="M160" s="43"/>
      <c r="N160" s="17"/>
      <c r="O160" s="17" t="s">
        <v>34</v>
      </c>
      <c r="P160" s="17" t="s">
        <v>75</v>
      </c>
      <c r="Q160" s="30"/>
      <c r="R160" s="17"/>
      <c r="S160" s="42">
        <f>IF(NOT(ISBLANK('Referenz Plattenwerk'!$I29)),'Referenz Plattenwerk'!$I29,'Referenz Plattenwerk'!$F29)*IF(NOT(ISBLANK('Eingabe Preise'!$K14)),'Eingabe Preise'!$K14,'Eingabe Preise'!$I14)</f>
        <v>2810.0000000000005</v>
      </c>
      <c r="T160" s="20" t="s">
        <v>106</v>
      </c>
    </row>
    <row r="161" spans="2:21" s="73" customFormat="1" ht="14.25" hidden="1" outlineLevel="1" x14ac:dyDescent="0.25">
      <c r="B161" s="70"/>
      <c r="C161" s="70" t="s">
        <v>189</v>
      </c>
      <c r="D161" s="70"/>
      <c r="E161" s="70"/>
      <c r="F161" s="72">
        <f>F162+F163</f>
        <v>0</v>
      </c>
      <c r="G161" s="72">
        <f t="shared" ref="G161:H161" si="23">G162+G163</f>
        <v>0</v>
      </c>
      <c r="H161" s="72">
        <f t="shared" si="23"/>
        <v>469.15642799999995</v>
      </c>
      <c r="I161" s="70"/>
      <c r="J161" s="72">
        <f t="shared" si="22"/>
        <v>0</v>
      </c>
      <c r="K161" s="72">
        <f t="shared" si="21"/>
        <v>469.15642799999995</v>
      </c>
      <c r="L161" s="77" t="s">
        <v>197</v>
      </c>
      <c r="N161" s="21"/>
      <c r="O161" s="21"/>
      <c r="P161" s="21"/>
      <c r="Q161" s="74"/>
      <c r="R161" s="21"/>
      <c r="S161" s="21"/>
      <c r="T161" s="21"/>
      <c r="U161" s="6"/>
    </row>
    <row r="162" spans="2:21" ht="15.75" hidden="1" outlineLevel="1" x14ac:dyDescent="0.3">
      <c r="B162" s="17"/>
      <c r="C162" s="17"/>
      <c r="D162" s="17" t="s">
        <v>45</v>
      </c>
      <c r="E162" s="17"/>
      <c r="F162" s="38">
        <f>IF(NOT(ISBLANK('Referenz Plattenwerk'!$I32)),'Referenz Plattenwerk'!$I32,'Referenz Plattenwerk'!$F32)*IF(NOT(ISBLANK('Eingabe EF'!$AA17)),'Eingabe EF'!$AA17,'Eingabe EF'!$Y17)</f>
        <v>0</v>
      </c>
      <c r="G162" s="38">
        <f>IF(NOT(ISBLANK('Referenz Plattenwerk'!$I32)),'Referenz Plattenwerk'!$I32,'Referenz Plattenwerk'!$F32)*IF(NOT(ISBLANK('Eingabe EF'!$AE17)),'Eingabe EF'!$AE17,'Eingabe EF'!$AC17)</f>
        <v>0</v>
      </c>
      <c r="H162" s="38">
        <f>IF(NOT(ISBLANK('Referenz Plattenwerk'!$I32)),'Referenz Plattenwerk'!$I32,'Referenz Plattenwerk'!$F32)*IF(NOT(ISBLANK('Eingabe EF'!$AI17)),'Eingabe EF'!$AI17,'Eingabe EF'!$AG17)</f>
        <v>109.4698332</v>
      </c>
      <c r="I162" s="17"/>
      <c r="J162" s="38">
        <f t="shared" si="22"/>
        <v>0</v>
      </c>
      <c r="K162" s="38">
        <f t="shared" si="21"/>
        <v>109.4698332</v>
      </c>
      <c r="L162" s="17" t="s">
        <v>198</v>
      </c>
      <c r="M162" s="43"/>
      <c r="N162" s="17"/>
      <c r="O162" s="17"/>
      <c r="P162" s="17"/>
      <c r="Q162" s="30"/>
      <c r="R162" s="17"/>
      <c r="S162" s="17"/>
      <c r="T162" s="17"/>
    </row>
    <row r="163" spans="2:21" ht="15.75" hidden="1" outlineLevel="1" x14ac:dyDescent="0.3">
      <c r="B163" s="17"/>
      <c r="C163" s="17"/>
      <c r="D163" s="17" t="s">
        <v>46</v>
      </c>
      <c r="E163" s="17"/>
      <c r="F163" s="38">
        <f>IF(NOT(ISBLANK('Referenz Plattenwerk'!$I33)),'Referenz Plattenwerk'!$I33,'Referenz Plattenwerk'!$F33)*IF(NOT(ISBLANK('Eingabe EF'!$AA18)),'Eingabe EF'!$AA18,'Eingabe EF'!$Y18)</f>
        <v>0</v>
      </c>
      <c r="G163" s="38">
        <f>IF(NOT(ISBLANK('Referenz Plattenwerk'!$I33)),'Referenz Plattenwerk'!$I33,'Referenz Plattenwerk'!$F33)*IF(NOT(ISBLANK('Eingabe EF'!$AE18)),'Eingabe EF'!$AE18,'Eingabe EF'!$AC18)</f>
        <v>0</v>
      </c>
      <c r="H163" s="38">
        <f>IF(NOT(ISBLANK('Referenz Plattenwerk'!$I33)),'Referenz Plattenwerk'!$I33,'Referenz Plattenwerk'!$F33)*IF(NOT(ISBLANK('Eingabe EF'!$AI18)),'Eingabe EF'!$AI18,'Eingabe EF'!$AG18)</f>
        <v>359.68659479999997</v>
      </c>
      <c r="I163" s="17"/>
      <c r="J163" s="38">
        <f t="shared" si="22"/>
        <v>0</v>
      </c>
      <c r="K163" s="38">
        <f t="shared" si="21"/>
        <v>359.68659479999997</v>
      </c>
      <c r="L163" s="17" t="s">
        <v>198</v>
      </c>
      <c r="M163" s="43"/>
      <c r="N163" s="17"/>
      <c r="O163" s="17" t="s">
        <v>30</v>
      </c>
      <c r="P163" s="17"/>
      <c r="Q163" s="30"/>
      <c r="R163" s="17"/>
      <c r="S163" s="42">
        <f>IF(NOT(ISBLANK($G$18)),$G$18,$E$18)/IF(NOT(ISBLANK($G$23)),$G$23,$E$23)+IF(NOT(ISBLANK($G$18)),$G$18,$E$18)*(IF(NOT(ISBLANK($G$24)),$G$24,$E$24)/100)</f>
        <v>36000</v>
      </c>
      <c r="T163" s="20" t="s">
        <v>106</v>
      </c>
    </row>
    <row r="164" spans="2:21" hidden="1" outlineLevel="1" x14ac:dyDescent="0.2">
      <c r="B164" s="17"/>
      <c r="C164" s="17"/>
      <c r="D164" s="17"/>
      <c r="E164" s="17"/>
      <c r="F164" s="20"/>
      <c r="G164" s="20"/>
      <c r="H164" s="20"/>
      <c r="I164" s="17"/>
      <c r="J164" s="20"/>
      <c r="K164" s="20"/>
      <c r="L164" s="17"/>
      <c r="N164" s="17"/>
      <c r="O164" s="45" t="s">
        <v>153</v>
      </c>
      <c r="P164" s="17"/>
      <c r="Q164" s="30"/>
      <c r="R164" s="17"/>
      <c r="S164" s="42">
        <f>IF(NOT(ISBLANK($G$19)),$G$19,$E$19)</f>
        <v>1000</v>
      </c>
      <c r="T164" s="20" t="s">
        <v>106</v>
      </c>
    </row>
    <row r="165" spans="2:21" ht="14.25" hidden="1" outlineLevel="1" x14ac:dyDescent="0.25">
      <c r="B165" s="70"/>
      <c r="C165" s="70" t="s">
        <v>68</v>
      </c>
      <c r="D165" s="71"/>
      <c r="E165" s="71"/>
      <c r="F165" s="72">
        <f>SUM(F166:F169)</f>
        <v>0</v>
      </c>
      <c r="G165" s="72">
        <f>SUM(G166:G169)</f>
        <v>0</v>
      </c>
      <c r="H165" s="72">
        <f>SUM(H166:H169)</f>
        <v>4548.5439999999999</v>
      </c>
      <c r="I165" s="71"/>
      <c r="J165" s="72">
        <f t="shared" ref="J165:J169" si="24">F165+G165</f>
        <v>0</v>
      </c>
      <c r="K165" s="72">
        <f t="shared" ref="K165:K168" si="25">SUM(F165:H165)</f>
        <v>4548.5439999999999</v>
      </c>
      <c r="L165" s="77" t="s">
        <v>197</v>
      </c>
      <c r="N165" s="17"/>
      <c r="O165" s="45" t="s">
        <v>160</v>
      </c>
      <c r="P165" s="17"/>
      <c r="Q165" s="30"/>
      <c r="R165" s="17"/>
      <c r="S165" s="42">
        <f>IF(NOT(ISBLANK($G$20)),$G$20,$E$20)/IF(NOT(ISBLANK($G$23)),$G$23,$E$23)+IF(NOT(ISBLANK($G$20)),$G$20,$E$20)*(IF(NOT(ISBLANK($G$24)),$G$24,$E$24)/100)</f>
        <v>0</v>
      </c>
      <c r="T165" s="20" t="s">
        <v>106</v>
      </c>
    </row>
    <row r="166" spans="2:21" ht="15.75" hidden="1" outlineLevel="1" x14ac:dyDescent="0.3">
      <c r="B166" s="17"/>
      <c r="C166" s="17"/>
      <c r="D166" s="17" t="s">
        <v>47</v>
      </c>
      <c r="E166" s="17"/>
      <c r="F166" s="38">
        <f>IF(NOT(ISBLANK('Referenz Plattenwerk'!$I36)),'Referenz Plattenwerk'!$I36,'Referenz Plattenwerk'!$F36)*IF(NOT(ISBLANK('Eingabe EF'!$AA21)),'Eingabe EF'!$AA21,'Eingabe EF'!$Y21)*IF(NOT(ISBLANK('Referenz Plattenwerk'!$I$12)),'Referenz Plattenwerk'!$I$12,'Referenz Plattenwerk'!$F$12)</f>
        <v>0</v>
      </c>
      <c r="G166" s="38">
        <f>IF(NOT(ISBLANK('Referenz Plattenwerk'!$I36)),'Referenz Plattenwerk'!$I36,'Referenz Plattenwerk'!$F36)*IF(NOT(ISBLANK('Eingabe EF'!$AE21)),'Eingabe EF'!$AE21,'Eingabe EF'!$AC21)*IF(NOT(ISBLANK('Referenz Plattenwerk'!$I$12)),'Referenz Plattenwerk'!$I$12,'Referenz Plattenwerk'!$F$12)</f>
        <v>0</v>
      </c>
      <c r="H166" s="38">
        <f>IF(NOT(ISBLANK('Referenz Plattenwerk'!$I36)),'Referenz Plattenwerk'!$I36,'Referenz Plattenwerk'!$F36)*IF(NOT(ISBLANK('Eingabe EF'!$AI21)),'Eingabe EF'!$AI21,'Eingabe EF'!$AG21)*IF(NOT(ISBLANK('Referenz Plattenwerk'!$I$12)),'Referenz Plattenwerk'!$I$12,'Referenz Plattenwerk'!$F$12)</f>
        <v>1210.3</v>
      </c>
      <c r="I166" s="17"/>
      <c r="J166" s="38">
        <f t="shared" si="24"/>
        <v>0</v>
      </c>
      <c r="K166" s="38">
        <f t="shared" si="25"/>
        <v>1210.3</v>
      </c>
      <c r="L166" s="17" t="s">
        <v>198</v>
      </c>
      <c r="M166" s="43"/>
      <c r="N166" s="17"/>
      <c r="O166" s="17"/>
      <c r="P166" s="17"/>
      <c r="Q166" s="17"/>
      <c r="R166" s="17"/>
      <c r="S166" s="17"/>
      <c r="T166" s="17"/>
    </row>
    <row r="167" spans="2:21" ht="15.75" hidden="1" outlineLevel="1" x14ac:dyDescent="0.3">
      <c r="B167" s="17"/>
      <c r="C167" s="17"/>
      <c r="D167" s="17" t="s">
        <v>49</v>
      </c>
      <c r="E167" s="17"/>
      <c r="F167" s="38">
        <f>IF(NOT(ISBLANK('Referenz Plattenwerk'!$I37)),'Referenz Plattenwerk'!$I37,'Referenz Plattenwerk'!$F37)*IF(NOT(ISBLANK('Eingabe EF'!$AA22)),'Eingabe EF'!$AA22,'Eingabe EF'!$Y22)*IF(NOT(ISBLANK('Referenz Plattenwerk'!$I$12)),'Referenz Plattenwerk'!$I$12,'Referenz Plattenwerk'!$F$12)</f>
        <v>0</v>
      </c>
      <c r="G167" s="38">
        <f>IF(NOT(ISBLANK('Referenz Plattenwerk'!$I37)),'Referenz Plattenwerk'!$I37,'Referenz Plattenwerk'!$F37)*IF(NOT(ISBLANK('Eingabe EF'!$AE22)),'Eingabe EF'!$AE22,'Eingabe EF'!$AC22)*IF(NOT(ISBLANK('Referenz Plattenwerk'!$I$12)),'Referenz Plattenwerk'!$I$12,'Referenz Plattenwerk'!$F$12)</f>
        <v>0</v>
      </c>
      <c r="H167" s="38">
        <f>IF(NOT(ISBLANK('Referenz Plattenwerk'!$I37)),'Referenz Plattenwerk'!$I37,'Referenz Plattenwerk'!$F37)*IF(NOT(ISBLANK('Eingabe EF'!$AI22)),'Eingabe EF'!$AI22,'Eingabe EF'!$AG22)*IF(NOT(ISBLANK('Referenz Plattenwerk'!$I$12)),'Referenz Plattenwerk'!$I$12,'Referenz Plattenwerk'!$F$12)</f>
        <v>2415.5039999999999</v>
      </c>
      <c r="I167" s="17"/>
      <c r="J167" s="38">
        <f t="shared" si="24"/>
        <v>0</v>
      </c>
      <c r="K167" s="38">
        <f t="shared" si="25"/>
        <v>2415.5039999999999</v>
      </c>
      <c r="L167" s="17" t="s">
        <v>198</v>
      </c>
      <c r="M167" s="43"/>
      <c r="N167" s="17"/>
      <c r="O167" s="17"/>
      <c r="P167" s="17"/>
      <c r="Q167" s="17"/>
      <c r="R167" s="17"/>
      <c r="S167" s="17"/>
      <c r="T167" s="17"/>
    </row>
    <row r="168" spans="2:21" ht="15.75" hidden="1" outlineLevel="1" x14ac:dyDescent="0.3">
      <c r="B168" s="17"/>
      <c r="C168" s="17"/>
      <c r="D168" s="17" t="s">
        <v>50</v>
      </c>
      <c r="E168" s="17"/>
      <c r="F168" s="38">
        <f>IF(NOT(ISBLANK('Referenz Plattenwerk'!$I38)),'Referenz Plattenwerk'!$I38,'Referenz Plattenwerk'!$F38)*IF(NOT(ISBLANK('Eingabe EF'!$AA23)),'Eingabe EF'!$AA23,'Eingabe EF'!$Y23)*IF(NOT(ISBLANK('Referenz Plattenwerk'!$I$12)),'Referenz Plattenwerk'!$I$12,'Referenz Plattenwerk'!$F$12)</f>
        <v>0</v>
      </c>
      <c r="G168" s="38">
        <f>IF(NOT(ISBLANK('Referenz Plattenwerk'!$I38)),'Referenz Plattenwerk'!$I38,'Referenz Plattenwerk'!$F38)*IF(NOT(ISBLANK('Eingabe EF'!$AE23)),'Eingabe EF'!$AE23,'Eingabe EF'!$AC23)*IF(NOT(ISBLANK('Referenz Plattenwerk'!$I$12)),'Referenz Plattenwerk'!$I$12,'Referenz Plattenwerk'!$F$12)</f>
        <v>0</v>
      </c>
      <c r="H168" s="38">
        <f>IF(NOT(ISBLANK('Referenz Plattenwerk'!$I38)),'Referenz Plattenwerk'!$I38,'Referenz Plattenwerk'!$F38)*IF(NOT(ISBLANK('Eingabe EF'!$AI23)),'Eingabe EF'!$AI23,'Eingabe EF'!$AG23)*IF(NOT(ISBLANK('Referenz Plattenwerk'!$I$12)),'Referenz Plattenwerk'!$I$12,'Referenz Plattenwerk'!$F$12)</f>
        <v>922.7399999999999</v>
      </c>
      <c r="I168" s="17"/>
      <c r="J168" s="38">
        <f t="shared" si="24"/>
        <v>0</v>
      </c>
      <c r="K168" s="38">
        <f t="shared" si="25"/>
        <v>922.7399999999999</v>
      </c>
      <c r="L168" s="17" t="s">
        <v>198</v>
      </c>
      <c r="M168" s="43"/>
      <c r="N168" s="17"/>
      <c r="O168" s="17" t="s">
        <v>200</v>
      </c>
      <c r="P168" s="17"/>
      <c r="Q168" s="30"/>
      <c r="R168" s="17"/>
      <c r="S168" s="42">
        <f>F204*IF(NOT(ISBLANK('Eingabe Preise'!$K21)),'Eingabe Preise'!$K21,'Eingabe Preise'!$I21)</f>
        <v>4271.9559777000004</v>
      </c>
      <c r="T168" s="20" t="s">
        <v>106</v>
      </c>
    </row>
    <row r="169" spans="2:21" ht="15.75" hidden="1" outlineLevel="1" x14ac:dyDescent="0.3">
      <c r="B169" s="17"/>
      <c r="C169" s="17"/>
      <c r="D169" s="17" t="s">
        <v>161</v>
      </c>
      <c r="E169" s="17"/>
      <c r="F169" s="38">
        <f>IF(NOT(ISBLANK('Referenz Plattenwerk'!$I39)),'Referenz Plattenwerk'!$I39,'Referenz Plattenwerk'!$F39)*IF(NOT(ISBLANK('Eingabe EF'!$AA24)),'Eingabe EF'!$AA24,0)*IF(NOT(ISBLANK('Referenz Plattenwerk'!$I$12)),'Referenz Plattenwerk'!$I$12,'Referenz Plattenwerk'!$F$12)</f>
        <v>0</v>
      </c>
      <c r="G169" s="38">
        <f>IF(NOT(ISBLANK('Referenz Plattenwerk'!$I39)),'Referenz Plattenwerk'!$I39,'Referenz Plattenwerk'!$F39)*IF(NOT(ISBLANK('Eingabe EF'!$AE24)),'Eingabe EF'!$AE24,0)*IF(NOT(ISBLANK('Referenz Plattenwerk'!$I$12)),'Referenz Plattenwerk'!$I$12,'Referenz Plattenwerk'!$F$12)</f>
        <v>0</v>
      </c>
      <c r="H169" s="38">
        <f>IF(NOT(ISBLANK('Referenz Plattenwerk'!$I39)),'Referenz Plattenwerk'!$I39,'Referenz Plattenwerk'!$F39)*IF(NOT(ISBLANK('Eingabe EF'!$AI24)),'Eingabe EF'!$AI24,0)*IF(NOT(ISBLANK('Referenz Plattenwerk'!$I$12)),'Referenz Plattenwerk'!$I$12,'Referenz Plattenwerk'!$F$12)</f>
        <v>0</v>
      </c>
      <c r="I169" s="17"/>
      <c r="J169" s="38">
        <f t="shared" si="24"/>
        <v>0</v>
      </c>
      <c r="K169" s="38">
        <f t="shared" ref="K169" si="26">SUM(F169:H169)</f>
        <v>0</v>
      </c>
      <c r="L169" s="17" t="s">
        <v>198</v>
      </c>
      <c r="M169" s="43"/>
      <c r="N169" s="17"/>
      <c r="O169" s="17" t="s">
        <v>201</v>
      </c>
      <c r="P169" s="17"/>
      <c r="Q169" s="30"/>
      <c r="R169" s="17"/>
      <c r="S169" s="42">
        <f>G204*IF(NOT(ISBLANK('Eingabe Preise'!$K22)),'Eingabe Preise'!$K22,'Eingabe Preise'!$I22)</f>
        <v>4371.2356481049683</v>
      </c>
      <c r="T169" s="20" t="s">
        <v>106</v>
      </c>
    </row>
    <row r="170" spans="2:21" ht="15.75" hidden="1" outlineLevel="1" x14ac:dyDescent="0.3">
      <c r="B170" s="17"/>
      <c r="C170" s="17"/>
      <c r="D170" s="17"/>
      <c r="E170" s="17"/>
      <c r="F170" s="20"/>
      <c r="G170" s="20"/>
      <c r="H170" s="20"/>
      <c r="I170" s="17"/>
      <c r="J170" s="17"/>
      <c r="K170" s="20"/>
      <c r="L170" s="20"/>
      <c r="M170" s="43"/>
      <c r="N170" s="17"/>
      <c r="O170" s="17" t="s">
        <v>202</v>
      </c>
      <c r="P170" s="17"/>
      <c r="Q170" s="30"/>
      <c r="R170" s="17"/>
      <c r="S170" s="42">
        <f>H204*IF(NOT(ISBLANK('Eingabe Preise'!$K23)),'Eingabe Preise'!$K23,'Eingabe Preise'!$I23)</f>
        <v>262176.35544081021</v>
      </c>
      <c r="T170" s="20" t="s">
        <v>106</v>
      </c>
    </row>
    <row r="171" spans="2:21" ht="14.25" hidden="1" outlineLevel="1" x14ac:dyDescent="0.25">
      <c r="B171" s="70"/>
      <c r="C171" s="70" t="s">
        <v>177</v>
      </c>
      <c r="D171" s="71"/>
      <c r="E171" s="71"/>
      <c r="F171" s="72">
        <f>SUM(F172:F174)</f>
        <v>0</v>
      </c>
      <c r="G171" s="72">
        <f>SUM(G172:G174)</f>
        <v>0</v>
      </c>
      <c r="H171" s="72">
        <f>SUM(H172:H174)</f>
        <v>129.59200000000001</v>
      </c>
      <c r="I171" s="71"/>
      <c r="J171" s="72">
        <f t="shared" ref="J171" si="27">F171+G171</f>
        <v>0</v>
      </c>
      <c r="K171" s="72">
        <f t="shared" ref="K171" si="28">SUM(F171:H171)</f>
        <v>129.59200000000001</v>
      </c>
      <c r="L171" s="77" t="s">
        <v>197</v>
      </c>
      <c r="M171" s="43"/>
      <c r="N171" s="17"/>
      <c r="O171" s="17"/>
      <c r="P171" s="17"/>
      <c r="Q171" s="30"/>
      <c r="R171" s="17"/>
      <c r="S171" s="67"/>
      <c r="T171" s="17"/>
    </row>
    <row r="172" spans="2:21" ht="15.75" hidden="1" outlineLevel="1" x14ac:dyDescent="0.3">
      <c r="B172" s="17"/>
      <c r="C172" s="17"/>
      <c r="D172" s="17" t="s">
        <v>178</v>
      </c>
      <c r="E172" s="17"/>
      <c r="F172" s="38">
        <f>IF(NOT(ISBLANK('Referenz Plattenwerk'!$I42)),'Referenz Plattenwerk'!$I42,'Referenz Plattenwerk'!$F42)*IF(NOT(ISBLANK('Eingabe EF'!$AA27)),'Eingabe EF'!$AA27,'Eingabe EF'!$Y27)*IF(NOT(ISBLANK('Referenz Plattenwerk'!$I$12)),'Referenz Plattenwerk'!$I$12,'Referenz Plattenwerk'!$F$12)</f>
        <v>0</v>
      </c>
      <c r="G172" s="38">
        <f>IF(NOT(ISBLANK('Referenz Plattenwerk'!$I42)),'Referenz Plattenwerk'!$I42,'Referenz Plattenwerk'!$F42)*IF(NOT(ISBLANK('Eingabe EF'!$AE27)),'Eingabe EF'!$AE27,'Eingabe EF'!$AC27)*IF(NOT(ISBLANK('Referenz Plattenwerk'!$I$12)),'Referenz Plattenwerk'!$I$12,'Referenz Plattenwerk'!$F$12)</f>
        <v>0</v>
      </c>
      <c r="H172" s="38">
        <f>IF(NOT(ISBLANK('Referenz Plattenwerk'!$I42)),'Referenz Plattenwerk'!$I42,'Referenz Plattenwerk'!$F42)*IF(NOT(ISBLANK('Eingabe EF'!$AI27)),'Eingabe EF'!$AI27,'Eingabe EF'!$AG27)*IF(NOT(ISBLANK('Referenz Plattenwerk'!$I$12)),'Referenz Plattenwerk'!$I$12,'Referenz Plattenwerk'!$F$12)</f>
        <v>129.59200000000001</v>
      </c>
      <c r="I172" s="17"/>
      <c r="J172" s="38">
        <f>F172+G172</f>
        <v>0</v>
      </c>
      <c r="K172" s="38">
        <f>SUM(F172:H172)</f>
        <v>129.59200000000001</v>
      </c>
      <c r="L172" s="17" t="s">
        <v>198</v>
      </c>
      <c r="M172" s="43"/>
      <c r="N172" s="17"/>
      <c r="O172" s="17"/>
      <c r="P172" s="17"/>
      <c r="Q172" s="30"/>
      <c r="R172" s="17"/>
      <c r="S172" s="17"/>
      <c r="T172" s="17"/>
    </row>
    <row r="173" spans="2:21" ht="15.75" hidden="1" outlineLevel="1" x14ac:dyDescent="0.3">
      <c r="B173" s="17"/>
      <c r="C173" s="17"/>
      <c r="D173" s="17" t="s">
        <v>179</v>
      </c>
      <c r="E173" s="17"/>
      <c r="F173" s="38">
        <f>IF(NOT(ISBLANK('Referenz Plattenwerk'!$I43)),'Referenz Plattenwerk'!$I43,'Referenz Plattenwerk'!$F43)*IF(NOT(ISBLANK('Eingabe EF'!$AA28)),'Eingabe EF'!$AA28,0)*IF(NOT(ISBLANK('Referenz Plattenwerk'!$I$12)),'Referenz Plattenwerk'!$I$12,'Referenz Plattenwerk'!$F$12)</f>
        <v>0</v>
      </c>
      <c r="G173" s="38">
        <f>IF(NOT(ISBLANK('Referenz Plattenwerk'!$I43)),'Referenz Plattenwerk'!$I43,'Referenz Plattenwerk'!$F43)*IF(NOT(ISBLANK('Eingabe EF'!$AE28)),'Eingabe EF'!$AE28,0)*IF(NOT(ISBLANK('Referenz Plattenwerk'!$I$12)),'Referenz Plattenwerk'!$I$12,'Referenz Plattenwerk'!$F$12)</f>
        <v>0</v>
      </c>
      <c r="H173" s="38">
        <f>IF(NOT(ISBLANK('Referenz Plattenwerk'!$I43)),'Referenz Plattenwerk'!$I43,'Referenz Plattenwerk'!$F43)*IF(NOT(ISBLANK('Eingabe EF'!$AI28)),'Eingabe EF'!$AI28,0)*IF(NOT(ISBLANK('Referenz Plattenwerk'!$I$12)),'Referenz Plattenwerk'!$I$12,'Referenz Plattenwerk'!$F$12)</f>
        <v>0</v>
      </c>
      <c r="I173" s="17"/>
      <c r="J173" s="38">
        <f t="shared" ref="J173:J174" si="29">F173+G173</f>
        <v>0</v>
      </c>
      <c r="K173" s="38">
        <f t="shared" ref="K173:K174" si="30">SUM(F173:H173)</f>
        <v>0</v>
      </c>
      <c r="L173" s="17" t="s">
        <v>198</v>
      </c>
      <c r="M173" s="43"/>
      <c r="N173" s="17"/>
      <c r="O173" s="17"/>
      <c r="P173" s="17"/>
      <c r="Q173" s="30"/>
      <c r="R173" s="17"/>
      <c r="S173" s="67"/>
      <c r="T173" s="17"/>
    </row>
    <row r="174" spans="2:21" ht="15.75" hidden="1" outlineLevel="1" x14ac:dyDescent="0.3">
      <c r="B174" s="17"/>
      <c r="C174" s="17"/>
      <c r="D174" s="17" t="s">
        <v>180</v>
      </c>
      <c r="E174" s="17"/>
      <c r="F174" s="38">
        <f>IF(NOT(ISBLANK('Referenz Plattenwerk'!$I44)),'Referenz Plattenwerk'!$I44,'Referenz Plattenwerk'!$F44)*IF(NOT(ISBLANK('Eingabe EF'!$AA29)),'Eingabe EF'!$AA29,0)*IF(NOT(ISBLANK('Referenz Plattenwerk'!$I$12)),'Referenz Plattenwerk'!$I$12,'Referenz Plattenwerk'!$F$12)</f>
        <v>0</v>
      </c>
      <c r="G174" s="38">
        <f>IF(NOT(ISBLANK('Referenz Plattenwerk'!$I44)),'Referenz Plattenwerk'!$I44,'Referenz Plattenwerk'!$F44)*IF(NOT(ISBLANK('Eingabe EF'!$AE29)),'Eingabe EF'!$AE29,0)*IF(NOT(ISBLANK('Referenz Plattenwerk'!$I$12)),'Referenz Plattenwerk'!$I$12,'Referenz Plattenwerk'!$F$12)</f>
        <v>0</v>
      </c>
      <c r="H174" s="38">
        <f>IF(NOT(ISBLANK('Referenz Plattenwerk'!$I44)),'Referenz Plattenwerk'!$I44,'Referenz Plattenwerk'!$F44)*IF(NOT(ISBLANK('Eingabe EF'!$AI29)),'Eingabe EF'!$AI29,0)*IF(NOT(ISBLANK('Referenz Plattenwerk'!$I$12)),'Referenz Plattenwerk'!$I$12,'Referenz Plattenwerk'!$F$12)</f>
        <v>0</v>
      </c>
      <c r="I174" s="17"/>
      <c r="J174" s="38">
        <f t="shared" si="29"/>
        <v>0</v>
      </c>
      <c r="K174" s="38">
        <f t="shared" si="30"/>
        <v>0</v>
      </c>
      <c r="L174" s="17" t="s">
        <v>198</v>
      </c>
      <c r="M174" s="43"/>
      <c r="N174" s="43"/>
      <c r="O174" s="43"/>
      <c r="P174" s="43"/>
      <c r="Q174" s="43"/>
      <c r="R174" s="43"/>
      <c r="S174" s="43"/>
    </row>
    <row r="175" spans="2:21" hidden="1" outlineLevel="1" x14ac:dyDescent="0.2">
      <c r="B175" s="17"/>
      <c r="C175" s="17"/>
      <c r="D175" s="17"/>
      <c r="E175" s="17"/>
      <c r="F175" s="20"/>
      <c r="G175" s="20"/>
      <c r="H175" s="20"/>
      <c r="I175" s="17"/>
      <c r="J175" s="17"/>
      <c r="K175" s="20"/>
      <c r="L175" s="20"/>
      <c r="M175" s="43"/>
      <c r="N175" s="43"/>
      <c r="O175" s="43"/>
      <c r="P175" s="43"/>
      <c r="Q175" s="43"/>
      <c r="R175" s="43"/>
      <c r="S175" s="43"/>
    </row>
    <row r="176" spans="2:21" ht="14.25" hidden="1" outlineLevel="1" x14ac:dyDescent="0.25">
      <c r="B176" s="17"/>
      <c r="C176" s="17"/>
      <c r="D176" s="21" t="s">
        <v>57</v>
      </c>
      <c r="E176" s="21"/>
      <c r="F176" s="75">
        <f>IF(NOT(ISBLANK('Referenz Plattenwerk'!$I46)),'Referenz Plattenwerk'!$I46,'Referenz Plattenwerk'!$F46)*IF(NOT(ISBLANK('Eingabe EF'!$AA31)),'Eingabe EF'!$AA31,'Eingabe EF'!$Y31)*IF(NOT(ISBLANK('Referenz Plattenwerk'!$I$12)),'Referenz Plattenwerk'!$I$12,'Referenz Plattenwerk'!$F$12)</f>
        <v>0</v>
      </c>
      <c r="G176" s="75">
        <f>IF(NOT(ISBLANK('Referenz Plattenwerk'!$I46)),'Referenz Plattenwerk'!$I46,'Referenz Plattenwerk'!$F46)*IF(NOT(ISBLANK('Eingabe EF'!$AE31)),'Eingabe EF'!$AE31,'Eingabe EF'!$AC31)*IF(NOT(ISBLANK('Referenz Plattenwerk'!$I$12)),'Referenz Plattenwerk'!$I$12,'Referenz Plattenwerk'!$F$12)</f>
        <v>0</v>
      </c>
      <c r="H176" s="75">
        <f>IF(NOT(ISBLANK('Referenz Plattenwerk'!$I46)),'Referenz Plattenwerk'!$I46,'Referenz Plattenwerk'!$F46)*IF(NOT(ISBLANK('Eingabe EF'!$AI31)),'Eingabe EF'!$AI31,'Eingabe EF'!$AG31)*IF(NOT(ISBLANK('Referenz Plattenwerk'!$I$12)),'Referenz Plattenwerk'!$I$12,'Referenz Plattenwerk'!$F$12)</f>
        <v>208</v>
      </c>
      <c r="I176" s="21"/>
      <c r="J176" s="75">
        <f>F176+G176</f>
        <v>0</v>
      </c>
      <c r="K176" s="75">
        <f t="shared" ref="K176" si="31">SUM(F176:H176)</f>
        <v>208</v>
      </c>
      <c r="L176" s="21" t="s">
        <v>197</v>
      </c>
      <c r="M176" s="43"/>
      <c r="N176" s="43"/>
      <c r="O176" s="43"/>
      <c r="P176" s="43"/>
      <c r="Q176" s="43"/>
      <c r="R176" s="43"/>
      <c r="S176" s="43"/>
    </row>
    <row r="177" spans="2:19" hidden="1" outlineLevel="1" x14ac:dyDescent="0.2">
      <c r="B177" s="17"/>
      <c r="C177" s="17"/>
      <c r="D177" s="17"/>
      <c r="E177" s="17"/>
      <c r="F177" s="20"/>
      <c r="G177" s="20"/>
      <c r="H177" s="20"/>
      <c r="I177" s="17"/>
      <c r="J177" s="17"/>
      <c r="K177" s="20"/>
      <c r="L177" s="20"/>
      <c r="M177" s="43"/>
      <c r="N177" s="43"/>
      <c r="O177" s="43"/>
      <c r="P177" s="43"/>
      <c r="Q177" s="43"/>
      <c r="R177" s="43"/>
      <c r="S177" s="43"/>
    </row>
    <row r="178" spans="2:19" ht="14.25" hidden="1" outlineLevel="1" x14ac:dyDescent="0.25">
      <c r="B178" s="70"/>
      <c r="C178" s="70" t="s">
        <v>181</v>
      </c>
      <c r="D178" s="71"/>
      <c r="E178" s="71"/>
      <c r="F178" s="72">
        <f>SUM(F179:F181)</f>
        <v>0</v>
      </c>
      <c r="G178" s="72">
        <f>SUM(G179:G181)</f>
        <v>0</v>
      </c>
      <c r="H178" s="72">
        <f>SUM(H179:H181)</f>
        <v>81.003999999999991</v>
      </c>
      <c r="I178" s="71"/>
      <c r="J178" s="72">
        <f t="shared" ref="J178" si="32">F178+G178</f>
        <v>0</v>
      </c>
      <c r="K178" s="72">
        <f t="shared" ref="K178" si="33">SUM(F178:H178)</f>
        <v>81.003999999999991</v>
      </c>
      <c r="L178" s="77" t="s">
        <v>197</v>
      </c>
      <c r="M178" s="43"/>
      <c r="N178" s="43"/>
      <c r="O178" s="43"/>
      <c r="P178" s="43"/>
      <c r="Q178" s="43"/>
      <c r="R178" s="43"/>
      <c r="S178" s="43"/>
    </row>
    <row r="179" spans="2:19" ht="15.75" hidden="1" outlineLevel="1" x14ac:dyDescent="0.3">
      <c r="B179" s="17"/>
      <c r="C179" s="17"/>
      <c r="D179" s="17" t="s">
        <v>59</v>
      </c>
      <c r="E179" s="17"/>
      <c r="F179" s="38">
        <f>IF(NOT(ISBLANK('Referenz Plattenwerk'!$I49)),'Referenz Plattenwerk'!$I49,'Referenz Plattenwerk'!$F49)*IF(NOT(ISBLANK('Eingabe EF'!$AA34)),'Eingabe EF'!$AA34,'Eingabe EF'!$Y34)*IF(NOT(ISBLANK('Referenz Plattenwerk'!$I$12)),'Referenz Plattenwerk'!$I$12,'Referenz Plattenwerk'!$F$12)</f>
        <v>0</v>
      </c>
      <c r="G179" s="38">
        <f>IF(NOT(ISBLANK('Referenz Plattenwerk'!$I49)),'Referenz Plattenwerk'!$I49,'Referenz Plattenwerk'!$F49)*IF(NOT(ISBLANK('Eingabe EF'!$AE34)),'Eingabe EF'!$AE34,'Eingabe EF'!$AC34)*IF(NOT(ISBLANK('Referenz Plattenwerk'!$I$12)),'Referenz Plattenwerk'!$I$12,'Referenz Plattenwerk'!$F$12)</f>
        <v>0</v>
      </c>
      <c r="H179" s="38">
        <f>IF(NOT(ISBLANK('Referenz Plattenwerk'!$I49)),'Referenz Plattenwerk'!$I49,'Referenz Plattenwerk'!$F49)*IF(NOT(ISBLANK('Eingabe EF'!$AI34)),'Eingabe EF'!$AI34,'Eingabe EF'!$AG34)*IF(NOT(ISBLANK('Referenz Plattenwerk'!$I$12)),'Referenz Plattenwerk'!$I$12,'Referenz Plattenwerk'!$F$12)</f>
        <v>0</v>
      </c>
      <c r="I179" s="17"/>
      <c r="J179" s="38">
        <f>F179+G179</f>
        <v>0</v>
      </c>
      <c r="K179" s="38">
        <f>SUM(F179:H179)</f>
        <v>0</v>
      </c>
      <c r="L179" s="17" t="s">
        <v>198</v>
      </c>
      <c r="M179" s="43"/>
      <c r="N179" s="43"/>
      <c r="O179" s="43"/>
      <c r="P179" s="43"/>
      <c r="Q179" s="43"/>
      <c r="R179" s="43"/>
      <c r="S179" s="43"/>
    </row>
    <row r="180" spans="2:19" ht="15.75" hidden="1" outlineLevel="1" x14ac:dyDescent="0.3">
      <c r="B180" s="17"/>
      <c r="C180" s="17"/>
      <c r="D180" s="17" t="s">
        <v>60</v>
      </c>
      <c r="E180" s="17"/>
      <c r="F180" s="38">
        <f>IF(NOT(ISBLANK('Referenz Plattenwerk'!$I50)),'Referenz Plattenwerk'!$I50,'Referenz Plattenwerk'!$F50)*IF(NOT(ISBLANK('Eingabe EF'!$AA35)),'Eingabe EF'!$AA35,'Eingabe EF'!$Y35)*IF(NOT(ISBLANK('Referenz Plattenwerk'!$I$12)),'Referenz Plattenwerk'!$I$12,'Referenz Plattenwerk'!$F$12)</f>
        <v>0</v>
      </c>
      <c r="G180" s="38">
        <f>IF(NOT(ISBLANK('Referenz Plattenwerk'!$I50)),'Referenz Plattenwerk'!$I50,'Referenz Plattenwerk'!$F50)*IF(NOT(ISBLANK('Eingabe EF'!$AE35)),'Eingabe EF'!$AE35,'Eingabe EF'!$AC35)*IF(NOT(ISBLANK('Referenz Plattenwerk'!$I$12)),'Referenz Plattenwerk'!$I$12,'Referenz Plattenwerk'!$F$12)</f>
        <v>0</v>
      </c>
      <c r="H180" s="38">
        <f>IF(NOT(ISBLANK('Referenz Plattenwerk'!$I50)),'Referenz Plattenwerk'!$I50,'Referenz Plattenwerk'!$F50)*IF(NOT(ISBLANK('Eingabe EF'!$AI35)),'Eingabe EF'!$AI35,'Eingabe EF'!$AG35)*IF(NOT(ISBLANK('Referenz Plattenwerk'!$I$12)),'Referenz Plattenwerk'!$I$12,'Referenz Plattenwerk'!$F$12)</f>
        <v>8.6840000000000011</v>
      </c>
      <c r="I180" s="17"/>
      <c r="J180" s="38">
        <f>F180+G180</f>
        <v>0</v>
      </c>
      <c r="K180" s="38">
        <f>SUM(F180:H180)</f>
        <v>8.6840000000000011</v>
      </c>
      <c r="L180" s="17" t="s">
        <v>198</v>
      </c>
      <c r="M180" s="43"/>
      <c r="N180" s="43"/>
      <c r="O180" s="43"/>
      <c r="P180" s="43"/>
      <c r="Q180" s="43"/>
      <c r="R180" s="43"/>
      <c r="S180" s="43"/>
    </row>
    <row r="181" spans="2:19" ht="15.75" hidden="1" outlineLevel="1" x14ac:dyDescent="0.3">
      <c r="B181" s="17"/>
      <c r="C181" s="17"/>
      <c r="D181" s="17" t="s">
        <v>61</v>
      </c>
      <c r="E181" s="17"/>
      <c r="F181" s="38">
        <f>IF(NOT(ISBLANK('Referenz Plattenwerk'!$I51)),'Referenz Plattenwerk'!$I51,'Referenz Plattenwerk'!$F51)*IF(NOT(ISBLANK('Eingabe EF'!$AA36)),'Eingabe EF'!$AA36,'Eingabe EF'!$Y36)*IF(NOT(ISBLANK('Referenz Plattenwerk'!$I$12)),'Referenz Plattenwerk'!$I$12,'Referenz Plattenwerk'!$F$12)</f>
        <v>0</v>
      </c>
      <c r="G181" s="38">
        <f>IF(NOT(ISBLANK('Referenz Plattenwerk'!$I51)),'Referenz Plattenwerk'!$I51,'Referenz Plattenwerk'!$F51)*IF(NOT(ISBLANK('Eingabe EF'!$AE36)),'Eingabe EF'!$AE36,'Eingabe EF'!$AC36)*IF(NOT(ISBLANK('Referenz Plattenwerk'!$I$12)),'Referenz Plattenwerk'!$I$12,'Referenz Plattenwerk'!$F$12)</f>
        <v>0</v>
      </c>
      <c r="H181" s="38">
        <f>IF(NOT(ISBLANK('Referenz Plattenwerk'!$I51)),'Referenz Plattenwerk'!$I51,'Referenz Plattenwerk'!$F51)*IF(NOT(ISBLANK('Eingabe EF'!$AI36)),'Eingabe EF'!$AI36,'Eingabe EF'!$AG36)*IF(NOT(ISBLANK('Referenz Plattenwerk'!$I$12)),'Referenz Plattenwerk'!$I$12,'Referenz Plattenwerk'!$F$12)</f>
        <v>72.319999999999993</v>
      </c>
      <c r="I181" s="17"/>
      <c r="J181" s="38">
        <f>F181+G181</f>
        <v>0</v>
      </c>
      <c r="K181" s="38">
        <f>SUM(F181:H181)</f>
        <v>72.319999999999993</v>
      </c>
      <c r="L181" s="17" t="s">
        <v>198</v>
      </c>
      <c r="M181" s="43"/>
      <c r="N181" s="43"/>
      <c r="O181" s="43"/>
      <c r="P181" s="43"/>
      <c r="Q181" s="43"/>
      <c r="R181" s="43"/>
      <c r="S181" s="43"/>
    </row>
    <row r="182" spans="2:19" hidden="1" outlineLevel="1" x14ac:dyDescent="0.2">
      <c r="B182" s="17"/>
      <c r="C182" s="17"/>
      <c r="D182" s="17"/>
      <c r="E182" s="17"/>
      <c r="F182" s="20"/>
      <c r="G182" s="20"/>
      <c r="H182" s="20"/>
      <c r="I182" s="17"/>
      <c r="J182" s="17"/>
      <c r="K182" s="20"/>
      <c r="L182" s="20"/>
      <c r="M182" s="43"/>
      <c r="N182" s="43"/>
      <c r="O182" s="43"/>
      <c r="P182" s="43"/>
      <c r="Q182" s="43"/>
      <c r="R182" s="43"/>
      <c r="S182" s="43"/>
    </row>
    <row r="183" spans="2:19" ht="14.25" hidden="1" outlineLevel="1" x14ac:dyDescent="0.25">
      <c r="B183" s="70"/>
      <c r="C183" s="70" t="s">
        <v>51</v>
      </c>
      <c r="D183" s="71"/>
      <c r="E183" s="71"/>
      <c r="F183" s="72">
        <f>SUM(F184:F187)</f>
        <v>0</v>
      </c>
      <c r="G183" s="72">
        <f>SUM(G184:G187)</f>
        <v>0</v>
      </c>
      <c r="H183" s="72">
        <f>SUM(H184:H187)</f>
        <v>148.44746134951595</v>
      </c>
      <c r="I183" s="71"/>
      <c r="J183" s="72">
        <f t="shared" ref="J183:J187" si="34">F183+G183</f>
        <v>0</v>
      </c>
      <c r="K183" s="72">
        <f t="shared" ref="K183" si="35">SUM(F183:H183)</f>
        <v>148.44746134951595</v>
      </c>
      <c r="L183" s="77" t="s">
        <v>197</v>
      </c>
      <c r="M183" s="43"/>
      <c r="N183" s="43"/>
      <c r="O183" s="43"/>
      <c r="P183" s="43"/>
      <c r="Q183" s="43"/>
      <c r="R183" s="43"/>
      <c r="S183" s="43"/>
    </row>
    <row r="184" spans="2:19" ht="15.75" hidden="1" outlineLevel="1" x14ac:dyDescent="0.3">
      <c r="B184" s="17"/>
      <c r="C184" s="17"/>
      <c r="D184" s="17" t="s">
        <v>52</v>
      </c>
      <c r="E184" s="17"/>
      <c r="F184"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84"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84"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84" s="17"/>
      <c r="J184" s="38">
        <f t="shared" si="34"/>
        <v>0</v>
      </c>
      <c r="K184" s="38">
        <f t="shared" ref="K184:K187" si="36">SUM(F184:H184)</f>
        <v>47.997919375812742</v>
      </c>
      <c r="L184" s="17" t="s">
        <v>198</v>
      </c>
      <c r="M184" s="43"/>
      <c r="N184" s="43"/>
      <c r="O184" s="43"/>
      <c r="P184" s="43"/>
      <c r="Q184" s="43"/>
      <c r="R184" s="43"/>
      <c r="S184" s="43"/>
    </row>
    <row r="185" spans="2:19" ht="15.75" hidden="1" outlineLevel="1" x14ac:dyDescent="0.3">
      <c r="B185" s="17"/>
      <c r="C185" s="17"/>
      <c r="D185" s="17" t="s">
        <v>54</v>
      </c>
      <c r="E185" s="17"/>
      <c r="F185"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85"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85"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85" s="17"/>
      <c r="J185" s="38">
        <f t="shared" si="34"/>
        <v>0</v>
      </c>
      <c r="K185" s="38">
        <f t="shared" si="36"/>
        <v>5.7797543707556596</v>
      </c>
      <c r="L185" s="17" t="s">
        <v>198</v>
      </c>
      <c r="M185" s="43"/>
      <c r="N185" s="43"/>
      <c r="O185" s="43"/>
      <c r="P185" s="43"/>
      <c r="Q185" s="43"/>
      <c r="R185" s="43"/>
      <c r="S185" s="43"/>
    </row>
    <row r="186" spans="2:19" ht="15.75" hidden="1" outlineLevel="1" x14ac:dyDescent="0.3">
      <c r="B186" s="17"/>
      <c r="C186" s="17"/>
      <c r="D186" s="17" t="s">
        <v>55</v>
      </c>
      <c r="E186" s="17"/>
      <c r="F186"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86"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86"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86" s="17"/>
      <c r="J186" s="38">
        <f t="shared" si="34"/>
        <v>0</v>
      </c>
      <c r="K186" s="38">
        <f t="shared" si="36"/>
        <v>1.4217598612917211E-2</v>
      </c>
      <c r="L186" s="17" t="s">
        <v>198</v>
      </c>
      <c r="M186" s="43"/>
      <c r="N186" s="43"/>
      <c r="O186" s="43"/>
      <c r="P186" s="43"/>
      <c r="Q186" s="43"/>
      <c r="R186" s="43"/>
      <c r="S186" s="43"/>
    </row>
    <row r="187" spans="2:19" ht="15.75" hidden="1" outlineLevel="1" x14ac:dyDescent="0.3">
      <c r="B187" s="17"/>
      <c r="C187" s="17"/>
      <c r="D187" s="17" t="s">
        <v>56</v>
      </c>
      <c r="E187" s="17"/>
      <c r="F187"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87"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87"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87" s="17"/>
      <c r="J187" s="38">
        <f t="shared" si="34"/>
        <v>0</v>
      </c>
      <c r="K187" s="38">
        <f t="shared" si="36"/>
        <v>94.655570004334635</v>
      </c>
      <c r="L187" s="17" t="s">
        <v>198</v>
      </c>
      <c r="M187" s="43"/>
      <c r="N187" s="43"/>
      <c r="O187" s="43"/>
      <c r="P187" s="43"/>
      <c r="Q187" s="43"/>
      <c r="R187" s="43"/>
      <c r="S187" s="43"/>
    </row>
    <row r="188" spans="2:19" hidden="1" outlineLevel="1" x14ac:dyDescent="0.2">
      <c r="B188" s="17"/>
      <c r="C188" s="17"/>
      <c r="D188" s="17"/>
      <c r="E188" s="17"/>
      <c r="F188" s="20"/>
      <c r="G188" s="20"/>
      <c r="H188" s="20"/>
      <c r="I188" s="17"/>
      <c r="J188" s="20"/>
      <c r="K188" s="20"/>
      <c r="L188" s="17"/>
      <c r="M188" s="43"/>
      <c r="N188" s="43"/>
      <c r="O188" s="43"/>
      <c r="P188" s="43"/>
      <c r="Q188" s="43"/>
      <c r="R188" s="43"/>
      <c r="S188" s="43"/>
    </row>
    <row r="189" spans="2:19" ht="14.25" hidden="1" outlineLevel="1" x14ac:dyDescent="0.25">
      <c r="B189" s="17"/>
      <c r="C189" s="17"/>
      <c r="D189" s="21" t="s">
        <v>110</v>
      </c>
      <c r="E189" s="21"/>
      <c r="F189" s="75">
        <f>IF(NOT(ISBLANK('Referenz Plattenwerk'!$I59)),'Referenz Plattenwerk'!$I59,'Referenz Plattenwerk'!$F59)*IF(NOT(ISBLANK('Eingabe EF'!$AA44)),'Eingabe EF'!$AA44,0)*IF(NOT(ISBLANK('Referenz Plattenwerk'!$I$12)),'Referenz Plattenwerk'!$I$12,'Referenz Plattenwerk'!$F$12)</f>
        <v>0</v>
      </c>
      <c r="G189" s="75">
        <f>IF(NOT(ISBLANK('Referenz Plattenwerk'!$I59)),'Referenz Plattenwerk'!$I59,'Referenz Plattenwerk'!$F59)*IF(NOT(ISBLANK('Eingabe EF'!$AE44)),'Eingabe EF'!$AE44,0)*IF(NOT(ISBLANK('Referenz Plattenwerk'!$I$12)),'Referenz Plattenwerk'!$I$12,'Referenz Plattenwerk'!$F$12)</f>
        <v>0</v>
      </c>
      <c r="H189" s="75">
        <f>IF(NOT(ISBLANK('Referenz Plattenwerk'!$I59)),'Referenz Plattenwerk'!$I59,'Referenz Plattenwerk'!$F59)*IF(NOT(ISBLANK('Eingabe EF'!$AI44)),'Eingabe EF'!$AI44,0)*IF(NOT(ISBLANK('Referenz Plattenwerk'!$I$12)),'Referenz Plattenwerk'!$I$12,'Referenz Plattenwerk'!$F$12)</f>
        <v>0</v>
      </c>
      <c r="I189" s="21"/>
      <c r="J189" s="75">
        <f>F189+G189</f>
        <v>0</v>
      </c>
      <c r="K189" s="75">
        <f>SUM(F189:H189)</f>
        <v>0</v>
      </c>
      <c r="L189" s="21" t="s">
        <v>197</v>
      </c>
      <c r="M189" s="43"/>
      <c r="N189" s="43"/>
      <c r="O189" s="43"/>
      <c r="P189" s="43"/>
      <c r="Q189" s="43"/>
      <c r="R189" s="43"/>
      <c r="S189" s="43"/>
    </row>
    <row r="190" spans="2:19" ht="14.25" hidden="1" outlineLevel="1" x14ac:dyDescent="0.25">
      <c r="B190" s="17"/>
      <c r="C190" s="17"/>
      <c r="D190" s="21" t="s">
        <v>64</v>
      </c>
      <c r="E190" s="21"/>
      <c r="F190" s="75">
        <f>IF(NOT(ISBLANK('Referenz Plattenwerk'!$I60)),'Referenz Plattenwerk'!$I60,'Referenz Plattenwerk'!$F60)*IF(NOT(ISBLANK('Eingabe EF'!$AA45)),'Eingabe EF'!$AA45,'Eingabe EF'!$Y45)</f>
        <v>0</v>
      </c>
      <c r="G190" s="75">
        <f>IF(NOT(ISBLANK('Referenz Plattenwerk'!$I60)),'Referenz Plattenwerk'!$I60,'Referenz Plattenwerk'!$F60)*IF(NOT(ISBLANK('Eingabe EF'!$AE45)),'Eingabe EF'!$AE45,'Eingabe EF'!$AC45)</f>
        <v>0</v>
      </c>
      <c r="H190" s="75">
        <f>IF(NOT(ISBLANK('Referenz Plattenwerk'!$I60)),'Referenz Plattenwerk'!$I60,'Referenz Plattenwerk'!$F60)*IF(NOT(ISBLANK('Eingabe EF'!$AI45)),'Eingabe EF'!$AI45,'Eingabe EF'!$AG45)</f>
        <v>0.54400000000000004</v>
      </c>
      <c r="I190" s="21"/>
      <c r="J190" s="75">
        <f>F190+G190</f>
        <v>0</v>
      </c>
      <c r="K190" s="75">
        <f>SUM(F190:H190)</f>
        <v>0.54400000000000004</v>
      </c>
      <c r="L190" s="21" t="s">
        <v>197</v>
      </c>
      <c r="M190" s="43"/>
      <c r="N190" s="43"/>
      <c r="O190" s="43"/>
      <c r="P190" s="43"/>
      <c r="Q190" s="43"/>
      <c r="R190" s="43"/>
      <c r="S190" s="43"/>
    </row>
    <row r="191" spans="2:19" hidden="1" outlineLevel="1" x14ac:dyDescent="0.2">
      <c r="B191" s="17"/>
      <c r="C191" s="17"/>
      <c r="D191" s="17"/>
      <c r="E191" s="17"/>
      <c r="F191" s="20"/>
      <c r="G191" s="20"/>
      <c r="H191" s="20"/>
      <c r="I191" s="17"/>
      <c r="J191" s="20"/>
      <c r="K191" s="20"/>
      <c r="L191" s="17"/>
      <c r="M191" s="43"/>
      <c r="N191" s="43"/>
      <c r="O191" s="43"/>
      <c r="P191" s="43"/>
      <c r="Q191" s="43"/>
      <c r="R191" s="43"/>
      <c r="S191" s="43"/>
    </row>
    <row r="192" spans="2:19" ht="14.25" hidden="1" outlineLevel="1" x14ac:dyDescent="0.25">
      <c r="B192" s="70"/>
      <c r="C192" s="70" t="s">
        <v>182</v>
      </c>
      <c r="D192" s="71"/>
      <c r="E192" s="71"/>
      <c r="F192" s="72">
        <f>SUM(F193:F195)</f>
        <v>0</v>
      </c>
      <c r="G192" s="72">
        <f>SUM(G193:G195)</f>
        <v>0</v>
      </c>
      <c r="H192" s="72">
        <f>SUM(H193:H195)</f>
        <v>80.47999999999999</v>
      </c>
      <c r="I192" s="71"/>
      <c r="J192" s="72">
        <f t="shared" ref="J192:J195" si="37">F192+G192</f>
        <v>0</v>
      </c>
      <c r="K192" s="72">
        <f t="shared" ref="K192" si="38">SUM(F192:H192)</f>
        <v>80.47999999999999</v>
      </c>
      <c r="L192" s="77" t="s">
        <v>197</v>
      </c>
      <c r="M192" s="43"/>
      <c r="N192" s="43"/>
      <c r="O192" s="43"/>
      <c r="P192" s="43"/>
      <c r="Q192" s="43"/>
      <c r="R192" s="43"/>
      <c r="S192" s="43"/>
    </row>
    <row r="193" spans="2:20" ht="15.75" hidden="1" outlineLevel="1" x14ac:dyDescent="0.3">
      <c r="B193" s="17"/>
      <c r="C193" s="17"/>
      <c r="D193" s="17" t="s">
        <v>183</v>
      </c>
      <c r="E193" s="17"/>
      <c r="F193" s="38">
        <f>IF(NOT(ISBLANK('Referenz Plattenwerk'!$I63)),'Referenz Plattenwerk'!$I63,'Referenz Plattenwerk'!$F63)*IF(NOT(ISBLANK('Eingabe EF'!$AA48)),'Eingabe EF'!$AA48,0)*IF(NOT(ISBLANK('Referenz Plattenwerk'!$I$12)),'Referenz Plattenwerk'!$I$12,'Referenz Plattenwerk'!$F$12)</f>
        <v>0</v>
      </c>
      <c r="G193" s="38">
        <f>IF(NOT(ISBLANK('Referenz Plattenwerk'!$I63)),'Referenz Plattenwerk'!$I63,'Referenz Plattenwerk'!$F63)*IF(NOT(ISBLANK('Eingabe EF'!$AE48)),'Eingabe EF'!$AE48,0)*IF(NOT(ISBLANK('Referenz Plattenwerk'!$I$12)),'Referenz Plattenwerk'!$I$12,'Referenz Plattenwerk'!$F$12)</f>
        <v>0</v>
      </c>
      <c r="H193" s="38">
        <f>IF(NOT(ISBLANK('Referenz Plattenwerk'!$I63)),'Referenz Plattenwerk'!$I63,'Referenz Plattenwerk'!$F63)*IF(NOT(ISBLANK('Eingabe EF'!$AI48)),'Eingabe EF'!$AI48,0)*IF(NOT(ISBLANK('Referenz Plattenwerk'!$I$12)),'Referenz Plattenwerk'!$I$12,'Referenz Plattenwerk'!$F$12)</f>
        <v>0</v>
      </c>
      <c r="I193" s="17"/>
      <c r="J193" s="38">
        <f t="shared" si="37"/>
        <v>0</v>
      </c>
      <c r="K193" s="38">
        <f t="shared" ref="K193:K195" si="39">SUM(F193:H193)</f>
        <v>0</v>
      </c>
      <c r="L193" s="17" t="s">
        <v>198</v>
      </c>
      <c r="M193" s="43"/>
      <c r="N193" s="43"/>
      <c r="O193" s="43"/>
      <c r="P193" s="43"/>
      <c r="Q193" s="43"/>
      <c r="R193" s="43"/>
      <c r="S193" s="43"/>
    </row>
    <row r="194" spans="2:20" ht="15.75" hidden="1" outlineLevel="1" x14ac:dyDescent="0.3">
      <c r="B194" s="17"/>
      <c r="C194" s="17"/>
      <c r="D194" s="17" t="s">
        <v>62</v>
      </c>
      <c r="E194" s="17"/>
      <c r="F194" s="38">
        <f>IF(NOT(ISBLANK('Referenz Plattenwerk'!$I64)),'Referenz Plattenwerk'!$I64,'Referenz Plattenwerk'!$F64)*IF(NOT(ISBLANK('Eingabe EF'!$AA49)),'Eingabe EF'!$AA49,'Eingabe EF'!$Y49)*IF(NOT(ISBLANK('Referenz Plattenwerk'!$I$12)),'Referenz Plattenwerk'!$I$12,'Referenz Plattenwerk'!$F$12)</f>
        <v>0</v>
      </c>
      <c r="G194" s="38">
        <f>IF(NOT(ISBLANK('Referenz Plattenwerk'!$I64)),'Referenz Plattenwerk'!$I64,'Referenz Plattenwerk'!$F64)*IF(NOT(ISBLANK('Eingabe EF'!$AE49)),'Eingabe EF'!$AE49,'Eingabe EF'!$AC49)*IF(NOT(ISBLANK('Referenz Plattenwerk'!$I$12)),'Referenz Plattenwerk'!$I$12,'Referenz Plattenwerk'!$F$12)</f>
        <v>0</v>
      </c>
      <c r="H194" s="38">
        <f>IF(NOT(ISBLANK('Referenz Plattenwerk'!$I64)),'Referenz Plattenwerk'!$I64,'Referenz Plattenwerk'!$F64)*IF(NOT(ISBLANK('Eingabe EF'!$AI49)),'Eingabe EF'!$AI49,'Eingabe EF'!$AG49)*IF(NOT(ISBLANK('Referenz Plattenwerk'!$I$12)),'Referenz Plattenwerk'!$I$12,'Referenz Plattenwerk'!$F$12)</f>
        <v>80.47999999999999</v>
      </c>
      <c r="I194" s="17"/>
      <c r="J194" s="38">
        <f t="shared" si="37"/>
        <v>0</v>
      </c>
      <c r="K194" s="38">
        <f t="shared" si="39"/>
        <v>80.47999999999999</v>
      </c>
      <c r="L194" s="17" t="s">
        <v>198</v>
      </c>
      <c r="M194" s="43"/>
      <c r="N194" s="43"/>
      <c r="O194" s="43"/>
      <c r="P194" s="43"/>
      <c r="Q194" s="43"/>
      <c r="R194" s="43"/>
      <c r="S194" s="43"/>
    </row>
    <row r="195" spans="2:20" ht="15.75" hidden="1" outlineLevel="1" x14ac:dyDescent="0.3">
      <c r="B195" s="17"/>
      <c r="C195" s="17"/>
      <c r="D195" s="17" t="s">
        <v>184</v>
      </c>
      <c r="E195" s="17"/>
      <c r="F195" s="38">
        <f>IF(NOT(ISBLANK('Referenz Plattenwerk'!$I65)),'Referenz Plattenwerk'!$I65,'Referenz Plattenwerk'!$F65)*IF(NOT(ISBLANK('Eingabe EF'!$AA50)),'Eingabe EF'!$AA50,0)*IF(NOT(ISBLANK('Referenz Plattenwerk'!$I$12)),'Referenz Plattenwerk'!$I$12,'Referenz Plattenwerk'!$F$12)</f>
        <v>0</v>
      </c>
      <c r="G195" s="38">
        <f>IF(NOT(ISBLANK('Referenz Plattenwerk'!$I65)),'Referenz Plattenwerk'!$I65,'Referenz Plattenwerk'!$F65)*IF(NOT(ISBLANK('Eingabe EF'!$AE50)),'Eingabe EF'!$AE50,0)*IF(NOT(ISBLANK('Referenz Plattenwerk'!$I$12)),'Referenz Plattenwerk'!$I$12,'Referenz Plattenwerk'!$F$12)</f>
        <v>0</v>
      </c>
      <c r="H195" s="38">
        <f>IF(NOT(ISBLANK('Referenz Plattenwerk'!$I65)),'Referenz Plattenwerk'!$I65,'Referenz Plattenwerk'!$F65)*IF(NOT(ISBLANK('Eingabe EF'!$AI50)),'Eingabe EF'!$AI50,0)*IF(NOT(ISBLANK('Referenz Plattenwerk'!$I$12)),'Referenz Plattenwerk'!$I$12,'Referenz Plattenwerk'!$F$12)</f>
        <v>0</v>
      </c>
      <c r="I195" s="17"/>
      <c r="J195" s="38">
        <f t="shared" si="37"/>
        <v>0</v>
      </c>
      <c r="K195" s="38">
        <f t="shared" si="39"/>
        <v>0</v>
      </c>
      <c r="L195" s="17" t="s">
        <v>198</v>
      </c>
      <c r="M195" s="43"/>
      <c r="N195" s="43"/>
      <c r="O195" s="43"/>
      <c r="P195" s="43"/>
      <c r="Q195" s="43"/>
      <c r="R195" s="43"/>
      <c r="S195" s="43"/>
    </row>
    <row r="196" spans="2:20" hidden="1" outlineLevel="1" x14ac:dyDescent="0.2">
      <c r="B196" s="17"/>
      <c r="C196" s="17"/>
      <c r="D196" s="17"/>
      <c r="E196" s="17"/>
      <c r="F196" s="20"/>
      <c r="G196" s="20"/>
      <c r="H196" s="20"/>
      <c r="I196" s="17"/>
      <c r="J196" s="17"/>
      <c r="K196" s="17"/>
      <c r="L196" s="20"/>
      <c r="M196" s="43"/>
      <c r="N196" s="43"/>
      <c r="O196" s="43"/>
      <c r="P196" s="43"/>
      <c r="Q196" s="43"/>
      <c r="R196" s="43"/>
      <c r="S196" s="43"/>
    </row>
    <row r="197" spans="2:20" ht="14.25" hidden="1" outlineLevel="1" x14ac:dyDescent="0.25">
      <c r="B197" s="70"/>
      <c r="C197" s="70" t="s">
        <v>185</v>
      </c>
      <c r="D197" s="71"/>
      <c r="E197" s="71"/>
      <c r="F197" s="72">
        <f>SUM(F198:F200)</f>
        <v>0</v>
      </c>
      <c r="G197" s="72">
        <f>SUM(G198:G200)</f>
        <v>0</v>
      </c>
      <c r="H197" s="72">
        <f>SUM(H198:H200)</f>
        <v>60</v>
      </c>
      <c r="I197" s="71"/>
      <c r="J197" s="72">
        <f>F197+G197</f>
        <v>0</v>
      </c>
      <c r="K197" s="72">
        <f t="shared" ref="K197" si="40">SUM(F197:H197)</f>
        <v>60</v>
      </c>
      <c r="L197" s="77" t="s">
        <v>197</v>
      </c>
      <c r="M197" s="43"/>
      <c r="N197" s="43"/>
      <c r="O197" s="43"/>
      <c r="P197" s="43"/>
      <c r="Q197" s="43"/>
      <c r="R197" s="43"/>
      <c r="S197" s="43"/>
    </row>
    <row r="198" spans="2:20" ht="15.75" hidden="1" outlineLevel="1" x14ac:dyDescent="0.3">
      <c r="B198" s="17"/>
      <c r="C198" s="17"/>
      <c r="D198" s="17" t="s">
        <v>66</v>
      </c>
      <c r="E198" s="17"/>
      <c r="F198" s="38">
        <f>IF(NOT(ISBLANK('Referenz Plattenwerk'!$I68)),'Referenz Plattenwerk'!$I68,'Referenz Plattenwerk'!$F68)*IF(NOT(ISBLANK('Eingabe EF'!$AA53)),'Eingabe EF'!$AA53,'Eingabe EF'!$Y53)</f>
        <v>0</v>
      </c>
      <c r="G198" s="38">
        <f>IF(NOT(ISBLANK('Referenz Plattenwerk'!$I68)),'Referenz Plattenwerk'!$I68,'Referenz Plattenwerk'!$F68)*IF(NOT(ISBLANK('Eingabe EF'!$AE53)),'Eingabe EF'!$AE53,'Eingabe EF'!$AC53)</f>
        <v>0</v>
      </c>
      <c r="H198" s="38">
        <f>IF(NOT(ISBLANK('Referenz Plattenwerk'!$I68)),'Referenz Plattenwerk'!$I68,'Referenz Plattenwerk'!$F68)*IF(NOT(ISBLANK('Eingabe EF'!$AI53)),'Eingabe EF'!$AI53,'Eingabe EF'!$AG53)</f>
        <v>60</v>
      </c>
      <c r="I198" s="17"/>
      <c r="J198" s="38">
        <f>F198+G198</f>
        <v>0</v>
      </c>
      <c r="K198" s="38">
        <f>SUM(F198:H198)</f>
        <v>60</v>
      </c>
      <c r="L198" s="17" t="s">
        <v>198</v>
      </c>
      <c r="M198" s="43"/>
      <c r="N198" s="43"/>
      <c r="O198" s="43"/>
      <c r="P198" s="43"/>
      <c r="Q198" s="43"/>
      <c r="R198" s="43"/>
      <c r="S198" s="43"/>
    </row>
    <row r="199" spans="2:20" ht="15.75" hidden="1" outlineLevel="1" x14ac:dyDescent="0.3">
      <c r="B199" s="17"/>
      <c r="C199" s="17"/>
      <c r="D199" s="17" t="s">
        <v>187</v>
      </c>
      <c r="E199" s="17"/>
      <c r="F199" s="38">
        <f>IF(NOT(ISBLANK('Referenz Plattenwerk'!$I69)),'Referenz Plattenwerk'!$I69,'Referenz Plattenwerk'!$F69)*IF(NOT(ISBLANK('Eingabe EF'!$AA54)),'Eingabe EF'!$AA54,0)</f>
        <v>0</v>
      </c>
      <c r="G199" s="38">
        <f>IF(NOT(ISBLANK('Referenz Plattenwerk'!$I69)),'Referenz Plattenwerk'!$I69,'Referenz Plattenwerk'!$F69)*IF(NOT(ISBLANK('Eingabe EF'!$AE54)),'Eingabe EF'!$AE54,0)</f>
        <v>0</v>
      </c>
      <c r="H199" s="38">
        <f>IF(NOT(ISBLANK('Referenz Plattenwerk'!$I69)),'Referenz Plattenwerk'!$I69,'Referenz Plattenwerk'!$F69)*IF(NOT(ISBLANK('Eingabe EF'!$AI54)),'Eingabe EF'!$AI54,0)</f>
        <v>0</v>
      </c>
      <c r="I199" s="17"/>
      <c r="J199" s="38">
        <f t="shared" ref="J199:J200" si="41">F199+G199</f>
        <v>0</v>
      </c>
      <c r="K199" s="38">
        <f t="shared" ref="K199:K200" si="42">SUM(F199:H199)</f>
        <v>0</v>
      </c>
      <c r="L199" s="17" t="s">
        <v>198</v>
      </c>
      <c r="M199" s="43"/>
      <c r="N199" s="43"/>
      <c r="O199" s="43"/>
      <c r="P199" s="43"/>
      <c r="Q199" s="43"/>
      <c r="R199" s="43"/>
      <c r="S199" s="43"/>
    </row>
    <row r="200" spans="2:20" ht="15.75" hidden="1" outlineLevel="1" x14ac:dyDescent="0.3">
      <c r="B200" s="17"/>
      <c r="C200" s="17"/>
      <c r="D200" s="17" t="s">
        <v>186</v>
      </c>
      <c r="E200" s="17"/>
      <c r="F200" s="38">
        <f>IF(NOT(ISBLANK('Referenz Plattenwerk'!$I70)),'Referenz Plattenwerk'!$I70,'Referenz Plattenwerk'!$F70)*IF(NOT(ISBLANK('Eingabe EF'!$AA55)),'Eingabe EF'!$AA55,0)</f>
        <v>0</v>
      </c>
      <c r="G200" s="38">
        <f>IF(NOT(ISBLANK('Referenz Plattenwerk'!$I70)),'Referenz Plattenwerk'!$I70,'Referenz Plattenwerk'!$F70)*IF(NOT(ISBLANK('Eingabe EF'!$AE55)),'Eingabe EF'!$AE55,0)</f>
        <v>0</v>
      </c>
      <c r="H200" s="38">
        <f>IF(NOT(ISBLANK('Referenz Plattenwerk'!$I70)),'Referenz Plattenwerk'!$I70,'Referenz Plattenwerk'!$F70)*IF(NOT(ISBLANK('Eingabe EF'!$AI55)),'Eingabe EF'!$AI55,0)</f>
        <v>0</v>
      </c>
      <c r="I200" s="17"/>
      <c r="J200" s="38">
        <f t="shared" si="41"/>
        <v>0</v>
      </c>
      <c r="K200" s="38">
        <f t="shared" si="42"/>
        <v>0</v>
      </c>
      <c r="L200" s="17" t="s">
        <v>198</v>
      </c>
      <c r="M200" s="43"/>
      <c r="N200" s="43"/>
      <c r="O200" s="43"/>
      <c r="P200" s="43"/>
      <c r="Q200" s="43"/>
      <c r="R200" s="43"/>
      <c r="S200" s="43"/>
    </row>
    <row r="201" spans="2:20" hidden="1" outlineLevel="1" x14ac:dyDescent="0.2">
      <c r="B201" s="17"/>
      <c r="C201" s="17"/>
      <c r="D201" s="17"/>
      <c r="E201" s="17"/>
      <c r="F201" s="20"/>
      <c r="G201" s="20"/>
      <c r="H201" s="20"/>
      <c r="I201" s="17"/>
      <c r="J201" s="17"/>
      <c r="K201" s="17"/>
      <c r="L201" s="20"/>
      <c r="M201" s="43"/>
      <c r="N201" s="43"/>
      <c r="O201" s="43"/>
      <c r="P201" s="43"/>
      <c r="Q201" s="43"/>
      <c r="R201" s="43"/>
      <c r="S201" s="43"/>
    </row>
    <row r="202" spans="2:20" ht="14.25" hidden="1" outlineLevel="1" x14ac:dyDescent="0.25">
      <c r="B202" s="17"/>
      <c r="C202" s="17"/>
      <c r="D202" s="21" t="s">
        <v>63</v>
      </c>
      <c r="E202" s="21"/>
      <c r="F202" s="75">
        <f>IF(NOT(ISBLANK('Referenz Plattenwerk'!$I72)),'Referenz Plattenwerk'!$I72,'Referenz Plattenwerk'!$F72)*IF(NOT(ISBLANK('Eingabe EF'!$AA57)),'Eingabe EF'!$AA57,'Eingabe EF'!$Y57)</f>
        <v>0</v>
      </c>
      <c r="G202" s="75">
        <f>IF(NOT(ISBLANK('Referenz Plattenwerk'!$I72)),'Referenz Plattenwerk'!$I72,'Referenz Plattenwerk'!$F72)*IF(NOT(ISBLANK('Eingabe EF'!$AE57)),'Eingabe EF'!$AE57,'Eingabe EF'!$AC57)</f>
        <v>0</v>
      </c>
      <c r="H202" s="75">
        <f>IF(NOT(ISBLANK('Referenz Plattenwerk'!$I72)),'Referenz Plattenwerk'!$I72,'Referenz Plattenwerk'!$F72)*IF(NOT(ISBLANK('Eingabe EF'!$AI57)),'Eingabe EF'!$AI57,'Eingabe EF'!$AG57)</f>
        <v>64.48</v>
      </c>
      <c r="I202" s="21"/>
      <c r="J202" s="75">
        <f t="shared" ref="J202" si="43">F202+G202</f>
        <v>0</v>
      </c>
      <c r="K202" s="75">
        <f t="shared" ref="K202" si="44">SUM(F202:H202)</f>
        <v>64.48</v>
      </c>
      <c r="L202" s="21" t="s">
        <v>197</v>
      </c>
      <c r="M202" s="43"/>
      <c r="N202" s="43"/>
      <c r="O202" s="43"/>
      <c r="P202" s="43"/>
      <c r="Q202" s="43"/>
      <c r="R202" s="43"/>
      <c r="S202" s="43"/>
    </row>
    <row r="203" spans="2:20" hidden="1" outlineLevel="1" x14ac:dyDescent="0.2">
      <c r="B203" s="17"/>
      <c r="C203" s="17"/>
      <c r="D203" s="17"/>
      <c r="E203" s="17"/>
      <c r="F203" s="20"/>
      <c r="G203" s="20"/>
      <c r="H203" s="20"/>
      <c r="I203" s="17"/>
      <c r="J203" s="17"/>
      <c r="K203" s="17"/>
      <c r="L203" s="20"/>
      <c r="M203" s="43"/>
      <c r="N203" s="43"/>
      <c r="O203" s="43"/>
      <c r="P203" s="43"/>
      <c r="Q203" s="43"/>
      <c r="R203" s="43"/>
      <c r="S203" s="43"/>
    </row>
    <row r="204" spans="2:20" ht="15" hidden="1" outlineLevel="1" thickBot="1" x14ac:dyDescent="0.3">
      <c r="B204" s="17"/>
      <c r="C204" s="17"/>
      <c r="D204" s="68" t="s">
        <v>69</v>
      </c>
      <c r="E204" s="68"/>
      <c r="F204" s="69">
        <f>SUM(F147:F202)-F161-F165-F171-F178-F183-F192-F197</f>
        <v>94.932355060000006</v>
      </c>
      <c r="G204" s="69">
        <f>SUM(G147:G202)-G161-G165-G171-G178-G183-G192-G197</f>
        <v>97.138569957888194</v>
      </c>
      <c r="H204" s="69">
        <f>SUM(H147:H202)-H161-H165-H171-H178-H183-H192-H197</f>
        <v>5826.1412320180052</v>
      </c>
      <c r="I204" s="21"/>
      <c r="J204" s="69">
        <f t="shared" ref="J204" si="45">SUM(J147:J202)-J161-J165-J171-J178-J183-J192-J197</f>
        <v>192.07092501788819</v>
      </c>
      <c r="K204" s="69">
        <f>SUM(K147:K202)-K161-K165-K171-K178-K183-K192-K197</f>
        <v>6018.212157035895</v>
      </c>
      <c r="L204" s="69" t="s">
        <v>197</v>
      </c>
      <c r="M204" s="43"/>
      <c r="N204" s="43"/>
      <c r="O204" s="43"/>
      <c r="P204" s="43"/>
      <c r="Q204" s="43"/>
      <c r="R204" s="43"/>
      <c r="S204" s="43"/>
    </row>
    <row r="205" spans="2:20" ht="13.5" hidden="1" outlineLevel="1" thickTop="1" x14ac:dyDescent="0.2">
      <c r="B205" s="17"/>
      <c r="C205" s="17"/>
      <c r="D205" s="17"/>
      <c r="E205" s="17"/>
      <c r="F205" s="20"/>
      <c r="G205" s="20"/>
      <c r="H205" s="20"/>
      <c r="I205" s="17"/>
      <c r="J205" s="17"/>
      <c r="K205" s="17"/>
      <c r="L205" s="20"/>
      <c r="M205" s="43"/>
      <c r="N205" s="43"/>
      <c r="O205" s="43"/>
      <c r="P205" s="43"/>
      <c r="Q205" s="43"/>
      <c r="R205" s="43"/>
      <c r="S205" s="43"/>
    </row>
    <row r="206" spans="2:20" collapsed="1" x14ac:dyDescent="0.2"/>
    <row r="208" spans="2:20" ht="15.75" hidden="1" outlineLevel="1" x14ac:dyDescent="0.25">
      <c r="B208" s="22"/>
      <c r="C208" s="22" t="s">
        <v>114</v>
      </c>
      <c r="D208" s="17"/>
      <c r="E208" s="17"/>
      <c r="F208" s="17"/>
      <c r="G208" s="17"/>
      <c r="H208" s="17"/>
      <c r="I208" s="17"/>
      <c r="J208" s="17"/>
      <c r="K208" s="17"/>
      <c r="L208" s="17"/>
      <c r="N208" s="22" t="s">
        <v>117</v>
      </c>
      <c r="O208" s="17"/>
      <c r="P208" s="17"/>
      <c r="Q208" s="17"/>
      <c r="R208" s="17"/>
      <c r="S208" s="17"/>
      <c r="T208" s="17"/>
    </row>
    <row r="209" spans="2:20" ht="15" hidden="1" outlineLevel="1" x14ac:dyDescent="0.25">
      <c r="B209" s="65"/>
      <c r="C209" s="65">
        <v>2030</v>
      </c>
      <c r="D209" s="25"/>
      <c r="E209" s="25"/>
      <c r="F209" s="25"/>
      <c r="G209" s="25"/>
      <c r="H209" s="25"/>
      <c r="I209" s="25"/>
      <c r="J209" s="25"/>
      <c r="K209" s="25"/>
      <c r="L209" s="25"/>
      <c r="N209" s="65">
        <v>2030</v>
      </c>
      <c r="O209" s="17"/>
      <c r="P209" s="17"/>
      <c r="Q209" s="17"/>
      <c r="R209" s="17"/>
      <c r="S209" s="17"/>
      <c r="T209" s="17"/>
    </row>
    <row r="210" spans="2:20" hidden="1" outlineLevel="1" x14ac:dyDescent="0.2">
      <c r="B210" s="17"/>
      <c r="C210" s="17"/>
      <c r="D210" s="17"/>
      <c r="E210" s="17" t="s">
        <v>39</v>
      </c>
      <c r="F210" s="17" t="s">
        <v>140</v>
      </c>
      <c r="G210" s="17" t="s">
        <v>251</v>
      </c>
      <c r="H210" s="17"/>
      <c r="I210" s="17"/>
      <c r="J210" s="17"/>
      <c r="K210" s="17"/>
      <c r="L210" s="17"/>
      <c r="N210" s="17"/>
      <c r="O210" s="17"/>
      <c r="P210" s="17"/>
      <c r="Q210" s="17"/>
      <c r="R210" s="17"/>
      <c r="S210" s="17"/>
      <c r="T210" s="17"/>
    </row>
    <row r="211" spans="2:20" hidden="1" outlineLevel="1" x14ac:dyDescent="0.2">
      <c r="B211" s="17"/>
      <c r="C211" s="17"/>
      <c r="D211" s="17" t="s">
        <v>250</v>
      </c>
      <c r="E211" s="285">
        <f>IF(NOT(ISBLANK($K$16)),$K$16,$I$16)</f>
        <v>100000</v>
      </c>
      <c r="F211" s="25"/>
      <c r="G211" s="25"/>
      <c r="H211" s="17" t="s">
        <v>42</v>
      </c>
      <c r="I211" s="17"/>
      <c r="J211" s="17"/>
      <c r="K211" s="17"/>
      <c r="L211" s="17"/>
      <c r="N211" s="17"/>
      <c r="O211" s="17"/>
      <c r="P211" s="17"/>
      <c r="Q211" s="17"/>
      <c r="R211" s="17"/>
      <c r="S211" s="17"/>
      <c r="T211" s="17"/>
    </row>
    <row r="212" spans="2:20" hidden="1" outlineLevel="1" x14ac:dyDescent="0.2">
      <c r="B212" s="17"/>
      <c r="C212" s="17"/>
      <c r="D212" s="17" t="s">
        <v>248</v>
      </c>
      <c r="E212" s="285">
        <f>IF(NOT(ISBLANK('Referenz Plattenwerk'!$I$18)),'Referenz Plattenwerk'!$I$18,'Referenz Plattenwerk'!$F$18)</f>
        <v>45000</v>
      </c>
      <c r="F212" s="285">
        <f>IF(E211&lt;E212,E211,E212)</f>
        <v>45000</v>
      </c>
      <c r="G212" s="285">
        <f>IF(F212&lt;E212,E212-F212,0)</f>
        <v>0</v>
      </c>
      <c r="H212" s="17" t="s">
        <v>42</v>
      </c>
      <c r="I212" s="17"/>
      <c r="J212" s="17"/>
      <c r="K212" s="17"/>
      <c r="L212" s="17"/>
      <c r="N212" s="17"/>
      <c r="O212" s="17"/>
      <c r="P212" s="17"/>
      <c r="Q212" s="17"/>
      <c r="R212" s="17"/>
      <c r="S212" s="17"/>
      <c r="T212" s="17"/>
    </row>
    <row r="213" spans="2:20" hidden="1" outlineLevel="1" x14ac:dyDescent="0.2">
      <c r="B213" s="17"/>
      <c r="C213" s="17"/>
      <c r="D213" s="17" t="s">
        <v>249</v>
      </c>
      <c r="E213" s="285">
        <f>IF(NOT(ISBLANK('Referenz Plattenwerk'!$I$24)),'Referenz Plattenwerk'!$I$24,'Referenz Plattenwerk'!$F$24)</f>
        <v>405000</v>
      </c>
      <c r="F213" s="285">
        <f>IF(F212=E211,0,E211-F212)</f>
        <v>55000</v>
      </c>
      <c r="G213" s="285">
        <f>IF(F213&lt;E213,E213-F213,0)</f>
        <v>350000</v>
      </c>
      <c r="H213" s="20" t="s">
        <v>42</v>
      </c>
      <c r="I213" s="17"/>
      <c r="J213" s="17"/>
      <c r="K213" s="17"/>
      <c r="L213" s="17"/>
      <c r="N213" s="17"/>
      <c r="O213" s="17"/>
      <c r="P213" s="17"/>
      <c r="Q213" s="17"/>
      <c r="R213" s="17"/>
      <c r="S213" s="17"/>
      <c r="T213" s="17"/>
    </row>
    <row r="214" spans="2:20" hidden="1" outlineLevel="1" x14ac:dyDescent="0.2">
      <c r="B214" s="17"/>
      <c r="C214" s="17"/>
      <c r="D214" s="17"/>
      <c r="E214" s="17"/>
      <c r="F214" s="17"/>
      <c r="G214" s="17"/>
      <c r="H214" s="17"/>
      <c r="I214" s="17"/>
      <c r="J214" s="17"/>
      <c r="K214" s="17"/>
      <c r="L214" s="17"/>
      <c r="N214" s="17"/>
      <c r="O214" s="17"/>
      <c r="P214" s="17"/>
      <c r="Q214" s="17"/>
      <c r="R214" s="17"/>
      <c r="S214" s="17"/>
      <c r="T214" s="17"/>
    </row>
    <row r="215" spans="2:20" ht="25.5" hidden="1" outlineLevel="1" x14ac:dyDescent="0.2">
      <c r="B215" s="17"/>
      <c r="C215" s="17"/>
      <c r="D215" s="17"/>
      <c r="E215" s="17"/>
      <c r="F215" s="36" t="s">
        <v>27</v>
      </c>
      <c r="G215" s="36" t="s">
        <v>82</v>
      </c>
      <c r="H215" s="36" t="s">
        <v>29</v>
      </c>
      <c r="I215" s="17"/>
      <c r="J215" s="40" t="s">
        <v>111</v>
      </c>
      <c r="K215" s="41" t="s">
        <v>39</v>
      </c>
      <c r="L215" s="17"/>
      <c r="N215" s="17"/>
      <c r="O215" s="17"/>
      <c r="P215" s="17"/>
      <c r="Q215" s="18"/>
      <c r="R215" s="17"/>
      <c r="S215" s="18"/>
      <c r="T215" s="18"/>
    </row>
    <row r="216" spans="2:20" ht="14.25" hidden="1" outlineLevel="1" x14ac:dyDescent="0.25">
      <c r="B216" s="77"/>
      <c r="C216" s="77" t="s">
        <v>190</v>
      </c>
      <c r="D216" s="77"/>
      <c r="E216" s="77"/>
      <c r="F216" s="78">
        <f>SUM(F218:F231)</f>
        <v>94.932355060000006</v>
      </c>
      <c r="G216" s="78">
        <f>SUM(G218:G231)</f>
        <v>47.874209324752655</v>
      </c>
      <c r="H216" s="78">
        <f>SUM(H218:H231)</f>
        <v>28.671342156822377</v>
      </c>
      <c r="I216" s="77"/>
      <c r="J216" s="78">
        <f>F216+G216</f>
        <v>142.80656438475268</v>
      </c>
      <c r="K216" s="78">
        <f>SUM(F216:H216)</f>
        <v>171.47790654157507</v>
      </c>
      <c r="L216" s="77" t="s">
        <v>197</v>
      </c>
      <c r="N216" s="17"/>
      <c r="O216" s="17"/>
      <c r="P216" s="17"/>
      <c r="Q216" s="18"/>
      <c r="R216" s="17"/>
      <c r="S216" s="18"/>
      <c r="T216" s="18"/>
    </row>
    <row r="217" spans="2:20" hidden="1" outlineLevel="1" x14ac:dyDescent="0.2">
      <c r="B217" s="17"/>
      <c r="C217" s="17" t="s">
        <v>146</v>
      </c>
      <c r="D217" s="17"/>
      <c r="E217" s="17"/>
      <c r="F217" s="17"/>
      <c r="G217" s="17"/>
      <c r="H217" s="17"/>
      <c r="I217" s="17"/>
      <c r="J217" s="17"/>
      <c r="K217" s="17"/>
      <c r="L217" s="17"/>
      <c r="N217" s="17" t="s">
        <v>146</v>
      </c>
      <c r="O217" s="17"/>
      <c r="P217" s="17"/>
      <c r="Q217" s="18"/>
      <c r="R217" s="17"/>
      <c r="S217" s="18"/>
      <c r="T217" s="18"/>
    </row>
    <row r="218" spans="2:20" ht="15.75" hidden="1" outlineLevel="1" x14ac:dyDescent="0.3">
      <c r="B218" s="276"/>
      <c r="C218" s="17"/>
      <c r="D218" s="17" t="s">
        <v>125</v>
      </c>
      <c r="E218" s="17"/>
      <c r="F218" s="38">
        <f>IF(NOT(ISBLANK('Referenz Plattenwerk'!$I16)),'Referenz Plattenwerk'!$I16,'Referenz Plattenwerk'!$F16)*IF(NOT(ISBLANK('Eingabe EF'!$AS9)),'Eingabe EF'!$AS9,'Eingabe EF'!$AQ9)</f>
        <v>34.434080000000002</v>
      </c>
      <c r="G218" s="38">
        <f>IF(NOT(ISBLANK('Referenz Plattenwerk'!$I16)),'Referenz Plattenwerk'!$I16,'Referenz Plattenwerk'!$F16)*IF(NOT(ISBLANK('Eingabe EF'!$AW9)),'Eingabe EF'!$AW9,'Eingabe EF'!$AU9)</f>
        <v>0</v>
      </c>
      <c r="H218" s="38">
        <f>IF(NOT(ISBLANK('Referenz Plattenwerk'!$I16)),'Referenz Plattenwerk'!$I16,'Referenz Plattenwerk'!$F16)*IF(NOT(ISBLANK('Eingabe EF'!$BA9)),'Eingabe EF'!$BA9,'Eingabe EF'!$AY9)</f>
        <v>5.8938000000000006</v>
      </c>
      <c r="I218" s="17"/>
      <c r="J218" s="38">
        <f>F218+G218</f>
        <v>34.434080000000002</v>
      </c>
      <c r="K218" s="38">
        <f>SUM(F218:H218)</f>
        <v>40.32788</v>
      </c>
      <c r="L218" s="17" t="s">
        <v>198</v>
      </c>
      <c r="N218" s="276"/>
      <c r="O218" s="17" t="s">
        <v>125</v>
      </c>
      <c r="P218" s="17"/>
      <c r="Q218" s="19"/>
      <c r="R218" s="17"/>
      <c r="S218" s="42">
        <f>IF(NOT(ISBLANK('Referenz Plattenwerk'!$I16)),'Referenz Plattenwerk'!$I16,'Referenz Plattenwerk'!$F16)/1000*IF(NOT(ISBLANK('Eingabe Preise'!$O10)),'Eingabe Preise'!$O10,'Eingabe Preise'!$M10)</f>
        <v>11468</v>
      </c>
      <c r="T218" s="20" t="s">
        <v>106</v>
      </c>
    </row>
    <row r="219" spans="2:20" ht="15.75" hidden="1" outlineLevel="1" x14ac:dyDescent="0.3">
      <c r="B219" s="276"/>
      <c r="C219" s="17"/>
      <c r="D219" s="17" t="s">
        <v>165</v>
      </c>
      <c r="E219" s="17"/>
      <c r="F219" s="38">
        <f>IF(NOT(ISBLANK('Referenz Plattenwerk'!$I17)),'Referenz Plattenwerk'!$I17,'Referenz Plattenwerk'!$F17)*IF(NOT(ISBLANK('Eingabe EF'!$AS10)),'Eingabe EF'!$AS10,'Eingabe EF'!$AQ10)</f>
        <v>6.4022399999999999</v>
      </c>
      <c r="G219" s="38">
        <f>IF(NOT(ISBLANK('Referenz Plattenwerk'!$I17)),'Referenz Plattenwerk'!$I17,'Referenz Plattenwerk'!$F17)*IF(NOT(ISBLANK('Eingabe EF'!$AW10)),'Eingabe EF'!$AW10,'Eingabe EF'!$AU10)</f>
        <v>0</v>
      </c>
      <c r="H219" s="38">
        <f>IF(NOT(ISBLANK('Referenz Plattenwerk'!$I17)),'Referenz Plattenwerk'!$I17,'Referenz Plattenwerk'!$F17)*IF(NOT(ISBLANK('Eingabe EF'!$BA10)),'Eingabe EF'!$BA10,'Eingabe EF'!$AY10)</f>
        <v>0.949824</v>
      </c>
      <c r="I219" s="17"/>
      <c r="J219" s="38">
        <f>F219+G219</f>
        <v>6.4022399999999999</v>
      </c>
      <c r="K219" s="38">
        <f>SUM(F219:H219)</f>
        <v>7.3520640000000004</v>
      </c>
      <c r="L219" s="17" t="s">
        <v>198</v>
      </c>
      <c r="N219" s="276"/>
      <c r="O219" s="17" t="s">
        <v>165</v>
      </c>
      <c r="P219" s="17"/>
      <c r="Q219" s="20"/>
      <c r="R219" s="17"/>
      <c r="S219" s="42">
        <f>IF(NOT(ISBLANK('Referenz Plattenwerk'!$I17)),'Referenz Plattenwerk'!$I17,'Referenz Plattenwerk'!$F17)/1000*IF(NOT(ISBLANK('Eingabe Preise'!$O11)),'Eingabe Preise'!$O11,'Eingabe Preise'!$M11)</f>
        <v>1104</v>
      </c>
      <c r="T219" s="20" t="s">
        <v>106</v>
      </c>
    </row>
    <row r="220" spans="2:20" ht="15.75" hidden="1" outlineLevel="1" x14ac:dyDescent="0.3">
      <c r="B220" s="286"/>
      <c r="C220" s="17"/>
      <c r="D220" s="17" t="s">
        <v>152</v>
      </c>
      <c r="E220" s="17"/>
      <c r="F220" s="38">
        <f>G212*IF(NOT(ISBLANK('Eingabe EF'!$AS11)),'Eingabe EF'!$AS11,'Eingabe EF'!$AQ11)+F212*IF(NOT(ISBLANK('Eingabe EF'!$AS61)),'Eingabe EF'!$AS61,'Eingabe EF'!$AQ61)</f>
        <v>0</v>
      </c>
      <c r="G220" s="38">
        <f>G212*IF(NOT(ISBLANK('Eingabe EF'!$AW$11)),'Eingabe EF'!$AW$11,'Eingabe EF'!$AU$11)+F212*IF(NOT(ISBLANK('Eingabe EF'!$AW$61)),'Eingabe EF'!$AW$61,'Eingabe EF'!$AU$61)</f>
        <v>0</v>
      </c>
      <c r="H220" s="38">
        <f>G212*IF(NOT(ISBLANK('Eingabe EF'!$BA$11)),'Eingabe EF'!$BA$11,'Eingabe EF'!$AY$11)+F212*IF(NOT(ISBLANK('Eingabe EF'!$BA$61)),'Eingabe EF'!$BA$61,'Eingabe EF'!$AY$61)</f>
        <v>2.5071299999999996</v>
      </c>
      <c r="I220" s="17"/>
      <c r="J220" s="38">
        <f>F220+G220</f>
        <v>0</v>
      </c>
      <c r="K220" s="38">
        <f>SUM(F220:H220)</f>
        <v>2.5071299999999996</v>
      </c>
      <c r="L220" s="17" t="s">
        <v>198</v>
      </c>
      <c r="N220" s="286"/>
      <c r="O220" s="17" t="s">
        <v>152</v>
      </c>
      <c r="P220" s="17"/>
      <c r="Q220" s="20"/>
      <c r="R220" s="17"/>
      <c r="S220" s="42">
        <f>G212/1000*IF(NOT(ISBLANK('Eingabe Preise'!$O12)),'Eingabe Preise'!$O12,'Eingabe Preise'!$M12)</f>
        <v>0</v>
      </c>
      <c r="T220" s="20" t="s">
        <v>106</v>
      </c>
    </row>
    <row r="221" spans="2:20" ht="15.75" hidden="1" outlineLevel="1" x14ac:dyDescent="0.3">
      <c r="B221" s="276"/>
      <c r="C221" s="17"/>
      <c r="D221" s="17" t="s">
        <v>126</v>
      </c>
      <c r="E221" s="17"/>
      <c r="F221" s="44">
        <f>IF(NOT(ISBLANK('Referenz Plattenwerk'!$I19)),'Referenz Plattenwerk'!$I19,'Referenz Plattenwerk'!$F19)*IF(NOT(ISBLANK('Eingabe EF'!$AS12)),'Eingabe EF'!$AS12,0)</f>
        <v>0</v>
      </c>
      <c r="G221" s="44">
        <f>IF(NOT(ISBLANK('Referenz Plattenwerk'!$I19)),'Referenz Plattenwerk'!$I19,'Referenz Plattenwerk'!$F19)*IF(NOT(ISBLANK('Eingabe EF'!$AW12)),'Eingabe EF'!$AW12,0)</f>
        <v>0</v>
      </c>
      <c r="H221" s="44">
        <f>IF(NOT(ISBLANK('Referenz Plattenwerk'!$I19)),'Referenz Plattenwerk'!$I19,'Referenz Plattenwerk'!$F19)*IF(NOT(ISBLANK('Eingabe EF'!$BA12)),'Eingabe EF'!$BA12,0)</f>
        <v>0</v>
      </c>
      <c r="I221" s="17"/>
      <c r="J221" s="38">
        <f>F221+G221</f>
        <v>0</v>
      </c>
      <c r="K221" s="38">
        <f>SUM(F221:H221)</f>
        <v>0</v>
      </c>
      <c r="L221" s="17" t="s">
        <v>198</v>
      </c>
      <c r="N221" s="276"/>
      <c r="O221" s="17" t="s">
        <v>126</v>
      </c>
      <c r="P221" s="17"/>
      <c r="Q221" s="20"/>
      <c r="R221" s="17"/>
      <c r="S221" s="42">
        <f>IF(NOT(ISBLANK('Referenz Plattenwerk'!$I19)),'Referenz Plattenwerk'!$I19,'Referenz Plattenwerk'!$F19)/1000*IF(NOT(ISBLANK('Eingabe Preise'!$O16)),'Eingabe Preise'!$O16,0)</f>
        <v>0</v>
      </c>
      <c r="T221" s="20" t="s">
        <v>106</v>
      </c>
    </row>
    <row r="222" spans="2:20" hidden="1" outlineLevel="1" x14ac:dyDescent="0.2">
      <c r="B222" s="17"/>
      <c r="C222" s="17" t="s">
        <v>147</v>
      </c>
      <c r="D222" s="17"/>
      <c r="E222" s="17"/>
      <c r="F222" s="17"/>
      <c r="G222" s="17"/>
      <c r="H222" s="17"/>
      <c r="I222" s="17"/>
      <c r="J222" s="17"/>
      <c r="K222" s="17"/>
      <c r="L222" s="17"/>
      <c r="N222" s="17" t="s">
        <v>147</v>
      </c>
      <c r="O222" s="17"/>
      <c r="P222" s="17"/>
      <c r="Q222" s="20"/>
      <c r="R222" s="17"/>
      <c r="S222" s="20"/>
      <c r="T222" s="20"/>
    </row>
    <row r="223" spans="2:20" ht="15.75" hidden="1" outlineLevel="1" x14ac:dyDescent="0.3">
      <c r="B223" s="17"/>
      <c r="C223" s="17"/>
      <c r="D223" s="17" t="s">
        <v>31</v>
      </c>
      <c r="E223" s="17"/>
      <c r="F223" s="44">
        <f>IF(NOT(ISBLANK('Referenz Plattenwerk'!$I21)),'Referenz Plattenwerk'!$I21,'Referenz Plattenwerk'!$F21)*IF(NOT(ISBLANK('Eingabe EF'!$AS9)),'Eingabe EF'!$AS9,'Eingabe EF'!$AQ9)</f>
        <v>8.6085200000000004</v>
      </c>
      <c r="G223" s="44">
        <f>IF(NOT(ISBLANK('Referenz Plattenwerk'!$I21)),'Referenz Plattenwerk'!$I21,'Referenz Plattenwerk'!$F21)*IF(NOT(ISBLANK('Eingabe EF'!$AW9)),'Eingabe EF'!$AW9,'Eingabe EF'!$AU9)</f>
        <v>0</v>
      </c>
      <c r="H223" s="44">
        <f>IF(NOT(ISBLANK('Referenz Plattenwerk'!$I21)),'Referenz Plattenwerk'!$I21,'Referenz Plattenwerk'!$F21)*IF(NOT(ISBLANK('Eingabe EF'!$BA9)),'Eingabe EF'!$BA9,'Eingabe EF'!$AY9)</f>
        <v>1.4734500000000001</v>
      </c>
      <c r="I223" s="17"/>
      <c r="J223" s="38">
        <f t="shared" ref="J223:J224" si="46">F223+G223</f>
        <v>8.6085200000000004</v>
      </c>
      <c r="K223" s="38">
        <f t="shared" ref="K223:K224" si="47">SUM(F223:H223)</f>
        <v>10.08197</v>
      </c>
      <c r="L223" s="17" t="s">
        <v>198</v>
      </c>
      <c r="N223" s="17"/>
      <c r="O223" s="17" t="s">
        <v>31</v>
      </c>
      <c r="P223" s="17"/>
      <c r="Q223" s="20"/>
      <c r="R223" s="17"/>
      <c r="S223" s="42">
        <f>IF(NOT(ISBLANK('Referenz Plattenwerk'!$I21)),'Referenz Plattenwerk'!$I21,'Referenz Plattenwerk'!$F21)/1000*IF(NOT(ISBLANK('Eingabe Preise'!$O10)),'Eingabe Preise'!$O10,'Eingabe Preise'!$M10)</f>
        <v>2867</v>
      </c>
      <c r="T223" s="20" t="s">
        <v>106</v>
      </c>
    </row>
    <row r="224" spans="2:20" ht="15.75" hidden="1" outlineLevel="1" x14ac:dyDescent="0.3">
      <c r="B224" s="17"/>
      <c r="C224" s="17"/>
      <c r="D224" s="17" t="s">
        <v>32</v>
      </c>
      <c r="E224" s="17"/>
      <c r="F224" s="44">
        <f>IF(NOT(ISBLANK('Referenz Plattenwerk'!$I22)),'Referenz Plattenwerk'!$I22,'Referenz Plattenwerk'!$F22)*IF(NOT(ISBLANK('Eingabe EF'!$AS10)),'Eingabe EF'!$AS10,'Eingabe EF'!$AQ10)</f>
        <v>9.6033600000000003</v>
      </c>
      <c r="G224" s="44">
        <f>IF(NOT(ISBLANK('Referenz Plattenwerk'!$I22)),'Referenz Plattenwerk'!$I22,'Referenz Plattenwerk'!$F22)*IF(NOT(ISBLANK('Eingabe EF'!$AW10)),'Eingabe EF'!$AW10,'Eingabe EF'!$AU10)</f>
        <v>0</v>
      </c>
      <c r="H224" s="44">
        <f>IF(NOT(ISBLANK('Referenz Plattenwerk'!$I22)),'Referenz Plattenwerk'!$I22,'Referenz Plattenwerk'!$F22)*IF(NOT(ISBLANK('Eingabe EF'!$BA10)),'Eingabe EF'!$BA10,'Eingabe EF'!$AY10)</f>
        <v>1.424736</v>
      </c>
      <c r="I224" s="17"/>
      <c r="J224" s="38">
        <f t="shared" si="46"/>
        <v>9.6033600000000003</v>
      </c>
      <c r="K224" s="38">
        <f t="shared" si="47"/>
        <v>11.028096</v>
      </c>
      <c r="L224" s="17" t="s">
        <v>198</v>
      </c>
      <c r="N224" s="17"/>
      <c r="O224" s="17" t="s">
        <v>32</v>
      </c>
      <c r="P224" s="17"/>
      <c r="Q224" s="20"/>
      <c r="R224" s="17"/>
      <c r="S224" s="42">
        <f>IF(NOT(ISBLANK('Referenz Plattenwerk'!$I22)),'Referenz Plattenwerk'!$I22,'Referenz Plattenwerk'!$F22)/1000*IF(NOT(ISBLANK('Eingabe Preise'!$O11)),'Eingabe Preise'!$O11,'Eingabe Preise'!$M11)</f>
        <v>1656</v>
      </c>
      <c r="T224" s="20" t="s">
        <v>106</v>
      </c>
    </row>
    <row r="225" spans="2:20" hidden="1" outlineLevel="1" x14ac:dyDescent="0.2">
      <c r="B225" s="17"/>
      <c r="C225" s="17" t="s">
        <v>148</v>
      </c>
      <c r="D225" s="17"/>
      <c r="E225" s="17"/>
      <c r="F225" s="17"/>
      <c r="G225" s="17"/>
      <c r="H225" s="17"/>
      <c r="I225" s="17"/>
      <c r="J225" s="17"/>
      <c r="K225" s="17"/>
      <c r="L225" s="17"/>
      <c r="N225" s="17" t="s">
        <v>148</v>
      </c>
      <c r="O225" s="17"/>
      <c r="P225" s="17"/>
      <c r="Q225" s="20"/>
      <c r="R225" s="17"/>
      <c r="S225" s="20"/>
      <c r="T225" s="20"/>
    </row>
    <row r="226" spans="2:20" ht="15.75" hidden="1" outlineLevel="1" x14ac:dyDescent="0.3">
      <c r="B226" s="286"/>
      <c r="C226" s="17"/>
      <c r="D226" s="17" t="s">
        <v>150</v>
      </c>
      <c r="E226" s="17"/>
      <c r="F226" s="44">
        <f>G213*IF(NOT(ISBLANK('Eingabe EF'!$AS11)),'Eingabe EF'!$AS11,'Eingabe EF'!$AQ11)+F213*IF(NOT(ISBLANK('Eingabe EF'!$AS61)),'Eingabe EF'!$AS61,'Eingabe EF'!$AQ61)</f>
        <v>0</v>
      </c>
      <c r="G226" s="38">
        <f>G213*IF(NOT(ISBLANK('Eingabe EF'!$AW$11)),'Eingabe EF'!$AW$11,'Eingabe EF'!$AU$11)+F213*IF(NOT(ISBLANK('Eingabe EF'!$AW$61)),'Eingabe EF'!$AW$61,'Eingabe EF'!$AU$61)</f>
        <v>47.874209324752655</v>
      </c>
      <c r="H226" s="38">
        <f>G213*IF(NOT(ISBLANK('Eingabe EF'!$BA$11)),'Eingabe EF'!$BA$11,'Eingabe EF'!$AY$11)+F213*IF(NOT(ISBLANK('Eingabe EF'!$BA$61)),'Eingabe EF'!$BA$61,'Eingabe EF'!$AY$61)</f>
        <v>10.082478696822378</v>
      </c>
      <c r="I226" s="17"/>
      <c r="J226" s="38">
        <f t="shared" ref="J226:J234" si="48">F226+G226</f>
        <v>47.874209324752655</v>
      </c>
      <c r="K226" s="38">
        <f t="shared" ref="K226:K234" si="49">SUM(F226:H226)</f>
        <v>57.956688021575033</v>
      </c>
      <c r="L226" s="17" t="s">
        <v>198</v>
      </c>
      <c r="N226" s="286"/>
      <c r="O226" s="17" t="s">
        <v>150</v>
      </c>
      <c r="P226" s="17"/>
      <c r="Q226" s="20"/>
      <c r="R226" s="17"/>
      <c r="S226" s="42">
        <f>G213/1000*IF(NOT(ISBLANK('Eingabe Preise'!$O12)),'Eingabe Preise'!$O12,'Eingabe Preise'!$M12)</f>
        <v>60200</v>
      </c>
      <c r="T226" s="20" t="s">
        <v>106</v>
      </c>
    </row>
    <row r="227" spans="2:20" ht="15.75" hidden="1" outlineLevel="1" x14ac:dyDescent="0.3">
      <c r="B227" s="17"/>
      <c r="C227" s="17"/>
      <c r="D227" s="17" t="s">
        <v>122</v>
      </c>
      <c r="E227" s="17"/>
      <c r="F227" s="44">
        <f>IF(NOT(ISBLANK('Referenz Plattenwerk'!$I25)),'Referenz Plattenwerk'!$I25,'Referenz Plattenwerk'!$F25)*IF(NOT(ISBLANK('Eingabe EF'!$AS13)),'Eingabe EF'!$AS13,'Eingabe EF'!$AQ13)</f>
        <v>0</v>
      </c>
      <c r="G227" s="44">
        <f>IF(NOT(ISBLANK('Referenz Plattenwerk'!$I25)),'Referenz Plattenwerk'!$I25,'Referenz Plattenwerk'!$F25)*IF(NOT(ISBLANK('Eingabe EF'!$AW13)),'Eingabe EF'!$AW13,'Eingabe EF'!$AU13)</f>
        <v>0</v>
      </c>
      <c r="H227" s="44">
        <f>IF(NOT(ISBLANK('Referenz Plattenwerk'!$I25)),'Referenz Plattenwerk'!$I25,'Referenz Plattenwerk'!$F25)*IF(NOT(ISBLANK('Eingabe EF'!$BA13)),'Eingabe EF'!$BA13,'Eingabe EF'!$AY13)</f>
        <v>0</v>
      </c>
      <c r="I227" s="17"/>
      <c r="J227" s="38">
        <f t="shared" si="48"/>
        <v>0</v>
      </c>
      <c r="K227" s="38">
        <f t="shared" si="49"/>
        <v>0</v>
      </c>
      <c r="L227" s="17" t="s">
        <v>198</v>
      </c>
      <c r="N227" s="17"/>
      <c r="O227" s="17" t="s">
        <v>122</v>
      </c>
      <c r="P227" s="17"/>
      <c r="Q227" s="20"/>
      <c r="R227" s="17"/>
      <c r="S227" s="42">
        <f>IF(NOT(ISBLANK('Referenz Plattenwerk'!$I25)),'Referenz Plattenwerk'!$I25,'Referenz Plattenwerk'!$F25)/1000*IF(NOT(ISBLANK('Eingabe Preise'!$O13)),'Eingabe Preise'!$O13,'Eingabe Preise'!$M13)</f>
        <v>0</v>
      </c>
      <c r="T227" s="20" t="s">
        <v>106</v>
      </c>
    </row>
    <row r="228" spans="2:20" ht="15.75" hidden="1" outlineLevel="1" x14ac:dyDescent="0.3">
      <c r="B228" s="17"/>
      <c r="C228" s="17"/>
      <c r="D228" s="17" t="s">
        <v>149</v>
      </c>
      <c r="E228" s="17"/>
      <c r="F228" s="44">
        <f>IF(NOT(ISBLANK('Referenz Plattenwerk'!$I26)),'Referenz Plattenwerk'!$I26,'Referenz Plattenwerk'!$F26)*IF(NOT(ISBLANK('Eingabe EF'!$AS14)),'Eingabe EF'!$AS14,0)</f>
        <v>0</v>
      </c>
      <c r="G228" s="44">
        <f>IF(NOT(ISBLANK('Referenz Plattenwerk'!$I26)),'Referenz Plattenwerk'!$I26,'Referenz Plattenwerk'!$F26)*IF(NOT(ISBLANK('Eingabe EF'!$AW14)),'Eingabe EF'!$AW14,0)</f>
        <v>0</v>
      </c>
      <c r="H228" s="44">
        <f>IF(NOT(ISBLANK('Referenz Plattenwerk'!$I26)),'Referenz Plattenwerk'!$I26,'Referenz Plattenwerk'!$F26)*IF(NOT(ISBLANK('Eingabe EF'!$BA14)),'Eingabe EF'!$BA14,0)</f>
        <v>0</v>
      </c>
      <c r="I228" s="17"/>
      <c r="J228" s="38">
        <f t="shared" si="48"/>
        <v>0</v>
      </c>
      <c r="K228" s="38">
        <f t="shared" si="49"/>
        <v>0</v>
      </c>
      <c r="L228" s="17" t="s">
        <v>198</v>
      </c>
      <c r="N228" s="17"/>
      <c r="O228" s="17" t="s">
        <v>149</v>
      </c>
      <c r="P228" s="17"/>
      <c r="Q228" s="30"/>
      <c r="R228" s="17"/>
      <c r="S228" s="42">
        <f>IF(NOT(ISBLANK('Referenz Plattenwerk'!$I26)),'Referenz Plattenwerk'!$I26,'Referenz Plattenwerk'!$F26)/1000*IF(NOT(ISBLANK('Eingabe Preise'!$O17)),'Eingabe Preise'!$O17,0)</f>
        <v>0</v>
      </c>
      <c r="T228" s="20" t="s">
        <v>106</v>
      </c>
    </row>
    <row r="229" spans="2:20" hidden="1" outlineLevel="1" x14ac:dyDescent="0.2">
      <c r="B229" s="17"/>
      <c r="C229" s="17"/>
      <c r="D229" s="17"/>
      <c r="E229" s="17"/>
      <c r="F229" s="17"/>
      <c r="G229" s="17"/>
      <c r="H229" s="17"/>
      <c r="I229" s="17"/>
      <c r="J229" s="17"/>
      <c r="K229" s="17"/>
      <c r="L229" s="17"/>
      <c r="N229" s="17"/>
      <c r="O229" s="17"/>
      <c r="P229" s="17"/>
      <c r="Q229" s="30"/>
      <c r="R229" s="17"/>
      <c r="S229" s="17"/>
      <c r="T229" s="17"/>
    </row>
    <row r="230" spans="2:20" ht="15.75" hidden="1" outlineLevel="1" x14ac:dyDescent="0.3">
      <c r="B230" s="17"/>
      <c r="C230" s="17" t="s">
        <v>464</v>
      </c>
      <c r="D230" s="17" t="s">
        <v>34</v>
      </c>
      <c r="E230" s="17"/>
      <c r="F230" s="44">
        <f>IF(NOT(ISBLANK('Referenz Plattenwerk'!$I28)),'Referenz Plattenwerk'!$I28,'Referenz Plattenwerk'!$F28)*IF(NOT(ISBLANK('Eingabe EF'!$AS15)),'Eingabe EF'!$AS15,'Eingabe EF'!$AQ15)</f>
        <v>29.238941159999996</v>
      </c>
      <c r="G230" s="44">
        <f>IF(NOT(ISBLANK('Referenz Plattenwerk'!$I28)),'Referenz Plattenwerk'!$I28,'Referenz Plattenwerk'!$F28)*IF(NOT(ISBLANK('Eingabe EF'!$AW15)),'Eingabe EF'!$AW15,'Eingabe EF'!$AU15)</f>
        <v>0</v>
      </c>
      <c r="H230" s="44">
        <f>IF(NOT(ISBLANK('Referenz Plattenwerk'!$I28)),'Referenz Plattenwerk'!$I28,'Referenz Plattenwerk'!$F28)*IF(NOT(ISBLANK('Eingabe EF'!$BA15)),'Eingabe EF'!$BA15,'Eingabe EF'!$AY15)</f>
        <v>5.1658635600000009</v>
      </c>
      <c r="I230" s="17"/>
      <c r="J230" s="38">
        <f t="shared" ref="J230:J232" si="50">F230+G230</f>
        <v>29.238941159999996</v>
      </c>
      <c r="K230" s="38">
        <f t="shared" ref="K230:K232" si="51">SUM(F230:H230)</f>
        <v>34.404804719999994</v>
      </c>
      <c r="L230" s="17" t="s">
        <v>198</v>
      </c>
      <c r="N230" s="17"/>
      <c r="O230" s="17" t="s">
        <v>34</v>
      </c>
      <c r="P230" s="17" t="s">
        <v>464</v>
      </c>
      <c r="Q230" s="30"/>
      <c r="R230" s="17"/>
      <c r="S230" s="42">
        <f>IF(NOT(ISBLANK('Referenz Plattenwerk'!$I28)),'Referenz Plattenwerk'!$I28,'Referenz Plattenwerk'!$F28)*IF(NOT(ISBLANK('Eingabe Preise'!$O14)),'Eingabe Preise'!$O14,'Eingabe Preise'!$M14)</f>
        <v>12364.000000000002</v>
      </c>
      <c r="T230" s="20" t="s">
        <v>106</v>
      </c>
    </row>
    <row r="231" spans="2:20" ht="15.75" hidden="1" outlineLevel="1" x14ac:dyDescent="0.3">
      <c r="B231" s="17"/>
      <c r="C231" s="17" t="s">
        <v>75</v>
      </c>
      <c r="D231" s="17" t="s">
        <v>34</v>
      </c>
      <c r="E231" s="17"/>
      <c r="F231" s="44">
        <f>IF(NOT(ISBLANK('Referenz Plattenwerk'!$I29)),'Referenz Plattenwerk'!$I29,'Referenz Plattenwerk'!$F29)*IF(NOT(ISBLANK('Eingabe EF'!$AS15)),'Eingabe EF'!$AS15,'Eingabe EF'!$AQ15)</f>
        <v>6.645213899999999</v>
      </c>
      <c r="G231" s="44">
        <f>IF(NOT(ISBLANK('Referenz Plattenwerk'!$I29)),'Referenz Plattenwerk'!$I29,'Referenz Plattenwerk'!$F29)*IF(NOT(ISBLANK('Eingabe EF'!$AW15)),'Eingabe EF'!$AW15,'Eingabe EF'!$AU15)</f>
        <v>0</v>
      </c>
      <c r="H231" s="44">
        <f>IF(NOT(ISBLANK('Referenz Plattenwerk'!$I29)),'Referenz Plattenwerk'!$I29,'Referenz Plattenwerk'!$F29)*IF(NOT(ISBLANK('Eingabe EF'!$BA15)),'Eingabe EF'!$BA15,'Eingabe EF'!$AY15)</f>
        <v>1.1740599000000003</v>
      </c>
      <c r="I231" s="17"/>
      <c r="J231" s="38">
        <f t="shared" si="50"/>
        <v>6.645213899999999</v>
      </c>
      <c r="K231" s="38">
        <f t="shared" si="51"/>
        <v>7.8192737999999995</v>
      </c>
      <c r="L231" s="17" t="s">
        <v>198</v>
      </c>
      <c r="N231" s="17"/>
      <c r="O231" s="17" t="s">
        <v>34</v>
      </c>
      <c r="P231" s="17" t="s">
        <v>75</v>
      </c>
      <c r="Q231" s="30"/>
      <c r="R231" s="17"/>
      <c r="S231" s="42">
        <f>IF(NOT(ISBLANK('Referenz Plattenwerk'!$I29)),'Referenz Plattenwerk'!$I29,'Referenz Plattenwerk'!$F29)*IF(NOT(ISBLANK('Eingabe Preise'!$O14)),'Eingabe Preise'!$O14,'Eingabe Preise'!$M14)</f>
        <v>2810.0000000000005</v>
      </c>
      <c r="T231" s="20" t="s">
        <v>106</v>
      </c>
    </row>
    <row r="232" spans="2:20" ht="14.25" hidden="1" outlineLevel="1" x14ac:dyDescent="0.25">
      <c r="B232" s="70"/>
      <c r="C232" s="70" t="s">
        <v>189</v>
      </c>
      <c r="D232" s="70"/>
      <c r="E232" s="70"/>
      <c r="F232" s="72">
        <f>F233+F234</f>
        <v>0</v>
      </c>
      <c r="G232" s="72">
        <f t="shared" ref="G232:H232" si="52">G233+G234</f>
        <v>0</v>
      </c>
      <c r="H232" s="72">
        <f t="shared" si="52"/>
        <v>469.15642799999995</v>
      </c>
      <c r="I232" s="70"/>
      <c r="J232" s="72">
        <f t="shared" si="50"/>
        <v>0</v>
      </c>
      <c r="K232" s="72">
        <f t="shared" si="51"/>
        <v>469.15642799999995</v>
      </c>
      <c r="L232" s="77" t="s">
        <v>197</v>
      </c>
      <c r="N232" s="17"/>
      <c r="O232" s="17"/>
      <c r="P232" s="17"/>
      <c r="Q232" s="30"/>
      <c r="R232" s="17"/>
      <c r="S232" s="17"/>
      <c r="T232" s="17"/>
    </row>
    <row r="233" spans="2:20" ht="15.75" hidden="1" outlineLevel="1" x14ac:dyDescent="0.3">
      <c r="B233" s="17"/>
      <c r="C233" s="17"/>
      <c r="D233" s="17" t="s">
        <v>45</v>
      </c>
      <c r="E233" s="17"/>
      <c r="F233" s="44">
        <f>IF(NOT(ISBLANK('Referenz Plattenwerk'!$I32)),'Referenz Plattenwerk'!$I32,'Referenz Plattenwerk'!$F32)*IF(NOT(ISBLANK('Eingabe EF'!$AS17)),'Eingabe EF'!$AS17,'Eingabe EF'!$AQ17)</f>
        <v>0</v>
      </c>
      <c r="G233" s="44">
        <f>IF(NOT(ISBLANK('Referenz Plattenwerk'!$I32)),'Referenz Plattenwerk'!$I32,'Referenz Plattenwerk'!$F32)*IF(NOT(ISBLANK('Eingabe EF'!$AW17)),'Eingabe EF'!$AW17,'Eingabe EF'!$AU17)</f>
        <v>0</v>
      </c>
      <c r="H233" s="44">
        <f>IF(NOT(ISBLANK('Referenz Plattenwerk'!$I32)),'Referenz Plattenwerk'!$I32,'Referenz Plattenwerk'!$F32)*IF(NOT(ISBLANK('Eingabe EF'!$BA17)),'Eingabe EF'!$BA17,'Eingabe EF'!$AY17)</f>
        <v>109.4698332</v>
      </c>
      <c r="I233" s="17"/>
      <c r="J233" s="38">
        <f t="shared" si="48"/>
        <v>0</v>
      </c>
      <c r="K233" s="38">
        <f t="shared" si="49"/>
        <v>109.4698332</v>
      </c>
      <c r="L233" s="17" t="s">
        <v>198</v>
      </c>
      <c r="N233" s="17"/>
      <c r="O233" s="17"/>
      <c r="P233" s="17"/>
      <c r="Q233" s="30"/>
      <c r="R233" s="17"/>
      <c r="S233" s="17"/>
      <c r="T233" s="17"/>
    </row>
    <row r="234" spans="2:20" ht="15.75" hidden="1" outlineLevel="1" x14ac:dyDescent="0.3">
      <c r="B234" s="17"/>
      <c r="C234" s="17"/>
      <c r="D234" s="17" t="s">
        <v>46</v>
      </c>
      <c r="E234" s="17"/>
      <c r="F234" s="44">
        <f>IF(NOT(ISBLANK('Referenz Plattenwerk'!$I33)),'Referenz Plattenwerk'!$I33,'Referenz Plattenwerk'!$F33)*IF(NOT(ISBLANK('Eingabe EF'!$AS18)),'Eingabe EF'!$AS18,'Eingabe EF'!$AQ18)</f>
        <v>0</v>
      </c>
      <c r="G234" s="44">
        <f>IF(NOT(ISBLANK('Referenz Plattenwerk'!$I33)),'Referenz Plattenwerk'!$I33,'Referenz Plattenwerk'!$F33)*IF(NOT(ISBLANK('Eingabe EF'!$AW18)),'Eingabe EF'!$AW18,'Eingabe EF'!$AU18)</f>
        <v>0</v>
      </c>
      <c r="H234" s="44">
        <f>IF(NOT(ISBLANK('Referenz Plattenwerk'!$I33)),'Referenz Plattenwerk'!$I33,'Referenz Plattenwerk'!$F33)*IF(NOT(ISBLANK('Eingabe EF'!$BA18)),'Eingabe EF'!$BA18,'Eingabe EF'!$AY18)</f>
        <v>359.68659479999997</v>
      </c>
      <c r="I234" s="17"/>
      <c r="J234" s="38">
        <f t="shared" si="48"/>
        <v>0</v>
      </c>
      <c r="K234" s="38">
        <f t="shared" si="49"/>
        <v>359.68659479999997</v>
      </c>
      <c r="L234" s="17" t="s">
        <v>198</v>
      </c>
      <c r="N234" s="17"/>
      <c r="O234" s="17" t="s">
        <v>30</v>
      </c>
      <c r="P234" s="17"/>
      <c r="Q234" s="30"/>
      <c r="R234" s="17"/>
      <c r="S234" s="42">
        <f>S246+S247</f>
        <v>36000</v>
      </c>
      <c r="T234" s="20" t="s">
        <v>106</v>
      </c>
    </row>
    <row r="235" spans="2:20" hidden="1" outlineLevel="1" x14ac:dyDescent="0.2">
      <c r="B235" s="17"/>
      <c r="C235" s="17"/>
      <c r="D235" s="17"/>
      <c r="E235" s="17"/>
      <c r="F235" s="20"/>
      <c r="G235" s="20"/>
      <c r="H235" s="20"/>
      <c r="I235" s="17"/>
      <c r="J235" s="20"/>
      <c r="K235" s="20"/>
      <c r="L235" s="17"/>
      <c r="N235" s="17"/>
      <c r="O235" s="45" t="s">
        <v>153</v>
      </c>
      <c r="P235" s="17"/>
      <c r="Q235" s="30"/>
      <c r="R235" s="17"/>
      <c r="S235" s="42">
        <f>IF(NOT(ISBLANK($K$19)),$K$19,$I$19)</f>
        <v>1000</v>
      </c>
      <c r="T235" s="20" t="s">
        <v>106</v>
      </c>
    </row>
    <row r="236" spans="2:20" ht="14.25" hidden="1" outlineLevel="1" x14ac:dyDescent="0.25">
      <c r="B236" s="70"/>
      <c r="C236" s="70" t="s">
        <v>68</v>
      </c>
      <c r="D236" s="71"/>
      <c r="E236" s="71"/>
      <c r="F236" s="72">
        <f>SUM(F237:F240)</f>
        <v>0</v>
      </c>
      <c r="G236" s="72">
        <f t="shared" ref="G236" si="53">SUM(G237:G240)</f>
        <v>0</v>
      </c>
      <c r="H236" s="72">
        <f>SUM(H237:H240)</f>
        <v>4548.5439999999999</v>
      </c>
      <c r="I236" s="71"/>
      <c r="J236" s="72">
        <f t="shared" ref="J236:J240" si="54">F236+G236</f>
        <v>0</v>
      </c>
      <c r="K236" s="72">
        <f t="shared" ref="K236" si="55">SUM(F236:H236)</f>
        <v>4548.5439999999999</v>
      </c>
      <c r="L236" s="77" t="s">
        <v>197</v>
      </c>
      <c r="N236" s="17"/>
      <c r="O236" s="45" t="s">
        <v>160</v>
      </c>
      <c r="P236" s="17"/>
      <c r="Q236" s="30"/>
      <c r="R236" s="17"/>
      <c r="S236" s="42">
        <f>S249+S250</f>
        <v>0</v>
      </c>
      <c r="T236" s="20" t="s">
        <v>106</v>
      </c>
    </row>
    <row r="237" spans="2:20" ht="15.75" hidden="1" outlineLevel="1" x14ac:dyDescent="0.3">
      <c r="B237" s="17"/>
      <c r="C237" s="17"/>
      <c r="D237" s="17" t="s">
        <v>47</v>
      </c>
      <c r="E237" s="17"/>
      <c r="F237" s="38">
        <f>IF(NOT(ISBLANK('Referenz Plattenwerk'!$I36)),'Referenz Plattenwerk'!$I36,'Referenz Plattenwerk'!$F36)*IF(NOT(ISBLANK('Eingabe EF'!$AS21)),'Eingabe EF'!$AS21,'Eingabe EF'!$AQ21)*IF(NOT(ISBLANK('Referenz Plattenwerk'!$I$12)),'Referenz Plattenwerk'!$I$12,'Referenz Plattenwerk'!$F$12)</f>
        <v>0</v>
      </c>
      <c r="G237" s="38">
        <f>IF(NOT(ISBLANK('Referenz Plattenwerk'!$I36)),'Referenz Plattenwerk'!$I36,'Referenz Plattenwerk'!$F36)*IF(NOT(ISBLANK('Eingabe EF'!$AW21)),'Eingabe EF'!$AW21,'Eingabe EF'!$AU21)*IF(NOT(ISBLANK('Referenz Plattenwerk'!$I$12)),'Referenz Plattenwerk'!$I$12,'Referenz Plattenwerk'!$F$12)</f>
        <v>0</v>
      </c>
      <c r="H237" s="38">
        <f>IF(NOT(ISBLANK('Referenz Plattenwerk'!$I36)),'Referenz Plattenwerk'!$I36,'Referenz Plattenwerk'!$F36)*IF(NOT(ISBLANK('Eingabe EF'!$BA21)),'Eingabe EF'!$BA21,'Eingabe EF'!$AY21)*IF(NOT(ISBLANK('Referenz Plattenwerk'!$I$12)),'Referenz Plattenwerk'!$I$12,'Referenz Plattenwerk'!$F$12)</f>
        <v>1210.3</v>
      </c>
      <c r="I237" s="17"/>
      <c r="J237" s="38">
        <f t="shared" si="54"/>
        <v>0</v>
      </c>
      <c r="K237" s="38">
        <f t="shared" ref="K237:K240" si="56">SUM(F237:H237)</f>
        <v>1210.3</v>
      </c>
      <c r="L237" s="17" t="s">
        <v>198</v>
      </c>
      <c r="N237" s="17"/>
      <c r="O237" s="17"/>
      <c r="P237" s="17"/>
      <c r="Q237" s="17"/>
      <c r="R237" s="17"/>
      <c r="S237" s="17"/>
      <c r="T237" s="17"/>
    </row>
    <row r="238" spans="2:20" ht="15.75" hidden="1" outlineLevel="1" x14ac:dyDescent="0.3">
      <c r="B238" s="17"/>
      <c r="C238" s="17"/>
      <c r="D238" s="17" t="s">
        <v>49</v>
      </c>
      <c r="E238" s="17"/>
      <c r="F238" s="38">
        <f>IF(NOT(ISBLANK('Referenz Plattenwerk'!$I37)),'Referenz Plattenwerk'!$I37,'Referenz Plattenwerk'!$F37)*IF(NOT(ISBLANK('Eingabe EF'!$AS22)),'Eingabe EF'!$AS22,'Eingabe EF'!$AQ22)*IF(NOT(ISBLANK('Referenz Plattenwerk'!$I$12)),'Referenz Plattenwerk'!$I$12,'Referenz Plattenwerk'!$F$12)</f>
        <v>0</v>
      </c>
      <c r="G238" s="38">
        <f>IF(NOT(ISBLANK('Referenz Plattenwerk'!$I37)),'Referenz Plattenwerk'!$I37,'Referenz Plattenwerk'!$F37)*IF(NOT(ISBLANK('Eingabe EF'!$AW22)),'Eingabe EF'!$AW22,'Eingabe EF'!$AU22)*IF(NOT(ISBLANK('Referenz Plattenwerk'!$I$12)),'Referenz Plattenwerk'!$I$12,'Referenz Plattenwerk'!$F$12)</f>
        <v>0</v>
      </c>
      <c r="H238" s="38">
        <f>IF(NOT(ISBLANK('Referenz Plattenwerk'!$I37)),'Referenz Plattenwerk'!$I37,'Referenz Plattenwerk'!$F37)*IF(NOT(ISBLANK('Eingabe EF'!$BA22)),'Eingabe EF'!$BA22,'Eingabe EF'!$AY22)*IF(NOT(ISBLANK('Referenz Plattenwerk'!$I$12)),'Referenz Plattenwerk'!$I$12,'Referenz Plattenwerk'!$F$12)</f>
        <v>2415.5039999999999</v>
      </c>
      <c r="I238" s="17"/>
      <c r="J238" s="38">
        <f t="shared" si="54"/>
        <v>0</v>
      </c>
      <c r="K238" s="38">
        <f t="shared" si="56"/>
        <v>2415.5039999999999</v>
      </c>
      <c r="L238" s="17" t="s">
        <v>198</v>
      </c>
      <c r="N238" s="17"/>
      <c r="O238" s="17"/>
      <c r="P238" s="17"/>
      <c r="Q238" s="17"/>
      <c r="R238" s="17"/>
      <c r="S238" s="17"/>
      <c r="T238" s="17"/>
    </row>
    <row r="239" spans="2:20" ht="15.75" hidden="1" outlineLevel="1" x14ac:dyDescent="0.3">
      <c r="B239" s="17"/>
      <c r="C239" s="17"/>
      <c r="D239" s="17" t="s">
        <v>50</v>
      </c>
      <c r="E239" s="17"/>
      <c r="F239" s="38">
        <f>IF(NOT(ISBLANK('Referenz Plattenwerk'!$I38)),'Referenz Plattenwerk'!$I38,'Referenz Plattenwerk'!$F38)*IF(NOT(ISBLANK('Eingabe EF'!$AS23)),'Eingabe EF'!$AS23,'Eingabe EF'!$AQ23)*IF(NOT(ISBLANK('Referenz Plattenwerk'!$I$12)),'Referenz Plattenwerk'!$I$12,'Referenz Plattenwerk'!$F$12)</f>
        <v>0</v>
      </c>
      <c r="G239" s="38">
        <f>IF(NOT(ISBLANK('Referenz Plattenwerk'!$I38)),'Referenz Plattenwerk'!$I38,'Referenz Plattenwerk'!$F38)*IF(NOT(ISBLANK('Eingabe EF'!$AW23)),'Eingabe EF'!$AW23,'Eingabe EF'!$AU23)*IF(NOT(ISBLANK('Referenz Plattenwerk'!$I$12)),'Referenz Plattenwerk'!$I$12,'Referenz Plattenwerk'!$F$12)</f>
        <v>0</v>
      </c>
      <c r="H239" s="38">
        <f>IF(NOT(ISBLANK('Referenz Plattenwerk'!$I38)),'Referenz Plattenwerk'!$I38,'Referenz Plattenwerk'!$F38)*IF(NOT(ISBLANK('Eingabe EF'!$BA23)),'Eingabe EF'!$BA23,'Eingabe EF'!$AY23)*IF(NOT(ISBLANK('Referenz Plattenwerk'!$I$12)),'Referenz Plattenwerk'!$I$12,'Referenz Plattenwerk'!$F$12)</f>
        <v>922.7399999999999</v>
      </c>
      <c r="I239" s="17"/>
      <c r="J239" s="38">
        <f t="shared" si="54"/>
        <v>0</v>
      </c>
      <c r="K239" s="38">
        <f t="shared" si="56"/>
        <v>922.7399999999999</v>
      </c>
      <c r="L239" s="17" t="s">
        <v>198</v>
      </c>
      <c r="N239" s="17"/>
      <c r="O239" s="17" t="s">
        <v>200</v>
      </c>
      <c r="P239" s="17"/>
      <c r="Q239" s="30"/>
      <c r="R239" s="17"/>
      <c r="S239" s="42">
        <f>F275*IF(NOT(ISBLANK('Eingabe Preise'!$O21)),'Eingabe Preise'!$O21,'Eingabe Preise'!$M21)</f>
        <v>7594.5884048000007</v>
      </c>
      <c r="T239" s="20" t="s">
        <v>106</v>
      </c>
    </row>
    <row r="240" spans="2:20" ht="15.75" hidden="1" outlineLevel="1" x14ac:dyDescent="0.3">
      <c r="B240" s="17"/>
      <c r="C240" s="17"/>
      <c r="D240" s="17" t="s">
        <v>161</v>
      </c>
      <c r="E240" s="17"/>
      <c r="F240" s="38">
        <f>IF(NOT(ISBLANK('Referenz Plattenwerk'!$I39)),'Referenz Plattenwerk'!$I39,'Referenz Plattenwerk'!$F39)*IF(NOT(ISBLANK('Eingabe EF'!$AS24)),'Eingabe EF'!$AS24,0)*IF(NOT(ISBLANK('Referenz Plattenwerk'!$I$12)),'Referenz Plattenwerk'!$I$12,'Referenz Plattenwerk'!$F$12)</f>
        <v>0</v>
      </c>
      <c r="G240" s="38">
        <f>IF(NOT(ISBLANK('Referenz Plattenwerk'!$I39)),'Referenz Plattenwerk'!$I39,'Referenz Plattenwerk'!$F39)*IF(NOT(ISBLANK('Eingabe EF'!$AW24)),'Eingabe EF'!$AW24,0)*IF(NOT(ISBLANK('Referenz Plattenwerk'!$I$12)),'Referenz Plattenwerk'!$I$12,'Referenz Plattenwerk'!$F$12)</f>
        <v>0</v>
      </c>
      <c r="H240" s="38">
        <f>IF(NOT(ISBLANK('Referenz Plattenwerk'!$I39)),'Referenz Plattenwerk'!$I39,'Referenz Plattenwerk'!$F39)*IF(NOT(ISBLANK('Eingabe EF'!$BA24)),'Eingabe EF'!$BA24,0)*IF(NOT(ISBLANK('Referenz Plattenwerk'!$I$12)),'Referenz Plattenwerk'!$I$12,'Referenz Plattenwerk'!$F$12)</f>
        <v>0</v>
      </c>
      <c r="I240" s="17"/>
      <c r="J240" s="38">
        <f t="shared" si="54"/>
        <v>0</v>
      </c>
      <c r="K240" s="38">
        <f t="shared" si="56"/>
        <v>0</v>
      </c>
      <c r="L240" s="17" t="s">
        <v>198</v>
      </c>
      <c r="N240" s="17"/>
      <c r="O240" s="17" t="s">
        <v>201</v>
      </c>
      <c r="P240" s="17"/>
      <c r="Q240" s="30"/>
      <c r="R240" s="17"/>
      <c r="S240" s="42">
        <f>G275*IF(NOT(ISBLANK('Eingabe Preise'!$O22)),'Eingabe Preise'!$O22,'Eingabe Preise'!$M22)</f>
        <v>3829.9367459802124</v>
      </c>
      <c r="T240" s="20" t="s">
        <v>106</v>
      </c>
    </row>
    <row r="241" spans="2:20" ht="15.75" hidden="1" outlineLevel="1" x14ac:dyDescent="0.3">
      <c r="B241" s="17"/>
      <c r="C241" s="17"/>
      <c r="D241" s="17"/>
      <c r="E241" s="17"/>
      <c r="F241" s="17"/>
      <c r="G241" s="17"/>
      <c r="H241" s="17"/>
      <c r="I241" s="17"/>
      <c r="J241" s="20"/>
      <c r="K241" s="20"/>
      <c r="L241" s="17"/>
      <c r="N241" s="17"/>
      <c r="O241" s="17" t="s">
        <v>202</v>
      </c>
      <c r="P241" s="17"/>
      <c r="Q241" s="30"/>
      <c r="R241" s="17"/>
      <c r="S241" s="42">
        <f>H275*IF(NOT(ISBLANK('Eingabe Preise'!$O23)),'Eingabe Preise'!$O23,'Eingabe Preise'!$M23)</f>
        <v>465513.53852050734</v>
      </c>
      <c r="T241" s="20" t="s">
        <v>106</v>
      </c>
    </row>
    <row r="242" spans="2:20" ht="14.25" hidden="1" outlineLevel="1" x14ac:dyDescent="0.25">
      <c r="B242" s="70"/>
      <c r="C242" s="70" t="s">
        <v>177</v>
      </c>
      <c r="D242" s="71"/>
      <c r="E242" s="71"/>
      <c r="F242" s="72">
        <f>SUM(F243:F245)</f>
        <v>0</v>
      </c>
      <c r="G242" s="72">
        <f t="shared" ref="G242:H242" si="57">SUM(G243:G245)</f>
        <v>0</v>
      </c>
      <c r="H242" s="72">
        <f t="shared" si="57"/>
        <v>129.59200000000001</v>
      </c>
      <c r="I242" s="71"/>
      <c r="J242" s="72">
        <f t="shared" ref="J242" si="58">F242+G242</f>
        <v>0</v>
      </c>
      <c r="K242" s="72">
        <f t="shared" ref="K242" si="59">SUM(F242:H242)</f>
        <v>129.59200000000001</v>
      </c>
      <c r="L242" s="77" t="s">
        <v>197</v>
      </c>
      <c r="N242" s="17"/>
      <c r="O242" s="17"/>
      <c r="P242" s="17"/>
      <c r="Q242" s="17"/>
      <c r="R242" s="17"/>
      <c r="S242" s="17"/>
      <c r="T242" s="17"/>
    </row>
    <row r="243" spans="2:20" ht="15.75" hidden="1" outlineLevel="1" x14ac:dyDescent="0.3">
      <c r="B243" s="17"/>
      <c r="C243" s="17"/>
      <c r="D243" s="17" t="s">
        <v>178</v>
      </c>
      <c r="E243" s="17"/>
      <c r="F243" s="38">
        <f>IF(NOT(ISBLANK('Referenz Plattenwerk'!$I42)),'Referenz Plattenwerk'!$I42,'Referenz Plattenwerk'!$F42)*IF(NOT(ISBLANK('Eingabe EF'!$AS27)),'Eingabe EF'!$AS27,'Eingabe EF'!$AQ27)*IF(NOT(ISBLANK('Referenz Plattenwerk'!$I$12)),'Referenz Plattenwerk'!$I$12,'Referenz Plattenwerk'!$F$12)</f>
        <v>0</v>
      </c>
      <c r="G243" s="38">
        <f>IF(NOT(ISBLANK('Referenz Plattenwerk'!$I42)),'Referenz Plattenwerk'!$I42,'Referenz Plattenwerk'!$F42)*IF(NOT(ISBLANK('Eingabe EF'!$AW27)),'Eingabe EF'!$AW27,'Eingabe EF'!$AU27)*IF(NOT(ISBLANK('Referenz Plattenwerk'!$I$12)),'Referenz Plattenwerk'!$I$12,'Referenz Plattenwerk'!$F$12)</f>
        <v>0</v>
      </c>
      <c r="H243" s="38">
        <f>IF(NOT(ISBLANK('Referenz Plattenwerk'!$I42)),'Referenz Plattenwerk'!$I42,'Referenz Plattenwerk'!$F42)*IF(NOT(ISBLANK('Eingabe EF'!$BA27)),'Eingabe EF'!$BA27,'Eingabe EF'!$AY27)*IF(NOT(ISBLANK('Referenz Plattenwerk'!$I$12)),'Referenz Plattenwerk'!$I$12,'Referenz Plattenwerk'!$F$12)</f>
        <v>129.59200000000001</v>
      </c>
      <c r="I243" s="17"/>
      <c r="J243" s="38">
        <f>F243+G243</f>
        <v>0</v>
      </c>
      <c r="K243" s="38">
        <f>SUM(F243:H243)</f>
        <v>129.59200000000001</v>
      </c>
      <c r="L243" s="17" t="s">
        <v>198</v>
      </c>
      <c r="N243" s="17"/>
      <c r="O243" s="17"/>
      <c r="P243" s="17"/>
      <c r="Q243" s="17"/>
      <c r="R243" s="17"/>
      <c r="S243" s="17"/>
      <c r="T243" s="17"/>
    </row>
    <row r="244" spans="2:20" ht="15.75" hidden="1" outlineLevel="1" x14ac:dyDescent="0.3">
      <c r="B244" s="17"/>
      <c r="C244" s="17"/>
      <c r="D244" s="17" t="s">
        <v>179</v>
      </c>
      <c r="E244" s="17"/>
      <c r="F244" s="38">
        <f>IF(NOT(ISBLANK('Referenz Plattenwerk'!$I43)),'Referenz Plattenwerk'!$I43,'Referenz Plattenwerk'!$F43)*IF(NOT(ISBLANK('Eingabe EF'!$AS28)),'Eingabe EF'!$AS28,0)*IF(NOT(ISBLANK('Referenz Plattenwerk'!$I$12)),'Referenz Plattenwerk'!$I$12,'Referenz Plattenwerk'!$F$12)</f>
        <v>0</v>
      </c>
      <c r="G244" s="38">
        <f>IF(NOT(ISBLANK('Referenz Plattenwerk'!$I43)),'Referenz Plattenwerk'!$I43,'Referenz Plattenwerk'!$F43)*IF(NOT(ISBLANK('Eingabe EF'!$AW28)),'Eingabe EF'!$AW28,0)*IF(NOT(ISBLANK('Referenz Plattenwerk'!$I$12)),'Referenz Plattenwerk'!$I$12,'Referenz Plattenwerk'!$F$12)</f>
        <v>0</v>
      </c>
      <c r="H244" s="38">
        <f>IF(NOT(ISBLANK('Referenz Plattenwerk'!$I43)),'Referenz Plattenwerk'!$I43,'Referenz Plattenwerk'!$F43)*IF(NOT(ISBLANK('Eingabe EF'!$BA28)),'Eingabe EF'!$BA28,0)*IF(NOT(ISBLANK('Referenz Plattenwerk'!$I$12)),'Referenz Plattenwerk'!$I$12,'Referenz Plattenwerk'!$F$12)</f>
        <v>0</v>
      </c>
      <c r="I244" s="17"/>
      <c r="J244" s="38">
        <f>F244+G244</f>
        <v>0</v>
      </c>
      <c r="K244" s="38">
        <f t="shared" ref="K244:K245" si="60">SUM(F244:H244)</f>
        <v>0</v>
      </c>
      <c r="L244" s="17" t="s">
        <v>198</v>
      </c>
      <c r="N244" s="17"/>
      <c r="O244" s="17"/>
      <c r="P244" s="17"/>
      <c r="Q244" s="18"/>
      <c r="R244" s="17"/>
      <c r="S244" s="18"/>
      <c r="T244" s="18"/>
    </row>
    <row r="245" spans="2:20" ht="15.75" hidden="1" outlineLevel="1" x14ac:dyDescent="0.3">
      <c r="B245" s="17"/>
      <c r="C245" s="17"/>
      <c r="D245" s="17" t="s">
        <v>180</v>
      </c>
      <c r="E245" s="17"/>
      <c r="F245" s="38">
        <f>IF(NOT(ISBLANK('Referenz Plattenwerk'!$I44)),'Referenz Plattenwerk'!$I44,'Referenz Plattenwerk'!$F44)*IF(NOT(ISBLANK('Eingabe EF'!$AS29)),'Eingabe EF'!$AS29,0)*IF(NOT(ISBLANK('Referenz Plattenwerk'!$I$12)),'Referenz Plattenwerk'!$I$12,'Referenz Plattenwerk'!$F$12)</f>
        <v>0</v>
      </c>
      <c r="G245" s="38">
        <f>IF(NOT(ISBLANK('Referenz Plattenwerk'!$I44)),'Referenz Plattenwerk'!$I44,'Referenz Plattenwerk'!$F44)*IF(NOT(ISBLANK('Eingabe EF'!$AW29)),'Eingabe EF'!$AW29,0)*IF(NOT(ISBLANK('Referenz Plattenwerk'!$I$12)),'Referenz Plattenwerk'!$I$12,'Referenz Plattenwerk'!$F$12)</f>
        <v>0</v>
      </c>
      <c r="H245" s="38">
        <f>IF(NOT(ISBLANK('Referenz Plattenwerk'!$I44)),'Referenz Plattenwerk'!$I44,'Referenz Plattenwerk'!$F44)*IF(NOT(ISBLANK('Eingabe EF'!$BA29)),'Eingabe EF'!$BA29,0)*IF(NOT(ISBLANK('Referenz Plattenwerk'!$I$12)),'Referenz Plattenwerk'!$I$12,'Referenz Plattenwerk'!$F$12)</f>
        <v>0</v>
      </c>
      <c r="I245" s="17"/>
      <c r="J245" s="38">
        <f t="shared" ref="J245" si="61">F245+G245</f>
        <v>0</v>
      </c>
      <c r="K245" s="38">
        <f t="shared" si="60"/>
        <v>0</v>
      </c>
      <c r="L245" s="17" t="s">
        <v>198</v>
      </c>
      <c r="N245" s="21" t="s">
        <v>223</v>
      </c>
      <c r="O245" s="17"/>
      <c r="P245" s="17"/>
      <c r="Q245" s="17"/>
      <c r="R245" s="17"/>
      <c r="S245" s="17"/>
      <c r="T245" s="17"/>
    </row>
    <row r="246" spans="2:20" hidden="1" outlineLevel="1" x14ac:dyDescent="0.2">
      <c r="B246" s="17"/>
      <c r="C246" s="17"/>
      <c r="D246" s="17"/>
      <c r="E246" s="17"/>
      <c r="F246" s="17"/>
      <c r="G246" s="17"/>
      <c r="H246" s="17"/>
      <c r="I246" s="17"/>
      <c r="J246" s="20"/>
      <c r="K246" s="20"/>
      <c r="L246" s="17"/>
      <c r="N246" s="17"/>
      <c r="O246" s="17" t="s">
        <v>224</v>
      </c>
      <c r="P246" s="17"/>
      <c r="Q246" s="18"/>
      <c r="R246" s="17"/>
      <c r="S246" s="42">
        <f>IF(IF(NOT(ISBLANK($G$23)),$G$23,$E$23)&gt;5,S163,0)</f>
        <v>36000</v>
      </c>
      <c r="T246" s="20" t="s">
        <v>106</v>
      </c>
    </row>
    <row r="247" spans="2:20" ht="14.25" hidden="1" outlineLevel="1" x14ac:dyDescent="0.25">
      <c r="B247" s="17"/>
      <c r="C247" s="17"/>
      <c r="D247" s="21" t="s">
        <v>57</v>
      </c>
      <c r="E247" s="21"/>
      <c r="F247" s="75">
        <f>IF(NOT(ISBLANK('Referenz Plattenwerk'!$I46)),'Referenz Plattenwerk'!$I46,'Referenz Plattenwerk'!$F46)*IF(NOT(ISBLANK('Eingabe EF'!$AS31)),'Eingabe EF'!$AS31,'Eingabe EF'!$AQ31)*IF(NOT(ISBLANK('Referenz Plattenwerk'!$I$12)),'Referenz Plattenwerk'!$I$12,'Referenz Plattenwerk'!$F$12)</f>
        <v>0</v>
      </c>
      <c r="G247" s="75">
        <f>IF(NOT(ISBLANK('Referenz Plattenwerk'!$I46)),'Referenz Plattenwerk'!$I46,'Referenz Plattenwerk'!$F46)*IF(NOT(ISBLANK('Eingabe EF'!$AW31)),'Eingabe EF'!$AW31,'Eingabe EF'!$AU31)*IF(NOT(ISBLANK('Referenz Plattenwerk'!$I$12)),'Referenz Plattenwerk'!$I$12,'Referenz Plattenwerk'!$F$12)</f>
        <v>0</v>
      </c>
      <c r="H247" s="75">
        <f>IF(NOT(ISBLANK('Referenz Plattenwerk'!$I46)),'Referenz Plattenwerk'!$I46,'Referenz Plattenwerk'!$F46)*IF(NOT(ISBLANK('Eingabe EF'!$BA31)),'Eingabe EF'!$BA31,'Eingabe EF'!$AY31)*IF(NOT(ISBLANK('Referenz Plattenwerk'!$I$12)),'Referenz Plattenwerk'!$I$12,'Referenz Plattenwerk'!$F$12)</f>
        <v>208</v>
      </c>
      <c r="I247" s="21"/>
      <c r="J247" s="75">
        <f>F247+G247</f>
        <v>0</v>
      </c>
      <c r="K247" s="75">
        <f t="shared" ref="K247" si="62">SUM(F247:H247)</f>
        <v>208</v>
      </c>
      <c r="L247" s="21" t="s">
        <v>197</v>
      </c>
      <c r="N247" s="17"/>
      <c r="O247" s="17" t="s">
        <v>225</v>
      </c>
      <c r="P247" s="17"/>
      <c r="Q247" s="17"/>
      <c r="R247" s="17"/>
      <c r="S247" s="42">
        <f>IF(NOT(ISBLANK($K$18)),$K$18,$I$18)/IF(NOT(ISBLANK($K$23)),$K$23,$I$23)+IF(NOT(ISBLANK($K$18)),$K$18,$I$18)*(IF(NOT(ISBLANK($K$24)),$K$24,$I$24)/100)</f>
        <v>0</v>
      </c>
      <c r="T247" s="20" t="s">
        <v>106</v>
      </c>
    </row>
    <row r="248" spans="2:20" hidden="1" outlineLevel="1" x14ac:dyDescent="0.2">
      <c r="B248" s="17"/>
      <c r="C248" s="17"/>
      <c r="D248" s="17"/>
      <c r="E248" s="17"/>
      <c r="F248" s="17"/>
      <c r="G248" s="17"/>
      <c r="H248" s="17"/>
      <c r="I248" s="17"/>
      <c r="J248" s="20"/>
      <c r="K248" s="20"/>
      <c r="L248" s="17"/>
      <c r="N248" s="17"/>
      <c r="O248" s="17"/>
      <c r="P248" s="17"/>
      <c r="Q248" s="18"/>
      <c r="R248" s="17"/>
      <c r="S248" s="18"/>
      <c r="T248" s="18"/>
    </row>
    <row r="249" spans="2:20" ht="14.25" hidden="1" outlineLevel="1" x14ac:dyDescent="0.25">
      <c r="B249" s="70"/>
      <c r="C249" s="70" t="s">
        <v>181</v>
      </c>
      <c r="D249" s="71"/>
      <c r="E249" s="71"/>
      <c r="F249" s="72">
        <f>SUM(F250:F252)</f>
        <v>0</v>
      </c>
      <c r="G249" s="72">
        <f t="shared" ref="G249:H249" si="63">SUM(G250:G252)</f>
        <v>0</v>
      </c>
      <c r="H249" s="72">
        <f t="shared" si="63"/>
        <v>81.003999999999991</v>
      </c>
      <c r="I249" s="71"/>
      <c r="J249" s="72">
        <f t="shared" ref="J249" si="64">F249+G249</f>
        <v>0</v>
      </c>
      <c r="K249" s="72">
        <f t="shared" ref="K249" si="65">SUM(F249:H249)</f>
        <v>81.003999999999991</v>
      </c>
      <c r="L249" s="77" t="s">
        <v>197</v>
      </c>
      <c r="N249" s="17"/>
      <c r="O249" s="17" t="s">
        <v>227</v>
      </c>
      <c r="P249" s="17"/>
      <c r="Q249" s="17"/>
      <c r="R249" s="17"/>
      <c r="S249" s="42">
        <f>IF(IF(NOT(ISBLANK($G$23)),$G$23,$E$23)&gt;5,S165,0)</f>
        <v>0</v>
      </c>
      <c r="T249" s="20" t="s">
        <v>106</v>
      </c>
    </row>
    <row r="250" spans="2:20" ht="15.75" hidden="1" outlineLevel="1" x14ac:dyDescent="0.3">
      <c r="B250" s="17"/>
      <c r="C250" s="17"/>
      <c r="D250" s="17" t="s">
        <v>59</v>
      </c>
      <c r="E250" s="17"/>
      <c r="F250" s="38">
        <f>IF(NOT(ISBLANK('Referenz Plattenwerk'!$I49)),'Referenz Plattenwerk'!$I49,'Referenz Plattenwerk'!$F49)*IF(NOT(ISBLANK('Eingabe EF'!$AS34)),'Eingabe EF'!$AS34,'Eingabe EF'!$AQ34)*IF(NOT(ISBLANK('Referenz Plattenwerk'!$I$12)),'Referenz Plattenwerk'!$I$12,'Referenz Plattenwerk'!$F$12)</f>
        <v>0</v>
      </c>
      <c r="G250" s="38">
        <f>IF(NOT(ISBLANK('Referenz Plattenwerk'!$I49)),'Referenz Plattenwerk'!$I49,'Referenz Plattenwerk'!$F49)*IF(NOT(ISBLANK('Eingabe EF'!$AW34)),'Eingabe EF'!$AW34,'Eingabe EF'!$AU34)*IF(NOT(ISBLANK('Referenz Plattenwerk'!$I$12)),'Referenz Plattenwerk'!$I$12,'Referenz Plattenwerk'!$F$12)</f>
        <v>0</v>
      </c>
      <c r="H250" s="38">
        <f>IF(NOT(ISBLANK('Referenz Plattenwerk'!$I49)),'Referenz Plattenwerk'!$I49,'Referenz Plattenwerk'!$F49)*IF(NOT(ISBLANK('Eingabe EF'!$BA34)),'Eingabe EF'!$BA34,'Eingabe EF'!$AY34)*IF(NOT(ISBLANK('Referenz Plattenwerk'!$I$12)),'Referenz Plattenwerk'!$I$12,'Referenz Plattenwerk'!$F$12)</f>
        <v>0</v>
      </c>
      <c r="I250" s="17"/>
      <c r="J250" s="38">
        <f>F250+G250</f>
        <v>0</v>
      </c>
      <c r="K250" s="38">
        <f>SUM(F250:H250)</f>
        <v>0</v>
      </c>
      <c r="L250" s="17" t="s">
        <v>198</v>
      </c>
      <c r="N250" s="17"/>
      <c r="O250" s="17" t="s">
        <v>228</v>
      </c>
      <c r="P250" s="17"/>
      <c r="Q250" s="18"/>
      <c r="R250" s="17"/>
      <c r="S250" s="42">
        <f>IF(NOT(ISBLANK($K$20)),$K$20,$I$20)/IF(NOT(ISBLANK($K$23)),$K$23,$I$23)+IF(NOT(ISBLANK($K$20)),$K$20,$I$20)*(IF(NOT(ISBLANK($K$24)),$K$24,$I$24)/100)</f>
        <v>0</v>
      </c>
      <c r="T250" s="20" t="s">
        <v>106</v>
      </c>
    </row>
    <row r="251" spans="2:20" ht="15.75" hidden="1" outlineLevel="1" x14ac:dyDescent="0.3">
      <c r="B251" s="17"/>
      <c r="C251" s="17"/>
      <c r="D251" s="17" t="s">
        <v>60</v>
      </c>
      <c r="E251" s="17"/>
      <c r="F251" s="38">
        <f>IF(NOT(ISBLANK('Referenz Plattenwerk'!$I50)),'Referenz Plattenwerk'!$I50,'Referenz Plattenwerk'!$F50)*IF(NOT(ISBLANK('Eingabe EF'!$AS35)),'Eingabe EF'!$AS35,'Eingabe EF'!$AQ35)*IF(NOT(ISBLANK('Referenz Plattenwerk'!$I$12)),'Referenz Plattenwerk'!$I$12,'Referenz Plattenwerk'!$F$12)</f>
        <v>0</v>
      </c>
      <c r="G251" s="38">
        <f>IF(NOT(ISBLANK('Referenz Plattenwerk'!$I50)),'Referenz Plattenwerk'!$I50,'Referenz Plattenwerk'!$F50)*IF(NOT(ISBLANK('Eingabe EF'!$AW35)),'Eingabe EF'!$AW35,'Eingabe EF'!$AU35)*IF(NOT(ISBLANK('Referenz Plattenwerk'!$I$12)),'Referenz Plattenwerk'!$I$12,'Referenz Plattenwerk'!$F$12)</f>
        <v>0</v>
      </c>
      <c r="H251" s="38">
        <f>IF(NOT(ISBLANK('Referenz Plattenwerk'!$I50)),'Referenz Plattenwerk'!$I50,'Referenz Plattenwerk'!$F50)*IF(NOT(ISBLANK('Eingabe EF'!$BA35)),'Eingabe EF'!$BA35,'Eingabe EF'!$AY35)*IF(NOT(ISBLANK('Referenz Plattenwerk'!$I$12)),'Referenz Plattenwerk'!$I$12,'Referenz Plattenwerk'!$F$12)</f>
        <v>8.6840000000000011</v>
      </c>
      <c r="I251" s="17"/>
      <c r="J251" s="38">
        <f>F251+G251</f>
        <v>0</v>
      </c>
      <c r="K251" s="38">
        <f>SUM(F251:H251)</f>
        <v>8.6840000000000011</v>
      </c>
      <c r="L251" s="17" t="s">
        <v>198</v>
      </c>
      <c r="N251" s="17"/>
      <c r="O251" s="17"/>
      <c r="P251" s="17"/>
      <c r="Q251" s="18"/>
      <c r="R251" s="17"/>
      <c r="S251" s="18"/>
      <c r="T251" s="18"/>
    </row>
    <row r="252" spans="2:20" ht="15.75" hidden="1" outlineLevel="1" x14ac:dyDescent="0.3">
      <c r="B252" s="17"/>
      <c r="C252" s="17"/>
      <c r="D252" s="17" t="s">
        <v>61</v>
      </c>
      <c r="E252" s="17"/>
      <c r="F252" s="38">
        <f>IF(NOT(ISBLANK('Referenz Plattenwerk'!$I51)),'Referenz Plattenwerk'!$I51,'Referenz Plattenwerk'!$F51)*IF(NOT(ISBLANK('Eingabe EF'!$AS36)),'Eingabe EF'!$AS36,'Eingabe EF'!$AQ36)*IF(NOT(ISBLANK('Referenz Plattenwerk'!$I$12)),'Referenz Plattenwerk'!$I$12,'Referenz Plattenwerk'!$F$12)</f>
        <v>0</v>
      </c>
      <c r="G252" s="38">
        <f>IF(NOT(ISBLANK('Referenz Plattenwerk'!$I51)),'Referenz Plattenwerk'!$I51,'Referenz Plattenwerk'!$F51)*IF(NOT(ISBLANK('Eingabe EF'!$AW36)),'Eingabe EF'!$AW36,'Eingabe EF'!$AU36)*IF(NOT(ISBLANK('Referenz Plattenwerk'!$I$12)),'Referenz Plattenwerk'!$I$12,'Referenz Plattenwerk'!$F$12)</f>
        <v>0</v>
      </c>
      <c r="H252" s="38">
        <f>IF(NOT(ISBLANK('Referenz Plattenwerk'!$I51)),'Referenz Plattenwerk'!$I51,'Referenz Plattenwerk'!$F51)*IF(NOT(ISBLANK('Eingabe EF'!$BA36)),'Eingabe EF'!$BA36,'Eingabe EF'!$AY36)*IF(NOT(ISBLANK('Referenz Plattenwerk'!$I$12)),'Referenz Plattenwerk'!$I$12,'Referenz Plattenwerk'!$F$12)</f>
        <v>72.319999999999993</v>
      </c>
      <c r="I252" s="17"/>
      <c r="J252" s="38">
        <f>F252+G252</f>
        <v>0</v>
      </c>
      <c r="K252" s="38">
        <f>SUM(F252:H252)</f>
        <v>72.319999999999993</v>
      </c>
      <c r="L252" s="17" t="s">
        <v>198</v>
      </c>
      <c r="N252" s="17"/>
      <c r="O252" s="17"/>
      <c r="P252" s="17"/>
      <c r="Q252" s="17"/>
      <c r="R252" s="17"/>
      <c r="S252" s="17"/>
      <c r="T252" s="17"/>
    </row>
    <row r="253" spans="2:20" hidden="1" outlineLevel="1" x14ac:dyDescent="0.2">
      <c r="B253" s="17"/>
      <c r="C253" s="17"/>
      <c r="D253" s="17"/>
      <c r="E253" s="17"/>
      <c r="F253" s="17"/>
      <c r="G253" s="17"/>
      <c r="H253" s="17"/>
      <c r="I253" s="17"/>
      <c r="J253" s="17"/>
      <c r="K253" s="20"/>
      <c r="L253" s="20"/>
      <c r="N253" s="17"/>
      <c r="O253" s="17"/>
      <c r="P253" s="17"/>
      <c r="Q253" s="18"/>
      <c r="R253" s="17"/>
      <c r="S253" s="18"/>
      <c r="T253" s="18"/>
    </row>
    <row r="254" spans="2:20" ht="14.25" hidden="1" outlineLevel="1" x14ac:dyDescent="0.25">
      <c r="B254" s="70"/>
      <c r="C254" s="70" t="s">
        <v>51</v>
      </c>
      <c r="D254" s="71"/>
      <c r="E254" s="71"/>
      <c r="F254" s="72">
        <f>SUM(F255:F258)</f>
        <v>0</v>
      </c>
      <c r="G254" s="72">
        <f t="shared" ref="G254:H254" si="66">SUM(G255:G258)</f>
        <v>0</v>
      </c>
      <c r="H254" s="72">
        <f t="shared" si="66"/>
        <v>148.44746134951595</v>
      </c>
      <c r="I254" s="71"/>
      <c r="J254" s="72">
        <f t="shared" ref="J254:J258" si="67">F254+G254</f>
        <v>0</v>
      </c>
      <c r="K254" s="72">
        <f t="shared" ref="K254" si="68">SUM(F254:H254)</f>
        <v>148.44746134951595</v>
      </c>
      <c r="L254" s="77" t="s">
        <v>197</v>
      </c>
    </row>
    <row r="255" spans="2:20" ht="15.75" hidden="1" outlineLevel="1" x14ac:dyDescent="0.3">
      <c r="B255" s="17"/>
      <c r="C255" s="17"/>
      <c r="D255" s="17" t="s">
        <v>52</v>
      </c>
      <c r="E255" s="17"/>
      <c r="F255"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55"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55"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55" s="17"/>
      <c r="J255" s="38">
        <f t="shared" si="67"/>
        <v>0</v>
      </c>
      <c r="K255" s="38">
        <f t="shared" ref="K255:K258" si="69">SUM(F255:H255)</f>
        <v>47.997919375812742</v>
      </c>
      <c r="L255" s="17" t="s">
        <v>198</v>
      </c>
    </row>
    <row r="256" spans="2:20" ht="15.75" hidden="1" outlineLevel="1" x14ac:dyDescent="0.3">
      <c r="B256" s="17"/>
      <c r="C256" s="17"/>
      <c r="D256" s="17" t="s">
        <v>54</v>
      </c>
      <c r="E256" s="17"/>
      <c r="F256"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56"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56"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56" s="17"/>
      <c r="J256" s="38">
        <f t="shared" si="67"/>
        <v>0</v>
      </c>
      <c r="K256" s="38">
        <f t="shared" si="69"/>
        <v>5.7797543707556596</v>
      </c>
      <c r="L256" s="17" t="s">
        <v>198</v>
      </c>
    </row>
    <row r="257" spans="2:12" ht="15.75" hidden="1" outlineLevel="1" x14ac:dyDescent="0.3">
      <c r="B257" s="17"/>
      <c r="C257" s="17"/>
      <c r="D257" s="17" t="s">
        <v>55</v>
      </c>
      <c r="E257" s="17"/>
      <c r="F257"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57"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57"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57" s="17"/>
      <c r="J257" s="38">
        <f t="shared" si="67"/>
        <v>0</v>
      </c>
      <c r="K257" s="38">
        <f t="shared" si="69"/>
        <v>1.4217598612917211E-2</v>
      </c>
      <c r="L257" s="17" t="s">
        <v>198</v>
      </c>
    </row>
    <row r="258" spans="2:12" ht="15.75" hidden="1" outlineLevel="1" x14ac:dyDescent="0.3">
      <c r="B258" s="17"/>
      <c r="C258" s="17"/>
      <c r="D258" s="17" t="s">
        <v>56</v>
      </c>
      <c r="E258" s="17"/>
      <c r="F258"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58"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58"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58" s="17"/>
      <c r="J258" s="38">
        <f t="shared" si="67"/>
        <v>0</v>
      </c>
      <c r="K258" s="38">
        <f t="shared" si="69"/>
        <v>94.655570004334635</v>
      </c>
      <c r="L258" s="17" t="s">
        <v>198</v>
      </c>
    </row>
    <row r="259" spans="2:12" hidden="1" outlineLevel="1" x14ac:dyDescent="0.2">
      <c r="B259" s="17"/>
      <c r="C259" s="17"/>
      <c r="D259" s="17"/>
      <c r="E259" s="17"/>
      <c r="F259" s="17"/>
      <c r="G259" s="17"/>
      <c r="H259" s="17"/>
      <c r="I259" s="17"/>
      <c r="J259" s="17"/>
      <c r="K259" s="17"/>
      <c r="L259" s="20"/>
    </row>
    <row r="260" spans="2:12" ht="14.25" hidden="1" outlineLevel="1" x14ac:dyDescent="0.25">
      <c r="B260" s="17"/>
      <c r="C260" s="17"/>
      <c r="D260" s="21" t="s">
        <v>110</v>
      </c>
      <c r="E260" s="21"/>
      <c r="F260" s="75">
        <f>IF(NOT(ISBLANK('Referenz Plattenwerk'!$I59)),'Referenz Plattenwerk'!$I59,'Referenz Plattenwerk'!$F59)*IF(NOT(ISBLANK('Eingabe EF'!$AS44)),'Eingabe EF'!$AS44,0)*IF(NOT(ISBLANK('Referenz Plattenwerk'!$I$12)),'Referenz Plattenwerk'!$I$12,'Referenz Plattenwerk'!$F$12)</f>
        <v>0</v>
      </c>
      <c r="G260" s="75">
        <f>IF(NOT(ISBLANK('Referenz Plattenwerk'!$I59)),'Referenz Plattenwerk'!$I59,'Referenz Plattenwerk'!$F59)*IF(NOT(ISBLANK('Eingabe EF'!$AW44)),'Eingabe EF'!$AW44,0)*IF(NOT(ISBLANK('Referenz Plattenwerk'!$I$12)),'Referenz Plattenwerk'!$I$12,'Referenz Plattenwerk'!$F$12)</f>
        <v>0</v>
      </c>
      <c r="H260" s="75">
        <f>IF(NOT(ISBLANK('Referenz Plattenwerk'!$I59)),'Referenz Plattenwerk'!$I59,'Referenz Plattenwerk'!$F59)*IF(NOT(ISBLANK('Eingabe EF'!$BA44)),'Eingabe EF'!$BA44,0)*IF(NOT(ISBLANK('Referenz Plattenwerk'!$I$12)),'Referenz Plattenwerk'!$I$12,'Referenz Plattenwerk'!$F$12)</f>
        <v>0</v>
      </c>
      <c r="I260" s="21"/>
      <c r="J260" s="75">
        <f>F260+G260</f>
        <v>0</v>
      </c>
      <c r="K260" s="75">
        <f>SUM(F260:H260)</f>
        <v>0</v>
      </c>
      <c r="L260" s="21" t="s">
        <v>197</v>
      </c>
    </row>
    <row r="261" spans="2:12" ht="14.25" hidden="1" outlineLevel="1" x14ac:dyDescent="0.25">
      <c r="B261" s="17"/>
      <c r="C261" s="17"/>
      <c r="D261" s="21" t="s">
        <v>64</v>
      </c>
      <c r="E261" s="21"/>
      <c r="F261" s="76">
        <f>IF(NOT(ISBLANK('Referenz Plattenwerk'!$I60)),'Referenz Plattenwerk'!$I60,'Referenz Plattenwerk'!$F60)*IF(NOT(ISBLANK('Eingabe EF'!$AS45)),'Eingabe EF'!$AS45,'Eingabe EF'!$AQ45)</f>
        <v>0</v>
      </c>
      <c r="G261" s="76">
        <f>IF(NOT(ISBLANK('Referenz Plattenwerk'!$I60)),'Referenz Plattenwerk'!$I60,'Referenz Plattenwerk'!$F60)*IF(NOT(ISBLANK('Eingabe EF'!$AW45)),'Eingabe EF'!$AW45,'Eingabe EF'!$AU45)</f>
        <v>0</v>
      </c>
      <c r="H261" s="76">
        <f>IF(NOT(ISBLANK('Referenz Plattenwerk'!$I60)),'Referenz Plattenwerk'!$I60,'Referenz Plattenwerk'!$F60)*IF(NOT(ISBLANK('Eingabe EF'!$BA45)),'Eingabe EF'!$BA45,'Eingabe EF'!$AY45)</f>
        <v>0.54400000000000004</v>
      </c>
      <c r="I261" s="21"/>
      <c r="J261" s="75">
        <f>F261+G261</f>
        <v>0</v>
      </c>
      <c r="K261" s="75">
        <f>SUM(F261:H261)</f>
        <v>0.54400000000000004</v>
      </c>
      <c r="L261" s="21" t="s">
        <v>197</v>
      </c>
    </row>
    <row r="262" spans="2:12" hidden="1" outlineLevel="1" x14ac:dyDescent="0.2">
      <c r="B262" s="17"/>
      <c r="C262" s="17"/>
      <c r="D262" s="17"/>
      <c r="E262" s="17"/>
      <c r="F262" s="17"/>
      <c r="G262" s="17"/>
      <c r="H262" s="17"/>
      <c r="I262" s="17"/>
      <c r="J262" s="17"/>
      <c r="K262" s="17"/>
      <c r="L262" s="20"/>
    </row>
    <row r="263" spans="2:12" ht="14.25" hidden="1" outlineLevel="1" x14ac:dyDescent="0.25">
      <c r="B263" s="70"/>
      <c r="C263" s="70" t="s">
        <v>182</v>
      </c>
      <c r="D263" s="71"/>
      <c r="E263" s="71"/>
      <c r="F263" s="72">
        <f>SUM(F264:F266)</f>
        <v>0</v>
      </c>
      <c r="G263" s="72">
        <f t="shared" ref="G263:H263" si="70">SUM(G264:G266)</f>
        <v>0</v>
      </c>
      <c r="H263" s="72">
        <f t="shared" si="70"/>
        <v>80.47999999999999</v>
      </c>
      <c r="I263" s="71"/>
      <c r="J263" s="72">
        <f t="shared" ref="J263" si="71">F263+G263</f>
        <v>0</v>
      </c>
      <c r="K263" s="72">
        <f t="shared" ref="K263" si="72">SUM(F263:H263)</f>
        <v>80.47999999999999</v>
      </c>
      <c r="L263" s="77" t="s">
        <v>197</v>
      </c>
    </row>
    <row r="264" spans="2:12" ht="15.75" hidden="1" outlineLevel="1" x14ac:dyDescent="0.3">
      <c r="B264" s="17"/>
      <c r="C264" s="17"/>
      <c r="D264" s="17" t="s">
        <v>183</v>
      </c>
      <c r="E264" s="17"/>
      <c r="F264" s="38">
        <f>IF(NOT(ISBLANK('Referenz Plattenwerk'!$I63)),'Referenz Plattenwerk'!$I63,'Referenz Plattenwerk'!$F63)*IF(NOT(ISBLANK('Eingabe EF'!$AS48)),'Eingabe EF'!$AS48,0)*IF(NOT(ISBLANK('Referenz Plattenwerk'!$I$12)),'Referenz Plattenwerk'!$I$12,'Referenz Plattenwerk'!$F$12)</f>
        <v>0</v>
      </c>
      <c r="G264" s="38">
        <f>IF(NOT(ISBLANK('Referenz Plattenwerk'!$I63)),'Referenz Plattenwerk'!$I63,'Referenz Plattenwerk'!$F63)*IF(NOT(ISBLANK('Eingabe EF'!$AW48)),'Eingabe EF'!$AW48,0)*IF(NOT(ISBLANK('Referenz Plattenwerk'!$I$12)),'Referenz Plattenwerk'!$I$12,'Referenz Plattenwerk'!$F$12)</f>
        <v>0</v>
      </c>
      <c r="H264" s="38">
        <f>IF(NOT(ISBLANK('Referenz Plattenwerk'!$I63)),'Referenz Plattenwerk'!$I63,'Referenz Plattenwerk'!$F63)*IF(NOT(ISBLANK('Eingabe EF'!$BA48)),'Eingabe EF'!$BA48,0)*IF(NOT(ISBLANK('Referenz Plattenwerk'!$I$12)),'Referenz Plattenwerk'!$I$12,'Referenz Plattenwerk'!$F$12)</f>
        <v>0</v>
      </c>
      <c r="I264" s="17"/>
      <c r="J264" s="38">
        <f>F264+G264</f>
        <v>0</v>
      </c>
      <c r="K264" s="38">
        <f>SUM(F264:H264)</f>
        <v>0</v>
      </c>
      <c r="L264" s="17" t="s">
        <v>198</v>
      </c>
    </row>
    <row r="265" spans="2:12" ht="15.75" hidden="1" outlineLevel="1" x14ac:dyDescent="0.3">
      <c r="B265" s="17"/>
      <c r="C265" s="17"/>
      <c r="D265" s="17" t="s">
        <v>62</v>
      </c>
      <c r="E265" s="17"/>
      <c r="F265" s="38">
        <f>IF(NOT(ISBLANK('Referenz Plattenwerk'!$I64)),'Referenz Plattenwerk'!$I64,'Referenz Plattenwerk'!$F64)*IF(NOT(ISBLANK('Eingabe EF'!$AS49)),'Eingabe EF'!$AS49,'Eingabe EF'!$AQ49)*IF(NOT(ISBLANK('Referenz Plattenwerk'!$I$12)),'Referenz Plattenwerk'!$I$12,'Referenz Plattenwerk'!$F$12)</f>
        <v>0</v>
      </c>
      <c r="G265" s="38">
        <f>IF(NOT(ISBLANK('Referenz Plattenwerk'!$I64)),'Referenz Plattenwerk'!$I64,'Referenz Plattenwerk'!$F64)*IF(NOT(ISBLANK('Eingabe EF'!$AW49)),'Eingabe EF'!$AW49,'Eingabe EF'!$AU49)*IF(NOT(ISBLANK('Referenz Plattenwerk'!$I$12)),'Referenz Plattenwerk'!$I$12,'Referenz Plattenwerk'!$F$12)</f>
        <v>0</v>
      </c>
      <c r="H265" s="38">
        <f>IF(NOT(ISBLANK('Referenz Plattenwerk'!$I64)),'Referenz Plattenwerk'!$I64,'Referenz Plattenwerk'!$F64)*IF(NOT(ISBLANK('Eingabe EF'!$BA49)),'Eingabe EF'!$BA49,'Eingabe EF'!$AY49)*IF(NOT(ISBLANK('Referenz Plattenwerk'!$I$12)),'Referenz Plattenwerk'!$I$12,'Referenz Plattenwerk'!$F$12)</f>
        <v>80.47999999999999</v>
      </c>
      <c r="I265" s="17"/>
      <c r="J265" s="38">
        <f t="shared" ref="J265" si="73">F265+G265</f>
        <v>0</v>
      </c>
      <c r="K265" s="38">
        <f t="shared" ref="K265" si="74">SUM(F265:H265)</f>
        <v>80.47999999999999</v>
      </c>
      <c r="L265" s="17" t="s">
        <v>198</v>
      </c>
    </row>
    <row r="266" spans="2:12" ht="15.75" hidden="1" outlineLevel="1" x14ac:dyDescent="0.3">
      <c r="B266" s="17"/>
      <c r="C266" s="17"/>
      <c r="D266" s="17" t="s">
        <v>184</v>
      </c>
      <c r="E266" s="17"/>
      <c r="F266" s="38">
        <f>IF(NOT(ISBLANK('Referenz Plattenwerk'!$I65)),'Referenz Plattenwerk'!$I65,'Referenz Plattenwerk'!$F65)*IF(NOT(ISBLANK('Eingabe EF'!$AS50)),'Eingabe EF'!$AS50,0)*IF(NOT(ISBLANK('Referenz Plattenwerk'!$I$12)),'Referenz Plattenwerk'!$I$12,'Referenz Plattenwerk'!$F$12)</f>
        <v>0</v>
      </c>
      <c r="G266" s="38">
        <f>IF(NOT(ISBLANK('Referenz Plattenwerk'!$I65)),'Referenz Plattenwerk'!$I65,'Referenz Plattenwerk'!$F65)*IF(NOT(ISBLANK('Eingabe EF'!$AW50)),'Eingabe EF'!$AW50,0)*IF(NOT(ISBLANK('Referenz Plattenwerk'!$I$12)),'Referenz Plattenwerk'!$I$12,'Referenz Plattenwerk'!$F$12)</f>
        <v>0</v>
      </c>
      <c r="H266" s="38">
        <f>IF(NOT(ISBLANK('Referenz Plattenwerk'!$I65)),'Referenz Plattenwerk'!$I65,'Referenz Plattenwerk'!$F65)*IF(NOT(ISBLANK('Eingabe EF'!$BA50)),'Eingabe EF'!$BA50,0)*IF(NOT(ISBLANK('Referenz Plattenwerk'!$I$12)),'Referenz Plattenwerk'!$I$12,'Referenz Plattenwerk'!$F$12)</f>
        <v>0</v>
      </c>
      <c r="I266" s="17"/>
      <c r="J266" s="38">
        <f>F266+G266</f>
        <v>0</v>
      </c>
      <c r="K266" s="38">
        <f>SUM(F266:H266)</f>
        <v>0</v>
      </c>
      <c r="L266" s="17" t="s">
        <v>198</v>
      </c>
    </row>
    <row r="267" spans="2:12" hidden="1" outlineLevel="1" x14ac:dyDescent="0.2">
      <c r="B267" s="17"/>
      <c r="C267" s="17"/>
      <c r="D267" s="17"/>
      <c r="E267" s="17"/>
      <c r="F267" s="17"/>
      <c r="G267" s="17"/>
      <c r="H267" s="17"/>
      <c r="I267" s="17"/>
      <c r="J267" s="17"/>
      <c r="K267" s="17"/>
      <c r="L267" s="20"/>
    </row>
    <row r="268" spans="2:12" ht="14.25" hidden="1" outlineLevel="1" x14ac:dyDescent="0.25">
      <c r="B268" s="70"/>
      <c r="C268" s="70" t="s">
        <v>185</v>
      </c>
      <c r="D268" s="71"/>
      <c r="E268" s="71"/>
      <c r="F268" s="72">
        <f>SUM(F269:F271)</f>
        <v>0</v>
      </c>
      <c r="G268" s="72">
        <f t="shared" ref="G268:H268" si="75">SUM(G269:G271)</f>
        <v>0</v>
      </c>
      <c r="H268" s="72">
        <f t="shared" si="75"/>
        <v>60</v>
      </c>
      <c r="I268" s="71"/>
      <c r="J268" s="72">
        <f t="shared" ref="J268" si="76">F268+G268</f>
        <v>0</v>
      </c>
      <c r="K268" s="72">
        <f t="shared" ref="K268" si="77">SUM(F268:H268)</f>
        <v>60</v>
      </c>
      <c r="L268" s="77" t="s">
        <v>197</v>
      </c>
    </row>
    <row r="269" spans="2:12" ht="15.75" hidden="1" outlineLevel="1" x14ac:dyDescent="0.3">
      <c r="B269" s="17"/>
      <c r="C269" s="17"/>
      <c r="D269" s="17" t="s">
        <v>66</v>
      </c>
      <c r="E269" s="17"/>
      <c r="F269" s="44">
        <f>IF(NOT(ISBLANK('Referenz Plattenwerk'!$I68)),'Referenz Plattenwerk'!$I68,'Referenz Plattenwerk'!$F68)*IF(NOT(ISBLANK('Eingabe EF'!$AS53)),'Eingabe EF'!$AS53,'Eingabe EF'!$AQ53)</f>
        <v>0</v>
      </c>
      <c r="G269" s="44">
        <f>IF(NOT(ISBLANK('Referenz Plattenwerk'!$I68)),'Referenz Plattenwerk'!$I68,'Referenz Plattenwerk'!$F68)*IF(NOT(ISBLANK('Eingabe EF'!$AW53)),'Eingabe EF'!$AW53,'Eingabe EF'!$AU53)</f>
        <v>0</v>
      </c>
      <c r="H269" s="44">
        <f>IF(NOT(ISBLANK('Referenz Plattenwerk'!$I68)),'Referenz Plattenwerk'!$I68,'Referenz Plattenwerk'!$F68)*IF(NOT(ISBLANK('Eingabe EF'!$BA53)),'Eingabe EF'!$BA53,'Eingabe EF'!$AY53)</f>
        <v>60</v>
      </c>
      <c r="I269" s="17"/>
      <c r="J269" s="38">
        <f>F269+G269</f>
        <v>0</v>
      </c>
      <c r="K269" s="38">
        <f>SUM(F269:H269)</f>
        <v>60</v>
      </c>
      <c r="L269" s="17" t="s">
        <v>198</v>
      </c>
    </row>
    <row r="270" spans="2:12" ht="15.75" hidden="1" outlineLevel="1" x14ac:dyDescent="0.3">
      <c r="B270" s="17"/>
      <c r="C270" s="17"/>
      <c r="D270" s="17" t="s">
        <v>187</v>
      </c>
      <c r="E270" s="17"/>
      <c r="F270" s="44">
        <f>IF(NOT(ISBLANK('Referenz Plattenwerk'!$I69)),'Referenz Plattenwerk'!$I69,'Referenz Plattenwerk'!$F69)*IF(NOT(ISBLANK('Eingabe EF'!$AS54)),'Eingabe EF'!$AS54,0)</f>
        <v>0</v>
      </c>
      <c r="G270" s="44">
        <f>IF(NOT(ISBLANK('Referenz Plattenwerk'!$I69)),'Referenz Plattenwerk'!$I69,'Referenz Plattenwerk'!$F69)*IF(NOT(ISBLANK('Eingabe EF'!$AW54)),'Eingabe EF'!$AW54,0)</f>
        <v>0</v>
      </c>
      <c r="H270" s="44">
        <f>IF(NOT(ISBLANK('Referenz Plattenwerk'!$I69)),'Referenz Plattenwerk'!$I69,'Referenz Plattenwerk'!$F69)*IF(NOT(ISBLANK('Eingabe EF'!$BA54)),'Eingabe EF'!$BA54,0)</f>
        <v>0</v>
      </c>
      <c r="I270" s="17"/>
      <c r="J270" s="38">
        <f t="shared" ref="J270:J271" si="78">F270+G270</f>
        <v>0</v>
      </c>
      <c r="K270" s="38">
        <f t="shared" ref="K270:K271" si="79">SUM(F270:H270)</f>
        <v>0</v>
      </c>
      <c r="L270" s="17" t="s">
        <v>198</v>
      </c>
    </row>
    <row r="271" spans="2:12" ht="15.75" hidden="1" outlineLevel="1" x14ac:dyDescent="0.3">
      <c r="B271" s="17"/>
      <c r="C271" s="17"/>
      <c r="D271" s="17" t="s">
        <v>186</v>
      </c>
      <c r="E271" s="17"/>
      <c r="F271" s="44">
        <f>IF(NOT(ISBLANK('Referenz Plattenwerk'!$I70)),'Referenz Plattenwerk'!$I70,'Referenz Plattenwerk'!$F70)*IF(NOT(ISBLANK('Eingabe EF'!$AS55)),'Eingabe EF'!$AS55,0)</f>
        <v>0</v>
      </c>
      <c r="G271" s="44">
        <f>IF(NOT(ISBLANK('Referenz Plattenwerk'!$I70)),'Referenz Plattenwerk'!$I70,'Referenz Plattenwerk'!$F70)*IF(NOT(ISBLANK('Eingabe EF'!$AW55)),'Eingabe EF'!$AW55,0)</f>
        <v>0</v>
      </c>
      <c r="H271" s="44">
        <f>IF(NOT(ISBLANK('Referenz Plattenwerk'!$I70)),'Referenz Plattenwerk'!$I70,'Referenz Plattenwerk'!$F70)*IF(NOT(ISBLANK('Eingabe EF'!$BA55)),'Eingabe EF'!$BA55,0)</f>
        <v>0</v>
      </c>
      <c r="I271" s="17"/>
      <c r="J271" s="38">
        <f t="shared" si="78"/>
        <v>0</v>
      </c>
      <c r="K271" s="38">
        <f t="shared" si="79"/>
        <v>0</v>
      </c>
      <c r="L271" s="17" t="s">
        <v>198</v>
      </c>
    </row>
    <row r="272" spans="2:12" hidden="1" outlineLevel="1" x14ac:dyDescent="0.2">
      <c r="B272" s="17"/>
      <c r="C272" s="17"/>
      <c r="D272" s="17"/>
      <c r="E272" s="17"/>
      <c r="F272" s="17"/>
      <c r="G272" s="17"/>
      <c r="H272" s="17"/>
      <c r="I272" s="17"/>
      <c r="J272" s="17"/>
      <c r="K272" s="17"/>
      <c r="L272" s="20"/>
    </row>
    <row r="273" spans="2:12" ht="14.25" hidden="1" outlineLevel="1" x14ac:dyDescent="0.25">
      <c r="B273" s="17"/>
      <c r="C273" s="17"/>
      <c r="D273" s="21" t="s">
        <v>63</v>
      </c>
      <c r="E273" s="21"/>
      <c r="F273" s="76">
        <f>IF(NOT(ISBLANK('Referenz Plattenwerk'!$I72)),'Referenz Plattenwerk'!$I72,'Referenz Plattenwerk'!$F72)*IF(NOT(ISBLANK('Eingabe EF'!$AS57)),'Eingabe EF'!$AS57,'Eingabe EF'!$AQ57)</f>
        <v>0</v>
      </c>
      <c r="G273" s="76">
        <f>IF(NOT(ISBLANK('Referenz Plattenwerk'!$I72)),'Referenz Plattenwerk'!$I72,'Referenz Plattenwerk'!$F72)*IF(NOT(ISBLANK('Eingabe EF'!$AW57)),'Eingabe EF'!$AW57,'Eingabe EF'!$AU57)</f>
        <v>0</v>
      </c>
      <c r="H273" s="76">
        <f>IF(NOT(ISBLANK('Referenz Plattenwerk'!$I72)),'Referenz Plattenwerk'!$I72,'Referenz Plattenwerk'!$F72)*IF(NOT(ISBLANK('Eingabe EF'!$BA57)),'Eingabe EF'!$BA57,'Eingabe EF'!$AY57)</f>
        <v>64.48</v>
      </c>
      <c r="I273" s="21"/>
      <c r="J273" s="75">
        <f t="shared" ref="J273" si="80">F273+G273</f>
        <v>0</v>
      </c>
      <c r="K273" s="75">
        <f t="shared" ref="K273" si="81">SUM(F273:H273)</f>
        <v>64.48</v>
      </c>
      <c r="L273" s="21" t="s">
        <v>197</v>
      </c>
    </row>
    <row r="274" spans="2:12" hidden="1" outlineLevel="1" x14ac:dyDescent="0.2">
      <c r="B274" s="17"/>
      <c r="C274" s="17"/>
      <c r="D274" s="17"/>
      <c r="E274" s="17"/>
      <c r="F274" s="20"/>
      <c r="G274" s="20"/>
      <c r="H274" s="20"/>
      <c r="I274" s="17"/>
      <c r="J274" s="17"/>
      <c r="K274" s="20"/>
      <c r="L274" s="20"/>
    </row>
    <row r="275" spans="2:12" ht="15" hidden="1" outlineLevel="1" thickBot="1" x14ac:dyDescent="0.3">
      <c r="B275" s="17"/>
      <c r="C275" s="17"/>
      <c r="D275" s="68" t="s">
        <v>69</v>
      </c>
      <c r="E275" s="68"/>
      <c r="F275" s="69">
        <f>SUM(F218:F273)-F232-F236-F242-F249-F254-F263-F268</f>
        <v>94.932355060000006</v>
      </c>
      <c r="G275" s="69">
        <f t="shared" ref="G275:H275" si="82">SUM(G218:G273)-G232-G236-G242-G249-G254-G263-G268</f>
        <v>47.874209324752655</v>
      </c>
      <c r="H275" s="69">
        <f t="shared" si="82"/>
        <v>5818.9192315063419</v>
      </c>
      <c r="I275" s="21"/>
      <c r="J275" s="69">
        <f t="shared" ref="J275:K275" si="83">SUM(J218:J273)-J232-J236-J242-J249-J254-J263-J268</f>
        <v>142.80656438475265</v>
      </c>
      <c r="K275" s="69">
        <f t="shared" si="83"/>
        <v>5961.725795891095</v>
      </c>
      <c r="L275" s="69" t="s">
        <v>197</v>
      </c>
    </row>
    <row r="276" spans="2:12" ht="13.5" hidden="1" outlineLevel="1" thickTop="1" x14ac:dyDescent="0.2">
      <c r="B276" s="17"/>
      <c r="C276" s="17"/>
      <c r="D276" s="17"/>
      <c r="E276" s="17"/>
      <c r="F276" s="20"/>
      <c r="G276" s="20"/>
      <c r="H276" s="20"/>
      <c r="I276" s="17"/>
      <c r="J276" s="17"/>
      <c r="K276" s="20"/>
      <c r="L276" s="20"/>
    </row>
    <row r="277" spans="2:12" collapsed="1" x14ac:dyDescent="0.2"/>
  </sheetData>
  <sheetProtection algorithmName="SHA-512" hashValue="zpFPMqUH/i2CN/m/VCeJDefTDoThf3i5Spg3dcpH/p8dQC+MU4jrmKZS1WICYqAB8tME6Enz7gTj4PvFVZd7+Q==" saltValue="S+vUHe5UkWN//YOdtMblJw==" spinCount="100000" sheet="1" selectLockedCells="1"/>
  <mergeCells count="6">
    <mergeCell ref="C70:C71"/>
    <mergeCell ref="S70:S71"/>
    <mergeCell ref="K79:K80"/>
    <mergeCell ref="D6:L6"/>
    <mergeCell ref="E13:G13"/>
    <mergeCell ref="I13:K1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2</xdr:col>
                    <xdr:colOff>523875</xdr:colOff>
                    <xdr:row>71</xdr:row>
                    <xdr:rowOff>28575</xdr:rowOff>
                  </from>
                  <to>
                    <xdr:col>2</xdr:col>
                    <xdr:colOff>704850</xdr:colOff>
                    <xdr:row>72</xdr:row>
                    <xdr:rowOff>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2</xdr:col>
                    <xdr:colOff>523875</xdr:colOff>
                    <xdr:row>72</xdr:row>
                    <xdr:rowOff>28575</xdr:rowOff>
                  </from>
                  <to>
                    <xdr:col>2</xdr:col>
                    <xdr:colOff>704850</xdr:colOff>
                    <xdr:row>72</xdr:row>
                    <xdr:rowOff>190500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2</xdr:col>
                    <xdr:colOff>523875</xdr:colOff>
                    <xdr:row>73</xdr:row>
                    <xdr:rowOff>28575</xdr:rowOff>
                  </from>
                  <to>
                    <xdr:col>2</xdr:col>
                    <xdr:colOff>704850</xdr:colOff>
                    <xdr:row>73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523875</xdr:colOff>
                    <xdr:row>74</xdr:row>
                    <xdr:rowOff>19050</xdr:rowOff>
                  </from>
                  <to>
                    <xdr:col>2</xdr:col>
                    <xdr:colOff>704850</xdr:colOff>
                    <xdr:row>74</xdr:row>
                    <xdr:rowOff>190500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xdr:col>
                    <xdr:colOff>523875</xdr:colOff>
                    <xdr:row>75</xdr:row>
                    <xdr:rowOff>19050</xdr:rowOff>
                  </from>
                  <to>
                    <xdr:col>2</xdr:col>
                    <xdr:colOff>704850</xdr:colOff>
                    <xdr:row>75</xdr:row>
                    <xdr:rowOff>180975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xdr:col>
                    <xdr:colOff>523875</xdr:colOff>
                    <xdr:row>76</xdr:row>
                    <xdr:rowOff>0</xdr:rowOff>
                  </from>
                  <to>
                    <xdr:col>2</xdr:col>
                    <xdr:colOff>704850</xdr:colOff>
                    <xdr:row>76</xdr:row>
                    <xdr:rowOff>180975</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xdr:col>
                    <xdr:colOff>523875</xdr:colOff>
                    <xdr:row>77</xdr:row>
                    <xdr:rowOff>9525</xdr:rowOff>
                  </from>
                  <to>
                    <xdr:col>2</xdr:col>
                    <xdr:colOff>704850</xdr:colOff>
                    <xdr:row>77</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18</xdr:col>
                    <xdr:colOff>457200</xdr:colOff>
                    <xdr:row>82</xdr:row>
                    <xdr:rowOff>0</xdr:rowOff>
                  </from>
                  <to>
                    <xdr:col>18</xdr:col>
                    <xdr:colOff>676275</xdr:colOff>
                    <xdr:row>82</xdr:row>
                    <xdr:rowOff>180975</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18</xdr:col>
                    <xdr:colOff>571500</xdr:colOff>
                    <xdr:row>83</xdr:row>
                    <xdr:rowOff>19050</xdr:rowOff>
                  </from>
                  <to>
                    <xdr:col>19</xdr:col>
                    <xdr:colOff>0</xdr:colOff>
                    <xdr:row>84</xdr:row>
                    <xdr:rowOff>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18</xdr:col>
                    <xdr:colOff>571500</xdr:colOff>
                    <xdr:row>84</xdr:row>
                    <xdr:rowOff>19050</xdr:rowOff>
                  </from>
                  <to>
                    <xdr:col>19</xdr:col>
                    <xdr:colOff>0</xdr:colOff>
                    <xdr:row>85</xdr:row>
                    <xdr:rowOff>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18</xdr:col>
                    <xdr:colOff>571500</xdr:colOff>
                    <xdr:row>85</xdr:row>
                    <xdr:rowOff>9525</xdr:rowOff>
                  </from>
                  <to>
                    <xdr:col>19</xdr:col>
                    <xdr:colOff>0</xdr:colOff>
                    <xdr:row>85</xdr:row>
                    <xdr:rowOff>190500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18</xdr:col>
                    <xdr:colOff>457200</xdr:colOff>
                    <xdr:row>80</xdr:row>
                    <xdr:rowOff>9525</xdr:rowOff>
                  </from>
                  <to>
                    <xdr:col>18</xdr:col>
                    <xdr:colOff>676275</xdr:colOff>
                    <xdr:row>81</xdr:row>
                    <xdr:rowOff>9525</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18</xdr:col>
                    <xdr:colOff>457200</xdr:colOff>
                    <xdr:row>79</xdr:row>
                    <xdr:rowOff>0</xdr:rowOff>
                  </from>
                  <to>
                    <xdr:col>18</xdr:col>
                    <xdr:colOff>676275</xdr:colOff>
                    <xdr:row>80</xdr:row>
                    <xdr:rowOff>9525</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18</xdr:col>
                    <xdr:colOff>457200</xdr:colOff>
                    <xdr:row>81</xdr:row>
                    <xdr:rowOff>9525</xdr:rowOff>
                  </from>
                  <to>
                    <xdr:col>18</xdr:col>
                    <xdr:colOff>676275</xdr:colOff>
                    <xdr:row>82</xdr:row>
                    <xdr:rowOff>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10</xdr:col>
                    <xdr:colOff>514350</xdr:colOff>
                    <xdr:row>79</xdr:row>
                    <xdr:rowOff>152400</xdr:rowOff>
                  </from>
                  <to>
                    <xdr:col>10</xdr:col>
                    <xdr:colOff>723900</xdr:colOff>
                    <xdr:row>81</xdr:row>
                    <xdr:rowOff>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10</xdr:col>
                    <xdr:colOff>514350</xdr:colOff>
                    <xdr:row>80</xdr:row>
                    <xdr:rowOff>171450</xdr:rowOff>
                  </from>
                  <to>
                    <xdr:col>10</xdr:col>
                    <xdr:colOff>723900</xdr:colOff>
                    <xdr:row>81</xdr:row>
                    <xdr:rowOff>190500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10</xdr:col>
                    <xdr:colOff>514350</xdr:colOff>
                    <xdr:row>81</xdr:row>
                    <xdr:rowOff>180975</xdr:rowOff>
                  </from>
                  <to>
                    <xdr:col>10</xdr:col>
                    <xdr:colOff>723900</xdr:colOff>
                    <xdr:row>82</xdr:row>
                    <xdr:rowOff>190500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10</xdr:col>
                    <xdr:colOff>514350</xdr:colOff>
                    <xdr:row>82</xdr:row>
                    <xdr:rowOff>180975</xdr:rowOff>
                  </from>
                  <to>
                    <xdr:col>10</xdr:col>
                    <xdr:colOff>723900</xdr:colOff>
                    <xdr:row>84</xdr:row>
                    <xdr:rowOff>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10</xdr:col>
                    <xdr:colOff>514350</xdr:colOff>
                    <xdr:row>83</xdr:row>
                    <xdr:rowOff>180975</xdr:rowOff>
                  </from>
                  <to>
                    <xdr:col>10</xdr:col>
                    <xdr:colOff>723900</xdr:colOff>
                    <xdr:row>85</xdr:row>
                    <xdr:rowOff>0</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10</xdr:col>
                    <xdr:colOff>514350</xdr:colOff>
                    <xdr:row>84</xdr:row>
                    <xdr:rowOff>180975</xdr:rowOff>
                  </from>
                  <to>
                    <xdr:col>10</xdr:col>
                    <xdr:colOff>723900</xdr:colOff>
                    <xdr:row>86</xdr:row>
                    <xdr:rowOff>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10</xdr:col>
                    <xdr:colOff>514350</xdr:colOff>
                    <xdr:row>85</xdr:row>
                    <xdr:rowOff>180975</xdr:rowOff>
                  </from>
                  <to>
                    <xdr:col>10</xdr:col>
                    <xdr:colOff>723900</xdr:colOff>
                    <xdr:row>87</xdr:row>
                    <xdr:rowOff>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10</xdr:col>
                    <xdr:colOff>514350</xdr:colOff>
                    <xdr:row>86</xdr:row>
                    <xdr:rowOff>190500</xdr:rowOff>
                  </from>
                  <to>
                    <xdr:col>10</xdr:col>
                    <xdr:colOff>723900</xdr:colOff>
                    <xdr:row>87</xdr:row>
                    <xdr:rowOff>190500</xdr:rowOff>
                  </to>
                </anchor>
              </controlPr>
            </control>
          </mc:Choice>
        </mc:AlternateContent>
        <mc:AlternateContent xmlns:mc="http://schemas.openxmlformats.org/markup-compatibility/2006">
          <mc:Choice Requires="x14">
            <control shapeId="66583" r:id="rId26" name="Check Box 23">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66584" r:id="rId27" name="Check Box 24">
              <controlPr defaultSize="0" autoFill="0" autoLine="0" autoPict="0">
                <anchor moveWithCells="1">
                  <from>
                    <xdr:col>10</xdr:col>
                    <xdr:colOff>514350</xdr:colOff>
                    <xdr:row>88</xdr:row>
                    <xdr:rowOff>171450</xdr:rowOff>
                  </from>
                  <to>
                    <xdr:col>10</xdr:col>
                    <xdr:colOff>723900</xdr:colOff>
                    <xdr:row>89</xdr:row>
                    <xdr:rowOff>180975</xdr:rowOff>
                  </to>
                </anchor>
              </controlPr>
            </control>
          </mc:Choice>
        </mc:AlternateContent>
        <mc:AlternateContent xmlns:mc="http://schemas.openxmlformats.org/markup-compatibility/2006">
          <mc:Choice Requires="x14">
            <control shapeId="66585" r:id="rId28" name="Check Box 25">
              <controlPr defaultSize="0" autoFill="0" autoLine="0" autoPict="0">
                <anchor moveWithCells="1">
                  <from>
                    <xdr:col>10</xdr:col>
                    <xdr:colOff>514350</xdr:colOff>
                    <xdr:row>89</xdr:row>
                    <xdr:rowOff>171450</xdr:rowOff>
                  </from>
                  <to>
                    <xdr:col>10</xdr:col>
                    <xdr:colOff>723900</xdr:colOff>
                    <xdr:row>90</xdr:row>
                    <xdr:rowOff>180975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AEE3-7A99-4793-BFF5-84A4127653E5}">
  <sheetPr>
    <pageSetUpPr fitToPage="1"/>
  </sheetPr>
  <dimension ref="B2:AA292"/>
  <sheetViews>
    <sheetView zoomScale="90" zoomScaleNormal="90" workbookViewId="0">
      <selection activeCell="G16" sqref="G16"/>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3" x14ac:dyDescent="0.2">
      <c r="B2" s="3"/>
      <c r="C2" s="90"/>
      <c r="D2" s="90"/>
      <c r="E2" s="90"/>
      <c r="F2" s="90"/>
      <c r="G2" s="90"/>
      <c r="H2" s="90"/>
      <c r="I2" s="90"/>
      <c r="J2" s="90"/>
      <c r="K2" s="90"/>
      <c r="L2" s="90"/>
      <c r="M2" s="3"/>
    </row>
    <row r="3" spans="2:13" ht="18" x14ac:dyDescent="0.25">
      <c r="B3" s="3"/>
      <c r="C3" s="90"/>
      <c r="D3" s="91" t="s">
        <v>253</v>
      </c>
      <c r="E3" s="90"/>
      <c r="F3" s="90"/>
      <c r="G3" s="90"/>
      <c r="H3" s="90"/>
      <c r="I3" s="90"/>
      <c r="J3" s="90"/>
      <c r="K3" s="90"/>
      <c r="L3" s="90"/>
      <c r="M3" s="3"/>
    </row>
    <row r="4" spans="2:13" x14ac:dyDescent="0.2">
      <c r="B4" s="3"/>
      <c r="C4" s="90"/>
      <c r="D4" s="3"/>
      <c r="E4" s="3"/>
      <c r="F4" s="3"/>
      <c r="G4" s="3"/>
      <c r="H4" s="3"/>
      <c r="I4" s="3"/>
      <c r="J4" s="3"/>
      <c r="K4" s="3"/>
      <c r="L4" s="3"/>
      <c r="M4" s="3"/>
    </row>
    <row r="5" spans="2:13" ht="16.5" customHeight="1" x14ac:dyDescent="0.2">
      <c r="B5" s="3"/>
      <c r="C5" s="90"/>
      <c r="D5" s="109" t="s">
        <v>326</v>
      </c>
      <c r="E5" s="104"/>
      <c r="F5" s="104"/>
      <c r="G5" s="104"/>
      <c r="H5" s="104"/>
      <c r="I5" s="104"/>
      <c r="J5" s="104"/>
      <c r="K5" s="104"/>
      <c r="L5" s="104"/>
      <c r="M5" s="3"/>
    </row>
    <row r="6" spans="2:13" ht="266.25" customHeight="1" x14ac:dyDescent="0.2">
      <c r="B6" s="3"/>
      <c r="C6" s="94"/>
      <c r="D6" s="396" t="s">
        <v>332</v>
      </c>
      <c r="E6" s="396"/>
      <c r="F6" s="396"/>
      <c r="G6" s="396"/>
      <c r="H6" s="396"/>
      <c r="I6" s="396"/>
      <c r="J6" s="396"/>
      <c r="K6" s="396"/>
      <c r="L6" s="396"/>
      <c r="M6" s="3"/>
    </row>
    <row r="7" spans="2:13" x14ac:dyDescent="0.2">
      <c r="B7" s="3"/>
      <c r="C7" s="90"/>
      <c r="D7" s="90"/>
      <c r="E7" s="90"/>
      <c r="F7" s="90"/>
      <c r="G7" s="90"/>
      <c r="H7" s="90"/>
      <c r="I7" s="90"/>
      <c r="J7" s="90"/>
      <c r="K7" s="90"/>
      <c r="L7" s="90"/>
      <c r="M7" s="3"/>
    </row>
    <row r="9" spans="2:13" x14ac:dyDescent="0.2">
      <c r="B9" s="3"/>
      <c r="C9" s="3"/>
      <c r="D9" s="3"/>
      <c r="E9" s="3"/>
      <c r="F9" s="3"/>
      <c r="G9" s="3"/>
      <c r="H9" s="3"/>
      <c r="I9" s="3"/>
      <c r="J9" s="3"/>
      <c r="K9" s="3"/>
      <c r="L9" s="3"/>
      <c r="M9" s="3"/>
    </row>
    <row r="10" spans="2:13" x14ac:dyDescent="0.2">
      <c r="B10" s="3"/>
      <c r="C10" s="3"/>
      <c r="D10" s="3"/>
      <c r="E10" s="3"/>
      <c r="F10" s="3"/>
      <c r="G10" s="3"/>
      <c r="H10" s="3"/>
      <c r="I10" s="3"/>
      <c r="J10" s="3"/>
      <c r="K10" s="3"/>
      <c r="L10" s="3"/>
      <c r="M10" s="3"/>
    </row>
    <row r="11" spans="2:13" ht="18" x14ac:dyDescent="0.25">
      <c r="B11" s="3"/>
      <c r="C11" s="3"/>
      <c r="D11" s="86" t="s">
        <v>330</v>
      </c>
      <c r="E11" s="95"/>
      <c r="F11" s="96"/>
      <c r="G11" s="7"/>
      <c r="H11" s="7"/>
      <c r="I11" s="7"/>
      <c r="J11" s="7"/>
      <c r="K11" s="7"/>
      <c r="L11" s="3"/>
      <c r="M11" s="3"/>
    </row>
    <row r="12" spans="2:13" ht="15" x14ac:dyDescent="0.2">
      <c r="B12" s="3"/>
      <c r="C12" s="3"/>
      <c r="D12" s="399"/>
      <c r="E12" s="399"/>
      <c r="F12" s="399"/>
      <c r="G12" s="399"/>
      <c r="H12" s="399"/>
      <c r="I12" s="399"/>
      <c r="J12" s="399"/>
      <c r="K12" s="7"/>
      <c r="L12" s="3"/>
      <c r="M12" s="3"/>
    </row>
    <row r="13" spans="2:13" ht="14.25" customHeight="1" x14ac:dyDescent="0.2">
      <c r="B13" s="3"/>
      <c r="C13" s="3"/>
      <c r="D13" s="287"/>
      <c r="E13" s="398">
        <v>2020</v>
      </c>
      <c r="F13" s="398"/>
      <c r="G13" s="398"/>
      <c r="H13" s="287"/>
      <c r="I13" s="287"/>
      <c r="J13" s="287"/>
      <c r="K13" s="7"/>
      <c r="L13" s="3"/>
      <c r="M13" s="3"/>
    </row>
    <row r="14" spans="2:13" ht="14.25" x14ac:dyDescent="0.2">
      <c r="B14" s="3"/>
      <c r="C14" s="3"/>
      <c r="D14" s="8"/>
      <c r="E14" s="102" t="s">
        <v>80</v>
      </c>
      <c r="F14" s="102"/>
      <c r="G14" s="102" t="s">
        <v>77</v>
      </c>
      <c r="H14" s="7"/>
      <c r="I14" s="7"/>
      <c r="J14" s="7"/>
      <c r="K14" s="7"/>
      <c r="L14" s="3"/>
      <c r="M14" s="3"/>
    </row>
    <row r="15" spans="2:13" ht="14.25" x14ac:dyDescent="0.2">
      <c r="B15" s="3"/>
      <c r="C15" s="3"/>
      <c r="D15" s="3"/>
      <c r="E15" s="3"/>
      <c r="F15" s="3"/>
      <c r="G15" s="3"/>
      <c r="H15" s="7"/>
      <c r="I15" s="7"/>
      <c r="J15" s="7"/>
      <c r="K15" s="7"/>
      <c r="L15" s="3"/>
      <c r="M15" s="3"/>
    </row>
    <row r="16" spans="2:13" ht="14.25" x14ac:dyDescent="0.2">
      <c r="B16" s="3"/>
      <c r="C16" s="3"/>
      <c r="D16" s="288" t="s">
        <v>257</v>
      </c>
      <c r="E16" s="1" t="s">
        <v>33</v>
      </c>
      <c r="F16" s="15"/>
      <c r="G16" s="115"/>
      <c r="H16" s="7"/>
      <c r="I16" s="7"/>
      <c r="J16" s="7"/>
      <c r="K16" s="7"/>
      <c r="L16" s="3"/>
      <c r="M16" s="3"/>
    </row>
    <row r="17" spans="2:13" ht="14.25" x14ac:dyDescent="0.2">
      <c r="B17" s="3"/>
      <c r="C17" s="3"/>
      <c r="D17" s="7"/>
      <c r="E17" s="7"/>
      <c r="F17" s="7"/>
      <c r="G17" s="7"/>
      <c r="H17" s="7"/>
      <c r="I17" s="7"/>
      <c r="J17" s="7"/>
      <c r="K17" s="7"/>
      <c r="L17" s="3"/>
      <c r="M17" s="3"/>
    </row>
    <row r="18" spans="2:13" ht="14.25" x14ac:dyDescent="0.2">
      <c r="B18" s="3"/>
      <c r="C18" s="3"/>
      <c r="D18" s="7"/>
      <c r="E18" s="7"/>
      <c r="F18" s="7"/>
      <c r="G18" s="7"/>
      <c r="H18" s="7"/>
      <c r="I18" s="7"/>
      <c r="J18" s="7"/>
      <c r="K18" s="7"/>
      <c r="L18" s="3"/>
      <c r="M18" s="3"/>
    </row>
    <row r="19" spans="2:13" ht="14.25" customHeight="1" x14ac:dyDescent="0.2">
      <c r="B19" s="3"/>
      <c r="C19" s="3"/>
      <c r="D19" s="8"/>
      <c r="E19" s="398">
        <v>2025</v>
      </c>
      <c r="F19" s="398"/>
      <c r="G19" s="398"/>
      <c r="H19" s="13"/>
      <c r="I19" s="398">
        <v>2030</v>
      </c>
      <c r="J19" s="398"/>
      <c r="K19" s="398"/>
      <c r="L19" s="8"/>
      <c r="M19" s="3"/>
    </row>
    <row r="20" spans="2:13" x14ac:dyDescent="0.2">
      <c r="B20" s="3"/>
      <c r="C20" s="3"/>
      <c r="D20" s="8"/>
      <c r="E20" s="102" t="s">
        <v>80</v>
      </c>
      <c r="F20" s="102"/>
      <c r="G20" s="102" t="s">
        <v>77</v>
      </c>
      <c r="H20" s="13"/>
      <c r="I20" s="102" t="s">
        <v>80</v>
      </c>
      <c r="J20" s="102"/>
      <c r="K20" s="102" t="s">
        <v>77</v>
      </c>
      <c r="L20" s="8"/>
      <c r="M20" s="3"/>
    </row>
    <row r="21" spans="2:13" ht="38.25" x14ac:dyDescent="0.2">
      <c r="B21" s="3"/>
      <c r="C21" s="3"/>
      <c r="D21" s="11" t="s">
        <v>255</v>
      </c>
      <c r="E21" s="80">
        <v>5</v>
      </c>
      <c r="F21" s="15" t="s">
        <v>99</v>
      </c>
      <c r="G21" s="115"/>
      <c r="H21" s="15" t="s">
        <v>99</v>
      </c>
      <c r="I21" s="80">
        <v>5</v>
      </c>
      <c r="J21" s="15" t="s">
        <v>99</v>
      </c>
      <c r="K21" s="115"/>
      <c r="L21" s="15" t="s">
        <v>99</v>
      </c>
      <c r="M21" s="3"/>
    </row>
    <row r="22" spans="2:13" x14ac:dyDescent="0.2">
      <c r="B22" s="3"/>
      <c r="C22" s="3"/>
      <c r="D22" s="3"/>
      <c r="E22" s="3"/>
      <c r="F22" s="3"/>
      <c r="G22" s="3"/>
      <c r="H22" s="15"/>
      <c r="I22" s="15"/>
      <c r="J22" s="15"/>
      <c r="K22" s="15"/>
      <c r="L22" s="15"/>
      <c r="M22" s="3"/>
    </row>
    <row r="23" spans="2:13" x14ac:dyDescent="0.2">
      <c r="B23" s="3"/>
      <c r="C23" s="3"/>
      <c r="D23" s="8"/>
      <c r="E23" s="81"/>
      <c r="F23" s="15"/>
      <c r="G23" s="15"/>
      <c r="H23" s="15"/>
      <c r="I23" s="81"/>
      <c r="J23" s="15"/>
      <c r="K23" s="15"/>
      <c r="L23" s="3"/>
      <c r="M23" s="3"/>
    </row>
    <row r="24" spans="2:13" x14ac:dyDescent="0.2">
      <c r="B24" s="3"/>
      <c r="C24" s="3"/>
      <c r="D24" s="12" t="s">
        <v>222</v>
      </c>
      <c r="E24" s="80">
        <v>10000</v>
      </c>
      <c r="F24" s="15" t="s">
        <v>105</v>
      </c>
      <c r="G24" s="274"/>
      <c r="H24" s="15" t="s">
        <v>105</v>
      </c>
      <c r="I24" s="80">
        <v>0</v>
      </c>
      <c r="J24" s="15" t="s">
        <v>105</v>
      </c>
      <c r="K24" s="274"/>
      <c r="L24" s="3" t="s">
        <v>105</v>
      </c>
      <c r="M24" s="3"/>
    </row>
    <row r="25" spans="2:13" ht="14.25" x14ac:dyDescent="0.2">
      <c r="B25" s="3"/>
      <c r="C25" s="3"/>
      <c r="D25" s="79" t="s">
        <v>226</v>
      </c>
      <c r="E25" s="80">
        <v>0</v>
      </c>
      <c r="F25" s="15" t="s">
        <v>106</v>
      </c>
      <c r="G25" s="274"/>
      <c r="H25" s="15" t="s">
        <v>106</v>
      </c>
      <c r="I25" s="80">
        <v>0</v>
      </c>
      <c r="J25" s="15" t="s">
        <v>106</v>
      </c>
      <c r="K25" s="274"/>
      <c r="L25" s="3" t="s">
        <v>106</v>
      </c>
      <c r="M25" s="3"/>
    </row>
    <row r="26" spans="2:13" ht="14.25" x14ac:dyDescent="0.2">
      <c r="B26" s="3"/>
      <c r="C26" s="3"/>
      <c r="D26" s="79" t="s">
        <v>191</v>
      </c>
      <c r="E26" s="80">
        <v>0</v>
      </c>
      <c r="F26" s="15" t="s">
        <v>105</v>
      </c>
      <c r="G26" s="274"/>
      <c r="H26" s="15" t="s">
        <v>105</v>
      </c>
      <c r="I26" s="80">
        <v>0</v>
      </c>
      <c r="J26" s="15" t="s">
        <v>105</v>
      </c>
      <c r="K26" s="274"/>
      <c r="L26" s="3" t="s">
        <v>105</v>
      </c>
      <c r="M26" s="3"/>
    </row>
    <row r="27" spans="2:13" x14ac:dyDescent="0.2">
      <c r="B27" s="3"/>
      <c r="C27" s="3"/>
      <c r="D27" s="79"/>
      <c r="E27" s="79"/>
      <c r="F27" s="79"/>
      <c r="G27" s="79"/>
      <c r="H27" s="79"/>
      <c r="I27" s="79"/>
      <c r="J27" s="79"/>
      <c r="K27" s="79"/>
      <c r="L27" s="79"/>
      <c r="M27" s="3"/>
    </row>
    <row r="28" spans="2:13" x14ac:dyDescent="0.2">
      <c r="B28" s="3"/>
      <c r="C28" s="3"/>
      <c r="D28" s="79"/>
      <c r="E28" s="15"/>
      <c r="F28" s="15"/>
      <c r="G28" s="15"/>
      <c r="H28" s="15"/>
      <c r="I28" s="15"/>
      <c r="J28" s="15"/>
      <c r="K28" s="15"/>
      <c r="L28" s="15"/>
      <c r="M28" s="3"/>
    </row>
    <row r="29" spans="2:13" x14ac:dyDescent="0.2">
      <c r="B29" s="3"/>
      <c r="C29" s="3"/>
      <c r="D29" s="79" t="s">
        <v>25</v>
      </c>
      <c r="E29" s="80">
        <v>10</v>
      </c>
      <c r="F29" s="15" t="s">
        <v>98</v>
      </c>
      <c r="G29" s="115"/>
      <c r="H29" s="15" t="s">
        <v>98</v>
      </c>
      <c r="I29" s="80">
        <v>10</v>
      </c>
      <c r="J29" s="15" t="s">
        <v>98</v>
      </c>
      <c r="K29" s="115"/>
      <c r="L29" s="15" t="s">
        <v>98</v>
      </c>
      <c r="M29" s="3"/>
    </row>
    <row r="30" spans="2:13" x14ac:dyDescent="0.2">
      <c r="B30" s="3"/>
      <c r="C30" s="3"/>
      <c r="D30" s="79" t="s">
        <v>26</v>
      </c>
      <c r="E30" s="82">
        <v>8</v>
      </c>
      <c r="F30" s="15" t="s">
        <v>99</v>
      </c>
      <c r="G30" s="275"/>
      <c r="H30" s="15" t="s">
        <v>99</v>
      </c>
      <c r="I30" s="82">
        <v>8</v>
      </c>
      <c r="J30" s="15" t="s">
        <v>99</v>
      </c>
      <c r="K30" s="275"/>
      <c r="L30" s="15" t="s">
        <v>99</v>
      </c>
      <c r="M30" s="3"/>
    </row>
    <row r="31" spans="2:13" x14ac:dyDescent="0.2">
      <c r="B31" s="3"/>
      <c r="C31" s="3"/>
      <c r="D31" s="15"/>
      <c r="E31" s="82"/>
      <c r="F31" s="15"/>
      <c r="G31" s="15"/>
      <c r="H31" s="15"/>
      <c r="I31" s="81"/>
      <c r="J31" s="15"/>
      <c r="K31" s="15"/>
      <c r="L31" s="3"/>
      <c r="M31" s="3"/>
    </row>
    <row r="32" spans="2:13" x14ac:dyDescent="0.2">
      <c r="B32" s="3"/>
      <c r="C32" s="3"/>
      <c r="D32" s="15"/>
      <c r="E32" s="10"/>
      <c r="F32" s="3"/>
      <c r="G32" s="3"/>
      <c r="H32" s="3"/>
      <c r="I32" s="16"/>
      <c r="J32" s="3"/>
      <c r="K32" s="3"/>
      <c r="L32" s="3"/>
      <c r="M32" s="3"/>
    </row>
    <row r="33" spans="2:27" ht="13.5" x14ac:dyDescent="0.2">
      <c r="B33" s="3"/>
      <c r="C33" s="3"/>
      <c r="D33" s="66" t="s">
        <v>254</v>
      </c>
      <c r="E33" s="10"/>
      <c r="F33" s="3"/>
      <c r="G33" s="3"/>
      <c r="H33" s="3"/>
      <c r="I33" s="16"/>
      <c r="J33" s="3"/>
      <c r="K33" s="3"/>
      <c r="L33" s="3"/>
      <c r="M33" s="3"/>
    </row>
    <row r="34" spans="2:27" ht="13.5" x14ac:dyDescent="0.2">
      <c r="B34" s="3"/>
      <c r="C34" s="3"/>
      <c r="D34" s="66" t="s">
        <v>215</v>
      </c>
      <c r="E34" s="10"/>
      <c r="F34" s="3"/>
      <c r="G34" s="3"/>
      <c r="H34" s="3"/>
      <c r="I34" s="16"/>
      <c r="J34" s="3"/>
      <c r="K34" s="3"/>
      <c r="L34" s="3"/>
      <c r="M34" s="3"/>
    </row>
    <row r="35" spans="2:27" x14ac:dyDescent="0.2">
      <c r="B35" s="3"/>
      <c r="C35" s="3"/>
      <c r="D35" s="15"/>
      <c r="E35" s="10"/>
      <c r="F35" s="3"/>
      <c r="G35" s="3"/>
      <c r="H35" s="3"/>
      <c r="I35" s="16"/>
      <c r="J35" s="3"/>
      <c r="K35" s="3"/>
      <c r="L35" s="3"/>
      <c r="M35" s="3"/>
    </row>
    <row r="37" spans="2:27" x14ac:dyDescent="0.2">
      <c r="B37" s="3"/>
      <c r="C37" s="3"/>
      <c r="D37" s="14"/>
      <c r="E37" s="3"/>
      <c r="F37" s="3"/>
      <c r="G37" s="3"/>
      <c r="H37" s="3"/>
      <c r="I37" s="3"/>
      <c r="J37" s="3"/>
      <c r="K37" s="3"/>
      <c r="L37" s="3"/>
      <c r="M37" s="3"/>
      <c r="N37" s="3"/>
      <c r="O37" s="3"/>
      <c r="P37" s="3"/>
      <c r="Q37" s="3"/>
      <c r="R37" s="3"/>
      <c r="S37" s="3"/>
      <c r="T37" s="3"/>
      <c r="U37" s="3"/>
      <c r="V37" s="3"/>
      <c r="W37" s="3"/>
      <c r="X37" s="3"/>
      <c r="Y37" s="3"/>
      <c r="Z37" s="3"/>
      <c r="AA37" s="3"/>
    </row>
    <row r="38" spans="2:27" ht="18" x14ac:dyDescent="0.25">
      <c r="B38" s="3"/>
      <c r="C38" s="97" t="s">
        <v>465</v>
      </c>
      <c r="D38" s="14"/>
      <c r="E38" s="3"/>
      <c r="F38" s="3"/>
      <c r="G38" s="3"/>
      <c r="H38" s="3"/>
      <c r="I38" s="3"/>
      <c r="J38" s="3"/>
      <c r="K38" s="3"/>
      <c r="L38" s="3"/>
      <c r="M38" s="3"/>
      <c r="N38" s="3"/>
      <c r="O38" s="3"/>
      <c r="P38" s="3"/>
      <c r="Q38" s="3"/>
      <c r="R38" s="3"/>
      <c r="S38" s="3"/>
      <c r="T38" s="3"/>
      <c r="U38" s="3"/>
      <c r="V38" s="3"/>
      <c r="W38" s="3"/>
      <c r="X38" s="3"/>
      <c r="Y38" s="3"/>
      <c r="Z38" s="3"/>
      <c r="AA38" s="3"/>
    </row>
    <row r="39" spans="2:27" x14ac:dyDescent="0.2">
      <c r="B39" s="3"/>
      <c r="C39" s="3"/>
      <c r="D39" s="14"/>
      <c r="E39" s="3"/>
      <c r="F39" s="3"/>
      <c r="G39" s="3"/>
      <c r="H39" s="3"/>
      <c r="I39" s="3"/>
      <c r="J39" s="3"/>
      <c r="K39" s="3"/>
      <c r="L39" s="3"/>
      <c r="M39" s="3"/>
      <c r="N39" s="3"/>
      <c r="O39" s="3"/>
      <c r="P39" s="3"/>
      <c r="Q39" s="3"/>
      <c r="R39" s="3"/>
      <c r="S39" s="3"/>
      <c r="T39" s="3"/>
      <c r="U39" s="3"/>
      <c r="V39" s="3"/>
      <c r="W39" s="3"/>
      <c r="X39" s="3"/>
      <c r="Y39" s="3"/>
      <c r="Z39" s="3"/>
      <c r="AA39" s="3"/>
    </row>
    <row r="40" spans="2:27" ht="15" x14ac:dyDescent="0.25">
      <c r="B40" s="3"/>
      <c r="C40" s="92" t="s">
        <v>112</v>
      </c>
      <c r="D40" s="3"/>
      <c r="E40" s="3"/>
      <c r="F40" s="3"/>
      <c r="G40" s="3"/>
      <c r="H40" s="3"/>
      <c r="I40" s="3"/>
      <c r="J40" s="3"/>
      <c r="K40" s="92" t="s">
        <v>116</v>
      </c>
      <c r="L40" s="3"/>
      <c r="M40" s="3"/>
      <c r="N40" s="3"/>
      <c r="O40" s="3"/>
      <c r="P40" s="3"/>
      <c r="Q40" s="3"/>
      <c r="R40" s="3"/>
      <c r="S40" s="93" t="s">
        <v>84</v>
      </c>
      <c r="T40" s="3"/>
      <c r="U40" s="3"/>
      <c r="V40" s="3"/>
      <c r="W40" s="3"/>
      <c r="X40" s="3"/>
      <c r="Y40" s="3"/>
      <c r="Z40" s="3"/>
      <c r="AA40" s="3"/>
    </row>
    <row r="41" spans="2:27" x14ac:dyDescent="0.2">
      <c r="B41" s="3"/>
      <c r="C41" s="3"/>
      <c r="D41" s="14"/>
      <c r="E41" s="3"/>
      <c r="F41" s="3"/>
      <c r="G41" s="3"/>
      <c r="H41" s="3"/>
      <c r="I41" s="3"/>
      <c r="J41" s="3"/>
      <c r="K41" s="3"/>
      <c r="L41" s="3"/>
      <c r="M41" s="3"/>
      <c r="N41" s="3"/>
      <c r="O41" s="3"/>
      <c r="P41" s="3"/>
      <c r="Q41" s="3"/>
      <c r="R41" s="3"/>
      <c r="S41" s="3"/>
      <c r="T41" s="3"/>
      <c r="U41" s="3"/>
      <c r="V41" s="3"/>
      <c r="W41" s="3"/>
      <c r="X41" s="3"/>
      <c r="Y41" s="3"/>
      <c r="Z41" s="3"/>
      <c r="AA41" s="3"/>
    </row>
    <row r="42" spans="2:27" x14ac:dyDescent="0.2">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x14ac:dyDescent="0.2">
      <c r="B43" s="3"/>
      <c r="C43" s="3"/>
      <c r="D43" s="3"/>
      <c r="E43" s="3"/>
      <c r="F43" s="3"/>
      <c r="G43" s="3"/>
      <c r="H43" s="3"/>
      <c r="I43" s="3"/>
      <c r="J43" s="3"/>
      <c r="K43" s="3"/>
      <c r="L43" s="3"/>
      <c r="M43" s="3"/>
      <c r="N43" s="3"/>
      <c r="O43" s="3"/>
      <c r="P43" s="3"/>
      <c r="Q43" s="3"/>
      <c r="R43" s="3"/>
      <c r="S43" s="3"/>
      <c r="T43" s="3"/>
      <c r="U43" s="3"/>
      <c r="V43" s="3"/>
      <c r="W43" s="3"/>
      <c r="X43" s="3"/>
      <c r="Y43" s="3"/>
      <c r="Z43" s="3"/>
      <c r="AA43" s="3"/>
    </row>
    <row r="44" spans="2:27" x14ac:dyDescent="0.2">
      <c r="B44" s="3"/>
      <c r="C44" s="3"/>
      <c r="D44" s="3"/>
      <c r="E44" s="3"/>
      <c r="F44" s="3"/>
      <c r="G44" s="3"/>
      <c r="H44" s="3"/>
      <c r="I44" s="3"/>
      <c r="J44" s="3"/>
      <c r="K44" s="3"/>
      <c r="L44" s="3"/>
      <c r="M44" s="3"/>
      <c r="N44" s="3"/>
      <c r="O44" s="3"/>
      <c r="P44" s="3"/>
      <c r="Q44" s="3"/>
      <c r="R44" s="3"/>
      <c r="S44" s="3"/>
      <c r="T44" s="3"/>
      <c r="U44" s="3"/>
      <c r="V44" s="3"/>
      <c r="W44" s="3"/>
      <c r="X44" s="3"/>
      <c r="Y44" s="3"/>
      <c r="Z44" s="3"/>
      <c r="AA44" s="3"/>
    </row>
    <row r="45" spans="2:27" x14ac:dyDescent="0.2">
      <c r="B45" s="3"/>
      <c r="C45" s="3"/>
      <c r="D45" s="3"/>
      <c r="E45" s="3"/>
      <c r="F45" s="3"/>
      <c r="G45" s="3"/>
      <c r="H45" s="3"/>
      <c r="I45" s="3"/>
      <c r="J45" s="3"/>
      <c r="K45" s="3"/>
      <c r="L45" s="3"/>
      <c r="M45" s="3"/>
      <c r="N45" s="3"/>
      <c r="O45" s="3"/>
      <c r="P45" s="3"/>
      <c r="Q45" s="3"/>
      <c r="R45" s="3"/>
      <c r="S45" s="3"/>
      <c r="T45" s="3"/>
      <c r="U45" s="3"/>
      <c r="V45" s="3"/>
      <c r="W45" s="3"/>
      <c r="X45" s="3"/>
      <c r="Y45" s="3"/>
      <c r="Z45" s="3"/>
      <c r="AA45" s="3"/>
    </row>
    <row r="46" spans="2:27" x14ac:dyDescent="0.2">
      <c r="B46" s="3"/>
      <c r="C46" s="3"/>
      <c r="D46" s="3"/>
      <c r="E46" s="3"/>
      <c r="F46" s="3"/>
      <c r="G46" s="3"/>
      <c r="H46" s="3"/>
      <c r="I46" s="3"/>
      <c r="J46" s="3"/>
      <c r="K46" s="3"/>
      <c r="L46" s="3"/>
      <c r="M46" s="3"/>
      <c r="N46" s="3"/>
      <c r="O46" s="3"/>
      <c r="P46" s="3"/>
      <c r="Q46" s="3"/>
      <c r="R46" s="3"/>
      <c r="S46" s="3"/>
      <c r="T46" s="3"/>
      <c r="U46" s="3"/>
      <c r="V46" s="3"/>
      <c r="W46" s="3"/>
      <c r="X46" s="3"/>
      <c r="Y46" s="3"/>
      <c r="Z46" s="3"/>
      <c r="AA46" s="3"/>
    </row>
    <row r="47" spans="2:27" x14ac:dyDescent="0.2">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3"/>
      <c r="E48" s="3"/>
      <c r="F48" s="3"/>
      <c r="G48" s="3"/>
      <c r="H48" s="3"/>
      <c r="I48" s="3"/>
      <c r="J48" s="3"/>
      <c r="K48" s="3"/>
      <c r="L48" s="3"/>
      <c r="M48" s="3"/>
      <c r="N48" s="3"/>
      <c r="O48" s="3"/>
      <c r="P48" s="3"/>
      <c r="Q48" s="3"/>
      <c r="R48" s="3"/>
      <c r="S48" s="3"/>
      <c r="T48" s="3"/>
      <c r="U48" s="3"/>
      <c r="V48" s="3"/>
      <c r="W48" s="3"/>
      <c r="X48" s="3"/>
      <c r="Y48" s="3"/>
      <c r="Z48" s="3"/>
      <c r="AA48" s="3"/>
    </row>
    <row r="49" spans="2:27" x14ac:dyDescent="0.2">
      <c r="B49" s="3"/>
      <c r="C49" s="3"/>
      <c r="D49" s="3"/>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3"/>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ht="15" customHeight="1" x14ac:dyDescent="0.25">
      <c r="B72" s="3"/>
      <c r="C72" s="97"/>
      <c r="D72" s="62"/>
      <c r="E72" s="3"/>
      <c r="F72" s="3"/>
      <c r="G72" s="3"/>
      <c r="H72" s="3"/>
      <c r="I72" s="3"/>
      <c r="J72" s="3"/>
      <c r="K72" s="3"/>
      <c r="L72" s="3"/>
      <c r="M72" s="3"/>
      <c r="N72" s="3"/>
      <c r="O72" s="3"/>
      <c r="P72" s="3"/>
      <c r="Q72" s="3"/>
      <c r="R72" s="3"/>
      <c r="S72" s="3"/>
      <c r="T72" s="3"/>
      <c r="U72" s="3"/>
      <c r="V72" s="3"/>
      <c r="W72" s="3"/>
      <c r="X72" s="3"/>
      <c r="Y72" s="85"/>
      <c r="Z72" s="85"/>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84"/>
      <c r="Z73" s="84"/>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84"/>
      <c r="Z74" s="84"/>
      <c r="AA74" s="3"/>
    </row>
    <row r="75" spans="2:27" ht="15" customHeight="1" x14ac:dyDescent="0.25">
      <c r="B75" s="3"/>
      <c r="C75" s="3"/>
      <c r="D75" s="23" t="s">
        <v>113</v>
      </c>
      <c r="E75" s="24"/>
      <c r="F75" s="24"/>
      <c r="G75" s="24"/>
      <c r="H75" s="24"/>
      <c r="I75" s="3"/>
      <c r="J75" s="3"/>
      <c r="K75" s="3"/>
      <c r="L75" s="23" t="s">
        <v>194</v>
      </c>
      <c r="M75" s="24"/>
      <c r="N75" s="24"/>
      <c r="O75" s="24"/>
      <c r="P75" s="24"/>
      <c r="Q75" s="3"/>
      <c r="R75" s="3"/>
      <c r="S75" s="3"/>
      <c r="T75" s="23" t="s">
        <v>199</v>
      </c>
      <c r="U75" s="24"/>
      <c r="V75" s="24"/>
      <c r="W75" s="24"/>
      <c r="X75" s="3"/>
      <c r="Y75" s="84"/>
      <c r="Z75" s="84"/>
      <c r="AA75" s="3"/>
    </row>
    <row r="76" spans="2:27" ht="15" customHeight="1" x14ac:dyDescent="0.25">
      <c r="B76" s="3"/>
      <c r="C76" s="397" t="s">
        <v>145</v>
      </c>
      <c r="D76" s="46"/>
      <c r="E76" s="46">
        <v>2020</v>
      </c>
      <c r="F76" s="47">
        <v>2025</v>
      </c>
      <c r="G76" s="47">
        <v>2030</v>
      </c>
      <c r="H76" s="34"/>
      <c r="I76" s="3"/>
      <c r="J76" s="3"/>
      <c r="K76" s="3"/>
      <c r="L76" s="34"/>
      <c r="M76" s="46">
        <v>2020</v>
      </c>
      <c r="N76" s="47">
        <v>2025</v>
      </c>
      <c r="O76" s="47">
        <v>2030</v>
      </c>
      <c r="P76" s="34"/>
      <c r="Q76" s="3"/>
      <c r="R76" s="3"/>
      <c r="S76" s="397" t="s">
        <v>145</v>
      </c>
      <c r="T76" s="34"/>
      <c r="U76" s="47">
        <v>2020</v>
      </c>
      <c r="V76" s="47">
        <v>2025</v>
      </c>
      <c r="W76" s="47">
        <v>2030</v>
      </c>
      <c r="X76" s="3"/>
      <c r="Y76" s="84"/>
      <c r="Z76" s="84"/>
      <c r="AA76" s="63"/>
    </row>
    <row r="77" spans="2:27" x14ac:dyDescent="0.2">
      <c r="B77" s="3"/>
      <c r="C77" s="397"/>
      <c r="D77" s="24"/>
      <c r="E77" s="48" t="s">
        <v>89</v>
      </c>
      <c r="F77" s="49"/>
      <c r="G77" s="49"/>
      <c r="H77" s="24"/>
      <c r="I77" s="3"/>
      <c r="J77" s="3"/>
      <c r="K77" s="3"/>
      <c r="L77" s="24"/>
      <c r="M77" s="48" t="s">
        <v>89</v>
      </c>
      <c r="N77" s="49"/>
      <c r="O77" s="49"/>
      <c r="P77" s="24"/>
      <c r="Q77" s="3"/>
      <c r="R77" s="3"/>
      <c r="S77" s="397"/>
      <c r="T77" s="24"/>
      <c r="U77" s="50" t="s">
        <v>89</v>
      </c>
      <c r="V77" s="50"/>
      <c r="W77" s="59"/>
      <c r="X77" s="3"/>
      <c r="Y77" s="84"/>
      <c r="Z77" s="84"/>
      <c r="AA77" s="63"/>
    </row>
    <row r="78" spans="2:27" ht="15.75" x14ac:dyDescent="0.3">
      <c r="B78" s="3"/>
      <c r="C78" s="3"/>
      <c r="D78" s="29" t="s">
        <v>31</v>
      </c>
      <c r="E78" s="32">
        <f>'Referenz Plattenwerk'!$U$16+'Referenz Plattenwerk'!U21</f>
        <v>43.0426</v>
      </c>
      <c r="F78" s="32">
        <f>J157+J162</f>
        <v>43.0426</v>
      </c>
      <c r="G78" s="32">
        <f>J233+J238</f>
        <v>43.0426</v>
      </c>
      <c r="H78" s="25" t="s">
        <v>162</v>
      </c>
      <c r="I78" s="3"/>
      <c r="J78" s="3"/>
      <c r="K78" s="3"/>
      <c r="L78" s="29" t="s">
        <v>115</v>
      </c>
      <c r="M78" s="26">
        <f>'Referenz Plattenwerk'!Q74</f>
        <v>94.932355060000006</v>
      </c>
      <c r="N78" s="26">
        <f>F214</f>
        <v>94.932355060000006</v>
      </c>
      <c r="O78" s="26">
        <f>F290</f>
        <v>94.932355060000006</v>
      </c>
      <c r="P78" s="25" t="s">
        <v>162</v>
      </c>
      <c r="Q78" s="3"/>
      <c r="R78" s="3"/>
      <c r="S78" s="3"/>
      <c r="T78" s="57" t="s">
        <v>158</v>
      </c>
      <c r="U78" s="58">
        <f>SUM(U79:U85)</f>
        <v>109669</v>
      </c>
      <c r="V78" s="58">
        <f t="shared" ref="V78:W78" si="0">SUM(V79:V85)</f>
        <v>106186</v>
      </c>
      <c r="W78" s="58">
        <f t="shared" si="0"/>
        <v>106186</v>
      </c>
      <c r="X78" s="3"/>
      <c r="Y78" s="114"/>
      <c r="Z78" s="114"/>
      <c r="AA78" s="63"/>
    </row>
    <row r="79" spans="2:27" ht="15.75" x14ac:dyDescent="0.3">
      <c r="B79" s="3"/>
      <c r="C79" s="3"/>
      <c r="D79" s="8" t="s">
        <v>32</v>
      </c>
      <c r="E79" s="10">
        <f>'Referenz Plattenwerk'!$U$17+'Referenz Plattenwerk'!U22</f>
        <v>16.005600000000001</v>
      </c>
      <c r="F79" s="10">
        <f>J158+J163</f>
        <v>16.005600000000001</v>
      </c>
      <c r="G79" s="10">
        <f>J234+J239</f>
        <v>16.005600000000001</v>
      </c>
      <c r="H79" s="3" t="s">
        <v>162</v>
      </c>
      <c r="I79" s="3"/>
      <c r="J79" s="3"/>
      <c r="K79" s="3"/>
      <c r="L79" s="8" t="s">
        <v>28</v>
      </c>
      <c r="M79" s="9">
        <f>'Referenz Plattenwerk'!R74</f>
        <v>171.9</v>
      </c>
      <c r="N79" s="9">
        <f>G214</f>
        <v>119.27228696972129</v>
      </c>
      <c r="O79" s="9">
        <f>G290</f>
        <v>58.782689878035576</v>
      </c>
      <c r="P79" s="3" t="s">
        <v>162</v>
      </c>
      <c r="Q79" s="3"/>
      <c r="R79" s="3"/>
      <c r="S79" s="3"/>
      <c r="T79" s="31" t="s">
        <v>31</v>
      </c>
      <c r="U79" s="52">
        <f>'Referenz Plattenwerk'!AB16</f>
        <v>14335</v>
      </c>
      <c r="V79" s="52">
        <f>S157+S162</f>
        <v>14335</v>
      </c>
      <c r="W79" s="52">
        <f>S233+S238</f>
        <v>14335</v>
      </c>
      <c r="X79" s="3"/>
      <c r="Y79" s="114"/>
      <c r="Z79" s="114"/>
      <c r="AA79" s="63"/>
    </row>
    <row r="80" spans="2:27" ht="15.75" x14ac:dyDescent="0.3">
      <c r="B80" s="3"/>
      <c r="C80" s="3"/>
      <c r="D80" s="29" t="s">
        <v>33</v>
      </c>
      <c r="E80" s="32">
        <f>'Referenz Plattenwerk'!$U$18+'Referenz Plattenwerk'!R24</f>
        <v>171.9</v>
      </c>
      <c r="F80" s="32">
        <f>J159+J165</f>
        <v>119.27228696972129</v>
      </c>
      <c r="G80" s="32">
        <f>J235+J241</f>
        <v>58.782689878035576</v>
      </c>
      <c r="H80" s="25" t="s">
        <v>162</v>
      </c>
      <c r="I80" s="3"/>
      <c r="J80" s="3"/>
      <c r="K80" s="3"/>
      <c r="L80" s="29" t="s">
        <v>29</v>
      </c>
      <c r="M80" s="26">
        <f>'Referenz Plattenwerk'!S74</f>
        <v>5831.5296228095176</v>
      </c>
      <c r="N80" s="26">
        <f>H214</f>
        <v>5823.8145654019399</v>
      </c>
      <c r="O80" s="26">
        <f>H290</f>
        <v>5814.9469804879745</v>
      </c>
      <c r="P80" s="25" t="s">
        <v>162</v>
      </c>
      <c r="Q80" s="3"/>
      <c r="R80" s="3"/>
      <c r="S80" s="3"/>
      <c r="T80" s="31" t="s">
        <v>32</v>
      </c>
      <c r="U80" s="52">
        <f>'Referenz Plattenwerk'!AB17</f>
        <v>2760</v>
      </c>
      <c r="V80" s="52">
        <f>S158+S163</f>
        <v>2760</v>
      </c>
      <c r="W80" s="52">
        <f>S234+S239</f>
        <v>2760</v>
      </c>
      <c r="X80" s="3"/>
      <c r="Y80" s="114"/>
      <c r="Z80" s="114"/>
      <c r="AA80" s="63"/>
    </row>
    <row r="81" spans="2:27" ht="16.5" thickBot="1" x14ac:dyDescent="0.35">
      <c r="B81" s="3"/>
      <c r="C81" s="3"/>
      <c r="D81" s="8" t="s">
        <v>126</v>
      </c>
      <c r="E81" s="10">
        <f>'Referenz Plattenwerk'!$U$19</f>
        <v>0</v>
      </c>
      <c r="F81" s="10">
        <f>J160</f>
        <v>0</v>
      </c>
      <c r="G81" s="10">
        <f>J236</f>
        <v>0</v>
      </c>
      <c r="H81" s="3" t="s">
        <v>162</v>
      </c>
      <c r="I81" s="3"/>
      <c r="J81" s="3"/>
      <c r="K81" s="3"/>
      <c r="L81" s="27" t="s">
        <v>69</v>
      </c>
      <c r="M81" s="28">
        <f>SUM(M78:M80)</f>
        <v>6098.3619778695174</v>
      </c>
      <c r="N81" s="28">
        <f t="shared" ref="N81:O81" si="1">SUM(N78:N80)</f>
        <v>6038.019207431661</v>
      </c>
      <c r="O81" s="28">
        <f t="shared" si="1"/>
        <v>5968.6620254260106</v>
      </c>
      <c r="P81" s="27" t="s">
        <v>163</v>
      </c>
      <c r="Q81" s="3"/>
      <c r="R81" s="3"/>
      <c r="S81" s="3"/>
      <c r="T81" s="31" t="s">
        <v>33</v>
      </c>
      <c r="U81" s="52">
        <f>'Referenz Plattenwerk'!AB18</f>
        <v>77400</v>
      </c>
      <c r="V81" s="52">
        <f>S159+S165</f>
        <v>73917</v>
      </c>
      <c r="W81" s="52">
        <f>S235+S241</f>
        <v>73917</v>
      </c>
      <c r="X81" s="3"/>
      <c r="Y81" s="114"/>
      <c r="Z81" s="114"/>
      <c r="AA81" s="63"/>
    </row>
    <row r="82" spans="2:27" ht="16.5" thickTop="1" x14ac:dyDescent="0.3">
      <c r="B82" s="3"/>
      <c r="C82" s="3"/>
      <c r="D82" s="29" t="s">
        <v>122</v>
      </c>
      <c r="E82" s="32">
        <f>'Referenz Plattenwerk'!$U$25</f>
        <v>0</v>
      </c>
      <c r="F82" s="32">
        <f>J166</f>
        <v>0</v>
      </c>
      <c r="G82" s="32">
        <f>J242</f>
        <v>0</v>
      </c>
      <c r="H82" s="25" t="s">
        <v>162</v>
      </c>
      <c r="I82" s="3"/>
      <c r="J82" s="3"/>
      <c r="K82" s="3"/>
      <c r="L82" s="3"/>
      <c r="M82" s="3"/>
      <c r="N82" s="3"/>
      <c r="O82" s="3"/>
      <c r="P82" s="3"/>
      <c r="Q82" s="3"/>
      <c r="R82" s="3"/>
      <c r="S82" s="3"/>
      <c r="T82" s="31" t="s">
        <v>122</v>
      </c>
      <c r="U82" s="52">
        <f>'Referenz Plattenwerk'!AB19</f>
        <v>0</v>
      </c>
      <c r="V82" s="52">
        <f>S166</f>
        <v>0</v>
      </c>
      <c r="W82" s="52">
        <f>S242</f>
        <v>0</v>
      </c>
      <c r="X82" s="3"/>
      <c r="Y82" s="114"/>
      <c r="Z82" s="114"/>
      <c r="AA82" s="63"/>
    </row>
    <row r="83" spans="2:27" ht="15.75" x14ac:dyDescent="0.3">
      <c r="B83" s="3"/>
      <c r="C83" s="3"/>
      <c r="D83" s="8" t="s">
        <v>127</v>
      </c>
      <c r="E83" s="10">
        <f>'Referenz Plattenwerk'!$U$26</f>
        <v>0</v>
      </c>
      <c r="F83" s="10">
        <f>J167</f>
        <v>0</v>
      </c>
      <c r="G83" s="10">
        <f>J243</f>
        <v>0</v>
      </c>
      <c r="H83" s="3" t="s">
        <v>162</v>
      </c>
      <c r="I83" s="3"/>
      <c r="J83" s="3"/>
      <c r="K83" s="3"/>
      <c r="L83" s="3"/>
      <c r="M83" s="3"/>
      <c r="N83" s="3"/>
      <c r="O83" s="3"/>
      <c r="P83" s="3"/>
      <c r="Q83" s="3"/>
      <c r="R83" s="3"/>
      <c r="S83" s="3"/>
      <c r="T83" s="31" t="s">
        <v>123</v>
      </c>
      <c r="U83" s="52">
        <f>'Referenz Plattenwerk'!AB20</f>
        <v>0</v>
      </c>
      <c r="V83" s="52">
        <f>S160</f>
        <v>0</v>
      </c>
      <c r="W83" s="52">
        <f>S236</f>
        <v>0</v>
      </c>
      <c r="X83" s="3"/>
      <c r="Y83" s="114"/>
      <c r="Z83" s="114"/>
      <c r="AA83" s="63"/>
    </row>
    <row r="84" spans="2:27" ht="15.75" x14ac:dyDescent="0.3">
      <c r="B84" s="3"/>
      <c r="C84" s="3"/>
      <c r="D84" s="29" t="s">
        <v>34</v>
      </c>
      <c r="E84" s="32">
        <f>'Referenz Plattenwerk'!$U$28+'Referenz Plattenwerk'!$U$29</f>
        <v>35.884155059999998</v>
      </c>
      <c r="F84" s="32">
        <f>J169+J170</f>
        <v>35.884155059999998</v>
      </c>
      <c r="G84" s="32">
        <f>J245+J246</f>
        <v>35.884155059999998</v>
      </c>
      <c r="H84" s="25" t="s">
        <v>162</v>
      </c>
      <c r="I84" s="3"/>
      <c r="J84" s="3"/>
      <c r="K84" s="3"/>
      <c r="L84" s="23" t="s">
        <v>192</v>
      </c>
      <c r="M84" s="24"/>
      <c r="N84" s="24"/>
      <c r="O84" s="24"/>
      <c r="P84" s="24"/>
      <c r="Q84" s="3"/>
      <c r="R84" s="3"/>
      <c r="S84" s="3"/>
      <c r="T84" s="31" t="s">
        <v>124</v>
      </c>
      <c r="U84" s="52">
        <f>'Referenz Plattenwerk'!AB21</f>
        <v>0</v>
      </c>
      <c r="V84" s="52">
        <f>S167</f>
        <v>0</v>
      </c>
      <c r="W84" s="52">
        <f>S243</f>
        <v>0</v>
      </c>
      <c r="X84" s="3"/>
      <c r="Y84" s="114"/>
      <c r="Z84" s="114"/>
      <c r="AA84" s="63"/>
    </row>
    <row r="85" spans="2:27" ht="15.75" thickBot="1" x14ac:dyDescent="0.3">
      <c r="B85" s="3"/>
      <c r="C85" s="3"/>
      <c r="D85" s="27" t="s">
        <v>69</v>
      </c>
      <c r="E85" s="33">
        <f>SUM(E78:E84)</f>
        <v>266.83235506</v>
      </c>
      <c r="F85" s="33">
        <f>SUM(F78:F84)</f>
        <v>214.2046420297213</v>
      </c>
      <c r="G85" s="33">
        <f>SUM(G78:G84)</f>
        <v>153.71504493803559</v>
      </c>
      <c r="H85" s="27" t="s">
        <v>163</v>
      </c>
      <c r="I85" s="3"/>
      <c r="J85" s="3"/>
      <c r="K85" s="397" t="s">
        <v>145</v>
      </c>
      <c r="L85" s="34"/>
      <c r="M85" s="46">
        <v>2020</v>
      </c>
      <c r="N85" s="47">
        <v>2025</v>
      </c>
      <c r="O85" s="47">
        <v>2030</v>
      </c>
      <c r="P85" s="34"/>
      <c r="Q85" s="3"/>
      <c r="R85" s="3"/>
      <c r="S85" s="3"/>
      <c r="T85" s="51" t="s">
        <v>34</v>
      </c>
      <c r="U85" s="53">
        <f>'Referenz Plattenwerk'!AB22</f>
        <v>15174.000000000002</v>
      </c>
      <c r="V85" s="54">
        <f>S169+S170</f>
        <v>15174.000000000002</v>
      </c>
      <c r="W85" s="54">
        <f>S245+S246</f>
        <v>15174.000000000002</v>
      </c>
      <c r="X85" s="3"/>
      <c r="Y85" s="114"/>
      <c r="Z85" s="114"/>
      <c r="AA85" s="63"/>
    </row>
    <row r="86" spans="2:27" ht="13.5" thickTop="1" x14ac:dyDescent="0.2">
      <c r="B86" s="3"/>
      <c r="C86" s="3"/>
      <c r="D86" s="3"/>
      <c r="E86" s="3"/>
      <c r="F86" s="3"/>
      <c r="G86" s="3"/>
      <c r="H86" s="3"/>
      <c r="I86" s="3"/>
      <c r="J86" s="3"/>
      <c r="K86" s="397"/>
      <c r="L86" s="24"/>
      <c r="M86" s="48" t="s">
        <v>89</v>
      </c>
      <c r="N86" s="49"/>
      <c r="O86" s="49"/>
      <c r="P86" s="24"/>
      <c r="Q86" s="3"/>
      <c r="R86" s="3"/>
      <c r="S86" s="3"/>
      <c r="T86" s="8" t="s">
        <v>30</v>
      </c>
      <c r="U86" s="55">
        <v>0</v>
      </c>
      <c r="V86" s="55">
        <f>S173</f>
        <v>1800</v>
      </c>
      <c r="W86" s="55">
        <f>S249</f>
        <v>1800</v>
      </c>
      <c r="X86" s="3"/>
      <c r="Y86" s="114"/>
      <c r="Z86" s="114"/>
      <c r="AA86" s="63"/>
    </row>
    <row r="87" spans="2:27" ht="15.75" x14ac:dyDescent="0.3">
      <c r="B87" s="3"/>
      <c r="C87" s="3"/>
      <c r="D87" s="3"/>
      <c r="E87" s="3"/>
      <c r="F87" s="3"/>
      <c r="G87" s="3"/>
      <c r="H87" s="3"/>
      <c r="I87" s="3"/>
      <c r="J87" s="3"/>
      <c r="K87" s="3"/>
      <c r="L87" s="29" t="str">
        <f>C155</f>
        <v>Energieträger gesamt</v>
      </c>
      <c r="M87" s="26">
        <f>SUM('Referenz Plattenwerk'!S16:S29)</f>
        <v>41.281733459999998</v>
      </c>
      <c r="N87" s="26">
        <f>H155</f>
        <v>33.566676052419879</v>
      </c>
      <c r="O87" s="26">
        <f>H231</f>
        <v>24.699091138455479</v>
      </c>
      <c r="P87" s="25" t="s">
        <v>162</v>
      </c>
      <c r="Q87" s="3"/>
      <c r="R87" s="3"/>
      <c r="S87" s="3"/>
      <c r="T87" s="8" t="s">
        <v>153</v>
      </c>
      <c r="U87" s="55">
        <v>0</v>
      </c>
      <c r="V87" s="55">
        <f>S174</f>
        <v>0</v>
      </c>
      <c r="W87" s="55">
        <f>S250</f>
        <v>0</v>
      </c>
      <c r="X87" s="3"/>
      <c r="Y87" s="114"/>
      <c r="Z87" s="114"/>
      <c r="AA87" s="63"/>
    </row>
    <row r="88" spans="2:27" ht="15.75" x14ac:dyDescent="0.3">
      <c r="B88" s="3"/>
      <c r="C88" s="3"/>
      <c r="D88" s="3"/>
      <c r="E88" s="3"/>
      <c r="F88" s="3"/>
      <c r="G88" s="3"/>
      <c r="H88" s="3"/>
      <c r="I88" s="3"/>
      <c r="J88" s="3"/>
      <c r="K88" s="3"/>
      <c r="L88" s="8" t="str">
        <f>C171</f>
        <v>Transport gesamt</v>
      </c>
      <c r="M88" s="9">
        <f>'Referenz Plattenwerk'!S32+'Referenz Plattenwerk'!S33</f>
        <v>469.15642799999995</v>
      </c>
      <c r="N88" s="9">
        <f>H171</f>
        <v>469.15642799999995</v>
      </c>
      <c r="O88" s="9">
        <f>H247</f>
        <v>469.15642799999995</v>
      </c>
      <c r="P88" s="3" t="s">
        <v>162</v>
      </c>
      <c r="Q88" s="3"/>
      <c r="R88" s="3"/>
      <c r="S88" s="3"/>
      <c r="T88" s="59" t="s">
        <v>160</v>
      </c>
      <c r="U88" s="61">
        <v>0</v>
      </c>
      <c r="V88" s="61">
        <f>S175</f>
        <v>0</v>
      </c>
      <c r="W88" s="61">
        <f>S251</f>
        <v>0</v>
      </c>
      <c r="X88" s="3"/>
      <c r="Y88" s="114"/>
      <c r="Z88" s="114"/>
      <c r="AA88" s="63"/>
    </row>
    <row r="89" spans="2:27" ht="15.75" x14ac:dyDescent="0.3">
      <c r="B89" s="3"/>
      <c r="C89" s="3"/>
      <c r="D89" s="3"/>
      <c r="E89" s="3"/>
      <c r="F89" s="3"/>
      <c r="G89" s="3"/>
      <c r="H89" s="3"/>
      <c r="I89" s="3"/>
      <c r="J89" s="3"/>
      <c r="K89" s="3"/>
      <c r="L89" s="29" t="str">
        <f>C175</f>
        <v>Zement</v>
      </c>
      <c r="M89" s="26">
        <f>'Referenz Plattenwerk'!S35</f>
        <v>4548.5439999999999</v>
      </c>
      <c r="N89" s="26">
        <f>H175</f>
        <v>4548.5439999999999</v>
      </c>
      <c r="O89" s="26">
        <f>H251</f>
        <v>4548.5439999999999</v>
      </c>
      <c r="P89" s="25" t="s">
        <v>162</v>
      </c>
      <c r="Q89" s="3"/>
      <c r="R89" s="3"/>
      <c r="S89" s="3"/>
      <c r="T89" s="57" t="s">
        <v>154</v>
      </c>
      <c r="U89" s="58">
        <f>SUM(U90:U92)</f>
        <v>152459.04944673795</v>
      </c>
      <c r="V89" s="58">
        <f t="shared" ref="V89:W89" si="2">SUM(V90:V92)</f>
        <v>271710.86433442478</v>
      </c>
      <c r="W89" s="58">
        <f t="shared" si="2"/>
        <v>477492.96203408082</v>
      </c>
      <c r="X89" s="3"/>
      <c r="Y89" s="114"/>
      <c r="Z89" s="114"/>
      <c r="AA89" s="63"/>
    </row>
    <row r="90" spans="2:27" ht="15.75" x14ac:dyDescent="0.3">
      <c r="B90" s="3"/>
      <c r="C90" s="3"/>
      <c r="D90" s="3"/>
      <c r="E90" s="3"/>
      <c r="F90" s="3"/>
      <c r="G90" s="3"/>
      <c r="H90" s="3"/>
      <c r="I90" s="3"/>
      <c r="J90" s="3"/>
      <c r="K90" s="3"/>
      <c r="L90" s="8" t="str">
        <f>C181</f>
        <v>Gesteinskörnungen (Zuschlagsstoffe)</v>
      </c>
      <c r="M90" s="9">
        <f>'Referenz Plattenwerk'!S41</f>
        <v>129.59200000000001</v>
      </c>
      <c r="N90" s="9">
        <f>H181</f>
        <v>129.59200000000001</v>
      </c>
      <c r="O90" s="9">
        <f>H257</f>
        <v>129.59200000000001</v>
      </c>
      <c r="P90" s="3" t="s">
        <v>162</v>
      </c>
      <c r="Q90" s="3"/>
      <c r="R90" s="3"/>
      <c r="S90" s="3"/>
      <c r="T90" s="31" t="s">
        <v>155</v>
      </c>
      <c r="U90" s="52">
        <f>'Referenz Plattenwerk'!AB26</f>
        <v>2373.3088765000002</v>
      </c>
      <c r="V90" s="52">
        <f>S178</f>
        <v>4271.9559777000004</v>
      </c>
      <c r="W90" s="52">
        <f>S254</f>
        <v>7594.5884048000007</v>
      </c>
      <c r="X90" s="3"/>
      <c r="Y90" s="114"/>
      <c r="Z90" s="114"/>
      <c r="AA90" s="63"/>
    </row>
    <row r="91" spans="2:27" ht="15.75" x14ac:dyDescent="0.3">
      <c r="B91" s="3"/>
      <c r="C91" s="3"/>
      <c r="D91" s="3"/>
      <c r="E91" s="3"/>
      <c r="F91" s="3"/>
      <c r="G91" s="3"/>
      <c r="H91" s="3"/>
      <c r="I91" s="3"/>
      <c r="J91" s="3"/>
      <c r="K91" s="3"/>
      <c r="L91" s="29" t="str">
        <f>D186</f>
        <v>Farben</v>
      </c>
      <c r="M91" s="26">
        <f>'Referenz Plattenwerk'!S46</f>
        <v>208</v>
      </c>
      <c r="N91" s="26">
        <f>H186</f>
        <v>208</v>
      </c>
      <c r="O91" s="26">
        <f>H262</f>
        <v>208</v>
      </c>
      <c r="P91" s="25" t="s">
        <v>162</v>
      </c>
      <c r="Q91" s="3"/>
      <c r="R91" s="3"/>
      <c r="S91" s="3"/>
      <c r="T91" s="31" t="s">
        <v>156</v>
      </c>
      <c r="U91" s="52">
        <f>'Referenz Plattenwerk'!AB27</f>
        <v>4297.5</v>
      </c>
      <c r="V91" s="52">
        <f>S179</f>
        <v>5367.2529136374578</v>
      </c>
      <c r="W91" s="52">
        <f>S255</f>
        <v>4702.6151902428464</v>
      </c>
      <c r="X91" s="3"/>
      <c r="Y91" s="114"/>
      <c r="Z91" s="114"/>
      <c r="AA91" s="63"/>
    </row>
    <row r="92" spans="2:27" ht="15.75" x14ac:dyDescent="0.3">
      <c r="B92" s="3"/>
      <c r="C92" s="3"/>
      <c r="D92" s="3"/>
      <c r="E92" s="3"/>
      <c r="F92" s="3"/>
      <c r="G92" s="3"/>
      <c r="H92" s="3"/>
      <c r="I92" s="3"/>
      <c r="J92" s="3"/>
      <c r="K92" s="3"/>
      <c r="L92" s="8" t="str">
        <f>C188</f>
        <v>Zusatzstoffe (Füllstoffe)</v>
      </c>
      <c r="M92" s="9">
        <f>'Referenz Plattenwerk'!S48</f>
        <v>81.003999999999991</v>
      </c>
      <c r="N92" s="9">
        <f>H188</f>
        <v>81.003999999999991</v>
      </c>
      <c r="O92" s="9">
        <f>H264</f>
        <v>81.003999999999991</v>
      </c>
      <c r="P92" s="3" t="s">
        <v>162</v>
      </c>
      <c r="Q92" s="3"/>
      <c r="R92" s="3"/>
      <c r="S92" s="3"/>
      <c r="T92" s="31" t="s">
        <v>157</v>
      </c>
      <c r="U92" s="52">
        <f>'Referenz Plattenwerk'!AB28</f>
        <v>145788.24057023795</v>
      </c>
      <c r="V92" s="52">
        <f>S180</f>
        <v>262071.65544308731</v>
      </c>
      <c r="W92" s="52">
        <f>S256</f>
        <v>465195.75843903795</v>
      </c>
      <c r="X92" s="3"/>
      <c r="Y92" s="114"/>
      <c r="Z92" s="114"/>
      <c r="AA92" s="63"/>
    </row>
    <row r="93" spans="2:27" ht="16.5" thickBot="1" x14ac:dyDescent="0.35">
      <c r="B93" s="3"/>
      <c r="C93" s="3"/>
      <c r="D93" s="3"/>
      <c r="E93" s="3"/>
      <c r="F93" s="3"/>
      <c r="G93" s="3"/>
      <c r="H93" s="3"/>
      <c r="I93" s="3"/>
      <c r="J93" s="3"/>
      <c r="K93" s="3"/>
      <c r="L93" s="29" t="str">
        <f>C193</f>
        <v>Zusatzmittel</v>
      </c>
      <c r="M93" s="26">
        <f>'Referenz Plattenwerk'!S53</f>
        <v>148.44746134951595</v>
      </c>
      <c r="N93" s="26">
        <f>H193</f>
        <v>148.44746134951595</v>
      </c>
      <c r="O93" s="26">
        <f>H269</f>
        <v>148.44746134951595</v>
      </c>
      <c r="P93" s="25" t="s">
        <v>162</v>
      </c>
      <c r="Q93" s="3"/>
      <c r="R93" s="3"/>
      <c r="S93" s="3"/>
      <c r="T93" s="27" t="s">
        <v>69</v>
      </c>
      <c r="U93" s="56">
        <f>U89+U88+U87+U86+U78</f>
        <v>262128.04944673795</v>
      </c>
      <c r="V93" s="56">
        <f t="shared" ref="V93:W93" si="3">V89+V88+V87+V86+V78</f>
        <v>379696.86433442478</v>
      </c>
      <c r="W93" s="56">
        <f t="shared" si="3"/>
        <v>585478.96203408088</v>
      </c>
      <c r="X93" s="3"/>
      <c r="Y93" s="114"/>
      <c r="Z93" s="114"/>
      <c r="AA93" s="63"/>
    </row>
    <row r="94" spans="2:27" ht="16.5" thickTop="1" x14ac:dyDescent="0.3">
      <c r="B94" s="3"/>
      <c r="C94" s="3"/>
      <c r="D94" s="3"/>
      <c r="E94" s="3"/>
      <c r="F94" s="3"/>
      <c r="G94" s="3"/>
      <c r="H94" s="3"/>
      <c r="I94" s="3"/>
      <c r="J94" s="3"/>
      <c r="K94" s="3"/>
      <c r="L94" s="8" t="s">
        <v>193</v>
      </c>
      <c r="M94" s="9">
        <f>'Referenz Plattenwerk'!S59+'Referenz Plattenwerk'!S60</f>
        <v>0.54400000000000004</v>
      </c>
      <c r="N94" s="9">
        <f>H199+H200</f>
        <v>0.54400000000000004</v>
      </c>
      <c r="O94" s="9">
        <f>H275+H276</f>
        <v>0.54400000000000004</v>
      </c>
      <c r="P94" s="3" t="s">
        <v>162</v>
      </c>
      <c r="Q94" s="3"/>
      <c r="R94" s="3"/>
      <c r="S94" s="3"/>
      <c r="T94" s="3"/>
      <c r="U94" s="3"/>
      <c r="V94" s="3"/>
      <c r="W94" s="3"/>
      <c r="X94" s="3"/>
      <c r="Y94" s="63"/>
      <c r="Z94" s="63"/>
      <c r="AA94" s="63"/>
    </row>
    <row r="95" spans="2:27" ht="16.5" thickBot="1" x14ac:dyDescent="0.35">
      <c r="B95" s="3"/>
      <c r="C95" s="3"/>
      <c r="D95" s="3"/>
      <c r="E95" s="3"/>
      <c r="F95" s="3"/>
      <c r="G95" s="3"/>
      <c r="H95" s="3"/>
      <c r="I95" s="3"/>
      <c r="J95" s="3"/>
      <c r="K95" s="3"/>
      <c r="L95" s="29" t="str">
        <f>C202</f>
        <v>Oberflächenschutzsysteme</v>
      </c>
      <c r="M95" s="26">
        <f>'Referenz Plattenwerk'!S62</f>
        <v>80.47999999999999</v>
      </c>
      <c r="N95" s="26">
        <f>H202</f>
        <v>80.47999999999999</v>
      </c>
      <c r="O95" s="26">
        <f>H278</f>
        <v>80.47999999999999</v>
      </c>
      <c r="P95" s="25" t="s">
        <v>162</v>
      </c>
      <c r="Q95" s="3"/>
      <c r="R95" s="3"/>
      <c r="S95" s="3"/>
      <c r="T95" s="105" t="s">
        <v>210</v>
      </c>
      <c r="U95" s="106">
        <f>U93-U92</f>
        <v>116339.8088765</v>
      </c>
      <c r="V95" s="106">
        <f>V93-V92</f>
        <v>117625.20889133748</v>
      </c>
      <c r="W95" s="106">
        <f>W93-W92</f>
        <v>120283.20359504293</v>
      </c>
      <c r="X95" s="3"/>
      <c r="Y95" s="3"/>
      <c r="Z95" s="3"/>
      <c r="AA95" s="3"/>
    </row>
    <row r="96" spans="2:27" ht="16.5" thickBot="1" x14ac:dyDescent="0.35">
      <c r="B96" s="3"/>
      <c r="C96" s="3"/>
      <c r="D96" s="3"/>
      <c r="E96" s="3"/>
      <c r="F96" s="3"/>
      <c r="G96" s="3"/>
      <c r="H96" s="3"/>
      <c r="I96" s="3"/>
      <c r="J96" s="3"/>
      <c r="K96" s="3"/>
      <c r="L96" s="8" t="str">
        <f>C207</f>
        <v>Oberflächenbearbeitung (vor/nach Erhärtung)</v>
      </c>
      <c r="M96" s="9">
        <f>'Referenz Plattenwerk'!S67</f>
        <v>60</v>
      </c>
      <c r="N96" s="9">
        <f>H207</f>
        <v>60</v>
      </c>
      <c r="O96" s="9">
        <f>H283</f>
        <v>60</v>
      </c>
      <c r="P96" s="3" t="s">
        <v>162</v>
      </c>
      <c r="Q96" s="3"/>
      <c r="R96" s="3"/>
      <c r="S96" s="3"/>
      <c r="T96" s="107" t="s">
        <v>159</v>
      </c>
      <c r="U96" s="108">
        <f>U93-U89</f>
        <v>109669</v>
      </c>
      <c r="V96" s="108">
        <f>V93-V89</f>
        <v>107986</v>
      </c>
      <c r="W96" s="108">
        <f>W93-W89</f>
        <v>107986.00000000006</v>
      </c>
      <c r="X96" s="3"/>
      <c r="Y96" s="3"/>
      <c r="Z96" s="3"/>
      <c r="AA96" s="3"/>
    </row>
    <row r="97" spans="2:27" ht="15.75" x14ac:dyDescent="0.3">
      <c r="B97" s="3"/>
      <c r="C97" s="3"/>
      <c r="D97" s="3"/>
      <c r="E97" s="3"/>
      <c r="F97" s="3"/>
      <c r="G97" s="3"/>
      <c r="H97" s="3"/>
      <c r="I97" s="3"/>
      <c r="J97" s="3"/>
      <c r="K97" s="3"/>
      <c r="L97" s="29" t="str">
        <f>D212</f>
        <v>Verpackungsmaterial</v>
      </c>
      <c r="M97" s="26">
        <f>'Referenz Plattenwerk'!S72</f>
        <v>64.48</v>
      </c>
      <c r="N97" s="26">
        <f>H212</f>
        <v>64.48</v>
      </c>
      <c r="O97" s="26">
        <f>H288</f>
        <v>64.48</v>
      </c>
      <c r="P97" s="25" t="s">
        <v>162</v>
      </c>
      <c r="Q97" s="3"/>
      <c r="R97" s="3"/>
      <c r="S97" s="3"/>
      <c r="T97" s="3"/>
      <c r="U97" s="3"/>
      <c r="V97" s="3"/>
      <c r="W97" s="3"/>
      <c r="X97" s="3"/>
      <c r="Y97" s="3"/>
      <c r="Z97" s="3"/>
      <c r="AA97" s="3"/>
    </row>
    <row r="98" spans="2:27" ht="15" thickBot="1" x14ac:dyDescent="0.3">
      <c r="B98" s="3"/>
      <c r="C98" s="3"/>
      <c r="D98" s="3"/>
      <c r="E98" s="3"/>
      <c r="F98" s="3"/>
      <c r="G98" s="3"/>
      <c r="H98" s="3"/>
      <c r="I98" s="3"/>
      <c r="J98" s="3"/>
      <c r="K98" s="3"/>
      <c r="L98" s="27" t="s">
        <v>69</v>
      </c>
      <c r="M98" s="28">
        <f>SUM(M87:M97)</f>
        <v>5831.529622809514</v>
      </c>
      <c r="N98" s="28">
        <f t="shared" ref="N98" si="4">SUM(N87:N97)</f>
        <v>5823.8145654019345</v>
      </c>
      <c r="O98" s="28">
        <f>SUM(O87:O97)</f>
        <v>5814.94698048797</v>
      </c>
      <c r="P98" s="27" t="s">
        <v>163</v>
      </c>
      <c r="Q98" s="3"/>
      <c r="R98" s="3"/>
      <c r="S98" s="3"/>
      <c r="T98" s="3"/>
      <c r="U98" s="3"/>
      <c r="V98" s="3"/>
      <c r="W98" s="3"/>
      <c r="X98" s="3"/>
      <c r="Y98" s="3"/>
      <c r="Z98" s="3"/>
      <c r="AA98" s="3"/>
    </row>
    <row r="99" spans="2:27" ht="13.5" thickTop="1" x14ac:dyDescent="0.2">
      <c r="B99" s="3"/>
      <c r="C99" s="3"/>
      <c r="D99" s="3"/>
      <c r="E99" s="3"/>
      <c r="F99" s="3"/>
      <c r="G99" s="3"/>
      <c r="H99" s="3"/>
      <c r="I99" s="3"/>
      <c r="J99" s="3"/>
      <c r="K99" s="3"/>
      <c r="L99" s="8"/>
      <c r="M99" s="83"/>
      <c r="N99" s="83"/>
      <c r="O99" s="83"/>
      <c r="P99" s="8"/>
      <c r="Q99" s="3"/>
      <c r="R99" s="3"/>
      <c r="S99" s="3"/>
      <c r="T99" s="3"/>
      <c r="U99" s="3"/>
      <c r="V99" s="3"/>
      <c r="W99" s="3"/>
      <c r="X99" s="3"/>
      <c r="Y99" s="3"/>
      <c r="Z99" s="3"/>
      <c r="AA99" s="3"/>
    </row>
    <row r="100" spans="2:27" x14ac:dyDescent="0.2">
      <c r="B100" s="3"/>
      <c r="C100" s="3"/>
      <c r="D100" s="3"/>
      <c r="E100" s="3"/>
      <c r="F100" s="3"/>
      <c r="G100" s="3"/>
      <c r="H100" s="3"/>
      <c r="I100" s="3"/>
      <c r="J100" s="3"/>
      <c r="K100" s="3"/>
      <c r="L100" s="8"/>
      <c r="M100" s="83"/>
      <c r="N100" s="83"/>
      <c r="O100" s="83"/>
      <c r="P100" s="8"/>
      <c r="Q100" s="3"/>
      <c r="R100" s="3"/>
      <c r="S100" s="3"/>
      <c r="T100" s="3"/>
      <c r="U100" s="3"/>
      <c r="V100" s="3"/>
      <c r="W100" s="3"/>
      <c r="X100" s="3"/>
      <c r="Y100" s="3"/>
      <c r="Z100" s="3"/>
      <c r="AA100" s="3"/>
    </row>
    <row r="101" spans="2:27" ht="15" x14ac:dyDescent="0.25">
      <c r="B101" s="3"/>
      <c r="C101" s="3"/>
      <c r="D101" s="3"/>
      <c r="E101" s="3"/>
      <c r="F101" s="3"/>
      <c r="G101" s="3"/>
      <c r="H101" s="3"/>
      <c r="I101" s="3"/>
      <c r="J101" s="3"/>
      <c r="K101" s="3"/>
      <c r="L101" s="23" t="s">
        <v>208</v>
      </c>
      <c r="M101" s="3"/>
      <c r="N101" s="3"/>
      <c r="O101" s="3"/>
      <c r="P101" s="3"/>
      <c r="Q101" s="3"/>
      <c r="R101" s="3"/>
      <c r="S101" s="3"/>
      <c r="T101" s="3"/>
      <c r="U101" s="3"/>
      <c r="V101" s="3"/>
      <c r="W101" s="3"/>
      <c r="X101" s="3"/>
      <c r="Y101" s="3"/>
      <c r="Z101" s="3"/>
      <c r="AA101" s="3"/>
    </row>
    <row r="102" spans="2:27" ht="15" x14ac:dyDescent="0.25">
      <c r="B102" s="3"/>
      <c r="C102" s="3"/>
      <c r="D102" s="3"/>
      <c r="E102" s="3"/>
      <c r="F102" s="3"/>
      <c r="G102" s="3"/>
      <c r="H102" s="3"/>
      <c r="I102" s="3"/>
      <c r="J102" s="3"/>
      <c r="K102" s="3"/>
      <c r="L102" s="34"/>
      <c r="M102" s="46">
        <v>2020</v>
      </c>
      <c r="N102" s="47">
        <v>2025</v>
      </c>
      <c r="O102" s="47">
        <v>2030</v>
      </c>
      <c r="P102" s="34"/>
      <c r="Q102" s="3"/>
      <c r="R102" s="3"/>
      <c r="S102" s="3"/>
      <c r="T102" s="3"/>
      <c r="U102" s="3"/>
      <c r="V102" s="3"/>
      <c r="W102" s="3"/>
      <c r="X102" s="3"/>
      <c r="Y102" s="3"/>
      <c r="Z102" s="3"/>
      <c r="AA102" s="3"/>
    </row>
    <row r="103" spans="2:27" x14ac:dyDescent="0.2">
      <c r="B103" s="3"/>
      <c r="C103" s="3"/>
      <c r="D103" s="3"/>
      <c r="E103" s="3"/>
      <c r="F103" s="3"/>
      <c r="G103" s="3"/>
      <c r="H103" s="3"/>
      <c r="I103" s="3"/>
      <c r="J103" s="3"/>
      <c r="K103" s="3"/>
      <c r="L103" s="24"/>
      <c r="M103" s="48" t="s">
        <v>89</v>
      </c>
      <c r="N103" s="49"/>
      <c r="O103" s="49"/>
      <c r="P103" s="24"/>
      <c r="Q103" s="3"/>
      <c r="R103" s="3"/>
      <c r="S103" s="3"/>
      <c r="T103" s="3"/>
      <c r="U103" s="3"/>
      <c r="V103" s="3"/>
      <c r="W103" s="3"/>
      <c r="X103" s="3"/>
      <c r="Y103" s="3"/>
      <c r="Z103" s="3"/>
      <c r="AA103" s="3"/>
    </row>
    <row r="104" spans="2:27" ht="15.75" x14ac:dyDescent="0.3">
      <c r="B104" s="3"/>
      <c r="C104" s="3"/>
      <c r="D104" s="3"/>
      <c r="E104" s="3"/>
      <c r="F104" s="3"/>
      <c r="G104" s="3"/>
      <c r="H104" s="3"/>
      <c r="I104" s="3"/>
      <c r="J104" s="3"/>
      <c r="K104" s="3"/>
      <c r="L104" s="29" t="s">
        <v>115</v>
      </c>
      <c r="M104" s="98">
        <f>M78/IF(NOT(ISBLANK('Referenz Plattenwerk'!$I$12)),'Referenz Plattenwerk'!$I$12,'Referenz Plattenwerk'!$F$12)</f>
        <v>2.3733088764999999E-3</v>
      </c>
      <c r="N104" s="98">
        <f>N78/IF(NOT(ISBLANK('Referenz Plattenwerk'!$I$12)),'Referenz Plattenwerk'!$I$12,'Referenz Plattenwerk'!$F$12)</f>
        <v>2.3733088764999999E-3</v>
      </c>
      <c r="O104" s="98">
        <f>O78/IF(NOT(ISBLANK('Referenz Plattenwerk'!$I$12)),'Referenz Plattenwerk'!$I$12,'Referenz Plattenwerk'!$F$12)</f>
        <v>2.3733088764999999E-3</v>
      </c>
      <c r="P104" s="25" t="s">
        <v>207</v>
      </c>
      <c r="Q104" s="3"/>
      <c r="R104" s="3"/>
      <c r="S104" s="3"/>
      <c r="T104" s="3"/>
      <c r="U104" s="3"/>
      <c r="V104" s="3"/>
      <c r="W104" s="3"/>
      <c r="X104" s="3"/>
      <c r="Y104" s="3"/>
      <c r="Z104" s="3"/>
      <c r="AA104" s="3"/>
    </row>
    <row r="105" spans="2:27" ht="15.75" x14ac:dyDescent="0.3">
      <c r="B105" s="3"/>
      <c r="C105" s="3"/>
      <c r="D105" s="3"/>
      <c r="E105" s="3"/>
      <c r="F105" s="3"/>
      <c r="G105" s="3"/>
      <c r="H105" s="3"/>
      <c r="I105" s="3"/>
      <c r="J105" s="3"/>
      <c r="K105" s="3"/>
      <c r="L105" s="8" t="s">
        <v>28</v>
      </c>
      <c r="M105" s="99">
        <f>M79/IF(NOT(ISBLANK('Referenz Plattenwerk'!$I$12)),'Referenz Plattenwerk'!$I$12,'Referenz Plattenwerk'!$F$12)</f>
        <v>4.2975000000000001E-3</v>
      </c>
      <c r="N105" s="99">
        <f>N79/IF(NOT(ISBLANK('Referenz Plattenwerk'!$I$12)),'Referenz Plattenwerk'!$I$12,'Referenz Plattenwerk'!$F$12)</f>
        <v>2.9818071742430323E-3</v>
      </c>
      <c r="O105" s="99">
        <f>O79/IF(NOT(ISBLANK('Referenz Plattenwerk'!$I$12)),'Referenz Plattenwerk'!$I$12,'Referenz Plattenwerk'!$F$12)</f>
        <v>1.4695672469508894E-3</v>
      </c>
      <c r="P105" s="3" t="s">
        <v>207</v>
      </c>
      <c r="Q105" s="3"/>
      <c r="R105" s="3"/>
      <c r="S105" s="3"/>
      <c r="T105" s="3"/>
      <c r="U105" s="3"/>
      <c r="V105" s="3"/>
      <c r="W105" s="3"/>
      <c r="X105" s="3"/>
      <c r="Y105" s="3"/>
      <c r="Z105" s="3"/>
      <c r="AA105" s="3"/>
    </row>
    <row r="106" spans="2:27" ht="15.75" x14ac:dyDescent="0.3">
      <c r="B106" s="3"/>
      <c r="C106" s="3"/>
      <c r="D106" s="3"/>
      <c r="E106" s="3"/>
      <c r="F106" s="3"/>
      <c r="G106" s="3"/>
      <c r="H106" s="3"/>
      <c r="I106" s="3"/>
      <c r="J106" s="3"/>
      <c r="K106" s="3"/>
      <c r="L106" s="29" t="s">
        <v>29</v>
      </c>
      <c r="M106" s="98">
        <f>M80/IF(NOT(ISBLANK('Referenz Plattenwerk'!$I$12)),'Referenz Plattenwerk'!$I$12,'Referenz Plattenwerk'!$F$12)</f>
        <v>0.14578824057023795</v>
      </c>
      <c r="N106" s="98">
        <f>N80/IF(NOT(ISBLANK('Referenz Plattenwerk'!$I$12)),'Referenz Plattenwerk'!$I$12,'Referenz Plattenwerk'!$F$12)</f>
        <v>0.14559536413504851</v>
      </c>
      <c r="O106" s="98">
        <f>O80/IF(NOT(ISBLANK('Referenz Plattenwerk'!$I$12)),'Referenz Plattenwerk'!$I$12,'Referenz Plattenwerk'!$F$12)</f>
        <v>0.14537367451219937</v>
      </c>
      <c r="P106" s="25" t="s">
        <v>207</v>
      </c>
      <c r="Q106" s="3"/>
      <c r="R106" s="3"/>
      <c r="S106" s="3"/>
      <c r="T106" s="3"/>
      <c r="U106" s="3"/>
      <c r="V106" s="3"/>
      <c r="W106" s="3"/>
      <c r="X106" s="3"/>
      <c r="Y106" s="3"/>
      <c r="Z106" s="3"/>
      <c r="AA106" s="3"/>
    </row>
    <row r="107" spans="2:27" ht="15" thickBot="1" x14ac:dyDescent="0.3">
      <c r="B107" s="3"/>
      <c r="C107" s="3"/>
      <c r="D107" s="3"/>
      <c r="E107" s="3"/>
      <c r="F107" s="3"/>
      <c r="G107" s="3"/>
      <c r="H107" s="3"/>
      <c r="I107" s="3"/>
      <c r="J107" s="3"/>
      <c r="K107" s="3"/>
      <c r="L107" s="27" t="s">
        <v>69</v>
      </c>
      <c r="M107" s="100">
        <f>M81/IF(NOT(ISBLANK('Referenz Plattenwerk'!$I$12)),'Referenz Plattenwerk'!$I$12,'Referenz Plattenwerk'!$F$12)</f>
        <v>0.15245904944673794</v>
      </c>
      <c r="N107" s="100">
        <f>N81/IF(NOT(ISBLANK('Referenz Plattenwerk'!$I$12)),'Referenz Plattenwerk'!$I$12,'Referenz Plattenwerk'!$F$12)</f>
        <v>0.15095048018579152</v>
      </c>
      <c r="O107" s="100">
        <f>O81/IF(NOT(ISBLANK('Referenz Plattenwerk'!$I$12)),'Referenz Plattenwerk'!$I$12,'Referenz Plattenwerk'!$F$12)</f>
        <v>0.14921655063565026</v>
      </c>
      <c r="P107" s="27" t="s">
        <v>209</v>
      </c>
      <c r="Q107" s="3"/>
      <c r="R107" s="3"/>
      <c r="S107" s="3"/>
      <c r="T107" s="3"/>
      <c r="U107" s="3"/>
      <c r="V107" s="3"/>
      <c r="W107" s="3"/>
      <c r="X107" s="3"/>
      <c r="Y107" s="3"/>
      <c r="Z107" s="3"/>
      <c r="AA107" s="3"/>
    </row>
    <row r="108" spans="2:27" ht="13.5" thickTop="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3" spans="2:25" hidden="1" outlineLevel="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2:25" ht="15.75" hidden="1" outlineLevel="1" x14ac:dyDescent="0.25">
      <c r="B114" s="3"/>
      <c r="C114" s="3"/>
      <c r="D114" s="62" t="s">
        <v>144</v>
      </c>
      <c r="E114" s="3"/>
      <c r="F114" s="3"/>
      <c r="G114" s="3"/>
      <c r="H114" s="3"/>
      <c r="I114" s="3"/>
      <c r="J114" s="3"/>
      <c r="K114" s="3"/>
      <c r="L114" s="62" t="s">
        <v>144</v>
      </c>
      <c r="M114" s="3"/>
      <c r="N114" s="3"/>
      <c r="O114" s="3"/>
      <c r="P114" s="3"/>
      <c r="Q114" s="3"/>
      <c r="R114" s="3"/>
      <c r="S114" s="62" t="s">
        <v>144</v>
      </c>
      <c r="T114" s="24"/>
      <c r="U114" s="24"/>
      <c r="V114" s="24"/>
      <c r="W114" s="24"/>
      <c r="X114" s="3"/>
      <c r="Y114" s="3"/>
    </row>
    <row r="115" spans="2:25" ht="15" hidden="1" outlineLevel="1" x14ac:dyDescent="0.25">
      <c r="B115" s="3"/>
      <c r="C115" s="3"/>
      <c r="D115" s="35" t="s">
        <v>113</v>
      </c>
      <c r="E115" s="35">
        <v>2020</v>
      </c>
      <c r="F115" s="35">
        <v>2025</v>
      </c>
      <c r="G115" s="35">
        <v>2030</v>
      </c>
      <c r="H115" s="34"/>
      <c r="I115" s="3"/>
      <c r="J115" s="3"/>
      <c r="K115" s="3"/>
      <c r="L115" s="35" t="s">
        <v>264</v>
      </c>
      <c r="M115" s="35">
        <v>2020</v>
      </c>
      <c r="N115" s="35">
        <v>2025</v>
      </c>
      <c r="O115" s="35">
        <v>2030</v>
      </c>
      <c r="P115" s="34"/>
      <c r="Q115" s="3"/>
      <c r="R115" s="3"/>
      <c r="S115" s="3"/>
      <c r="T115" s="46" t="s">
        <v>199</v>
      </c>
      <c r="U115" s="47">
        <v>2020</v>
      </c>
      <c r="V115" s="47">
        <v>2025</v>
      </c>
      <c r="W115" s="47">
        <v>2030</v>
      </c>
      <c r="X115" s="3"/>
      <c r="Y115" s="3"/>
    </row>
    <row r="116" spans="2:25" hidden="1" outlineLevel="1" x14ac:dyDescent="0.2">
      <c r="B116" s="3"/>
      <c r="C116" s="3"/>
      <c r="D116" s="24"/>
      <c r="E116" s="60" t="s">
        <v>89</v>
      </c>
      <c r="F116" s="59"/>
      <c r="G116" s="59"/>
      <c r="H116" s="24"/>
      <c r="I116" s="3"/>
      <c r="J116" s="3"/>
      <c r="K116" s="3"/>
      <c r="L116" s="24"/>
      <c r="M116" s="60" t="s">
        <v>89</v>
      </c>
      <c r="N116" s="59"/>
      <c r="O116" s="59"/>
      <c r="P116" s="24"/>
      <c r="Q116" s="3"/>
      <c r="R116" s="3"/>
      <c r="S116" s="3"/>
      <c r="T116" s="24"/>
      <c r="U116" s="50" t="s">
        <v>89</v>
      </c>
      <c r="V116" s="50"/>
      <c r="W116" s="59"/>
      <c r="X116" s="3"/>
      <c r="Y116" s="3"/>
    </row>
    <row r="117" spans="2:25" ht="15.75" hidden="1" outlineLevel="1" x14ac:dyDescent="0.3">
      <c r="B117" s="3"/>
      <c r="C117" s="3"/>
      <c r="D117" s="3" t="str">
        <f t="shared" ref="D117:D123" si="5">IF($I117,D78,"")</f>
        <v>Erdgas</v>
      </c>
      <c r="E117" s="10">
        <f t="shared" ref="E117:G123" si="6">IF($I117,E78,NA())</f>
        <v>43.0426</v>
      </c>
      <c r="F117" s="10">
        <f t="shared" si="6"/>
        <v>43.0426</v>
      </c>
      <c r="G117" s="10">
        <f t="shared" si="6"/>
        <v>43.0426</v>
      </c>
      <c r="H117" s="3" t="s">
        <v>162</v>
      </c>
      <c r="I117" s="381" t="b">
        <v>1</v>
      </c>
      <c r="J117" s="3"/>
      <c r="K117" s="3"/>
      <c r="L117" s="3" t="str">
        <f t="shared" ref="L117:L127" si="7">IF($Q117,L87,"")</f>
        <v>Energieträger gesamt</v>
      </c>
      <c r="M117" s="9">
        <f>IF($Q117,M87,NA())</f>
        <v>41.281733459999998</v>
      </c>
      <c r="N117" s="9">
        <f>IF($Q117,N87,NA())</f>
        <v>33.566676052419879</v>
      </c>
      <c r="O117" s="9">
        <f t="shared" ref="O117" si="8">IF($Q117,O87,NA())</f>
        <v>24.699091138455479</v>
      </c>
      <c r="P117" s="3" t="s">
        <v>162</v>
      </c>
      <c r="Q117" s="381" t="b">
        <v>1</v>
      </c>
      <c r="R117" s="3"/>
      <c r="S117" s="3"/>
      <c r="T117" s="57" t="s">
        <v>158</v>
      </c>
      <c r="U117" s="58">
        <f>SUM(U118:U124)</f>
        <v>109669</v>
      </c>
      <c r="V117" s="58">
        <f t="shared" ref="V117:W117" si="9">SUM(V118:V124)</f>
        <v>106186</v>
      </c>
      <c r="W117" s="58">
        <f t="shared" si="9"/>
        <v>106186</v>
      </c>
      <c r="X117" s="3"/>
      <c r="Y117" s="3"/>
    </row>
    <row r="118" spans="2:25" ht="15.75" hidden="1" outlineLevel="1" x14ac:dyDescent="0.3">
      <c r="B118" s="3"/>
      <c r="C118" s="3"/>
      <c r="D118" s="3" t="str">
        <f t="shared" si="5"/>
        <v>Heizöl</v>
      </c>
      <c r="E118" s="10">
        <f t="shared" si="6"/>
        <v>16.005600000000001</v>
      </c>
      <c r="F118" s="10">
        <f t="shared" si="6"/>
        <v>16.005600000000001</v>
      </c>
      <c r="G118" s="10">
        <f t="shared" si="6"/>
        <v>16.005600000000001</v>
      </c>
      <c r="H118" s="3" t="s">
        <v>162</v>
      </c>
      <c r="I118" s="381" t="b">
        <v>1</v>
      </c>
      <c r="J118" s="3"/>
      <c r="K118" s="3"/>
      <c r="L118" s="3" t="str">
        <f t="shared" si="7"/>
        <v>Transport gesamt</v>
      </c>
      <c r="M118" s="9">
        <f t="shared" ref="M118:O127" si="10">IF($Q118,M88,NA())</f>
        <v>469.15642799999995</v>
      </c>
      <c r="N118" s="9">
        <f t="shared" si="10"/>
        <v>469.15642799999995</v>
      </c>
      <c r="O118" s="9">
        <f t="shared" si="10"/>
        <v>469.15642799999995</v>
      </c>
      <c r="P118" s="3" t="s">
        <v>162</v>
      </c>
      <c r="Q118" s="381" t="b">
        <v>1</v>
      </c>
      <c r="R118" s="3"/>
      <c r="S118" s="3"/>
      <c r="T118" s="31" t="s">
        <v>31</v>
      </c>
      <c r="U118" s="52">
        <f>U79</f>
        <v>14335</v>
      </c>
      <c r="V118" s="52">
        <f t="shared" ref="V118:W118" si="11">V79</f>
        <v>14335</v>
      </c>
      <c r="W118" s="52">
        <f t="shared" si="11"/>
        <v>14335</v>
      </c>
      <c r="X118" s="3"/>
      <c r="Y118" s="3"/>
    </row>
    <row r="119" spans="2:25" ht="15.75" hidden="1" outlineLevel="1" x14ac:dyDescent="0.3">
      <c r="B119" s="3"/>
      <c r="C119" s="3"/>
      <c r="D119" s="3" t="str">
        <f t="shared" si="5"/>
        <v>Strom</v>
      </c>
      <c r="E119" s="10">
        <f t="shared" si="6"/>
        <v>171.9</v>
      </c>
      <c r="F119" s="10">
        <f t="shared" si="6"/>
        <v>119.27228696972129</v>
      </c>
      <c r="G119" s="10">
        <f t="shared" si="6"/>
        <v>58.782689878035576</v>
      </c>
      <c r="H119" s="3" t="s">
        <v>162</v>
      </c>
      <c r="I119" s="381" t="b">
        <v>1</v>
      </c>
      <c r="J119" s="3"/>
      <c r="K119" s="3"/>
      <c r="L119" s="3" t="str">
        <f t="shared" si="7"/>
        <v>Zement</v>
      </c>
      <c r="M119" s="9">
        <f t="shared" si="10"/>
        <v>4548.5439999999999</v>
      </c>
      <c r="N119" s="9">
        <f t="shared" si="10"/>
        <v>4548.5439999999999</v>
      </c>
      <c r="O119" s="9">
        <f t="shared" si="10"/>
        <v>4548.5439999999999</v>
      </c>
      <c r="P119" s="3" t="s">
        <v>162</v>
      </c>
      <c r="Q119" s="381" t="b">
        <v>1</v>
      </c>
      <c r="R119" s="3"/>
      <c r="S119" s="3"/>
      <c r="T119" s="31" t="s">
        <v>32</v>
      </c>
      <c r="U119" s="52">
        <f t="shared" ref="U119:W124" si="12">U80</f>
        <v>2760</v>
      </c>
      <c r="V119" s="52">
        <f t="shared" si="12"/>
        <v>2760</v>
      </c>
      <c r="W119" s="52">
        <f t="shared" si="12"/>
        <v>2760</v>
      </c>
      <c r="X119" s="3"/>
      <c r="Y119" s="3"/>
    </row>
    <row r="120" spans="2:25" ht="15.75" hidden="1" outlineLevel="1" x14ac:dyDescent="0.3">
      <c r="B120" s="3"/>
      <c r="C120" s="3"/>
      <c r="D120" s="3" t="str">
        <f t="shared" si="5"/>
        <v/>
      </c>
      <c r="E120" s="10" t="e">
        <f t="shared" si="6"/>
        <v>#N/A</v>
      </c>
      <c r="F120" s="10" t="e">
        <f t="shared" si="6"/>
        <v>#N/A</v>
      </c>
      <c r="G120" s="10" t="e">
        <f t="shared" si="6"/>
        <v>#N/A</v>
      </c>
      <c r="H120" s="3" t="s">
        <v>162</v>
      </c>
      <c r="I120" s="381" t="b">
        <v>0</v>
      </c>
      <c r="J120" s="3"/>
      <c r="K120" s="3"/>
      <c r="L120" s="3" t="str">
        <f t="shared" si="7"/>
        <v>Gesteinskörnungen (Zuschlagsstoffe)</v>
      </c>
      <c r="M120" s="9">
        <f t="shared" si="10"/>
        <v>129.59200000000001</v>
      </c>
      <c r="N120" s="9">
        <f t="shared" si="10"/>
        <v>129.59200000000001</v>
      </c>
      <c r="O120" s="9">
        <f t="shared" si="10"/>
        <v>129.59200000000001</v>
      </c>
      <c r="P120" s="3" t="s">
        <v>162</v>
      </c>
      <c r="Q120" s="381" t="b">
        <v>1</v>
      </c>
      <c r="R120" s="3"/>
      <c r="S120" s="3"/>
      <c r="T120" s="31" t="s">
        <v>33</v>
      </c>
      <c r="U120" s="52">
        <f t="shared" si="12"/>
        <v>77400</v>
      </c>
      <c r="V120" s="52">
        <f t="shared" si="12"/>
        <v>73917</v>
      </c>
      <c r="W120" s="52">
        <f t="shared" si="12"/>
        <v>73917</v>
      </c>
      <c r="X120" s="3"/>
      <c r="Y120" s="3"/>
    </row>
    <row r="121" spans="2:25" ht="15.75" hidden="1" outlineLevel="1" x14ac:dyDescent="0.3">
      <c r="B121" s="3"/>
      <c r="C121" s="3"/>
      <c r="D121" s="3" t="str">
        <f t="shared" si="5"/>
        <v/>
      </c>
      <c r="E121" s="10" t="e">
        <f t="shared" si="6"/>
        <v>#N/A</v>
      </c>
      <c r="F121" s="10" t="e">
        <f t="shared" si="6"/>
        <v>#N/A</v>
      </c>
      <c r="G121" s="10" t="e">
        <f t="shared" si="6"/>
        <v>#N/A</v>
      </c>
      <c r="H121" s="3" t="s">
        <v>162</v>
      </c>
      <c r="I121" s="381" t="b">
        <v>0</v>
      </c>
      <c r="J121" s="3"/>
      <c r="K121" s="3"/>
      <c r="L121" s="3" t="str">
        <f t="shared" si="7"/>
        <v>Farben</v>
      </c>
      <c r="M121" s="9">
        <f t="shared" si="10"/>
        <v>208</v>
      </c>
      <c r="N121" s="9">
        <f t="shared" si="10"/>
        <v>208</v>
      </c>
      <c r="O121" s="9">
        <f t="shared" si="10"/>
        <v>208</v>
      </c>
      <c r="P121" s="3" t="s">
        <v>162</v>
      </c>
      <c r="Q121" s="381" t="b">
        <v>1</v>
      </c>
      <c r="R121" s="3"/>
      <c r="S121" s="3"/>
      <c r="T121" s="31" t="s">
        <v>122</v>
      </c>
      <c r="U121" s="52">
        <f t="shared" si="12"/>
        <v>0</v>
      </c>
      <c r="V121" s="52">
        <f t="shared" si="12"/>
        <v>0</v>
      </c>
      <c r="W121" s="52">
        <f t="shared" si="12"/>
        <v>0</v>
      </c>
      <c r="X121" s="3"/>
      <c r="Y121" s="3"/>
    </row>
    <row r="122" spans="2:25" ht="15.75" hidden="1" outlineLevel="1" x14ac:dyDescent="0.3">
      <c r="B122" s="3"/>
      <c r="C122" s="3"/>
      <c r="D122" s="3" t="str">
        <f t="shared" si="5"/>
        <v/>
      </c>
      <c r="E122" s="10" t="e">
        <f t="shared" si="6"/>
        <v>#N/A</v>
      </c>
      <c r="F122" s="10" t="e">
        <f t="shared" si="6"/>
        <v>#N/A</v>
      </c>
      <c r="G122" s="10" t="e">
        <f t="shared" si="6"/>
        <v>#N/A</v>
      </c>
      <c r="H122" s="3" t="s">
        <v>162</v>
      </c>
      <c r="I122" s="381" t="b">
        <v>0</v>
      </c>
      <c r="J122" s="3"/>
      <c r="K122" s="3"/>
      <c r="L122" s="3" t="str">
        <f t="shared" si="7"/>
        <v>Zusatzstoffe (Füllstoffe)</v>
      </c>
      <c r="M122" s="9">
        <f t="shared" si="10"/>
        <v>81.003999999999991</v>
      </c>
      <c r="N122" s="9">
        <f t="shared" si="10"/>
        <v>81.003999999999991</v>
      </c>
      <c r="O122" s="9">
        <f t="shared" si="10"/>
        <v>81.003999999999991</v>
      </c>
      <c r="P122" s="3" t="s">
        <v>162</v>
      </c>
      <c r="Q122" s="381" t="b">
        <v>1</v>
      </c>
      <c r="R122" s="3"/>
      <c r="S122" s="3"/>
      <c r="T122" s="31" t="s">
        <v>123</v>
      </c>
      <c r="U122" s="52">
        <f t="shared" si="12"/>
        <v>0</v>
      </c>
      <c r="V122" s="52">
        <f t="shared" si="12"/>
        <v>0</v>
      </c>
      <c r="W122" s="52">
        <f t="shared" si="12"/>
        <v>0</v>
      </c>
      <c r="X122" s="3"/>
      <c r="Y122" s="3"/>
    </row>
    <row r="123" spans="2:25" ht="15.75" hidden="1" outlineLevel="1" x14ac:dyDescent="0.3">
      <c r="B123" s="3"/>
      <c r="C123" s="3"/>
      <c r="D123" s="3" t="str">
        <f t="shared" si="5"/>
        <v>Diesel</v>
      </c>
      <c r="E123" s="10">
        <f t="shared" si="6"/>
        <v>35.884155059999998</v>
      </c>
      <c r="F123" s="10">
        <f t="shared" si="6"/>
        <v>35.884155059999998</v>
      </c>
      <c r="G123" s="10">
        <f t="shared" si="6"/>
        <v>35.884155059999998</v>
      </c>
      <c r="H123" s="3" t="s">
        <v>162</v>
      </c>
      <c r="I123" s="381" t="b">
        <v>1</v>
      </c>
      <c r="J123" s="3"/>
      <c r="K123" s="3"/>
      <c r="L123" s="3" t="str">
        <f t="shared" si="7"/>
        <v>Zusatzmittel</v>
      </c>
      <c r="M123" s="9">
        <f t="shared" si="10"/>
        <v>148.44746134951595</v>
      </c>
      <c r="N123" s="9">
        <f t="shared" si="10"/>
        <v>148.44746134951595</v>
      </c>
      <c r="O123" s="9">
        <f t="shared" si="10"/>
        <v>148.44746134951595</v>
      </c>
      <c r="P123" s="3" t="s">
        <v>162</v>
      </c>
      <c r="Q123" s="381" t="b">
        <v>1</v>
      </c>
      <c r="R123" s="3"/>
      <c r="S123" s="3"/>
      <c r="T123" s="31" t="s">
        <v>124</v>
      </c>
      <c r="U123" s="52">
        <f t="shared" si="12"/>
        <v>0</v>
      </c>
      <c r="V123" s="52">
        <f t="shared" si="12"/>
        <v>0</v>
      </c>
      <c r="W123" s="52">
        <f t="shared" si="12"/>
        <v>0</v>
      </c>
      <c r="X123" s="3"/>
      <c r="Y123" s="3"/>
    </row>
    <row r="124" spans="2:25" ht="16.5" hidden="1" outlineLevel="1" thickBot="1" x14ac:dyDescent="0.35">
      <c r="B124" s="3"/>
      <c r="C124" s="3"/>
      <c r="D124" s="27" t="s">
        <v>69</v>
      </c>
      <c r="E124" s="33">
        <f>SUMIF($I$117:$I$123,"WAHR",E117:E123)</f>
        <v>266.83235506</v>
      </c>
      <c r="F124" s="33">
        <f>SUMIF($I$117:$I$123,"WAHR",F117:F123)</f>
        <v>214.2046420297213</v>
      </c>
      <c r="G124" s="33">
        <f>SUMIF($I$117:$I$123,"WAHR",G117:G123)</f>
        <v>153.71504493803559</v>
      </c>
      <c r="H124" s="27" t="s">
        <v>163</v>
      </c>
      <c r="I124" s="3"/>
      <c r="J124" s="3"/>
      <c r="K124" s="3"/>
      <c r="L124" s="3" t="str">
        <f t="shared" si="7"/>
        <v/>
      </c>
      <c r="M124" s="9" t="e">
        <f t="shared" si="10"/>
        <v>#N/A</v>
      </c>
      <c r="N124" s="9" t="e">
        <f t="shared" si="10"/>
        <v>#N/A</v>
      </c>
      <c r="O124" s="9" t="e">
        <f t="shared" si="10"/>
        <v>#N/A</v>
      </c>
      <c r="P124" s="3" t="s">
        <v>162</v>
      </c>
      <c r="Q124" s="381" t="b">
        <v>0</v>
      </c>
      <c r="R124" s="3"/>
      <c r="S124" s="3"/>
      <c r="T124" s="51" t="s">
        <v>34</v>
      </c>
      <c r="U124" s="53">
        <f t="shared" si="12"/>
        <v>15174.000000000002</v>
      </c>
      <c r="V124" s="54">
        <f t="shared" si="12"/>
        <v>15174.000000000002</v>
      </c>
      <c r="W124" s="54">
        <f t="shared" si="12"/>
        <v>15174.000000000002</v>
      </c>
      <c r="X124" s="3"/>
      <c r="Y124" s="3"/>
    </row>
    <row r="125" spans="2:25" ht="16.5" hidden="1" outlineLevel="1" thickTop="1" x14ac:dyDescent="0.3">
      <c r="B125" s="3"/>
      <c r="C125" s="3"/>
      <c r="D125" s="3"/>
      <c r="E125" s="3"/>
      <c r="F125" s="3"/>
      <c r="G125" s="3"/>
      <c r="H125" s="3"/>
      <c r="I125" s="3"/>
      <c r="J125" s="3"/>
      <c r="K125" s="3"/>
      <c r="L125" s="3" t="str">
        <f t="shared" si="7"/>
        <v/>
      </c>
      <c r="M125" s="9" t="e">
        <f t="shared" si="10"/>
        <v>#N/A</v>
      </c>
      <c r="N125" s="9" t="e">
        <f t="shared" si="10"/>
        <v>#N/A</v>
      </c>
      <c r="O125" s="9" t="e">
        <f t="shared" si="10"/>
        <v>#N/A</v>
      </c>
      <c r="P125" s="3" t="s">
        <v>162</v>
      </c>
      <c r="Q125" s="381" t="b">
        <v>0</v>
      </c>
      <c r="R125" s="3"/>
      <c r="S125" s="3"/>
      <c r="T125" s="8" t="str">
        <f>IF(X125,"CAPEX","")</f>
        <v>CAPEX</v>
      </c>
      <c r="U125" s="55">
        <f>IF($X125,U86,NA())</f>
        <v>0</v>
      </c>
      <c r="V125" s="55">
        <f t="shared" ref="V125:W127" si="13">IF($X125,V86,NA())</f>
        <v>1800</v>
      </c>
      <c r="W125" s="55">
        <f t="shared" si="13"/>
        <v>1800</v>
      </c>
      <c r="X125" s="381" t="b">
        <v>1</v>
      </c>
      <c r="Y125" s="3"/>
    </row>
    <row r="126" spans="2:25" ht="15.75" hidden="1" outlineLevel="1" x14ac:dyDescent="0.3">
      <c r="B126" s="3"/>
      <c r="C126" s="3"/>
      <c r="D126" s="3"/>
      <c r="E126" s="3"/>
      <c r="F126" s="3"/>
      <c r="G126" s="3"/>
      <c r="H126" s="3"/>
      <c r="I126" s="3"/>
      <c r="J126" s="3"/>
      <c r="K126" s="3"/>
      <c r="L126" s="3" t="str">
        <f t="shared" si="7"/>
        <v/>
      </c>
      <c r="M126" s="9" t="e">
        <f t="shared" si="10"/>
        <v>#N/A</v>
      </c>
      <c r="N126" s="9" t="e">
        <f t="shared" si="10"/>
        <v>#N/A</v>
      </c>
      <c r="O126" s="9" t="e">
        <f t="shared" si="10"/>
        <v>#N/A</v>
      </c>
      <c r="P126" s="3" t="s">
        <v>162</v>
      </c>
      <c r="Q126" s="381" t="b">
        <v>0</v>
      </c>
      <c r="R126" s="3"/>
      <c r="S126" s="3"/>
      <c r="T126" s="8" t="str">
        <f>IF(X126,"Zusätzliche jährliche Kosten","")</f>
        <v/>
      </c>
      <c r="U126" s="55" t="e">
        <f>IF($X126,U87,NA())</f>
        <v>#N/A</v>
      </c>
      <c r="V126" s="55" t="e">
        <f t="shared" si="13"/>
        <v>#N/A</v>
      </c>
      <c r="W126" s="55" t="e">
        <f t="shared" si="13"/>
        <v>#N/A</v>
      </c>
      <c r="X126" s="381" t="b">
        <v>0</v>
      </c>
      <c r="Y126" s="3"/>
    </row>
    <row r="127" spans="2:25" ht="15.75" hidden="1" outlineLevel="1" x14ac:dyDescent="0.3">
      <c r="B127" s="3"/>
      <c r="C127" s="3"/>
      <c r="D127" s="3"/>
      <c r="E127" s="3"/>
      <c r="F127" s="3"/>
      <c r="G127" s="3"/>
      <c r="H127" s="3"/>
      <c r="I127" s="3"/>
      <c r="J127" s="3"/>
      <c r="K127" s="3"/>
      <c r="L127" s="3" t="str">
        <f t="shared" si="7"/>
        <v>Verpackungsmaterial</v>
      </c>
      <c r="M127" s="9">
        <f t="shared" si="10"/>
        <v>64.48</v>
      </c>
      <c r="N127" s="9">
        <f t="shared" si="10"/>
        <v>64.48</v>
      </c>
      <c r="O127" s="9">
        <f t="shared" si="10"/>
        <v>64.48</v>
      </c>
      <c r="P127" s="3" t="s">
        <v>162</v>
      </c>
      <c r="Q127" s="381" t="b">
        <v>1</v>
      </c>
      <c r="R127" s="3"/>
      <c r="S127" s="3"/>
      <c r="T127" s="59" t="str">
        <f>IF(X127,"Einmalige Kosten","")</f>
        <v/>
      </c>
      <c r="U127" s="55" t="e">
        <f>IF($X127,U88,NA())</f>
        <v>#N/A</v>
      </c>
      <c r="V127" s="55" t="e">
        <f t="shared" si="13"/>
        <v>#N/A</v>
      </c>
      <c r="W127" s="55" t="e">
        <f t="shared" si="13"/>
        <v>#N/A</v>
      </c>
      <c r="X127" s="381" t="b">
        <v>0</v>
      </c>
      <c r="Y127" s="3"/>
    </row>
    <row r="128" spans="2:25" ht="15" hidden="1" outlineLevel="1" thickBot="1" x14ac:dyDescent="0.3">
      <c r="B128" s="3"/>
      <c r="C128" s="3"/>
      <c r="D128" s="3"/>
      <c r="E128" s="3"/>
      <c r="F128" s="3"/>
      <c r="G128" s="3"/>
      <c r="H128" s="3"/>
      <c r="I128" s="3"/>
      <c r="J128" s="3"/>
      <c r="K128" s="3"/>
      <c r="L128" s="27" t="s">
        <v>69</v>
      </c>
      <c r="M128" s="28">
        <f>SUMIF($Q$117:$Q$127,"WAHR",M117:M127)</f>
        <v>5690.5056228095145</v>
      </c>
      <c r="N128" s="28">
        <f t="shared" ref="N128:O128" si="14">SUMIF($Q$117:$Q$127,"WAHR",N117:N127)</f>
        <v>5682.7905654019351</v>
      </c>
      <c r="O128" s="28">
        <f t="shared" si="14"/>
        <v>5673.9229804879706</v>
      </c>
      <c r="P128" s="27" t="s">
        <v>163</v>
      </c>
      <c r="Q128" s="3"/>
      <c r="R128" s="3"/>
      <c r="S128" s="3"/>
      <c r="T128" s="57" t="str">
        <f>IF(X128,"CO2-Kosten","")</f>
        <v>CO2-Kosten</v>
      </c>
      <c r="U128" s="58">
        <f>IF($X$128,SUMIF($X$129:$X$131,"WAHR",U129:U131),NA())</f>
        <v>152459.04944673795</v>
      </c>
      <c r="V128" s="58">
        <f t="shared" ref="V128:W128" si="15">IF($X$128,SUMIF($X$129:$X$131,"WAHR",V129:V131),NA())</f>
        <v>271710.86433442478</v>
      </c>
      <c r="W128" s="58">
        <f t="shared" si="15"/>
        <v>477492.96203408082</v>
      </c>
      <c r="X128" s="381" t="b">
        <v>1</v>
      </c>
      <c r="Y128" s="3"/>
    </row>
    <row r="129" spans="2:25" ht="16.5" hidden="1" outlineLevel="1" thickTop="1" x14ac:dyDescent="0.3">
      <c r="B129" s="3"/>
      <c r="C129" s="3"/>
      <c r="D129" s="3"/>
      <c r="E129" s="3"/>
      <c r="F129" s="3"/>
      <c r="G129" s="3"/>
      <c r="H129" s="3"/>
      <c r="I129" s="3"/>
      <c r="J129" s="3"/>
      <c r="K129" s="3"/>
      <c r="L129" s="3"/>
      <c r="M129" s="3"/>
      <c r="N129" s="3"/>
      <c r="O129" s="3"/>
      <c r="P129" s="3"/>
      <c r="Q129" s="3"/>
      <c r="R129" s="3"/>
      <c r="S129" s="3"/>
      <c r="T129" s="31" t="s">
        <v>155</v>
      </c>
      <c r="U129" s="52">
        <f>IF($X129,U90,NA())</f>
        <v>2373.3088765000002</v>
      </c>
      <c r="V129" s="52">
        <f t="shared" ref="V129:W129" si="16">IF($X129,V90,NA())</f>
        <v>4271.9559777000004</v>
      </c>
      <c r="W129" s="52">
        <f t="shared" si="16"/>
        <v>7594.5884048000007</v>
      </c>
      <c r="X129" s="381" t="b">
        <v>1</v>
      </c>
      <c r="Y129" s="3"/>
    </row>
    <row r="130" spans="2:25" ht="15.75" hidden="1" outlineLevel="1" x14ac:dyDescent="0.3">
      <c r="B130" s="3"/>
      <c r="C130" s="3"/>
      <c r="D130" s="3"/>
      <c r="E130" s="3"/>
      <c r="F130" s="3"/>
      <c r="G130" s="3"/>
      <c r="H130" s="3"/>
      <c r="I130" s="3"/>
      <c r="J130" s="3"/>
      <c r="K130" s="3"/>
      <c r="L130" s="3"/>
      <c r="M130" s="3"/>
      <c r="N130" s="3"/>
      <c r="O130" s="3"/>
      <c r="P130" s="3"/>
      <c r="Q130" s="3"/>
      <c r="R130" s="3"/>
      <c r="S130" s="3"/>
      <c r="T130" s="31" t="s">
        <v>156</v>
      </c>
      <c r="U130" s="52">
        <f t="shared" ref="U130:W131" si="17">IF($X130,U91,NA())</f>
        <v>4297.5</v>
      </c>
      <c r="V130" s="52">
        <f t="shared" si="17"/>
        <v>5367.2529136374578</v>
      </c>
      <c r="W130" s="52">
        <f t="shared" si="17"/>
        <v>4702.6151902428464</v>
      </c>
      <c r="X130" s="381" t="b">
        <v>1</v>
      </c>
      <c r="Y130" s="3"/>
    </row>
    <row r="131" spans="2:25" ht="15.75" hidden="1" outlineLevel="1" x14ac:dyDescent="0.3">
      <c r="B131" s="3"/>
      <c r="C131" s="3"/>
      <c r="D131" s="103" t="str">
        <f>IF(AND($G$21&gt;0,K21&lt;G21),"Bitte den Handeingabewert 'Reduktion' für 2030 auch anpassen. Dieser muss dem Werte Ihrer Handeingabe 2025 entsprechen, sollte nur eine Maßnahme in 2025 umgesetzt werden.","")</f>
        <v/>
      </c>
      <c r="E131" s="3"/>
      <c r="F131" s="3"/>
      <c r="G131" s="3"/>
      <c r="H131" s="3"/>
      <c r="I131" s="3"/>
      <c r="J131" s="3"/>
      <c r="K131" s="3"/>
      <c r="L131" s="3"/>
      <c r="M131" s="3"/>
      <c r="N131" s="3"/>
      <c r="O131" s="3"/>
      <c r="P131" s="3"/>
      <c r="Q131" s="3"/>
      <c r="R131" s="3"/>
      <c r="S131" s="3"/>
      <c r="T131" s="31" t="s">
        <v>157</v>
      </c>
      <c r="U131" s="52">
        <f t="shared" si="17"/>
        <v>145788.24057023795</v>
      </c>
      <c r="V131" s="52">
        <f t="shared" si="17"/>
        <v>262071.65544308731</v>
      </c>
      <c r="W131" s="52">
        <f t="shared" si="17"/>
        <v>465195.75843903795</v>
      </c>
      <c r="X131" s="381" t="b">
        <v>1</v>
      </c>
      <c r="Y131" s="3"/>
    </row>
    <row r="132" spans="2:25" ht="13.5" hidden="1" outlineLevel="1" thickBot="1" x14ac:dyDescent="0.25">
      <c r="B132" s="3"/>
      <c r="C132" s="3"/>
      <c r="D132" s="3"/>
      <c r="E132" s="3"/>
      <c r="F132" s="3"/>
      <c r="G132" s="3"/>
      <c r="H132" s="3"/>
      <c r="I132" s="3"/>
      <c r="J132" s="3"/>
      <c r="K132" s="3"/>
      <c r="L132" s="3"/>
      <c r="M132" s="3"/>
      <c r="N132" s="3"/>
      <c r="O132" s="3"/>
      <c r="P132" s="3"/>
      <c r="Q132" s="3"/>
      <c r="R132" s="3"/>
      <c r="S132" s="3"/>
      <c r="T132" s="27" t="s">
        <v>69</v>
      </c>
      <c r="U132" s="56">
        <f>IF($X$128,U128,0)+IF($X$127,U127,0)+IF($X$126,U126,0)+IF($X$125,U125,0)+U117</f>
        <v>262128.04944673795</v>
      </c>
      <c r="V132" s="56">
        <f t="shared" ref="V132:W132" si="18">IF($X$128,V128,0)+IF($X$127,V127,0)+IF($X$126,V126,0)+IF($X$125,V125,0)+V117</f>
        <v>379696.86433442478</v>
      </c>
      <c r="W132" s="56">
        <f t="shared" si="18"/>
        <v>585478.96203408088</v>
      </c>
      <c r="X132" s="3"/>
      <c r="Y132" s="3"/>
    </row>
    <row r="133" spans="2:25" ht="13.5" hidden="1" outlineLevel="1" thickTop="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2:25" hidden="1" outlineLevel="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2:25" hidden="1" outlineLevel="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2:25" hidden="1" outlineLevel="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2:25" hidden="1" outlineLevel="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2:25" hidden="1" outlineLevel="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2:25" hidden="1" outlineLevel="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2:25" hidden="1" outlineLevel="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2:25" collapsed="1" x14ac:dyDescent="0.2"/>
    <row r="143" spans="2:25" ht="15.75" hidden="1" outlineLevel="1" x14ac:dyDescent="0.25">
      <c r="B143" s="22"/>
      <c r="C143" s="22" t="s">
        <v>114</v>
      </c>
      <c r="D143" s="17"/>
      <c r="E143" s="17"/>
      <c r="F143" s="17"/>
      <c r="G143" s="17"/>
      <c r="H143" s="17"/>
      <c r="I143" s="17"/>
      <c r="J143" s="17"/>
      <c r="K143" s="17"/>
      <c r="L143" s="17"/>
      <c r="N143" s="22" t="s">
        <v>117</v>
      </c>
      <c r="O143" s="17"/>
      <c r="P143" s="17"/>
      <c r="Q143" s="17"/>
      <c r="R143" s="17"/>
      <c r="S143" s="17"/>
      <c r="T143" s="17"/>
    </row>
    <row r="144" spans="2:25" ht="15" hidden="1" outlineLevel="1" x14ac:dyDescent="0.25">
      <c r="B144" s="65"/>
      <c r="C144" s="65">
        <v>2025</v>
      </c>
      <c r="D144" s="17"/>
      <c r="E144" s="17"/>
      <c r="F144" s="17"/>
      <c r="G144" s="17"/>
      <c r="H144" s="17"/>
      <c r="I144" s="17"/>
      <c r="J144" s="17"/>
      <c r="K144" s="17"/>
      <c r="L144" s="17"/>
      <c r="N144" s="65">
        <v>2025</v>
      </c>
      <c r="O144" s="17"/>
      <c r="P144" s="17"/>
      <c r="Q144" s="17"/>
      <c r="R144" s="17"/>
      <c r="S144" s="17"/>
      <c r="T144" s="17"/>
    </row>
    <row r="145" spans="2:20" hidden="1" outlineLevel="1" x14ac:dyDescent="0.2">
      <c r="B145" s="17"/>
      <c r="C145" s="17"/>
      <c r="D145" s="17" t="s">
        <v>206</v>
      </c>
      <c r="E145" s="289">
        <f>(1-(IF(NOT(ISBLANK($G21)),$G21/100,$E21/100)))</f>
        <v>0.95</v>
      </c>
      <c r="F145" s="17"/>
      <c r="G145" s="17"/>
      <c r="H145" s="17"/>
      <c r="I145" s="17"/>
      <c r="J145" s="17"/>
      <c r="K145" s="17"/>
      <c r="L145" s="17"/>
      <c r="N145" s="21"/>
      <c r="O145" s="17"/>
      <c r="P145" s="17"/>
      <c r="Q145" s="17"/>
      <c r="R145" s="17"/>
      <c r="S145" s="17"/>
      <c r="T145" s="17"/>
    </row>
    <row r="146" spans="2:20" hidden="1" outlineLevel="1" x14ac:dyDescent="0.2">
      <c r="B146" s="17"/>
      <c r="C146" s="17"/>
      <c r="D146" s="17" t="s">
        <v>74</v>
      </c>
      <c r="E146" s="289" t="str">
        <f>IF(NOT(ISBLANK($G$16)),$G$16,$E$16)</f>
        <v>Strom</v>
      </c>
      <c r="F146" s="17"/>
      <c r="G146" s="17"/>
      <c r="H146" s="17"/>
      <c r="I146" s="17"/>
      <c r="J146" s="17"/>
      <c r="K146" s="17"/>
      <c r="L146" s="17"/>
      <c r="N146" s="21"/>
      <c r="O146" s="17"/>
      <c r="P146" s="17"/>
      <c r="Q146" s="17"/>
      <c r="R146" s="17"/>
      <c r="S146" s="17"/>
      <c r="T146" s="17"/>
    </row>
    <row r="147" spans="2:20" hidden="1" outlineLevel="1" x14ac:dyDescent="0.2">
      <c r="B147" s="17"/>
      <c r="C147" s="17"/>
      <c r="D147" s="17"/>
      <c r="E147" s="290" t="s">
        <v>89</v>
      </c>
      <c r="F147" s="17" t="s">
        <v>256</v>
      </c>
      <c r="G147" s="17"/>
      <c r="H147" s="17"/>
      <c r="I147" s="17"/>
      <c r="J147" s="17"/>
      <c r="K147" s="17"/>
      <c r="L147" s="17"/>
      <c r="N147" s="21"/>
      <c r="O147" s="17"/>
      <c r="P147" s="17"/>
      <c r="Q147" s="17"/>
      <c r="R147" s="17"/>
      <c r="S147" s="17"/>
      <c r="T147" s="17"/>
    </row>
    <row r="148" spans="2:20" hidden="1" outlineLevel="1" x14ac:dyDescent="0.2">
      <c r="B148" s="17"/>
      <c r="C148" s="17"/>
      <c r="D148" s="17" t="s">
        <v>31</v>
      </c>
      <c r="E148" s="42">
        <f>IF(NOT(ISBLANK('Referenz Plattenwerk'!$I$21)),'Referenz Plattenwerk'!$I$21,'Referenz Plattenwerk'!$F$21)</f>
        <v>47000</v>
      </c>
      <c r="F148" s="42">
        <f>IF($E$146=D148,E148*$E$145,E148)</f>
        <v>47000</v>
      </c>
      <c r="G148" s="17" t="str">
        <f>'Referenz Plattenwerk'!$G$21</f>
        <v>kWh Hs</v>
      </c>
      <c r="H148" s="17"/>
      <c r="I148" s="17"/>
      <c r="J148" s="17"/>
      <c r="K148" s="17"/>
      <c r="L148" s="17"/>
      <c r="N148" s="21"/>
      <c r="O148" s="17"/>
      <c r="P148" s="17"/>
      <c r="Q148" s="17"/>
      <c r="R148" s="17"/>
      <c r="S148" s="17"/>
      <c r="T148" s="17"/>
    </row>
    <row r="149" spans="2:20" hidden="1" outlineLevel="1" x14ac:dyDescent="0.2">
      <c r="B149" s="17"/>
      <c r="C149" s="17"/>
      <c r="D149" s="17" t="s">
        <v>32</v>
      </c>
      <c r="E149" s="42">
        <f>IF(NOT(ISBLANK('Referenz Plattenwerk'!$I$22)),'Referenz Plattenwerk'!$I$22,'Referenz Plattenwerk'!$F$22)</f>
        <v>36000</v>
      </c>
      <c r="F149" s="42">
        <f t="shared" ref="F149:F152" si="19">IF($E$146=D149,E149*$E$145,E149)</f>
        <v>36000</v>
      </c>
      <c r="G149" s="17" t="str">
        <f>'Referenz Plattenwerk'!$G$22</f>
        <v>kWh Hi</v>
      </c>
      <c r="H149" s="17"/>
      <c r="I149" s="17"/>
      <c r="J149" s="17"/>
      <c r="K149" s="17"/>
      <c r="L149" s="17"/>
      <c r="N149" s="21"/>
      <c r="O149" s="17"/>
      <c r="P149" s="17"/>
      <c r="Q149" s="17"/>
      <c r="R149" s="17"/>
      <c r="S149" s="17"/>
      <c r="T149" s="17"/>
    </row>
    <row r="150" spans="2:20" hidden="1" outlineLevel="1" x14ac:dyDescent="0.2">
      <c r="B150" s="17"/>
      <c r="C150" s="17"/>
      <c r="D150" s="17" t="s">
        <v>33</v>
      </c>
      <c r="E150" s="42">
        <f>IF(NOT(ISBLANK('Referenz Plattenwerk'!$I$24)),'Referenz Plattenwerk'!$I$24,'Referenz Plattenwerk'!$F$24)</f>
        <v>405000</v>
      </c>
      <c r="F150" s="42">
        <f>IF($E$146=D150,E150*$E$145,E150)</f>
        <v>384750</v>
      </c>
      <c r="G150" s="17" t="str">
        <f>'Referenz Plattenwerk'!$J$24</f>
        <v>kWh</v>
      </c>
      <c r="H150" s="17"/>
      <c r="I150" s="17"/>
      <c r="J150" s="17"/>
      <c r="K150" s="17"/>
      <c r="L150" s="17"/>
      <c r="N150" s="21"/>
      <c r="O150" s="17"/>
      <c r="P150" s="17"/>
      <c r="Q150" s="17"/>
      <c r="R150" s="17"/>
      <c r="S150" s="17"/>
      <c r="T150" s="17"/>
    </row>
    <row r="151" spans="2:20" hidden="1" outlineLevel="1" x14ac:dyDescent="0.2">
      <c r="B151" s="17"/>
      <c r="C151" s="17"/>
      <c r="D151" s="17" t="s">
        <v>122</v>
      </c>
      <c r="E151" s="42">
        <f>IF(NOT(ISBLANK('Referenz Plattenwerk'!$I$25)),'Referenz Plattenwerk'!$I$25,'Referenz Plattenwerk'!$F$25)</f>
        <v>0</v>
      </c>
      <c r="F151" s="42">
        <f t="shared" si="19"/>
        <v>0</v>
      </c>
      <c r="G151" s="17" t="str">
        <f>'Referenz Plattenwerk'!$J$25</f>
        <v>kWh</v>
      </c>
      <c r="H151" s="17"/>
      <c r="I151" s="17"/>
      <c r="J151" s="17"/>
      <c r="K151" s="17"/>
      <c r="L151" s="17"/>
      <c r="N151" s="21"/>
      <c r="O151" s="17"/>
      <c r="P151" s="17"/>
      <c r="Q151" s="17"/>
      <c r="R151" s="17"/>
      <c r="S151" s="17"/>
      <c r="T151" s="17"/>
    </row>
    <row r="152" spans="2:20" hidden="1" outlineLevel="1" x14ac:dyDescent="0.2">
      <c r="B152" s="17"/>
      <c r="C152" s="17"/>
      <c r="D152" s="17" t="s">
        <v>130</v>
      </c>
      <c r="E152" s="42">
        <f>IF(NOT(ISBLANK('Referenz Plattenwerk'!$I$26)),'Referenz Plattenwerk'!$I$26,'Referenz Plattenwerk'!$F$26)</f>
        <v>0</v>
      </c>
      <c r="F152" s="42">
        <f t="shared" si="19"/>
        <v>0</v>
      </c>
      <c r="G152" s="17" t="str">
        <f>'Referenz Plattenwerk'!$J$26</f>
        <v>kWh</v>
      </c>
      <c r="H152" s="17"/>
      <c r="I152" s="17"/>
      <c r="J152" s="17"/>
      <c r="K152" s="17"/>
      <c r="L152" s="17"/>
      <c r="N152" s="21"/>
      <c r="O152" s="17"/>
      <c r="P152" s="17"/>
      <c r="Q152" s="17"/>
      <c r="R152" s="17"/>
      <c r="S152" s="17"/>
      <c r="T152" s="17"/>
    </row>
    <row r="153" spans="2:20" hidden="1" outlineLevel="1" x14ac:dyDescent="0.2">
      <c r="B153" s="17"/>
      <c r="C153" s="17"/>
      <c r="D153" s="17"/>
      <c r="E153" s="17"/>
      <c r="F153" s="20"/>
      <c r="G153" s="20"/>
      <c r="H153" s="20"/>
      <c r="I153" s="17"/>
      <c r="J153" s="17"/>
      <c r="K153" s="17"/>
      <c r="L153" s="17"/>
      <c r="N153" s="17"/>
      <c r="O153" s="17"/>
      <c r="P153" s="17"/>
      <c r="Q153" s="17"/>
      <c r="R153" s="17"/>
      <c r="S153" s="17"/>
      <c r="T153" s="17"/>
    </row>
    <row r="154" spans="2:20" ht="25.5" hidden="1" outlineLevel="1" x14ac:dyDescent="0.2">
      <c r="B154" s="17"/>
      <c r="C154" s="17"/>
      <c r="D154" s="17"/>
      <c r="E154" s="17"/>
      <c r="F154" s="36" t="s">
        <v>27</v>
      </c>
      <c r="G154" s="36" t="s">
        <v>82</v>
      </c>
      <c r="H154" s="36" t="s">
        <v>29</v>
      </c>
      <c r="I154" s="17"/>
      <c r="J154" s="40" t="s">
        <v>111</v>
      </c>
      <c r="K154" s="41" t="s">
        <v>39</v>
      </c>
      <c r="L154" s="17"/>
      <c r="N154" s="17"/>
      <c r="O154" s="17"/>
      <c r="P154" s="17"/>
      <c r="Q154" s="18"/>
      <c r="R154" s="18"/>
      <c r="S154" s="18"/>
      <c r="T154" s="18"/>
    </row>
    <row r="155" spans="2:20" ht="14.25" hidden="1" outlineLevel="1" x14ac:dyDescent="0.25">
      <c r="B155" s="77"/>
      <c r="C155" s="77" t="s">
        <v>190</v>
      </c>
      <c r="D155" s="77"/>
      <c r="E155" s="77"/>
      <c r="F155" s="78">
        <f>SUM(F157:F170)</f>
        <v>94.932355060000006</v>
      </c>
      <c r="G155" s="78">
        <f t="shared" ref="G155:H155" si="20">SUM(G157:G170)</f>
        <v>119.27228696972129</v>
      </c>
      <c r="H155" s="78">
        <f t="shared" si="20"/>
        <v>33.566676052419879</v>
      </c>
      <c r="I155" s="77"/>
      <c r="J155" s="78">
        <f>F155+G155</f>
        <v>214.2046420297213</v>
      </c>
      <c r="K155" s="78">
        <f>SUM(F155:H155)</f>
        <v>247.77131808214119</v>
      </c>
      <c r="L155" s="77" t="s">
        <v>197</v>
      </c>
      <c r="N155" s="17"/>
      <c r="O155" s="17"/>
      <c r="P155" s="17"/>
      <c r="Q155" s="18"/>
      <c r="R155" s="18"/>
      <c r="S155" s="18"/>
      <c r="T155" s="18"/>
    </row>
    <row r="156" spans="2:20" hidden="1" outlineLevel="1" x14ac:dyDescent="0.2">
      <c r="B156" s="17"/>
      <c r="C156" s="17" t="s">
        <v>146</v>
      </c>
      <c r="D156" s="17"/>
      <c r="E156" s="17"/>
      <c r="F156" s="17"/>
      <c r="G156" s="17"/>
      <c r="H156" s="17"/>
      <c r="I156" s="17"/>
      <c r="J156" s="17"/>
      <c r="K156" s="17"/>
      <c r="L156" s="17"/>
      <c r="N156" s="17" t="s">
        <v>146</v>
      </c>
      <c r="O156" s="17"/>
      <c r="P156" s="17"/>
      <c r="Q156" s="18"/>
      <c r="R156" s="18"/>
      <c r="S156" s="18"/>
      <c r="T156" s="18"/>
    </row>
    <row r="157" spans="2:20" ht="15.75" hidden="1" outlineLevel="1" x14ac:dyDescent="0.3">
      <c r="B157" s="276"/>
      <c r="C157" s="17"/>
      <c r="D157" s="17" t="s">
        <v>125</v>
      </c>
      <c r="E157" s="17"/>
      <c r="F157" s="38">
        <f>IF(NOT(ISBLANK('Referenz Plattenwerk'!$I16)),'Referenz Plattenwerk'!$I16,'Referenz Plattenwerk'!$F16)*IF(NOT(ISBLANK('Eingabe EF'!$AA9)),'Eingabe EF'!$AA9,'Eingabe EF'!$Y9)</f>
        <v>34.434080000000002</v>
      </c>
      <c r="G157" s="38">
        <f>IF(NOT(ISBLANK('Referenz Plattenwerk'!$I16)),'Referenz Plattenwerk'!$I16,'Referenz Plattenwerk'!$F16)*IF(NOT(ISBLANK('Eingabe EF'!$AE9)),'Eingabe EF'!$AE9,'Eingabe EF'!$AC9)</f>
        <v>0</v>
      </c>
      <c r="H157" s="38">
        <f>IF(NOT(ISBLANK('Referenz Plattenwerk'!$I16)),'Referenz Plattenwerk'!$I16,'Referenz Plattenwerk'!$F16)*IF(NOT(ISBLANK('Eingabe EF'!$AI9)),'Eingabe EF'!$AI9,'Eingabe EF'!$AG9)</f>
        <v>5.8938000000000006</v>
      </c>
      <c r="I157" s="17"/>
      <c r="J157" s="38">
        <f>F157+G157</f>
        <v>34.434080000000002</v>
      </c>
      <c r="K157" s="38">
        <f>SUM(F157:H157)</f>
        <v>40.32788</v>
      </c>
      <c r="L157" s="17" t="s">
        <v>198</v>
      </c>
      <c r="N157" s="276"/>
      <c r="O157" s="17" t="s">
        <v>125</v>
      </c>
      <c r="P157" s="17"/>
      <c r="Q157" s="19"/>
      <c r="R157" s="20"/>
      <c r="S157" s="42">
        <f>IF(NOT(ISBLANK('Referenz Plattenwerk'!$I16)),'Referenz Plattenwerk'!$I16,'Referenz Plattenwerk'!$F16)/1000*IF(NOT(ISBLANK('Eingabe Preise'!$K10)),'Eingabe Preise'!$K10,'Eingabe Preise'!$I10)</f>
        <v>11468</v>
      </c>
      <c r="T157" s="20" t="s">
        <v>106</v>
      </c>
    </row>
    <row r="158" spans="2:20" ht="15.75" hidden="1" outlineLevel="1" x14ac:dyDescent="0.3">
      <c r="B158" s="276"/>
      <c r="C158" s="17"/>
      <c r="D158" s="17" t="s">
        <v>165</v>
      </c>
      <c r="E158" s="17"/>
      <c r="F158" s="38">
        <f>IF(NOT(ISBLANK('Referenz Plattenwerk'!$I17)),'Referenz Plattenwerk'!$I17,'Referenz Plattenwerk'!$F17)*IF(NOT(ISBLANK('Eingabe EF'!$AA10)),'Eingabe EF'!$AA10,'Eingabe EF'!$Y10)</f>
        <v>6.4022399999999999</v>
      </c>
      <c r="G158" s="38">
        <f>IF(NOT(ISBLANK('Referenz Plattenwerk'!$I17)),'Referenz Plattenwerk'!$I17,'Referenz Plattenwerk'!$F17)*IF(NOT(ISBLANK('Eingabe EF'!$AE10)),'Eingabe EF'!$AE10,'Eingabe EF'!$AC10)</f>
        <v>0</v>
      </c>
      <c r="H158" s="38">
        <f>IF(NOT(ISBLANK('Referenz Plattenwerk'!$I17)),'Referenz Plattenwerk'!$I17,'Referenz Plattenwerk'!$F17)*IF(NOT(ISBLANK('Eingabe EF'!$AI10)),'Eingabe EF'!$AI10,'Eingabe EF'!$AG10)</f>
        <v>0.949824</v>
      </c>
      <c r="I158" s="17"/>
      <c r="J158" s="38">
        <f>F158+G158</f>
        <v>6.4022399999999999</v>
      </c>
      <c r="K158" s="38">
        <f>SUM(F158:H158)</f>
        <v>7.3520640000000004</v>
      </c>
      <c r="L158" s="17" t="s">
        <v>198</v>
      </c>
      <c r="N158" s="276"/>
      <c r="O158" s="17" t="s">
        <v>165</v>
      </c>
      <c r="P158" s="17"/>
      <c r="Q158" s="20"/>
      <c r="R158" s="20"/>
      <c r="S158" s="42">
        <f>IF(NOT(ISBLANK('Referenz Plattenwerk'!$I17)),'Referenz Plattenwerk'!$I17,'Referenz Plattenwerk'!$F17)/1000*IF(NOT(ISBLANK('Eingabe Preise'!$K11)),'Eingabe Preise'!$K11,'Eingabe Preise'!$I11)</f>
        <v>1104</v>
      </c>
      <c r="T158" s="20" t="s">
        <v>106</v>
      </c>
    </row>
    <row r="159" spans="2:20" ht="15.75" hidden="1" outlineLevel="1" x14ac:dyDescent="0.3">
      <c r="B159" s="276"/>
      <c r="C159" s="17"/>
      <c r="D159" s="17" t="s">
        <v>166</v>
      </c>
      <c r="E159" s="17"/>
      <c r="F159" s="38">
        <f>IF(NOT(ISBLANK('Referenz Plattenwerk'!$I18)),'Referenz Plattenwerk'!$I18,'Referenz Plattenwerk'!$F18)*IF(NOT(ISBLANK('Eingabe EF'!$AA11)),'Eingabe EF'!$AA11,'Eingabe EF'!$Y11)</f>
        <v>0</v>
      </c>
      <c r="G159" s="38">
        <f>IF(NOT(ISBLANK('Referenz Plattenwerk'!$I18)),'Referenz Plattenwerk'!$I18,'Referenz Plattenwerk'!$F18)*IF(NOT(ISBLANK('Eingabe EF'!$AE11)),'Eingabe EF'!$AE11,'Eingabe EF'!$AC11)</f>
        <v>12.48924470887134</v>
      </c>
      <c r="H159" s="38">
        <f>IF(NOT(ISBLANK('Referenz Plattenwerk'!$I18)),'Referenz Plattenwerk'!$I18,'Referenz Plattenwerk'!$F18)*IF(NOT(ISBLANK('Eingabe EF'!$AI11)),'Eingabe EF'!$AI11,'Eingabe EF'!$AG11)</f>
        <v>1.8308840410910865</v>
      </c>
      <c r="I159" s="17"/>
      <c r="J159" s="38">
        <f>F159+G159</f>
        <v>12.48924470887134</v>
      </c>
      <c r="K159" s="38">
        <f>SUM(F159:H159)</f>
        <v>14.320128749962427</v>
      </c>
      <c r="L159" s="17" t="s">
        <v>198</v>
      </c>
      <c r="N159" s="276"/>
      <c r="O159" s="17" t="s">
        <v>166</v>
      </c>
      <c r="P159" s="17"/>
      <c r="Q159" s="20"/>
      <c r="R159" s="20"/>
      <c r="S159" s="42">
        <f>IF(NOT(ISBLANK('Referenz Plattenwerk'!$I18)),'Referenz Plattenwerk'!$I18,'Referenz Plattenwerk'!$F18)/1000*IF(NOT(ISBLANK('Eingabe Preise'!$K12)),'Eingabe Preise'!$K12,'Eingabe Preise'!$I12)</f>
        <v>7740</v>
      </c>
      <c r="T159" s="20" t="s">
        <v>106</v>
      </c>
    </row>
    <row r="160" spans="2:20" ht="15.75" hidden="1" outlineLevel="1" x14ac:dyDescent="0.3">
      <c r="B160" s="276"/>
      <c r="C160" s="17"/>
      <c r="D160" s="17" t="s">
        <v>126</v>
      </c>
      <c r="E160" s="17"/>
      <c r="F160" s="44">
        <f>IF(NOT(ISBLANK('Referenz Plattenwerk'!$I19)),'Referenz Plattenwerk'!$I19,'Referenz Plattenwerk'!$F19)*IF(NOT(ISBLANK('Eingabe EF'!$AA12)),'Eingabe EF'!$AA12,0)</f>
        <v>0</v>
      </c>
      <c r="G160" s="44">
        <f>IF(NOT(ISBLANK('Referenz Plattenwerk'!$I19)),'Referenz Plattenwerk'!$I19,'Referenz Plattenwerk'!$F19)*IF(NOT(ISBLANK('Eingabe EF'!$AE12)),'Eingabe EF'!$AE12,0)</f>
        <v>0</v>
      </c>
      <c r="H160" s="44">
        <f>IF(NOT(ISBLANK('Referenz Plattenwerk'!$I19)),'Referenz Plattenwerk'!$I19,'Referenz Plattenwerk'!$F19)*IF(NOT(ISBLANK('Eingabe EF'!$AI12)),'Eingabe EF'!$AI12,0)</f>
        <v>0</v>
      </c>
      <c r="I160" s="17"/>
      <c r="J160" s="38">
        <f>F160+G160</f>
        <v>0</v>
      </c>
      <c r="K160" s="38">
        <f>SUM(F160:H160)</f>
        <v>0</v>
      </c>
      <c r="L160" s="17" t="s">
        <v>198</v>
      </c>
      <c r="N160" s="276"/>
      <c r="O160" s="17" t="s">
        <v>126</v>
      </c>
      <c r="P160" s="17"/>
      <c r="Q160" s="20"/>
      <c r="R160" s="20"/>
      <c r="S160" s="42">
        <f>IF(NOT(ISBLANK('Referenz Plattenwerk'!$I19)),'Referenz Plattenwerk'!$I19,'Referenz Plattenwerk'!$F19)/1000*IF(NOT(ISBLANK('Eingabe Preise'!$K16)),'Eingabe Preise'!$K16,0)</f>
        <v>0</v>
      </c>
      <c r="T160" s="20" t="s">
        <v>106</v>
      </c>
    </row>
    <row r="161" spans="2:21" hidden="1" outlineLevel="1" x14ac:dyDescent="0.2">
      <c r="B161" s="17"/>
      <c r="C161" s="17" t="s">
        <v>147</v>
      </c>
      <c r="D161" s="17"/>
      <c r="E161" s="17"/>
      <c r="F161" s="20"/>
      <c r="G161" s="20"/>
      <c r="H161" s="20"/>
      <c r="I161" s="17"/>
      <c r="J161" s="17"/>
      <c r="K161" s="17"/>
      <c r="L161" s="17"/>
      <c r="N161" s="17" t="s">
        <v>147</v>
      </c>
      <c r="O161" s="17"/>
      <c r="P161" s="17"/>
      <c r="Q161" s="20"/>
      <c r="R161" s="20"/>
      <c r="S161" s="20"/>
      <c r="T161" s="20"/>
    </row>
    <row r="162" spans="2:21" ht="15.75" hidden="1" outlineLevel="1" x14ac:dyDescent="0.3">
      <c r="B162" s="276"/>
      <c r="C162" s="17"/>
      <c r="D162" s="17" t="s">
        <v>31</v>
      </c>
      <c r="E162" s="17"/>
      <c r="F162" s="38">
        <f>F148*IF(NOT(ISBLANK('Eingabe EF'!$AA9)),'Eingabe EF'!$AA9,'Eingabe EF'!$Y9)</f>
        <v>8.6085200000000004</v>
      </c>
      <c r="G162" s="38">
        <f>F148*IF(NOT(ISBLANK('Eingabe EF'!$AE9)),'Eingabe EF'!$AE9,'Eingabe EF'!$AC9)</f>
        <v>0</v>
      </c>
      <c r="H162" s="38">
        <f>F148*IF(NOT(ISBLANK('Eingabe EF'!$AG9)),'Eingabe EF'!$AG9,'Eingabe EF'!$AIC9)</f>
        <v>1.4734500000000001</v>
      </c>
      <c r="I162" s="17"/>
      <c r="J162" s="38">
        <f t="shared" ref="J162:J163" si="21">F162+G162</f>
        <v>8.6085200000000004</v>
      </c>
      <c r="K162" s="38">
        <f t="shared" ref="K162:K173" si="22">SUM(F162:H162)</f>
        <v>10.08197</v>
      </c>
      <c r="L162" s="17" t="s">
        <v>198</v>
      </c>
      <c r="M162" s="43"/>
      <c r="N162" s="276"/>
      <c r="O162" s="17" t="s">
        <v>31</v>
      </c>
      <c r="P162" s="17"/>
      <c r="Q162" s="20"/>
      <c r="R162" s="20"/>
      <c r="S162" s="42">
        <f>F148/1000*IF(NOT(ISBLANK('Eingabe Preise'!$K10)),'Eingabe Preise'!$K10,'Eingabe Preise'!$I10)</f>
        <v>2867</v>
      </c>
      <c r="T162" s="20" t="s">
        <v>106</v>
      </c>
    </row>
    <row r="163" spans="2:21" ht="15.75" hidden="1" outlineLevel="1" x14ac:dyDescent="0.3">
      <c r="B163" s="276"/>
      <c r="C163" s="17"/>
      <c r="D163" s="17" t="s">
        <v>32</v>
      </c>
      <c r="E163" s="17"/>
      <c r="F163" s="38">
        <f>F149*IF(NOT(ISBLANK('Eingabe EF'!$AA10)),'Eingabe EF'!$AA10,'Eingabe EF'!$Y10)</f>
        <v>9.6033600000000003</v>
      </c>
      <c r="G163" s="38">
        <f>F149*IF(NOT(ISBLANK('Eingabe EF'!$AE10)),'Eingabe EF'!$AE10,'Eingabe EF'!$AC10)</f>
        <v>0</v>
      </c>
      <c r="H163" s="38">
        <f>F149*IF(NOT(ISBLANK('Eingabe EF'!$AG10)),'Eingabe EF'!$AG10,'Eingabe EF'!$AIC10)</f>
        <v>1.424736</v>
      </c>
      <c r="I163" s="17"/>
      <c r="J163" s="38">
        <f t="shared" si="21"/>
        <v>9.6033600000000003</v>
      </c>
      <c r="K163" s="38">
        <f t="shared" si="22"/>
        <v>11.028096</v>
      </c>
      <c r="L163" s="17" t="s">
        <v>198</v>
      </c>
      <c r="M163" s="43"/>
      <c r="N163" s="276"/>
      <c r="O163" s="17" t="s">
        <v>32</v>
      </c>
      <c r="P163" s="17"/>
      <c r="Q163" s="20"/>
      <c r="R163" s="20"/>
      <c r="S163" s="42">
        <f>F149/1000*IF(NOT(ISBLANK('Eingabe Preise'!$K11)),'Eingabe Preise'!$K11,'Eingabe Preise'!$I11)</f>
        <v>1656</v>
      </c>
      <c r="T163" s="20" t="s">
        <v>106</v>
      </c>
    </row>
    <row r="164" spans="2:21" hidden="1" outlineLevel="1" x14ac:dyDescent="0.2">
      <c r="B164" s="17"/>
      <c r="C164" s="17" t="s">
        <v>148</v>
      </c>
      <c r="D164" s="17"/>
      <c r="E164" s="17"/>
      <c r="F164" s="20"/>
      <c r="G164" s="20"/>
      <c r="H164" s="20"/>
      <c r="I164" s="17"/>
      <c r="J164" s="17"/>
      <c r="K164" s="17"/>
      <c r="L164" s="17"/>
      <c r="N164" s="17" t="s">
        <v>148</v>
      </c>
      <c r="O164" s="17"/>
      <c r="P164" s="17"/>
      <c r="Q164" s="20"/>
      <c r="R164" s="20"/>
      <c r="S164" s="20"/>
      <c r="T164" s="20"/>
    </row>
    <row r="165" spans="2:21" ht="15.75" hidden="1" outlineLevel="1" x14ac:dyDescent="0.3">
      <c r="B165" s="276"/>
      <c r="C165" s="17"/>
      <c r="D165" s="17" t="s">
        <v>150</v>
      </c>
      <c r="E165" s="17"/>
      <c r="F165" s="38">
        <f>F150*IF(NOT(ISBLANK('Eingabe EF'!$AA11)),'Eingabe EF'!$AA11,'Eingabe EF'!$Y11)</f>
        <v>0</v>
      </c>
      <c r="G165" s="38">
        <f>F150*IF(NOT(ISBLANK('Eingabe EF'!$AE11)),'Eingabe EF'!$AE11,'Eingabe EF'!$AC11)</f>
        <v>106.78304226084995</v>
      </c>
      <c r="H165" s="38">
        <f>F150*IF(NOT(ISBLANK('Eingabe EF'!$AI11)),'Eingabe EF'!$AI11,'Eingabe EF'!$AG11)</f>
        <v>15.65405855132879</v>
      </c>
      <c r="I165" s="17"/>
      <c r="J165" s="38">
        <f t="shared" ref="J165:J173" si="23">F165+G165</f>
        <v>106.78304226084995</v>
      </c>
      <c r="K165" s="38">
        <f t="shared" si="22"/>
        <v>122.43710081217874</v>
      </c>
      <c r="L165" s="17" t="s">
        <v>198</v>
      </c>
      <c r="M165" s="43"/>
      <c r="N165" s="276"/>
      <c r="O165" s="17" t="s">
        <v>167</v>
      </c>
      <c r="P165" s="17"/>
      <c r="Q165" s="20"/>
      <c r="R165" s="20"/>
      <c r="S165" s="42">
        <f>F150/1000*IF(NOT(ISBLANK('Eingabe Preise'!$K12)),'Eingabe Preise'!$K12,'Eingabe Preise'!$I12)</f>
        <v>66177</v>
      </c>
      <c r="T165" s="20" t="s">
        <v>106</v>
      </c>
    </row>
    <row r="166" spans="2:21" ht="15.75" hidden="1" outlineLevel="1" x14ac:dyDescent="0.3">
      <c r="B166" s="276"/>
      <c r="C166" s="17"/>
      <c r="D166" s="17" t="s">
        <v>122</v>
      </c>
      <c r="E166" s="17"/>
      <c r="F166" s="38">
        <f>F151*IF(NOT(ISBLANK('Eingabe EF'!$AA13)),'Eingabe EF'!$AA13,'Eingabe EF'!$Y13)</f>
        <v>0</v>
      </c>
      <c r="G166" s="38">
        <f>F151*IF(NOT(ISBLANK('Eingabe EF'!$AE13)),'Eingabe EF'!$AE13,'Eingabe EF'!$AC13)</f>
        <v>0</v>
      </c>
      <c r="H166" s="38">
        <f>F151*IF(NOT(ISBLANK('Eingabe EF'!$AI13)),'Eingabe EF'!$AI13,'Eingabe EF'!$AG13)</f>
        <v>0</v>
      </c>
      <c r="I166" s="17"/>
      <c r="J166" s="38">
        <f t="shared" si="23"/>
        <v>0</v>
      </c>
      <c r="K166" s="38">
        <f t="shared" si="22"/>
        <v>0</v>
      </c>
      <c r="L166" s="17" t="s">
        <v>198</v>
      </c>
      <c r="M166" s="43"/>
      <c r="N166" s="276"/>
      <c r="O166" s="17" t="s">
        <v>122</v>
      </c>
      <c r="P166" s="17"/>
      <c r="Q166" s="20"/>
      <c r="R166" s="20"/>
      <c r="S166" s="42">
        <f>F151/1000*IF(NOT(ISBLANK('Eingabe Preise'!$K13)),'Eingabe Preise'!$K13,'Eingabe Preise'!$I13)</f>
        <v>0</v>
      </c>
      <c r="T166" s="20" t="s">
        <v>106</v>
      </c>
    </row>
    <row r="167" spans="2:21" ht="15.75" hidden="1" outlineLevel="1" x14ac:dyDescent="0.3">
      <c r="B167" s="276"/>
      <c r="C167" s="17"/>
      <c r="D167" s="17" t="s">
        <v>149</v>
      </c>
      <c r="E167" s="17"/>
      <c r="F167" s="38">
        <f>F152*IF(NOT(ISBLANK('Eingabe EF'!$AA14)),'Eingabe EF'!$AA14,0)</f>
        <v>0</v>
      </c>
      <c r="G167" s="38">
        <f>F152*IF(NOT(ISBLANK('Eingabe EF'!$AE14)),'Eingabe EF'!$AE14,0)</f>
        <v>0</v>
      </c>
      <c r="H167" s="38">
        <f>F152*IF(NOT(ISBLANK('Eingabe EF'!$AI14)),'Eingabe EF'!$AI14,0)</f>
        <v>0</v>
      </c>
      <c r="I167" s="17"/>
      <c r="J167" s="38">
        <f t="shared" si="23"/>
        <v>0</v>
      </c>
      <c r="K167" s="38">
        <f t="shared" si="22"/>
        <v>0</v>
      </c>
      <c r="L167" s="17" t="s">
        <v>198</v>
      </c>
      <c r="M167" s="43"/>
      <c r="N167" s="276"/>
      <c r="O167" s="17" t="s">
        <v>149</v>
      </c>
      <c r="P167" s="17"/>
      <c r="Q167" s="30"/>
      <c r="R167" s="17"/>
      <c r="S167" s="42">
        <f>F152/1000*IF(NOT(ISBLANK('Eingabe Preise'!$K17)),'Eingabe Preise'!$K17,0)</f>
        <v>0</v>
      </c>
      <c r="T167" s="20" t="s">
        <v>106</v>
      </c>
    </row>
    <row r="168" spans="2:21" hidden="1" outlineLevel="1" x14ac:dyDescent="0.2">
      <c r="B168" s="17"/>
      <c r="C168" s="17"/>
      <c r="D168" s="17"/>
      <c r="E168" s="17"/>
      <c r="F168" s="20"/>
      <c r="G168" s="20"/>
      <c r="H168" s="20"/>
      <c r="I168" s="17"/>
      <c r="J168" s="17"/>
      <c r="K168" s="17"/>
      <c r="L168" s="17"/>
      <c r="N168" s="17"/>
      <c r="O168" s="17"/>
      <c r="P168" s="17"/>
      <c r="Q168" s="30"/>
      <c r="R168" s="17"/>
      <c r="S168" s="17"/>
      <c r="T168" s="17"/>
    </row>
    <row r="169" spans="2:21" ht="15.75" hidden="1" outlineLevel="1" x14ac:dyDescent="0.3">
      <c r="B169" s="17"/>
      <c r="C169" s="17" t="s">
        <v>464</v>
      </c>
      <c r="D169" s="17" t="s">
        <v>34</v>
      </c>
      <c r="E169" s="17"/>
      <c r="F169" s="38">
        <f>IF(NOT(ISBLANK('Referenz Plattenwerk'!$I28)),'Referenz Plattenwerk'!$I28,'Referenz Plattenwerk'!$F28)*IF(NOT(ISBLANK('Eingabe EF'!$AA15)),'Eingabe EF'!$AA15,'Eingabe EF'!$Y15)</f>
        <v>29.238941159999996</v>
      </c>
      <c r="G169" s="38">
        <f>IF(NOT(ISBLANK('Referenz Plattenwerk'!$I28)),'Referenz Plattenwerk'!$I28,'Referenz Plattenwerk'!$F28)*IF(NOT(ISBLANK('Eingabe EF'!$AE15)),'Eingabe EF'!$AE15,'Eingabe EF'!$AC15)</f>
        <v>0</v>
      </c>
      <c r="H169" s="38">
        <f>IF(NOT(ISBLANK('Referenz Plattenwerk'!$I28)),'Referenz Plattenwerk'!$I28,'Referenz Plattenwerk'!$F28)*IF(NOT(ISBLANK('Eingabe EF'!$AI15)),'Eingabe EF'!$AI15,'Eingabe EF'!$AG15)</f>
        <v>5.1658635600000009</v>
      </c>
      <c r="I169" s="17"/>
      <c r="J169" s="38">
        <f t="shared" si="23"/>
        <v>29.238941159999996</v>
      </c>
      <c r="K169" s="38">
        <f t="shared" si="22"/>
        <v>34.404804719999994</v>
      </c>
      <c r="L169" s="17" t="s">
        <v>198</v>
      </c>
      <c r="M169" s="43"/>
      <c r="N169" s="17"/>
      <c r="O169" s="17" t="s">
        <v>34</v>
      </c>
      <c r="P169" s="17" t="s">
        <v>464</v>
      </c>
      <c r="Q169" s="30"/>
      <c r="R169" s="17"/>
      <c r="S169" s="42">
        <f>IF(NOT(ISBLANK('Referenz Plattenwerk'!$I28)),'Referenz Plattenwerk'!$I28,'Referenz Plattenwerk'!$F28)*IF(NOT(ISBLANK('Eingabe Preise'!$K14)),'Eingabe Preise'!$K14,'Eingabe Preise'!$I14)</f>
        <v>12364.000000000002</v>
      </c>
      <c r="T169" s="20" t="s">
        <v>106</v>
      </c>
    </row>
    <row r="170" spans="2:21" ht="15.75" hidden="1" outlineLevel="1" x14ac:dyDescent="0.3">
      <c r="B170" s="17"/>
      <c r="C170" s="17" t="s">
        <v>75</v>
      </c>
      <c r="D170" s="17" t="s">
        <v>34</v>
      </c>
      <c r="E170" s="17"/>
      <c r="F170" s="38">
        <f>IF(NOT(ISBLANK('Referenz Plattenwerk'!$I29)),'Referenz Plattenwerk'!$I29,'Referenz Plattenwerk'!$F29)*IF(NOT(ISBLANK('Eingabe EF'!$AA15)),'Eingabe EF'!$AA15,'Eingabe EF'!$Y15)</f>
        <v>6.645213899999999</v>
      </c>
      <c r="G170" s="38">
        <f>IF(NOT(ISBLANK('Referenz Plattenwerk'!$I29)),'Referenz Plattenwerk'!$I29,'Referenz Plattenwerk'!$F29)*IF(NOT(ISBLANK('Eingabe EF'!$AE15)),'Eingabe EF'!$AE15,'Eingabe EF'!$AC15)</f>
        <v>0</v>
      </c>
      <c r="H170" s="38">
        <f>IF(NOT(ISBLANK('Referenz Plattenwerk'!$I29)),'Referenz Plattenwerk'!$I29,'Referenz Plattenwerk'!$F29)*IF(NOT(ISBLANK('Eingabe EF'!$AI15)),'Eingabe EF'!$AI15,'Eingabe EF'!$AG15)</f>
        <v>1.1740599000000003</v>
      </c>
      <c r="I170" s="17"/>
      <c r="J170" s="38">
        <f t="shared" si="23"/>
        <v>6.645213899999999</v>
      </c>
      <c r="K170" s="38">
        <f t="shared" si="22"/>
        <v>7.8192737999999995</v>
      </c>
      <c r="L170" s="17" t="s">
        <v>198</v>
      </c>
      <c r="M170" s="43"/>
      <c r="N170" s="17"/>
      <c r="O170" s="17" t="s">
        <v>34</v>
      </c>
      <c r="P170" s="17" t="s">
        <v>75</v>
      </c>
      <c r="Q170" s="30"/>
      <c r="R170" s="17"/>
      <c r="S170" s="42">
        <f>IF(NOT(ISBLANK('Referenz Plattenwerk'!$I29)),'Referenz Plattenwerk'!$I29,'Referenz Plattenwerk'!$F29)*IF(NOT(ISBLANK('Eingabe Preise'!$K14)),'Eingabe Preise'!$K14,'Eingabe Preise'!$I14)</f>
        <v>2810.0000000000005</v>
      </c>
      <c r="T170" s="20" t="s">
        <v>106</v>
      </c>
    </row>
    <row r="171" spans="2:21" s="73" customFormat="1" ht="14.25" hidden="1" outlineLevel="1" x14ac:dyDescent="0.25">
      <c r="B171" s="70"/>
      <c r="C171" s="70" t="s">
        <v>189</v>
      </c>
      <c r="D171" s="70"/>
      <c r="E171" s="70"/>
      <c r="F171" s="72">
        <f>F172+F173</f>
        <v>0</v>
      </c>
      <c r="G171" s="72">
        <f t="shared" ref="G171:H171" si="24">G172+G173</f>
        <v>0</v>
      </c>
      <c r="H171" s="72">
        <f t="shared" si="24"/>
        <v>469.15642799999995</v>
      </c>
      <c r="I171" s="70"/>
      <c r="J171" s="72">
        <f t="shared" si="23"/>
        <v>0</v>
      </c>
      <c r="K171" s="72">
        <f t="shared" si="22"/>
        <v>469.15642799999995</v>
      </c>
      <c r="L171" s="77" t="s">
        <v>197</v>
      </c>
      <c r="N171" s="21"/>
      <c r="O171" s="21"/>
      <c r="P171" s="21"/>
      <c r="Q171" s="74"/>
      <c r="R171" s="21"/>
      <c r="S171" s="21"/>
      <c r="T171" s="21"/>
      <c r="U171" s="6"/>
    </row>
    <row r="172" spans="2:21" ht="15.75" hidden="1" outlineLevel="1" x14ac:dyDescent="0.3">
      <c r="B172" s="17"/>
      <c r="C172" s="17"/>
      <c r="D172" s="17" t="s">
        <v>45</v>
      </c>
      <c r="E172" s="17"/>
      <c r="F172" s="38">
        <f>IF(NOT(ISBLANK('Referenz Plattenwerk'!$I32)),'Referenz Plattenwerk'!$I32,'Referenz Plattenwerk'!$F32)*IF(NOT(ISBLANK('Eingabe EF'!$AA17)),'Eingabe EF'!$AA17,'Eingabe EF'!$Y17)</f>
        <v>0</v>
      </c>
      <c r="G172" s="38">
        <f>IF(NOT(ISBLANK('Referenz Plattenwerk'!$I32)),'Referenz Plattenwerk'!$I32,'Referenz Plattenwerk'!$F32)*IF(NOT(ISBLANK('Eingabe EF'!$AE17)),'Eingabe EF'!$AE17,'Eingabe EF'!$AC17)</f>
        <v>0</v>
      </c>
      <c r="H172" s="38">
        <f>IF(NOT(ISBLANK('Referenz Plattenwerk'!$I32)),'Referenz Plattenwerk'!$I32,'Referenz Plattenwerk'!$F32)*IF(NOT(ISBLANK('Eingabe EF'!$AI17)),'Eingabe EF'!$AI17,'Eingabe EF'!$AG17)</f>
        <v>109.4698332</v>
      </c>
      <c r="I172" s="17"/>
      <c r="J172" s="38">
        <f t="shared" si="23"/>
        <v>0</v>
      </c>
      <c r="K172" s="38">
        <f t="shared" si="22"/>
        <v>109.4698332</v>
      </c>
      <c r="L172" s="17" t="s">
        <v>198</v>
      </c>
      <c r="M172" s="43"/>
      <c r="N172" s="17"/>
      <c r="O172" s="17"/>
      <c r="P172" s="17"/>
      <c r="Q172" s="30"/>
      <c r="R172" s="17"/>
      <c r="S172" s="17"/>
      <c r="T172" s="17"/>
    </row>
    <row r="173" spans="2:21" ht="15.75" hidden="1" outlineLevel="1" x14ac:dyDescent="0.3">
      <c r="B173" s="17"/>
      <c r="C173" s="17"/>
      <c r="D173" s="17" t="s">
        <v>46</v>
      </c>
      <c r="E173" s="17"/>
      <c r="F173" s="38">
        <f>IF(NOT(ISBLANK('Referenz Plattenwerk'!$I33)),'Referenz Plattenwerk'!$I33,'Referenz Plattenwerk'!$F33)*IF(NOT(ISBLANK('Eingabe EF'!$AA18)),'Eingabe EF'!$AA18,'Eingabe EF'!$Y18)</f>
        <v>0</v>
      </c>
      <c r="G173" s="38">
        <f>IF(NOT(ISBLANK('Referenz Plattenwerk'!$I33)),'Referenz Plattenwerk'!$I33,'Referenz Plattenwerk'!$F33)*IF(NOT(ISBLANK('Eingabe EF'!$AE18)),'Eingabe EF'!$AE18,'Eingabe EF'!$AC18)</f>
        <v>0</v>
      </c>
      <c r="H173" s="38">
        <f>IF(NOT(ISBLANK('Referenz Plattenwerk'!$I33)),'Referenz Plattenwerk'!$I33,'Referenz Plattenwerk'!$F33)*IF(NOT(ISBLANK('Eingabe EF'!$AI18)),'Eingabe EF'!$AI18,'Eingabe EF'!$AG18)</f>
        <v>359.68659479999997</v>
      </c>
      <c r="I173" s="17"/>
      <c r="J173" s="38">
        <f t="shared" si="23"/>
        <v>0</v>
      </c>
      <c r="K173" s="38">
        <f t="shared" si="22"/>
        <v>359.68659479999997</v>
      </c>
      <c r="L173" s="17" t="s">
        <v>198</v>
      </c>
      <c r="M173" s="43"/>
      <c r="N173" s="17"/>
      <c r="O173" s="17" t="s">
        <v>30</v>
      </c>
      <c r="P173" s="17"/>
      <c r="Q173" s="30"/>
      <c r="R173" s="17"/>
      <c r="S173" s="42">
        <f>IF(NOT(ISBLANK($G$24)),$G$24,$E$24)/IF(NOT(ISBLANK($G$29)),$G$29,$E$29)+IF(NOT(ISBLANK($G$24)),$G$24,$E$24)*(IF(NOT(ISBLANK($G$30)),$G$30,$E$30)/100)</f>
        <v>1800</v>
      </c>
      <c r="T173" s="20" t="s">
        <v>106</v>
      </c>
    </row>
    <row r="174" spans="2:21" hidden="1" outlineLevel="1" x14ac:dyDescent="0.2">
      <c r="B174" s="17"/>
      <c r="C174" s="17"/>
      <c r="D174" s="17"/>
      <c r="E174" s="17"/>
      <c r="F174" s="20"/>
      <c r="G174" s="20"/>
      <c r="H174" s="20"/>
      <c r="I174" s="17"/>
      <c r="J174" s="20"/>
      <c r="K174" s="20"/>
      <c r="L174" s="17"/>
      <c r="N174" s="17"/>
      <c r="O174" s="45" t="s">
        <v>153</v>
      </c>
      <c r="P174" s="17"/>
      <c r="Q174" s="30"/>
      <c r="R174" s="17"/>
      <c r="S174" s="42">
        <f>IF(NOT(ISBLANK($G$25)),$G$25,$E$25)</f>
        <v>0</v>
      </c>
      <c r="T174" s="20" t="s">
        <v>106</v>
      </c>
    </row>
    <row r="175" spans="2:21" ht="14.25" hidden="1" outlineLevel="1" x14ac:dyDescent="0.25">
      <c r="B175" s="70"/>
      <c r="C175" s="70" t="s">
        <v>68</v>
      </c>
      <c r="D175" s="71"/>
      <c r="E175" s="71"/>
      <c r="F175" s="72">
        <f>SUM(F176:F179)</f>
        <v>0</v>
      </c>
      <c r="G175" s="72">
        <f>SUM(G176:G179)</f>
        <v>0</v>
      </c>
      <c r="H175" s="72">
        <f>SUM(H176:H179)</f>
        <v>4548.5439999999999</v>
      </c>
      <c r="I175" s="71"/>
      <c r="J175" s="72">
        <f t="shared" ref="J175:J179" si="25">F175+G175</f>
        <v>0</v>
      </c>
      <c r="K175" s="72">
        <f t="shared" ref="K175:K178" si="26">SUM(F175:H175)</f>
        <v>4548.5439999999999</v>
      </c>
      <c r="L175" s="77" t="s">
        <v>197</v>
      </c>
      <c r="N175" s="17"/>
      <c r="O175" s="45" t="s">
        <v>160</v>
      </c>
      <c r="P175" s="17"/>
      <c r="Q175" s="30"/>
      <c r="R175" s="17"/>
      <c r="S175" s="42">
        <f>IF(NOT(ISBLANK($G$26)),$G$26,$E$26)/IF(NOT(ISBLANK($G$29)),$G$29,$E$29)+IF(NOT(ISBLANK($G$26)),$G$26,$E$26)*(IF(NOT(ISBLANK($G$30)),$G$30,$E$30)/100)</f>
        <v>0</v>
      </c>
      <c r="T175" s="20" t="s">
        <v>106</v>
      </c>
    </row>
    <row r="176" spans="2:21" ht="15.75" hidden="1" outlineLevel="1" x14ac:dyDescent="0.3">
      <c r="B176" s="17"/>
      <c r="C176" s="17"/>
      <c r="D176" s="17" t="s">
        <v>47</v>
      </c>
      <c r="E176" s="17"/>
      <c r="F176" s="38">
        <f>IF(NOT(ISBLANK('Referenz Plattenwerk'!$I36)),'Referenz Plattenwerk'!$I36,'Referenz Plattenwerk'!$F36)*IF(NOT(ISBLANK('Eingabe EF'!$AA21)),'Eingabe EF'!$AA21,'Eingabe EF'!$Y21)*IF(NOT(ISBLANK('Referenz Plattenwerk'!$I$12)),'Referenz Plattenwerk'!$I$12,'Referenz Plattenwerk'!$F$12)</f>
        <v>0</v>
      </c>
      <c r="G176" s="38">
        <f>IF(NOT(ISBLANK('Referenz Plattenwerk'!$I36)),'Referenz Plattenwerk'!$I36,'Referenz Plattenwerk'!$F36)*IF(NOT(ISBLANK('Eingabe EF'!$AE21)),'Eingabe EF'!$AE21,'Eingabe EF'!$AC21)*IF(NOT(ISBLANK('Referenz Plattenwerk'!$I$12)),'Referenz Plattenwerk'!$I$12,'Referenz Plattenwerk'!$F$12)</f>
        <v>0</v>
      </c>
      <c r="H176" s="38">
        <f>IF(NOT(ISBLANK('Referenz Plattenwerk'!$I36)),'Referenz Plattenwerk'!$I36,'Referenz Plattenwerk'!$F36)*IF(NOT(ISBLANK('Eingabe EF'!$AI21)),'Eingabe EF'!$AI21,'Eingabe EF'!$AG21)*IF(NOT(ISBLANK('Referenz Plattenwerk'!$I$12)),'Referenz Plattenwerk'!$I$12,'Referenz Plattenwerk'!$F$12)</f>
        <v>1210.3</v>
      </c>
      <c r="I176" s="17"/>
      <c r="J176" s="38">
        <f t="shared" si="25"/>
        <v>0</v>
      </c>
      <c r="K176" s="38">
        <f t="shared" si="26"/>
        <v>1210.3</v>
      </c>
      <c r="L176" s="17" t="s">
        <v>198</v>
      </c>
      <c r="M176" s="43"/>
      <c r="N176" s="17"/>
      <c r="O176" s="17"/>
      <c r="P176" s="17"/>
      <c r="Q176" s="17"/>
      <c r="R176" s="17"/>
      <c r="S176" s="17"/>
      <c r="T176" s="17"/>
    </row>
    <row r="177" spans="2:20" ht="15.75" hidden="1" outlineLevel="1" x14ac:dyDescent="0.3">
      <c r="B177" s="17"/>
      <c r="C177" s="17"/>
      <c r="D177" s="17" t="s">
        <v>49</v>
      </c>
      <c r="E177" s="17"/>
      <c r="F177" s="38">
        <f>IF(NOT(ISBLANK('Referenz Plattenwerk'!$I37)),'Referenz Plattenwerk'!$I37,'Referenz Plattenwerk'!$F37)*IF(NOT(ISBLANK('Eingabe EF'!$AA22)),'Eingabe EF'!$AA22,'Eingabe EF'!$Y22)*IF(NOT(ISBLANK('Referenz Plattenwerk'!$I$12)),'Referenz Plattenwerk'!$I$12,'Referenz Plattenwerk'!$F$12)</f>
        <v>0</v>
      </c>
      <c r="G177" s="38">
        <f>IF(NOT(ISBLANK('Referenz Plattenwerk'!$I37)),'Referenz Plattenwerk'!$I37,'Referenz Plattenwerk'!$F37)*IF(NOT(ISBLANK('Eingabe EF'!$AE22)),'Eingabe EF'!$AE22,'Eingabe EF'!$AC22)*IF(NOT(ISBLANK('Referenz Plattenwerk'!$I$12)),'Referenz Plattenwerk'!$I$12,'Referenz Plattenwerk'!$F$12)</f>
        <v>0</v>
      </c>
      <c r="H177" s="38">
        <f>IF(NOT(ISBLANK('Referenz Plattenwerk'!$I37)),'Referenz Plattenwerk'!$I37,'Referenz Plattenwerk'!$F37)*IF(NOT(ISBLANK('Eingabe EF'!$AI22)),'Eingabe EF'!$AI22,'Eingabe EF'!$AG22)*IF(NOT(ISBLANK('Referenz Plattenwerk'!$I$12)),'Referenz Plattenwerk'!$I$12,'Referenz Plattenwerk'!$F$12)</f>
        <v>2415.5039999999999</v>
      </c>
      <c r="I177" s="17"/>
      <c r="J177" s="38">
        <f t="shared" si="25"/>
        <v>0</v>
      </c>
      <c r="K177" s="38">
        <f t="shared" si="26"/>
        <v>2415.5039999999999</v>
      </c>
      <c r="L177" s="17" t="s">
        <v>198</v>
      </c>
      <c r="M177" s="43"/>
      <c r="N177" s="17"/>
      <c r="O177" s="17"/>
      <c r="P177" s="17"/>
      <c r="Q177" s="17"/>
      <c r="R177" s="17"/>
      <c r="S177" s="17"/>
      <c r="T177" s="17"/>
    </row>
    <row r="178" spans="2:20" ht="15.75" hidden="1" outlineLevel="1" x14ac:dyDescent="0.3">
      <c r="B178" s="17"/>
      <c r="C178" s="17"/>
      <c r="D178" s="17" t="s">
        <v>50</v>
      </c>
      <c r="E178" s="17"/>
      <c r="F178" s="38">
        <f>IF(NOT(ISBLANK('Referenz Plattenwerk'!$I38)),'Referenz Plattenwerk'!$I38,'Referenz Plattenwerk'!$F38)*IF(NOT(ISBLANK('Eingabe EF'!$AA23)),'Eingabe EF'!$AA23,'Eingabe EF'!$Y23)*IF(NOT(ISBLANK('Referenz Plattenwerk'!$I$12)),'Referenz Plattenwerk'!$I$12,'Referenz Plattenwerk'!$F$12)</f>
        <v>0</v>
      </c>
      <c r="G178" s="38">
        <f>IF(NOT(ISBLANK('Referenz Plattenwerk'!$I38)),'Referenz Plattenwerk'!$I38,'Referenz Plattenwerk'!$F38)*IF(NOT(ISBLANK('Eingabe EF'!$AE23)),'Eingabe EF'!$AE23,'Eingabe EF'!$AC23)*IF(NOT(ISBLANK('Referenz Plattenwerk'!$I$12)),'Referenz Plattenwerk'!$I$12,'Referenz Plattenwerk'!$F$12)</f>
        <v>0</v>
      </c>
      <c r="H178" s="38">
        <f>IF(NOT(ISBLANK('Referenz Plattenwerk'!$I38)),'Referenz Plattenwerk'!$I38,'Referenz Plattenwerk'!$F38)*IF(NOT(ISBLANK('Eingabe EF'!$AI23)),'Eingabe EF'!$AI23,'Eingabe EF'!$AG23)*IF(NOT(ISBLANK('Referenz Plattenwerk'!$I$12)),'Referenz Plattenwerk'!$I$12,'Referenz Plattenwerk'!$F$12)</f>
        <v>922.7399999999999</v>
      </c>
      <c r="I178" s="17"/>
      <c r="J178" s="38">
        <f t="shared" si="25"/>
        <v>0</v>
      </c>
      <c r="K178" s="38">
        <f t="shared" si="26"/>
        <v>922.7399999999999</v>
      </c>
      <c r="L178" s="17" t="s">
        <v>198</v>
      </c>
      <c r="M178" s="43"/>
      <c r="N178" s="17"/>
      <c r="O178" s="17" t="s">
        <v>200</v>
      </c>
      <c r="P178" s="17"/>
      <c r="Q178" s="30"/>
      <c r="R178" s="17"/>
      <c r="S178" s="42">
        <f>F214*IF(NOT(ISBLANK('Eingabe Preise'!$K21)),'Eingabe Preise'!$K21,'Eingabe Preise'!$I21)</f>
        <v>4271.9559777000004</v>
      </c>
      <c r="T178" s="20" t="s">
        <v>106</v>
      </c>
    </row>
    <row r="179" spans="2:20" ht="15.75" hidden="1" outlineLevel="1" x14ac:dyDescent="0.3">
      <c r="B179" s="17"/>
      <c r="C179" s="17"/>
      <c r="D179" s="17" t="s">
        <v>161</v>
      </c>
      <c r="E179" s="17"/>
      <c r="F179" s="38">
        <f>IF(NOT(ISBLANK('Referenz Plattenwerk'!$I39)),'Referenz Plattenwerk'!$I39,'Referenz Plattenwerk'!$F39)*IF(NOT(ISBLANK('Eingabe EF'!$AA24)),'Eingabe EF'!$AA24,0)*IF(NOT(ISBLANK('Referenz Plattenwerk'!$I$12)),'Referenz Plattenwerk'!$I$12,'Referenz Plattenwerk'!$F$12)</f>
        <v>0</v>
      </c>
      <c r="G179" s="38">
        <f>IF(NOT(ISBLANK('Referenz Plattenwerk'!$I39)),'Referenz Plattenwerk'!$I39,'Referenz Plattenwerk'!$F39)*IF(NOT(ISBLANK('Eingabe EF'!$AE24)),'Eingabe EF'!$AE24,0)*IF(NOT(ISBLANK('Referenz Plattenwerk'!$I$12)),'Referenz Plattenwerk'!$I$12,'Referenz Plattenwerk'!$F$12)</f>
        <v>0</v>
      </c>
      <c r="H179" s="38">
        <f>IF(NOT(ISBLANK('Referenz Plattenwerk'!$I39)),'Referenz Plattenwerk'!$I39,'Referenz Plattenwerk'!$F39)*IF(NOT(ISBLANK('Eingabe EF'!$AI24)),'Eingabe EF'!$AI24,0)*IF(NOT(ISBLANK('Referenz Plattenwerk'!$I$12)),'Referenz Plattenwerk'!$I$12,'Referenz Plattenwerk'!$F$12)</f>
        <v>0</v>
      </c>
      <c r="I179" s="17"/>
      <c r="J179" s="38">
        <f t="shared" si="25"/>
        <v>0</v>
      </c>
      <c r="K179" s="38">
        <f t="shared" ref="K179" si="27">SUM(F179:H179)</f>
        <v>0</v>
      </c>
      <c r="L179" s="17" t="s">
        <v>198</v>
      </c>
      <c r="M179" s="43"/>
      <c r="N179" s="17"/>
      <c r="O179" s="17" t="s">
        <v>201</v>
      </c>
      <c r="P179" s="17"/>
      <c r="Q179" s="30"/>
      <c r="R179" s="17"/>
      <c r="S179" s="42">
        <f>G214*IF(NOT(ISBLANK('Eingabe Preise'!$K22)),'Eingabe Preise'!$K22,'Eingabe Preise'!$I22)</f>
        <v>5367.2529136374578</v>
      </c>
      <c r="T179" s="20" t="s">
        <v>106</v>
      </c>
    </row>
    <row r="180" spans="2:20" ht="15.75" hidden="1" outlineLevel="1" x14ac:dyDescent="0.3">
      <c r="B180" s="17"/>
      <c r="C180" s="17"/>
      <c r="D180" s="17"/>
      <c r="E180" s="17"/>
      <c r="F180" s="20"/>
      <c r="G180" s="20"/>
      <c r="H180" s="20"/>
      <c r="I180" s="17"/>
      <c r="J180" s="17"/>
      <c r="K180" s="20"/>
      <c r="L180" s="20"/>
      <c r="M180" s="43"/>
      <c r="N180" s="17"/>
      <c r="O180" s="17" t="s">
        <v>202</v>
      </c>
      <c r="P180" s="17"/>
      <c r="Q180" s="30"/>
      <c r="R180" s="17"/>
      <c r="S180" s="42">
        <f>H214*IF(NOT(ISBLANK('Eingabe Preise'!$K23)),'Eingabe Preise'!$K23,'Eingabe Preise'!$I23)</f>
        <v>262071.65544308731</v>
      </c>
      <c r="T180" s="20" t="s">
        <v>106</v>
      </c>
    </row>
    <row r="181" spans="2:20" ht="14.25" hidden="1" outlineLevel="1" x14ac:dyDescent="0.25">
      <c r="B181" s="70"/>
      <c r="C181" s="70" t="s">
        <v>177</v>
      </c>
      <c r="D181" s="71"/>
      <c r="E181" s="71"/>
      <c r="F181" s="72">
        <f>SUM(F182:F184)</f>
        <v>0</v>
      </c>
      <c r="G181" s="72">
        <f>SUM(G182:G184)</f>
        <v>0</v>
      </c>
      <c r="H181" s="72">
        <f>SUM(H182:H184)</f>
        <v>129.59200000000001</v>
      </c>
      <c r="I181" s="71"/>
      <c r="J181" s="72">
        <f t="shared" ref="J181" si="28">F181+G181</f>
        <v>0</v>
      </c>
      <c r="K181" s="72">
        <f t="shared" ref="K181" si="29">SUM(F181:H181)</f>
        <v>129.59200000000001</v>
      </c>
      <c r="L181" s="77" t="s">
        <v>197</v>
      </c>
      <c r="M181" s="43"/>
      <c r="N181" s="17"/>
      <c r="O181" s="17"/>
      <c r="P181" s="17"/>
      <c r="Q181" s="30"/>
      <c r="R181" s="17"/>
      <c r="S181" s="67"/>
      <c r="T181" s="17"/>
    </row>
    <row r="182" spans="2:20" ht="15.75" hidden="1" outlineLevel="1" x14ac:dyDescent="0.3">
      <c r="B182" s="17"/>
      <c r="C182" s="17"/>
      <c r="D182" s="17" t="s">
        <v>178</v>
      </c>
      <c r="E182" s="17"/>
      <c r="F182" s="38">
        <f>IF(NOT(ISBLANK('Referenz Plattenwerk'!$I42)),'Referenz Plattenwerk'!$I42,'Referenz Plattenwerk'!$F42)*IF(NOT(ISBLANK('Eingabe EF'!$AA27)),'Eingabe EF'!$AA27,'Eingabe EF'!$Y27)*IF(NOT(ISBLANK('Referenz Plattenwerk'!$I$12)),'Referenz Plattenwerk'!$I$12,'Referenz Plattenwerk'!$F$12)</f>
        <v>0</v>
      </c>
      <c r="G182" s="38">
        <f>IF(NOT(ISBLANK('Referenz Plattenwerk'!$I42)),'Referenz Plattenwerk'!$I42,'Referenz Plattenwerk'!$F42)*IF(NOT(ISBLANK('Eingabe EF'!$AE27)),'Eingabe EF'!$AE27,'Eingabe EF'!$AC27)*IF(NOT(ISBLANK('Referenz Plattenwerk'!$I$12)),'Referenz Plattenwerk'!$I$12,'Referenz Plattenwerk'!$F$12)</f>
        <v>0</v>
      </c>
      <c r="H182" s="38">
        <f>IF(NOT(ISBLANK('Referenz Plattenwerk'!$I42)),'Referenz Plattenwerk'!$I42,'Referenz Plattenwerk'!$F42)*IF(NOT(ISBLANK('Eingabe EF'!$AI27)),'Eingabe EF'!$AI27,'Eingabe EF'!$AG27)*IF(NOT(ISBLANK('Referenz Plattenwerk'!$I$12)),'Referenz Plattenwerk'!$I$12,'Referenz Plattenwerk'!$F$12)</f>
        <v>129.59200000000001</v>
      </c>
      <c r="I182" s="17"/>
      <c r="J182" s="38">
        <f>F182+G182</f>
        <v>0</v>
      </c>
      <c r="K182" s="38">
        <f>SUM(F182:H182)</f>
        <v>129.59200000000001</v>
      </c>
      <c r="L182" s="17" t="s">
        <v>198</v>
      </c>
      <c r="M182" s="43"/>
      <c r="N182" s="17"/>
      <c r="O182" s="17"/>
      <c r="P182" s="17"/>
      <c r="Q182" s="30"/>
      <c r="R182" s="17"/>
      <c r="S182" s="17"/>
      <c r="T182" s="17"/>
    </row>
    <row r="183" spans="2:20" ht="15.75" hidden="1" outlineLevel="1" x14ac:dyDescent="0.3">
      <c r="B183" s="17"/>
      <c r="C183" s="17"/>
      <c r="D183" s="17" t="s">
        <v>179</v>
      </c>
      <c r="E183" s="17"/>
      <c r="F183" s="38">
        <f>IF(NOT(ISBLANK('Referenz Plattenwerk'!$I43)),'Referenz Plattenwerk'!$I43,'Referenz Plattenwerk'!$F43)*IF(NOT(ISBLANK('Eingabe EF'!$AA28)),'Eingabe EF'!$AA28,0)*IF(NOT(ISBLANK('Referenz Plattenwerk'!$I$12)),'Referenz Plattenwerk'!$I$12,'Referenz Plattenwerk'!$F$12)</f>
        <v>0</v>
      </c>
      <c r="G183" s="38">
        <f>IF(NOT(ISBLANK('Referenz Plattenwerk'!$I43)),'Referenz Plattenwerk'!$I43,'Referenz Plattenwerk'!$F43)*IF(NOT(ISBLANK('Eingabe EF'!$AE28)),'Eingabe EF'!$AE28,0)*IF(NOT(ISBLANK('Referenz Plattenwerk'!$I$12)),'Referenz Plattenwerk'!$I$12,'Referenz Plattenwerk'!$F$12)</f>
        <v>0</v>
      </c>
      <c r="H183" s="38">
        <f>IF(NOT(ISBLANK('Referenz Plattenwerk'!$I43)),'Referenz Plattenwerk'!$I43,'Referenz Plattenwerk'!$F43)*IF(NOT(ISBLANK('Eingabe EF'!$AI28)),'Eingabe EF'!$AI28,0)*IF(NOT(ISBLANK('Referenz Plattenwerk'!$I$12)),'Referenz Plattenwerk'!$I$12,'Referenz Plattenwerk'!$F$12)</f>
        <v>0</v>
      </c>
      <c r="I183" s="17"/>
      <c r="J183" s="38">
        <f t="shared" ref="J183:J184" si="30">F183+G183</f>
        <v>0</v>
      </c>
      <c r="K183" s="38">
        <f t="shared" ref="K183:K184" si="31">SUM(F183:H183)</f>
        <v>0</v>
      </c>
      <c r="L183" s="17" t="s">
        <v>198</v>
      </c>
      <c r="M183" s="43"/>
      <c r="N183" s="17"/>
      <c r="O183" s="17"/>
      <c r="P183" s="17"/>
      <c r="Q183" s="30"/>
      <c r="R183" s="17"/>
      <c r="S183" s="67"/>
      <c r="T183" s="17"/>
    </row>
    <row r="184" spans="2:20" ht="15.75" hidden="1" outlineLevel="1" x14ac:dyDescent="0.3">
      <c r="B184" s="17"/>
      <c r="C184" s="17"/>
      <c r="D184" s="17" t="s">
        <v>180</v>
      </c>
      <c r="E184" s="17"/>
      <c r="F184" s="38">
        <f>IF(NOT(ISBLANK('Referenz Plattenwerk'!$I44)),'Referenz Plattenwerk'!$I44,'Referenz Plattenwerk'!$F44)*IF(NOT(ISBLANK('Eingabe EF'!$AA29)),'Eingabe EF'!$AA29,0)*IF(NOT(ISBLANK('Referenz Plattenwerk'!$I$12)),'Referenz Plattenwerk'!$I$12,'Referenz Plattenwerk'!$F$12)</f>
        <v>0</v>
      </c>
      <c r="G184" s="38">
        <f>IF(NOT(ISBLANK('Referenz Plattenwerk'!$I44)),'Referenz Plattenwerk'!$I44,'Referenz Plattenwerk'!$F44)*IF(NOT(ISBLANK('Eingabe EF'!$AE29)),'Eingabe EF'!$AE29,0)*IF(NOT(ISBLANK('Referenz Plattenwerk'!$I$12)),'Referenz Plattenwerk'!$I$12,'Referenz Plattenwerk'!$F$12)</f>
        <v>0</v>
      </c>
      <c r="H184" s="38">
        <f>IF(NOT(ISBLANK('Referenz Plattenwerk'!$I44)),'Referenz Plattenwerk'!$I44,'Referenz Plattenwerk'!$F44)*IF(NOT(ISBLANK('Eingabe EF'!$AI29)),'Eingabe EF'!$AI29,0)*IF(NOT(ISBLANK('Referenz Plattenwerk'!$I$12)),'Referenz Plattenwerk'!$I$12,'Referenz Plattenwerk'!$F$12)</f>
        <v>0</v>
      </c>
      <c r="I184" s="17"/>
      <c r="J184" s="38">
        <f t="shared" si="30"/>
        <v>0</v>
      </c>
      <c r="K184" s="38">
        <f t="shared" si="31"/>
        <v>0</v>
      </c>
      <c r="L184" s="17" t="s">
        <v>198</v>
      </c>
      <c r="M184" s="43"/>
      <c r="N184" s="43"/>
      <c r="O184" s="43"/>
      <c r="P184" s="43"/>
      <c r="Q184" s="43"/>
      <c r="R184" s="43"/>
      <c r="S184" s="43"/>
    </row>
    <row r="185" spans="2:20" hidden="1" outlineLevel="1" x14ac:dyDescent="0.2">
      <c r="B185" s="17"/>
      <c r="C185" s="17"/>
      <c r="D185" s="17"/>
      <c r="E185" s="17"/>
      <c r="F185" s="20"/>
      <c r="G185" s="20"/>
      <c r="H185" s="20"/>
      <c r="I185" s="17"/>
      <c r="J185" s="17"/>
      <c r="K185" s="20"/>
      <c r="L185" s="20"/>
      <c r="M185" s="43"/>
      <c r="N185" s="43"/>
      <c r="O185" s="43"/>
      <c r="P185" s="43"/>
      <c r="Q185" s="43"/>
      <c r="R185" s="43"/>
      <c r="S185" s="43"/>
    </row>
    <row r="186" spans="2:20" ht="14.25" hidden="1" outlineLevel="1" x14ac:dyDescent="0.25">
      <c r="B186" s="17"/>
      <c r="C186" s="17"/>
      <c r="D186" s="21" t="s">
        <v>57</v>
      </c>
      <c r="E186" s="21"/>
      <c r="F186" s="75">
        <f>IF(NOT(ISBLANK('Referenz Plattenwerk'!$I46)),'Referenz Plattenwerk'!$I46,'Referenz Plattenwerk'!$F46)*IF(NOT(ISBLANK('Eingabe EF'!$AA31)),'Eingabe EF'!$AA31,'Eingabe EF'!$Y31)*IF(NOT(ISBLANK('Referenz Plattenwerk'!$I$12)),'Referenz Plattenwerk'!$I$12,'Referenz Plattenwerk'!$F$12)</f>
        <v>0</v>
      </c>
      <c r="G186" s="75">
        <f>IF(NOT(ISBLANK('Referenz Plattenwerk'!$I46)),'Referenz Plattenwerk'!$I46,'Referenz Plattenwerk'!$F46)*IF(NOT(ISBLANK('Eingabe EF'!$AE31)),'Eingabe EF'!$AE31,'Eingabe EF'!$AC31)*IF(NOT(ISBLANK('Referenz Plattenwerk'!$I$12)),'Referenz Plattenwerk'!$I$12,'Referenz Plattenwerk'!$F$12)</f>
        <v>0</v>
      </c>
      <c r="H186" s="75">
        <f>IF(NOT(ISBLANK('Referenz Plattenwerk'!$I46)),'Referenz Plattenwerk'!$I46,'Referenz Plattenwerk'!$F46)*IF(NOT(ISBLANK('Eingabe EF'!$AI31)),'Eingabe EF'!$AI31,'Eingabe EF'!$AG31)*IF(NOT(ISBLANK('Referenz Plattenwerk'!$I$12)),'Referenz Plattenwerk'!$I$12,'Referenz Plattenwerk'!$F$12)</f>
        <v>208</v>
      </c>
      <c r="I186" s="21"/>
      <c r="J186" s="75">
        <f>F186+G186</f>
        <v>0</v>
      </c>
      <c r="K186" s="75">
        <f t="shared" ref="K186" si="32">SUM(F186:H186)</f>
        <v>208</v>
      </c>
      <c r="L186" s="21" t="s">
        <v>197</v>
      </c>
      <c r="M186" s="43"/>
      <c r="N186" s="43"/>
      <c r="O186" s="43"/>
      <c r="P186" s="43"/>
      <c r="Q186" s="43"/>
      <c r="R186" s="43"/>
      <c r="S186" s="43"/>
    </row>
    <row r="187" spans="2:20" hidden="1" outlineLevel="1" x14ac:dyDescent="0.2">
      <c r="B187" s="17"/>
      <c r="C187" s="17"/>
      <c r="D187" s="17"/>
      <c r="E187" s="17"/>
      <c r="F187" s="20"/>
      <c r="G187" s="20"/>
      <c r="H187" s="20"/>
      <c r="I187" s="17"/>
      <c r="J187" s="17"/>
      <c r="K187" s="20"/>
      <c r="L187" s="20"/>
      <c r="M187" s="43"/>
      <c r="N187" s="43"/>
      <c r="O187" s="43"/>
      <c r="P187" s="43"/>
      <c r="Q187" s="43"/>
      <c r="R187" s="43"/>
      <c r="S187" s="43"/>
    </row>
    <row r="188" spans="2:20" ht="14.25" hidden="1" outlineLevel="1" x14ac:dyDescent="0.25">
      <c r="B188" s="70"/>
      <c r="C188" s="70" t="s">
        <v>181</v>
      </c>
      <c r="D188" s="71"/>
      <c r="E188" s="71"/>
      <c r="F188" s="72">
        <f>SUM(F189:F191)</f>
        <v>0</v>
      </c>
      <c r="G188" s="72">
        <f>SUM(G189:G191)</f>
        <v>0</v>
      </c>
      <c r="H188" s="72">
        <f>SUM(H189:H191)</f>
        <v>81.003999999999991</v>
      </c>
      <c r="I188" s="71"/>
      <c r="J188" s="72">
        <f t="shared" ref="J188" si="33">F188+G188</f>
        <v>0</v>
      </c>
      <c r="K188" s="72">
        <f t="shared" ref="K188" si="34">SUM(F188:H188)</f>
        <v>81.003999999999991</v>
      </c>
      <c r="L188" s="77" t="s">
        <v>197</v>
      </c>
      <c r="M188" s="43"/>
      <c r="N188" s="43"/>
      <c r="O188" s="43"/>
      <c r="P188" s="43"/>
      <c r="Q188" s="43"/>
      <c r="R188" s="43"/>
      <c r="S188" s="43"/>
    </row>
    <row r="189" spans="2:20" ht="15.75" hidden="1" outlineLevel="1" x14ac:dyDescent="0.3">
      <c r="B189" s="17"/>
      <c r="C189" s="17"/>
      <c r="D189" s="17" t="s">
        <v>59</v>
      </c>
      <c r="E189" s="17"/>
      <c r="F189" s="38">
        <f>IF(NOT(ISBLANK('Referenz Plattenwerk'!$I49)),'Referenz Plattenwerk'!$I49,'Referenz Plattenwerk'!$F49)*IF(NOT(ISBLANK('Eingabe EF'!$AA34)),'Eingabe EF'!$AA34,'Eingabe EF'!$Y34)*IF(NOT(ISBLANK('Referenz Plattenwerk'!$I$12)),'Referenz Plattenwerk'!$I$12,'Referenz Plattenwerk'!$F$12)</f>
        <v>0</v>
      </c>
      <c r="G189" s="38">
        <f>IF(NOT(ISBLANK('Referenz Plattenwerk'!$I49)),'Referenz Plattenwerk'!$I49,'Referenz Plattenwerk'!$F49)*IF(NOT(ISBLANK('Eingabe EF'!$AE34)),'Eingabe EF'!$AE34,'Eingabe EF'!$AC34)*IF(NOT(ISBLANK('Referenz Plattenwerk'!$I$12)),'Referenz Plattenwerk'!$I$12,'Referenz Plattenwerk'!$F$12)</f>
        <v>0</v>
      </c>
      <c r="H189" s="38">
        <f>IF(NOT(ISBLANK('Referenz Plattenwerk'!$I49)),'Referenz Plattenwerk'!$I49,'Referenz Plattenwerk'!$F49)*IF(NOT(ISBLANK('Eingabe EF'!$AI34)),'Eingabe EF'!$AI34,'Eingabe EF'!$AG34)*IF(NOT(ISBLANK('Referenz Plattenwerk'!$I$12)),'Referenz Plattenwerk'!$I$12,'Referenz Plattenwerk'!$F$12)</f>
        <v>0</v>
      </c>
      <c r="I189" s="17"/>
      <c r="J189" s="38">
        <f>F189+G189</f>
        <v>0</v>
      </c>
      <c r="K189" s="38">
        <f>SUM(F189:H189)</f>
        <v>0</v>
      </c>
      <c r="L189" s="17" t="s">
        <v>198</v>
      </c>
      <c r="M189" s="43"/>
      <c r="N189" s="43"/>
      <c r="O189" s="43"/>
      <c r="P189" s="43"/>
      <c r="Q189" s="43"/>
      <c r="R189" s="43"/>
      <c r="S189" s="43"/>
    </row>
    <row r="190" spans="2:20" ht="15.75" hidden="1" outlineLevel="1" x14ac:dyDescent="0.3">
      <c r="B190" s="17"/>
      <c r="C190" s="17"/>
      <c r="D190" s="17" t="s">
        <v>60</v>
      </c>
      <c r="E190" s="17"/>
      <c r="F190" s="38">
        <f>IF(NOT(ISBLANK('Referenz Plattenwerk'!$I50)),'Referenz Plattenwerk'!$I50,'Referenz Plattenwerk'!$F50)*IF(NOT(ISBLANK('Eingabe EF'!$AA35)),'Eingabe EF'!$AA35,'Eingabe EF'!$Y35)*IF(NOT(ISBLANK('Referenz Plattenwerk'!$I$12)),'Referenz Plattenwerk'!$I$12,'Referenz Plattenwerk'!$F$12)</f>
        <v>0</v>
      </c>
      <c r="G190" s="38">
        <f>IF(NOT(ISBLANK('Referenz Plattenwerk'!$I50)),'Referenz Plattenwerk'!$I50,'Referenz Plattenwerk'!$F50)*IF(NOT(ISBLANK('Eingabe EF'!$AE35)),'Eingabe EF'!$AE35,'Eingabe EF'!$AC35)*IF(NOT(ISBLANK('Referenz Plattenwerk'!$I$12)),'Referenz Plattenwerk'!$I$12,'Referenz Plattenwerk'!$F$12)</f>
        <v>0</v>
      </c>
      <c r="H190" s="38">
        <f>IF(NOT(ISBLANK('Referenz Plattenwerk'!$I50)),'Referenz Plattenwerk'!$I50,'Referenz Plattenwerk'!$F50)*IF(NOT(ISBLANK('Eingabe EF'!$AI35)),'Eingabe EF'!$AI35,'Eingabe EF'!$AG35)*IF(NOT(ISBLANK('Referenz Plattenwerk'!$I$12)),'Referenz Plattenwerk'!$I$12,'Referenz Plattenwerk'!$F$12)</f>
        <v>8.6840000000000011</v>
      </c>
      <c r="I190" s="17"/>
      <c r="J190" s="38">
        <f>F190+G190</f>
        <v>0</v>
      </c>
      <c r="K190" s="38">
        <f>SUM(F190:H190)</f>
        <v>8.6840000000000011</v>
      </c>
      <c r="L190" s="17" t="s">
        <v>198</v>
      </c>
      <c r="M190" s="43"/>
      <c r="N190" s="43"/>
      <c r="O190" s="43"/>
      <c r="P190" s="43"/>
      <c r="Q190" s="43"/>
      <c r="R190" s="43"/>
      <c r="S190" s="43"/>
    </row>
    <row r="191" spans="2:20" ht="15.75" hidden="1" outlineLevel="1" x14ac:dyDescent="0.3">
      <c r="B191" s="17"/>
      <c r="C191" s="17"/>
      <c r="D191" s="17" t="s">
        <v>61</v>
      </c>
      <c r="E191" s="17"/>
      <c r="F191" s="38">
        <f>IF(NOT(ISBLANK('Referenz Plattenwerk'!$I51)),'Referenz Plattenwerk'!$I51,'Referenz Plattenwerk'!$F51)*IF(NOT(ISBLANK('Eingabe EF'!$AA36)),'Eingabe EF'!$AA36,'Eingabe EF'!$Y36)*IF(NOT(ISBLANK('Referenz Plattenwerk'!$I$12)),'Referenz Plattenwerk'!$I$12,'Referenz Plattenwerk'!$F$12)</f>
        <v>0</v>
      </c>
      <c r="G191" s="38">
        <f>IF(NOT(ISBLANK('Referenz Plattenwerk'!$I51)),'Referenz Plattenwerk'!$I51,'Referenz Plattenwerk'!$F51)*IF(NOT(ISBLANK('Eingabe EF'!$AE36)),'Eingabe EF'!$AE36,'Eingabe EF'!$AC36)*IF(NOT(ISBLANK('Referenz Plattenwerk'!$I$12)),'Referenz Plattenwerk'!$I$12,'Referenz Plattenwerk'!$F$12)</f>
        <v>0</v>
      </c>
      <c r="H191" s="38">
        <f>IF(NOT(ISBLANK('Referenz Plattenwerk'!$I51)),'Referenz Plattenwerk'!$I51,'Referenz Plattenwerk'!$F51)*IF(NOT(ISBLANK('Eingabe EF'!$AI36)),'Eingabe EF'!$AI36,'Eingabe EF'!$AG36)*IF(NOT(ISBLANK('Referenz Plattenwerk'!$I$12)),'Referenz Plattenwerk'!$I$12,'Referenz Plattenwerk'!$F$12)</f>
        <v>72.319999999999993</v>
      </c>
      <c r="I191" s="17"/>
      <c r="J191" s="38">
        <f>F191+G191</f>
        <v>0</v>
      </c>
      <c r="K191" s="38">
        <f>SUM(F191:H191)</f>
        <v>72.319999999999993</v>
      </c>
      <c r="L191" s="17" t="s">
        <v>198</v>
      </c>
      <c r="M191" s="43"/>
      <c r="N191" s="43"/>
      <c r="O191" s="43"/>
      <c r="P191" s="43"/>
      <c r="Q191" s="43"/>
      <c r="R191" s="43"/>
      <c r="S191" s="43"/>
    </row>
    <row r="192" spans="2:20" hidden="1" outlineLevel="1" x14ac:dyDescent="0.2">
      <c r="B192" s="17"/>
      <c r="C192" s="17"/>
      <c r="D192" s="17"/>
      <c r="E192" s="17"/>
      <c r="F192" s="20"/>
      <c r="G192" s="20"/>
      <c r="H192" s="20"/>
      <c r="I192" s="17"/>
      <c r="J192" s="17"/>
      <c r="K192" s="20"/>
      <c r="L192" s="20"/>
      <c r="M192" s="43"/>
      <c r="N192" s="43"/>
      <c r="O192" s="43"/>
      <c r="P192" s="43"/>
      <c r="Q192" s="43"/>
      <c r="R192" s="43"/>
      <c r="S192" s="43"/>
    </row>
    <row r="193" spans="2:19" ht="14.25" hidden="1" outlineLevel="1" x14ac:dyDescent="0.25">
      <c r="B193" s="70"/>
      <c r="C193" s="70" t="s">
        <v>51</v>
      </c>
      <c r="D193" s="71"/>
      <c r="E193" s="71"/>
      <c r="F193" s="72">
        <f>SUM(F194:F197)</f>
        <v>0</v>
      </c>
      <c r="G193" s="72">
        <f>SUM(G194:G197)</f>
        <v>0</v>
      </c>
      <c r="H193" s="72">
        <f>SUM(H194:H197)</f>
        <v>148.44746134951595</v>
      </c>
      <c r="I193" s="71"/>
      <c r="J193" s="72">
        <f t="shared" ref="J193:J197" si="35">F193+G193</f>
        <v>0</v>
      </c>
      <c r="K193" s="72">
        <f t="shared" ref="K193" si="36">SUM(F193:H193)</f>
        <v>148.44746134951595</v>
      </c>
      <c r="L193" s="77" t="s">
        <v>197</v>
      </c>
      <c r="M193" s="43"/>
      <c r="N193" s="43"/>
      <c r="O193" s="43"/>
      <c r="P193" s="43"/>
      <c r="Q193" s="43"/>
      <c r="R193" s="43"/>
      <c r="S193" s="43"/>
    </row>
    <row r="194" spans="2:19" ht="15.75" hidden="1" outlineLevel="1" x14ac:dyDescent="0.3">
      <c r="B194" s="17"/>
      <c r="C194" s="17"/>
      <c r="D194" s="17" t="s">
        <v>52</v>
      </c>
      <c r="E194" s="17"/>
      <c r="F194"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194"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194"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194" s="17"/>
      <c r="J194" s="38">
        <f t="shared" si="35"/>
        <v>0</v>
      </c>
      <c r="K194" s="38">
        <f t="shared" ref="K194:K197" si="37">SUM(F194:H194)</f>
        <v>47.997919375812742</v>
      </c>
      <c r="L194" s="17" t="s">
        <v>198</v>
      </c>
      <c r="M194" s="43"/>
      <c r="N194" s="43"/>
      <c r="O194" s="43"/>
      <c r="P194" s="43"/>
      <c r="Q194" s="43"/>
      <c r="R194" s="43"/>
      <c r="S194" s="43"/>
    </row>
    <row r="195" spans="2:19" ht="15.75" hidden="1" outlineLevel="1" x14ac:dyDescent="0.3">
      <c r="B195" s="17"/>
      <c r="C195" s="17"/>
      <c r="D195" s="17" t="s">
        <v>54</v>
      </c>
      <c r="E195" s="17"/>
      <c r="F195"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195"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195"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195" s="17"/>
      <c r="J195" s="38">
        <f t="shared" si="35"/>
        <v>0</v>
      </c>
      <c r="K195" s="38">
        <f t="shared" si="37"/>
        <v>5.7797543707556596</v>
      </c>
      <c r="L195" s="17" t="s">
        <v>198</v>
      </c>
      <c r="M195" s="43"/>
      <c r="N195" s="43"/>
      <c r="O195" s="43"/>
      <c r="P195" s="43"/>
      <c r="Q195" s="43"/>
      <c r="R195" s="43"/>
      <c r="S195" s="43"/>
    </row>
    <row r="196" spans="2:19" ht="15.75" hidden="1" outlineLevel="1" x14ac:dyDescent="0.3">
      <c r="B196" s="17"/>
      <c r="C196" s="17"/>
      <c r="D196" s="17" t="s">
        <v>55</v>
      </c>
      <c r="E196" s="17"/>
      <c r="F196"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196"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196"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196" s="17"/>
      <c r="J196" s="38">
        <f t="shared" si="35"/>
        <v>0</v>
      </c>
      <c r="K196" s="38">
        <f t="shared" si="37"/>
        <v>1.4217598612917211E-2</v>
      </c>
      <c r="L196" s="17" t="s">
        <v>198</v>
      </c>
      <c r="M196" s="43"/>
      <c r="N196" s="43"/>
      <c r="O196" s="43"/>
      <c r="P196" s="43"/>
      <c r="Q196" s="43"/>
      <c r="R196" s="43"/>
      <c r="S196" s="43"/>
    </row>
    <row r="197" spans="2:19" ht="15.75" hidden="1" outlineLevel="1" x14ac:dyDescent="0.3">
      <c r="B197" s="17"/>
      <c r="C197" s="17"/>
      <c r="D197" s="17" t="s">
        <v>56</v>
      </c>
      <c r="E197" s="17"/>
      <c r="F197"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197"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197"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197" s="17"/>
      <c r="J197" s="38">
        <f t="shared" si="35"/>
        <v>0</v>
      </c>
      <c r="K197" s="38">
        <f t="shared" si="37"/>
        <v>94.655570004334635</v>
      </c>
      <c r="L197" s="17" t="s">
        <v>198</v>
      </c>
      <c r="M197" s="43"/>
      <c r="N197" s="43"/>
      <c r="O197" s="43"/>
      <c r="P197" s="43"/>
      <c r="Q197" s="43"/>
      <c r="R197" s="43"/>
      <c r="S197" s="43"/>
    </row>
    <row r="198" spans="2:19" hidden="1" outlineLevel="1" x14ac:dyDescent="0.2">
      <c r="B198" s="17"/>
      <c r="C198" s="17"/>
      <c r="D198" s="17"/>
      <c r="E198" s="17"/>
      <c r="F198" s="20"/>
      <c r="G198" s="20"/>
      <c r="H198" s="20"/>
      <c r="I198" s="17"/>
      <c r="J198" s="20"/>
      <c r="K198" s="20"/>
      <c r="L198" s="17"/>
      <c r="M198" s="43"/>
      <c r="N198" s="43"/>
      <c r="O198" s="43"/>
      <c r="P198" s="43"/>
      <c r="Q198" s="43"/>
      <c r="R198" s="43"/>
      <c r="S198" s="43"/>
    </row>
    <row r="199" spans="2:19" ht="14.25" hidden="1" outlineLevel="1" x14ac:dyDescent="0.25">
      <c r="B199" s="17"/>
      <c r="C199" s="17"/>
      <c r="D199" s="21" t="s">
        <v>110</v>
      </c>
      <c r="E199" s="21"/>
      <c r="F199" s="75">
        <f>IF(NOT(ISBLANK('Referenz Plattenwerk'!$I59)),'Referenz Plattenwerk'!$I59,'Referenz Plattenwerk'!$F59)*IF(NOT(ISBLANK('Eingabe EF'!$AA44)),'Eingabe EF'!$AA44,0)*IF(NOT(ISBLANK('Referenz Plattenwerk'!$I$12)),'Referenz Plattenwerk'!$I$12,'Referenz Plattenwerk'!$F$12)</f>
        <v>0</v>
      </c>
      <c r="G199" s="75">
        <f>IF(NOT(ISBLANK('Referenz Plattenwerk'!$I59)),'Referenz Plattenwerk'!$I59,'Referenz Plattenwerk'!$F59)*IF(NOT(ISBLANK('Eingabe EF'!$AE44)),'Eingabe EF'!$AE44,0)*IF(NOT(ISBLANK('Referenz Plattenwerk'!$I$12)),'Referenz Plattenwerk'!$I$12,'Referenz Plattenwerk'!$F$12)</f>
        <v>0</v>
      </c>
      <c r="H199" s="75">
        <f>IF(NOT(ISBLANK('Referenz Plattenwerk'!$I59)),'Referenz Plattenwerk'!$I59,'Referenz Plattenwerk'!$F59)*IF(NOT(ISBLANK('Eingabe EF'!$AI44)),'Eingabe EF'!$AI44,0)*IF(NOT(ISBLANK('Referenz Plattenwerk'!$I$12)),'Referenz Plattenwerk'!$I$12,'Referenz Plattenwerk'!$F$12)</f>
        <v>0</v>
      </c>
      <c r="I199" s="21"/>
      <c r="J199" s="75">
        <f>F199+G199</f>
        <v>0</v>
      </c>
      <c r="K199" s="75">
        <f>SUM(F199:H199)</f>
        <v>0</v>
      </c>
      <c r="L199" s="21" t="s">
        <v>197</v>
      </c>
      <c r="M199" s="43"/>
      <c r="N199" s="43"/>
      <c r="O199" s="43"/>
      <c r="P199" s="43"/>
      <c r="Q199" s="43"/>
      <c r="R199" s="43"/>
      <c r="S199" s="43"/>
    </row>
    <row r="200" spans="2:19" ht="14.25" hidden="1" outlineLevel="1" x14ac:dyDescent="0.25">
      <c r="B200" s="17"/>
      <c r="C200" s="17"/>
      <c r="D200" s="21" t="s">
        <v>64</v>
      </c>
      <c r="E200" s="21"/>
      <c r="F200" s="75">
        <f>IF(NOT(ISBLANK('Referenz Plattenwerk'!$I60)),'Referenz Plattenwerk'!$I60,'Referenz Plattenwerk'!$F60)*IF(NOT(ISBLANK('Eingabe EF'!$AA45)),'Eingabe EF'!$AA45,'Eingabe EF'!$Y45)</f>
        <v>0</v>
      </c>
      <c r="G200" s="75">
        <f>IF(NOT(ISBLANK('Referenz Plattenwerk'!$I60)),'Referenz Plattenwerk'!$I60,'Referenz Plattenwerk'!$F60)*IF(NOT(ISBLANK('Eingabe EF'!$AE45)),'Eingabe EF'!$AE45,'Eingabe EF'!$AC45)</f>
        <v>0</v>
      </c>
      <c r="H200" s="75">
        <f>IF(NOT(ISBLANK('Referenz Plattenwerk'!$I60)),'Referenz Plattenwerk'!$I60,'Referenz Plattenwerk'!$F60)*IF(NOT(ISBLANK('Eingabe EF'!$AI45)),'Eingabe EF'!$AI45,'Eingabe EF'!$AG45)</f>
        <v>0.54400000000000004</v>
      </c>
      <c r="I200" s="21"/>
      <c r="J200" s="75">
        <f>F200+G200</f>
        <v>0</v>
      </c>
      <c r="K200" s="75">
        <f>SUM(F200:H200)</f>
        <v>0.54400000000000004</v>
      </c>
      <c r="L200" s="21" t="s">
        <v>197</v>
      </c>
      <c r="M200" s="43"/>
      <c r="N200" s="43"/>
      <c r="O200" s="43"/>
      <c r="P200" s="43"/>
      <c r="Q200" s="43"/>
      <c r="R200" s="43"/>
      <c r="S200" s="43"/>
    </row>
    <row r="201" spans="2:19" hidden="1" outlineLevel="1" x14ac:dyDescent="0.2">
      <c r="B201" s="17"/>
      <c r="C201" s="17"/>
      <c r="D201" s="17"/>
      <c r="E201" s="17"/>
      <c r="F201" s="20"/>
      <c r="G201" s="20"/>
      <c r="H201" s="20"/>
      <c r="I201" s="17"/>
      <c r="J201" s="20"/>
      <c r="K201" s="20"/>
      <c r="L201" s="17"/>
      <c r="M201" s="43"/>
      <c r="N201" s="43"/>
      <c r="O201" s="43"/>
      <c r="P201" s="43"/>
      <c r="Q201" s="43"/>
      <c r="R201" s="43"/>
      <c r="S201" s="43"/>
    </row>
    <row r="202" spans="2:19" ht="14.25" hidden="1" outlineLevel="1" x14ac:dyDescent="0.25">
      <c r="B202" s="70"/>
      <c r="C202" s="70" t="s">
        <v>182</v>
      </c>
      <c r="D202" s="71"/>
      <c r="E202" s="71"/>
      <c r="F202" s="72">
        <f>SUM(F203:F205)</f>
        <v>0</v>
      </c>
      <c r="G202" s="72">
        <f>SUM(G203:G205)</f>
        <v>0</v>
      </c>
      <c r="H202" s="72">
        <f>SUM(H203:H205)</f>
        <v>80.47999999999999</v>
      </c>
      <c r="I202" s="71"/>
      <c r="J202" s="72">
        <f t="shared" ref="J202:J205" si="38">F202+G202</f>
        <v>0</v>
      </c>
      <c r="K202" s="72">
        <f t="shared" ref="K202" si="39">SUM(F202:H202)</f>
        <v>80.47999999999999</v>
      </c>
      <c r="L202" s="77" t="s">
        <v>197</v>
      </c>
      <c r="M202" s="43"/>
      <c r="N202" s="43"/>
      <c r="O202" s="43"/>
      <c r="P202" s="43"/>
      <c r="Q202" s="43"/>
      <c r="R202" s="43"/>
      <c r="S202" s="43"/>
    </row>
    <row r="203" spans="2:19" ht="15.75" hidden="1" outlineLevel="1" x14ac:dyDescent="0.3">
      <c r="B203" s="17"/>
      <c r="C203" s="17"/>
      <c r="D203" s="17" t="s">
        <v>183</v>
      </c>
      <c r="E203" s="17"/>
      <c r="F203" s="38">
        <f>IF(NOT(ISBLANK('Referenz Plattenwerk'!$I63)),'Referenz Plattenwerk'!$I63,'Referenz Plattenwerk'!$F63)*IF(NOT(ISBLANK('Eingabe EF'!$AA48)),'Eingabe EF'!$AA48,0)*IF(NOT(ISBLANK('Referenz Plattenwerk'!$I$12)),'Referenz Plattenwerk'!$I$12,'Referenz Plattenwerk'!$F$12)</f>
        <v>0</v>
      </c>
      <c r="G203" s="38">
        <f>IF(NOT(ISBLANK('Referenz Plattenwerk'!$I63)),'Referenz Plattenwerk'!$I63,'Referenz Plattenwerk'!$F63)*IF(NOT(ISBLANK('Eingabe EF'!$AE48)),'Eingabe EF'!$AE48,0)*IF(NOT(ISBLANK('Referenz Plattenwerk'!$I$12)),'Referenz Plattenwerk'!$I$12,'Referenz Plattenwerk'!$F$12)</f>
        <v>0</v>
      </c>
      <c r="H203" s="38">
        <f>IF(NOT(ISBLANK('Referenz Plattenwerk'!$I63)),'Referenz Plattenwerk'!$I63,'Referenz Plattenwerk'!$F63)*IF(NOT(ISBLANK('Eingabe EF'!$AI48)),'Eingabe EF'!$AI48,0)*IF(NOT(ISBLANK('Referenz Plattenwerk'!$I$12)),'Referenz Plattenwerk'!$I$12,'Referenz Plattenwerk'!$F$12)</f>
        <v>0</v>
      </c>
      <c r="I203" s="17"/>
      <c r="J203" s="38">
        <f t="shared" si="38"/>
        <v>0</v>
      </c>
      <c r="K203" s="38">
        <f t="shared" ref="K203:K205" si="40">SUM(F203:H203)</f>
        <v>0</v>
      </c>
      <c r="L203" s="17" t="s">
        <v>198</v>
      </c>
      <c r="M203" s="43"/>
      <c r="N203" s="43"/>
      <c r="O203" s="43"/>
      <c r="P203" s="43"/>
      <c r="Q203" s="43"/>
      <c r="R203" s="43"/>
      <c r="S203" s="43"/>
    </row>
    <row r="204" spans="2:19" ht="15.75" hidden="1" outlineLevel="1" x14ac:dyDescent="0.3">
      <c r="B204" s="17"/>
      <c r="C204" s="17"/>
      <c r="D204" s="17" t="s">
        <v>62</v>
      </c>
      <c r="E204" s="17"/>
      <c r="F204" s="38">
        <f>IF(NOT(ISBLANK('Referenz Plattenwerk'!$I64)),'Referenz Plattenwerk'!$I64,'Referenz Plattenwerk'!$F64)*IF(NOT(ISBLANK('Eingabe EF'!$AA49)),'Eingabe EF'!$AA49,'Eingabe EF'!$Y49)*IF(NOT(ISBLANK('Referenz Plattenwerk'!$I$12)),'Referenz Plattenwerk'!$I$12,'Referenz Plattenwerk'!$F$12)</f>
        <v>0</v>
      </c>
      <c r="G204" s="38">
        <f>IF(NOT(ISBLANK('Referenz Plattenwerk'!$I64)),'Referenz Plattenwerk'!$I64,'Referenz Plattenwerk'!$F64)*IF(NOT(ISBLANK('Eingabe EF'!$AE49)),'Eingabe EF'!$AE49,'Eingabe EF'!$AC49)*IF(NOT(ISBLANK('Referenz Plattenwerk'!$I$12)),'Referenz Plattenwerk'!$I$12,'Referenz Plattenwerk'!$F$12)</f>
        <v>0</v>
      </c>
      <c r="H204" s="38">
        <f>IF(NOT(ISBLANK('Referenz Plattenwerk'!$I64)),'Referenz Plattenwerk'!$I64,'Referenz Plattenwerk'!$F64)*IF(NOT(ISBLANK('Eingabe EF'!$AI49)),'Eingabe EF'!$AI49,'Eingabe EF'!$AG49)*IF(NOT(ISBLANK('Referenz Plattenwerk'!$I$12)),'Referenz Plattenwerk'!$I$12,'Referenz Plattenwerk'!$F$12)</f>
        <v>80.47999999999999</v>
      </c>
      <c r="I204" s="17"/>
      <c r="J204" s="38">
        <f t="shared" si="38"/>
        <v>0</v>
      </c>
      <c r="K204" s="38">
        <f t="shared" si="40"/>
        <v>80.47999999999999</v>
      </c>
      <c r="L204" s="17" t="s">
        <v>198</v>
      </c>
      <c r="M204" s="43"/>
      <c r="N204" s="43"/>
      <c r="O204" s="43"/>
      <c r="P204" s="43"/>
      <c r="Q204" s="43"/>
      <c r="R204" s="43"/>
      <c r="S204" s="43"/>
    </row>
    <row r="205" spans="2:19" ht="15.75" hidden="1" outlineLevel="1" x14ac:dyDescent="0.3">
      <c r="B205" s="17"/>
      <c r="C205" s="17"/>
      <c r="D205" s="17" t="s">
        <v>184</v>
      </c>
      <c r="E205" s="17"/>
      <c r="F205" s="38">
        <f>IF(NOT(ISBLANK('Referenz Plattenwerk'!$I65)),'Referenz Plattenwerk'!$I65,'Referenz Plattenwerk'!$F65)*IF(NOT(ISBLANK('Eingabe EF'!$AA50)),'Eingabe EF'!$AA50,0)*IF(NOT(ISBLANK('Referenz Plattenwerk'!$I$12)),'Referenz Plattenwerk'!$I$12,'Referenz Plattenwerk'!$F$12)</f>
        <v>0</v>
      </c>
      <c r="G205" s="38">
        <f>IF(NOT(ISBLANK('Referenz Plattenwerk'!$I65)),'Referenz Plattenwerk'!$I65,'Referenz Plattenwerk'!$F65)*IF(NOT(ISBLANK('Eingabe EF'!$AE50)),'Eingabe EF'!$AE50,0)*IF(NOT(ISBLANK('Referenz Plattenwerk'!$I$12)),'Referenz Plattenwerk'!$I$12,'Referenz Plattenwerk'!$F$12)</f>
        <v>0</v>
      </c>
      <c r="H205" s="38">
        <f>IF(NOT(ISBLANK('Referenz Plattenwerk'!$I65)),'Referenz Plattenwerk'!$I65,'Referenz Plattenwerk'!$F65)*IF(NOT(ISBLANK('Eingabe EF'!$AI50)),'Eingabe EF'!$AI50,0)*IF(NOT(ISBLANK('Referenz Plattenwerk'!$I$12)),'Referenz Plattenwerk'!$I$12,'Referenz Plattenwerk'!$F$12)</f>
        <v>0</v>
      </c>
      <c r="I205" s="17"/>
      <c r="J205" s="38">
        <f t="shared" si="38"/>
        <v>0</v>
      </c>
      <c r="K205" s="38">
        <f t="shared" si="40"/>
        <v>0</v>
      </c>
      <c r="L205" s="17" t="s">
        <v>198</v>
      </c>
      <c r="M205" s="43"/>
      <c r="N205" s="43"/>
      <c r="O205" s="43"/>
      <c r="P205" s="43"/>
      <c r="Q205" s="43"/>
      <c r="R205" s="43"/>
      <c r="S205" s="43"/>
    </row>
    <row r="206" spans="2:19" hidden="1" outlineLevel="1" x14ac:dyDescent="0.2">
      <c r="B206" s="17"/>
      <c r="C206" s="17"/>
      <c r="D206" s="17"/>
      <c r="E206" s="17"/>
      <c r="F206" s="20"/>
      <c r="G206" s="20"/>
      <c r="H206" s="20"/>
      <c r="I206" s="17"/>
      <c r="J206" s="17"/>
      <c r="K206" s="17"/>
      <c r="L206" s="20"/>
      <c r="M206" s="43"/>
      <c r="N206" s="43"/>
      <c r="O206" s="43"/>
      <c r="P206" s="43"/>
      <c r="Q206" s="43"/>
      <c r="R206" s="43"/>
      <c r="S206" s="43"/>
    </row>
    <row r="207" spans="2:19" ht="14.25" hidden="1" outlineLevel="1" x14ac:dyDescent="0.25">
      <c r="B207" s="70"/>
      <c r="C207" s="70" t="s">
        <v>185</v>
      </c>
      <c r="D207" s="71"/>
      <c r="E207" s="71"/>
      <c r="F207" s="72">
        <f>SUM(F208:F210)</f>
        <v>0</v>
      </c>
      <c r="G207" s="72">
        <f>SUM(G208:G210)</f>
        <v>0</v>
      </c>
      <c r="H207" s="72">
        <f>SUM(H208:H210)</f>
        <v>60</v>
      </c>
      <c r="I207" s="71"/>
      <c r="J207" s="72">
        <f>F207+G207</f>
        <v>0</v>
      </c>
      <c r="K207" s="72">
        <f t="shared" ref="K207" si="41">SUM(F207:H207)</f>
        <v>60</v>
      </c>
      <c r="L207" s="77" t="s">
        <v>197</v>
      </c>
      <c r="M207" s="43"/>
      <c r="N207" s="43"/>
      <c r="O207" s="43"/>
      <c r="P207" s="43"/>
      <c r="Q207" s="43"/>
      <c r="R207" s="43"/>
      <c r="S207" s="43"/>
    </row>
    <row r="208" spans="2:19" ht="15.75" hidden="1" outlineLevel="1" x14ac:dyDescent="0.3">
      <c r="B208" s="17"/>
      <c r="C208" s="17"/>
      <c r="D208" s="17" t="s">
        <v>66</v>
      </c>
      <c r="E208" s="17"/>
      <c r="F208" s="38">
        <f>IF(NOT(ISBLANK('Referenz Plattenwerk'!$I68)),'Referenz Plattenwerk'!$I68,'Referenz Plattenwerk'!$F68)*IF(NOT(ISBLANK('Eingabe EF'!$AA53)),'Eingabe EF'!$AA53,'Eingabe EF'!$Y53)</f>
        <v>0</v>
      </c>
      <c r="G208" s="38">
        <f>IF(NOT(ISBLANK('Referenz Plattenwerk'!$I68)),'Referenz Plattenwerk'!$I68,'Referenz Plattenwerk'!$F68)*IF(NOT(ISBLANK('Eingabe EF'!$AE53)),'Eingabe EF'!$AE53,'Eingabe EF'!$AC53)</f>
        <v>0</v>
      </c>
      <c r="H208" s="38">
        <f>IF(NOT(ISBLANK('Referenz Plattenwerk'!$I68)),'Referenz Plattenwerk'!$I68,'Referenz Plattenwerk'!$F68)*IF(NOT(ISBLANK('Eingabe EF'!$AI53)),'Eingabe EF'!$AI53,'Eingabe EF'!$AG53)</f>
        <v>60</v>
      </c>
      <c r="I208" s="17"/>
      <c r="J208" s="38">
        <f>F208+G208</f>
        <v>0</v>
      </c>
      <c r="K208" s="38">
        <f>SUM(F208:H208)</f>
        <v>60</v>
      </c>
      <c r="L208" s="17" t="s">
        <v>198</v>
      </c>
      <c r="M208" s="43"/>
      <c r="N208" s="43"/>
      <c r="O208" s="43"/>
      <c r="P208" s="43"/>
      <c r="Q208" s="43"/>
      <c r="R208" s="43"/>
      <c r="S208" s="43"/>
    </row>
    <row r="209" spans="2:20" ht="15.75" hidden="1" outlineLevel="1" x14ac:dyDescent="0.3">
      <c r="B209" s="17"/>
      <c r="C209" s="17"/>
      <c r="D209" s="17" t="s">
        <v>187</v>
      </c>
      <c r="E209" s="17"/>
      <c r="F209" s="38">
        <f>IF(NOT(ISBLANK('Referenz Plattenwerk'!$I69)),'Referenz Plattenwerk'!$I69,'Referenz Plattenwerk'!$F69)*IF(NOT(ISBLANK('Eingabe EF'!$AA54)),'Eingabe EF'!$AA54,0)</f>
        <v>0</v>
      </c>
      <c r="G209" s="38">
        <f>IF(NOT(ISBLANK('Referenz Plattenwerk'!$I69)),'Referenz Plattenwerk'!$I69,'Referenz Plattenwerk'!$F69)*IF(NOT(ISBLANK('Eingabe EF'!$AE54)),'Eingabe EF'!$AE54,0)</f>
        <v>0</v>
      </c>
      <c r="H209" s="38">
        <f>IF(NOT(ISBLANK('Referenz Plattenwerk'!$I69)),'Referenz Plattenwerk'!$I69,'Referenz Plattenwerk'!$F69)*IF(NOT(ISBLANK('Eingabe EF'!$AI54)),'Eingabe EF'!$AI54,0)</f>
        <v>0</v>
      </c>
      <c r="I209" s="17"/>
      <c r="J209" s="38">
        <f t="shared" ref="J209:J210" si="42">F209+G209</f>
        <v>0</v>
      </c>
      <c r="K209" s="38">
        <f t="shared" ref="K209:K210" si="43">SUM(F209:H209)</f>
        <v>0</v>
      </c>
      <c r="L209" s="17" t="s">
        <v>198</v>
      </c>
      <c r="M209" s="43"/>
      <c r="N209" s="43"/>
      <c r="O209" s="43"/>
      <c r="P209" s="43"/>
      <c r="Q209" s="43"/>
      <c r="R209" s="43"/>
      <c r="S209" s="43"/>
    </row>
    <row r="210" spans="2:20" ht="15.75" hidden="1" outlineLevel="1" x14ac:dyDescent="0.3">
      <c r="B210" s="17"/>
      <c r="C210" s="17"/>
      <c r="D210" s="17" t="s">
        <v>186</v>
      </c>
      <c r="E210" s="17"/>
      <c r="F210" s="38">
        <f>IF(NOT(ISBLANK('Referenz Plattenwerk'!$I70)),'Referenz Plattenwerk'!$I70,'Referenz Plattenwerk'!$F70)*IF(NOT(ISBLANK('Eingabe EF'!$AA55)),'Eingabe EF'!$AA55,0)</f>
        <v>0</v>
      </c>
      <c r="G210" s="38">
        <f>IF(NOT(ISBLANK('Referenz Plattenwerk'!$I70)),'Referenz Plattenwerk'!$I70,'Referenz Plattenwerk'!$F70)*IF(NOT(ISBLANK('Eingabe EF'!$AE55)),'Eingabe EF'!$AE55,0)</f>
        <v>0</v>
      </c>
      <c r="H210" s="38">
        <f>IF(NOT(ISBLANK('Referenz Plattenwerk'!$I70)),'Referenz Plattenwerk'!$I70,'Referenz Plattenwerk'!$F70)*IF(NOT(ISBLANK('Eingabe EF'!$AI55)),'Eingabe EF'!$AI55,0)</f>
        <v>0</v>
      </c>
      <c r="I210" s="17"/>
      <c r="J210" s="38">
        <f t="shared" si="42"/>
        <v>0</v>
      </c>
      <c r="K210" s="38">
        <f t="shared" si="43"/>
        <v>0</v>
      </c>
      <c r="L210" s="17" t="s">
        <v>198</v>
      </c>
      <c r="M210" s="43"/>
      <c r="N210" s="43"/>
      <c r="O210" s="43"/>
      <c r="P210" s="43"/>
      <c r="Q210" s="43"/>
      <c r="R210" s="43"/>
      <c r="S210" s="43"/>
    </row>
    <row r="211" spans="2:20" hidden="1" outlineLevel="1" x14ac:dyDescent="0.2">
      <c r="B211" s="17"/>
      <c r="C211" s="17"/>
      <c r="D211" s="17"/>
      <c r="E211" s="17"/>
      <c r="F211" s="20"/>
      <c r="G211" s="20"/>
      <c r="H211" s="20"/>
      <c r="I211" s="17"/>
      <c r="J211" s="17"/>
      <c r="K211" s="17"/>
      <c r="L211" s="20"/>
      <c r="M211" s="43"/>
      <c r="N211" s="43"/>
      <c r="O211" s="43"/>
      <c r="P211" s="43"/>
      <c r="Q211" s="43"/>
      <c r="R211" s="43"/>
      <c r="S211" s="43"/>
    </row>
    <row r="212" spans="2:20" ht="14.25" hidden="1" outlineLevel="1" x14ac:dyDescent="0.25">
      <c r="B212" s="17"/>
      <c r="C212" s="17"/>
      <c r="D212" s="21" t="s">
        <v>63</v>
      </c>
      <c r="E212" s="21"/>
      <c r="F212" s="75">
        <f>IF(NOT(ISBLANK('Referenz Plattenwerk'!$I72)),'Referenz Plattenwerk'!$I72,'Referenz Plattenwerk'!$F72)*IF(NOT(ISBLANK('Eingabe EF'!$AA57)),'Eingabe EF'!$AA57,'Eingabe EF'!$Y57)</f>
        <v>0</v>
      </c>
      <c r="G212" s="75">
        <f>IF(NOT(ISBLANK('Referenz Plattenwerk'!$I72)),'Referenz Plattenwerk'!$I72,'Referenz Plattenwerk'!$F72)*IF(NOT(ISBLANK('Eingabe EF'!$AE57)),'Eingabe EF'!$AE57,'Eingabe EF'!$AC57)</f>
        <v>0</v>
      </c>
      <c r="H212" s="75">
        <f>IF(NOT(ISBLANK('Referenz Plattenwerk'!$I72)),'Referenz Plattenwerk'!$I72,'Referenz Plattenwerk'!$F72)*IF(NOT(ISBLANK('Eingabe EF'!$AI57)),'Eingabe EF'!$AI57,'Eingabe EF'!$AG57)</f>
        <v>64.48</v>
      </c>
      <c r="I212" s="21"/>
      <c r="J212" s="75">
        <f t="shared" ref="J212" si="44">F212+G212</f>
        <v>0</v>
      </c>
      <c r="K212" s="75">
        <f t="shared" ref="K212" si="45">SUM(F212:H212)</f>
        <v>64.48</v>
      </c>
      <c r="L212" s="21" t="s">
        <v>197</v>
      </c>
      <c r="M212" s="43"/>
      <c r="N212" s="43"/>
      <c r="O212" s="43"/>
      <c r="P212" s="43"/>
      <c r="Q212" s="43"/>
      <c r="R212" s="43"/>
      <c r="S212" s="43"/>
    </row>
    <row r="213" spans="2:20" hidden="1" outlineLevel="1" x14ac:dyDescent="0.2">
      <c r="B213" s="17"/>
      <c r="C213" s="17"/>
      <c r="D213" s="17"/>
      <c r="E213" s="17"/>
      <c r="F213" s="20"/>
      <c r="G213" s="20"/>
      <c r="H213" s="20"/>
      <c r="I213" s="17"/>
      <c r="J213" s="17"/>
      <c r="K213" s="17"/>
      <c r="L213" s="20"/>
      <c r="M213" s="43"/>
      <c r="N213" s="43"/>
      <c r="O213" s="43"/>
      <c r="P213" s="43"/>
      <c r="Q213" s="43"/>
      <c r="R213" s="43"/>
      <c r="S213" s="43"/>
    </row>
    <row r="214" spans="2:20" ht="15" hidden="1" outlineLevel="1" thickBot="1" x14ac:dyDescent="0.3">
      <c r="B214" s="17"/>
      <c r="C214" s="17"/>
      <c r="D214" s="68" t="s">
        <v>69</v>
      </c>
      <c r="E214" s="68"/>
      <c r="F214" s="69">
        <f>SUM(F157:F212)-F171-F175-F181-F188-F193-F202-F207</f>
        <v>94.932355060000006</v>
      </c>
      <c r="G214" s="69">
        <f>SUM(G157:G212)-G171-G175-G181-G188-G193-G202-G207</f>
        <v>119.27228696972129</v>
      </c>
      <c r="H214" s="69">
        <f>SUM(H157:H212)-H171-H175-H181-H188-H193-H202-H207</f>
        <v>5823.8145654019399</v>
      </c>
      <c r="I214" s="21"/>
      <c r="J214" s="69">
        <f t="shared" ref="J214" si="46">SUM(J157:J212)-J171-J175-J181-J188-J193-J202-J207</f>
        <v>214.20464202972127</v>
      </c>
      <c r="K214" s="69">
        <f>SUM(K157:K212)-K171-K175-K181-K188-K193-K202-K207</f>
        <v>6038.019207431661</v>
      </c>
      <c r="L214" s="69" t="s">
        <v>197</v>
      </c>
      <c r="M214" s="43"/>
      <c r="N214" s="43"/>
      <c r="O214" s="43"/>
      <c r="P214" s="43"/>
      <c r="Q214" s="43"/>
      <c r="R214" s="43"/>
      <c r="S214" s="43"/>
    </row>
    <row r="215" spans="2:20" ht="13.5" hidden="1" outlineLevel="1" thickTop="1" x14ac:dyDescent="0.2">
      <c r="B215" s="17"/>
      <c r="C215" s="17"/>
      <c r="D215" s="17"/>
      <c r="E215" s="17"/>
      <c r="F215" s="20"/>
      <c r="G215" s="20"/>
      <c r="H215" s="20"/>
      <c r="I215" s="17"/>
      <c r="J215" s="17"/>
      <c r="K215" s="17"/>
      <c r="L215" s="20"/>
      <c r="M215" s="43"/>
      <c r="N215" s="43"/>
      <c r="O215" s="43"/>
      <c r="P215" s="43"/>
      <c r="Q215" s="43"/>
      <c r="R215" s="43"/>
      <c r="S215" s="43"/>
    </row>
    <row r="216" spans="2:20" collapsed="1" x14ac:dyDescent="0.2"/>
    <row r="218" spans="2:20" ht="15.75" hidden="1" outlineLevel="1" x14ac:dyDescent="0.25">
      <c r="B218" s="22"/>
      <c r="C218" s="22" t="s">
        <v>114</v>
      </c>
      <c r="D218" s="17"/>
      <c r="E218" s="17"/>
      <c r="F218" s="17"/>
      <c r="G218" s="17"/>
      <c r="H218" s="17"/>
      <c r="I218" s="17"/>
      <c r="J218" s="17"/>
      <c r="K218" s="17"/>
      <c r="L218" s="17"/>
      <c r="N218" s="22" t="s">
        <v>117</v>
      </c>
      <c r="O218" s="17"/>
      <c r="P218" s="17"/>
      <c r="Q218" s="17"/>
      <c r="R218" s="17"/>
      <c r="S218" s="17"/>
      <c r="T218" s="17"/>
    </row>
    <row r="219" spans="2:20" ht="15" hidden="1" outlineLevel="1" x14ac:dyDescent="0.25">
      <c r="B219" s="65"/>
      <c r="C219" s="65">
        <v>2030</v>
      </c>
      <c r="D219" s="25"/>
      <c r="E219" s="25"/>
      <c r="F219" s="25"/>
      <c r="G219" s="25"/>
      <c r="H219" s="25"/>
      <c r="I219" s="25"/>
      <c r="J219" s="25"/>
      <c r="K219" s="25"/>
      <c r="L219" s="25"/>
      <c r="N219" s="65">
        <v>2030</v>
      </c>
      <c r="O219" s="17"/>
      <c r="P219" s="17"/>
      <c r="Q219" s="17"/>
      <c r="R219" s="17"/>
      <c r="S219" s="17"/>
      <c r="T219" s="17"/>
    </row>
    <row r="220" spans="2:20" hidden="1" outlineLevel="1" x14ac:dyDescent="0.2">
      <c r="B220" s="17"/>
      <c r="C220" s="17"/>
      <c r="D220" s="17" t="s">
        <v>206</v>
      </c>
      <c r="E220" s="289">
        <f>(1-(IF(NOT(ISBLANK($K21)),$K21/100,$I21/100)))</f>
        <v>0.95</v>
      </c>
      <c r="F220" s="17"/>
      <c r="G220" s="17"/>
      <c r="H220" s="17"/>
      <c r="I220" s="17"/>
      <c r="J220" s="17"/>
      <c r="K220" s="17"/>
      <c r="L220" s="17"/>
      <c r="N220" s="17"/>
      <c r="O220" s="17"/>
      <c r="P220" s="17"/>
      <c r="Q220" s="17"/>
      <c r="R220" s="17"/>
      <c r="S220" s="17"/>
      <c r="T220" s="17"/>
    </row>
    <row r="221" spans="2:20" hidden="1" outlineLevel="1" x14ac:dyDescent="0.2">
      <c r="B221" s="17"/>
      <c r="C221" s="17"/>
      <c r="D221" s="17" t="s">
        <v>74</v>
      </c>
      <c r="E221" s="289" t="str">
        <f>IF(NOT(ISBLANK($G$16)),$G$16,$E$16)</f>
        <v>Strom</v>
      </c>
      <c r="F221" s="17"/>
      <c r="G221" s="17"/>
      <c r="H221" s="17"/>
      <c r="I221" s="17"/>
      <c r="J221" s="17"/>
      <c r="K221" s="17"/>
      <c r="L221" s="17"/>
      <c r="N221" s="17"/>
      <c r="O221" s="17"/>
      <c r="P221" s="17"/>
      <c r="Q221" s="17"/>
      <c r="R221" s="17"/>
      <c r="S221" s="17"/>
      <c r="T221" s="17"/>
    </row>
    <row r="222" spans="2:20" hidden="1" outlineLevel="1" x14ac:dyDescent="0.2">
      <c r="B222" s="17"/>
      <c r="C222" s="17"/>
      <c r="D222" s="17"/>
      <c r="E222" s="290" t="s">
        <v>89</v>
      </c>
      <c r="F222" s="17" t="s">
        <v>256</v>
      </c>
      <c r="G222" s="17"/>
      <c r="H222" s="17"/>
      <c r="I222" s="17"/>
      <c r="J222" s="17"/>
      <c r="K222" s="17"/>
      <c r="L222" s="17"/>
      <c r="N222" s="17"/>
      <c r="O222" s="17"/>
      <c r="P222" s="17"/>
      <c r="Q222" s="17"/>
      <c r="R222" s="17"/>
      <c r="S222" s="17"/>
      <c r="T222" s="17"/>
    </row>
    <row r="223" spans="2:20" hidden="1" outlineLevel="1" x14ac:dyDescent="0.2">
      <c r="B223" s="17"/>
      <c r="C223" s="17"/>
      <c r="D223" s="17" t="s">
        <v>31</v>
      </c>
      <c r="E223" s="42">
        <f>IF(NOT(ISBLANK('Referenz Plattenwerk'!$I$21)),'Referenz Plattenwerk'!$I$21,'Referenz Plattenwerk'!$F$21)</f>
        <v>47000</v>
      </c>
      <c r="F223" s="42">
        <f>IF($E$221=D223,E223*$E$220,E223)</f>
        <v>47000</v>
      </c>
      <c r="G223" s="17" t="str">
        <f>'Referenz Plattenwerk'!$G$21</f>
        <v>kWh Hs</v>
      </c>
      <c r="H223" s="17"/>
      <c r="I223" s="17"/>
      <c r="J223" s="17"/>
      <c r="K223" s="17"/>
      <c r="L223" s="17"/>
      <c r="N223" s="17"/>
      <c r="O223" s="17"/>
      <c r="P223" s="17"/>
      <c r="Q223" s="17"/>
      <c r="R223" s="17"/>
      <c r="S223" s="17"/>
      <c r="T223" s="17"/>
    </row>
    <row r="224" spans="2:20" hidden="1" outlineLevel="1" x14ac:dyDescent="0.2">
      <c r="B224" s="17"/>
      <c r="C224" s="17"/>
      <c r="D224" s="17" t="s">
        <v>32</v>
      </c>
      <c r="E224" s="42">
        <f>IF(NOT(ISBLANK('Referenz Plattenwerk'!$I$22)),'Referenz Plattenwerk'!$I$22,'Referenz Plattenwerk'!$F$22)</f>
        <v>36000</v>
      </c>
      <c r="F224" s="42">
        <f>IF($E$221=D224,E224*$E$220,E224)</f>
        <v>36000</v>
      </c>
      <c r="G224" s="17" t="str">
        <f>'Referenz Plattenwerk'!$G$22</f>
        <v>kWh Hi</v>
      </c>
      <c r="H224" s="17"/>
      <c r="I224" s="17"/>
      <c r="J224" s="17"/>
      <c r="K224" s="17"/>
      <c r="L224" s="17"/>
      <c r="N224" s="17"/>
      <c r="O224" s="17"/>
      <c r="P224" s="17"/>
      <c r="Q224" s="17"/>
      <c r="R224" s="17"/>
      <c r="S224" s="17"/>
      <c r="T224" s="17"/>
    </row>
    <row r="225" spans="2:20" hidden="1" outlineLevel="1" x14ac:dyDescent="0.2">
      <c r="B225" s="17"/>
      <c r="C225" s="17"/>
      <c r="D225" s="17" t="s">
        <v>33</v>
      </c>
      <c r="E225" s="42">
        <f>IF(NOT(ISBLANK('Referenz Plattenwerk'!$I$24)),'Referenz Plattenwerk'!$I$24,'Referenz Plattenwerk'!$F$24)</f>
        <v>405000</v>
      </c>
      <c r="F225" s="42">
        <f>IF($E$221=D225,E225*$E$220,E225)</f>
        <v>384750</v>
      </c>
      <c r="G225" s="17" t="str">
        <f>'Referenz Plattenwerk'!$J$24</f>
        <v>kWh</v>
      </c>
      <c r="H225" s="17"/>
      <c r="I225" s="17"/>
      <c r="J225" s="17"/>
      <c r="K225" s="17"/>
      <c r="L225" s="17"/>
      <c r="N225" s="17"/>
      <c r="O225" s="17"/>
      <c r="P225" s="17"/>
      <c r="Q225" s="17"/>
      <c r="R225" s="17"/>
      <c r="S225" s="17"/>
      <c r="T225" s="17"/>
    </row>
    <row r="226" spans="2:20" hidden="1" outlineLevel="1" x14ac:dyDescent="0.2">
      <c r="B226" s="17"/>
      <c r="C226" s="17"/>
      <c r="D226" s="17" t="s">
        <v>122</v>
      </c>
      <c r="E226" s="42">
        <f>IF(NOT(ISBLANK('Referenz Plattenwerk'!$I$25)),'Referenz Plattenwerk'!$I$25,'Referenz Plattenwerk'!$F$25)</f>
        <v>0</v>
      </c>
      <c r="F226" s="42">
        <f t="shared" ref="F226" si="47">IF($E$221=D226,E226*$E$220,E226)</f>
        <v>0</v>
      </c>
      <c r="G226" s="17" t="str">
        <f>'Referenz Plattenwerk'!$J$25</f>
        <v>kWh</v>
      </c>
      <c r="H226" s="17"/>
      <c r="I226" s="17"/>
      <c r="J226" s="17"/>
      <c r="K226" s="17"/>
      <c r="L226" s="17"/>
      <c r="N226" s="17"/>
      <c r="O226" s="17"/>
      <c r="P226" s="17"/>
      <c r="Q226" s="17"/>
      <c r="R226" s="17"/>
      <c r="S226" s="17"/>
      <c r="T226" s="17"/>
    </row>
    <row r="227" spans="2:20" hidden="1" outlineLevel="1" x14ac:dyDescent="0.2">
      <c r="B227" s="17"/>
      <c r="C227" s="17"/>
      <c r="D227" s="17" t="s">
        <v>130</v>
      </c>
      <c r="E227" s="42">
        <f>IF(NOT(ISBLANK('Referenz Plattenwerk'!$I$26)),'Referenz Plattenwerk'!$I$26,'Referenz Plattenwerk'!$F$26)</f>
        <v>0</v>
      </c>
      <c r="F227" s="42">
        <f>IF($E$221=D227,E227*$E$220,E227)</f>
        <v>0</v>
      </c>
      <c r="G227" s="17" t="str">
        <f>'Referenz Plattenwerk'!$J$26</f>
        <v>kWh</v>
      </c>
      <c r="H227" s="17"/>
      <c r="I227" s="17"/>
      <c r="J227" s="17"/>
      <c r="K227" s="17"/>
      <c r="L227" s="17"/>
      <c r="N227" s="17"/>
      <c r="O227" s="17"/>
      <c r="P227" s="17"/>
      <c r="Q227" s="17"/>
      <c r="R227" s="17"/>
      <c r="S227" s="17"/>
      <c r="T227" s="17"/>
    </row>
    <row r="228" spans="2:20" hidden="1" outlineLevel="1" x14ac:dyDescent="0.2">
      <c r="B228" s="17"/>
      <c r="C228" s="17"/>
      <c r="D228" s="17"/>
      <c r="E228" s="290"/>
      <c r="F228" s="17"/>
      <c r="G228" s="17"/>
      <c r="H228" s="17"/>
      <c r="I228" s="17"/>
      <c r="J228" s="17"/>
      <c r="K228" s="17"/>
      <c r="L228" s="17"/>
      <c r="N228" s="17"/>
      <c r="O228" s="17"/>
      <c r="P228" s="17"/>
      <c r="Q228" s="17"/>
      <c r="R228" s="17"/>
      <c r="S228" s="17"/>
      <c r="T228" s="17"/>
    </row>
    <row r="229" spans="2:20" hidden="1" outlineLevel="1" x14ac:dyDescent="0.2">
      <c r="B229" s="17"/>
      <c r="C229" s="17"/>
      <c r="D229" s="17"/>
      <c r="E229" s="17"/>
      <c r="F229" s="17"/>
      <c r="G229" s="17"/>
      <c r="H229" s="17"/>
      <c r="I229" s="17"/>
      <c r="J229" s="17"/>
      <c r="K229" s="17"/>
      <c r="L229" s="17"/>
      <c r="N229" s="17"/>
      <c r="O229" s="17"/>
      <c r="P229" s="17"/>
      <c r="Q229" s="17"/>
      <c r="R229" s="17"/>
      <c r="S229" s="17"/>
      <c r="T229" s="17"/>
    </row>
    <row r="230" spans="2:20" ht="25.5" hidden="1" outlineLevel="1" x14ac:dyDescent="0.2">
      <c r="B230" s="17"/>
      <c r="C230" s="17"/>
      <c r="D230" s="17"/>
      <c r="E230" s="17"/>
      <c r="F230" s="36" t="s">
        <v>27</v>
      </c>
      <c r="G230" s="36" t="s">
        <v>82</v>
      </c>
      <c r="H230" s="36" t="s">
        <v>29</v>
      </c>
      <c r="I230" s="17"/>
      <c r="J230" s="40" t="s">
        <v>111</v>
      </c>
      <c r="K230" s="41" t="s">
        <v>39</v>
      </c>
      <c r="L230" s="17"/>
      <c r="N230" s="17"/>
      <c r="O230" s="17"/>
      <c r="P230" s="17"/>
      <c r="Q230" s="18"/>
      <c r="R230" s="17"/>
      <c r="S230" s="18"/>
      <c r="T230" s="18"/>
    </row>
    <row r="231" spans="2:20" ht="14.25" hidden="1" outlineLevel="1" x14ac:dyDescent="0.25">
      <c r="B231" s="77"/>
      <c r="C231" s="77" t="s">
        <v>190</v>
      </c>
      <c r="D231" s="77"/>
      <c r="E231" s="77"/>
      <c r="F231" s="78">
        <f>SUM(F233:F246)</f>
        <v>94.932355060000006</v>
      </c>
      <c r="G231" s="78">
        <f>SUM(G233:G246)</f>
        <v>58.782689878035576</v>
      </c>
      <c r="H231" s="78">
        <f>SUM(H233:H246)</f>
        <v>24.699091138455479</v>
      </c>
      <c r="I231" s="77"/>
      <c r="J231" s="78">
        <f>F231+G231</f>
        <v>153.71504493803559</v>
      </c>
      <c r="K231" s="78">
        <f>SUM(F231:H231)</f>
        <v>178.41413607649108</v>
      </c>
      <c r="L231" s="77" t="s">
        <v>197</v>
      </c>
      <c r="N231" s="17"/>
      <c r="O231" s="17"/>
      <c r="P231" s="17"/>
      <c r="Q231" s="18"/>
      <c r="R231" s="17"/>
      <c r="S231" s="18"/>
      <c r="T231" s="18"/>
    </row>
    <row r="232" spans="2:20" hidden="1" outlineLevel="1" x14ac:dyDescent="0.2">
      <c r="B232" s="17"/>
      <c r="C232" s="17" t="s">
        <v>146</v>
      </c>
      <c r="D232" s="17"/>
      <c r="E232" s="17"/>
      <c r="F232" s="17"/>
      <c r="G232" s="17"/>
      <c r="H232" s="17"/>
      <c r="I232" s="17"/>
      <c r="J232" s="17"/>
      <c r="K232" s="17"/>
      <c r="L232" s="17"/>
      <c r="N232" s="17" t="s">
        <v>146</v>
      </c>
      <c r="O232" s="17"/>
      <c r="P232" s="17"/>
      <c r="Q232" s="18"/>
      <c r="R232" s="17"/>
      <c r="S232" s="18"/>
      <c r="T232" s="18"/>
    </row>
    <row r="233" spans="2:20" ht="15.75" hidden="1" outlineLevel="1" x14ac:dyDescent="0.3">
      <c r="B233" s="276"/>
      <c r="C233" s="17"/>
      <c r="D233" s="17" t="s">
        <v>125</v>
      </c>
      <c r="E233" s="17"/>
      <c r="F233" s="38">
        <f>IF(NOT(ISBLANK('Referenz Plattenwerk'!$I16)),'Referenz Plattenwerk'!$I16,'Referenz Plattenwerk'!$F16)*IF(NOT(ISBLANK('Eingabe EF'!$AS9)),'Eingabe EF'!$AS9,'Eingabe EF'!$AQ9)</f>
        <v>34.434080000000002</v>
      </c>
      <c r="G233" s="38">
        <f>IF(NOT(ISBLANK('Referenz Plattenwerk'!$I16)),'Referenz Plattenwerk'!$I16,'Referenz Plattenwerk'!$F16)*IF(NOT(ISBLANK('Eingabe EF'!$AW9)),'Eingabe EF'!$AW9,'Eingabe EF'!$AU9)</f>
        <v>0</v>
      </c>
      <c r="H233" s="38">
        <f>IF(NOT(ISBLANK('Referenz Plattenwerk'!$I16)),'Referenz Plattenwerk'!$I16,'Referenz Plattenwerk'!$F16)*IF(NOT(ISBLANK('Eingabe EF'!$BA9)),'Eingabe EF'!$BA9,'Eingabe EF'!$AY9)</f>
        <v>5.8938000000000006</v>
      </c>
      <c r="I233" s="17"/>
      <c r="J233" s="38">
        <f>F233+G233</f>
        <v>34.434080000000002</v>
      </c>
      <c r="K233" s="38">
        <f>SUM(F233:H233)</f>
        <v>40.32788</v>
      </c>
      <c r="L233" s="17" t="s">
        <v>198</v>
      </c>
      <c r="N233" s="276"/>
      <c r="O233" s="17" t="s">
        <v>125</v>
      </c>
      <c r="P233" s="17"/>
      <c r="Q233" s="19"/>
      <c r="R233" s="17"/>
      <c r="S233" s="42">
        <f>IF(NOT(ISBLANK('Referenz Plattenwerk'!$I16)),'Referenz Plattenwerk'!$I16,'Referenz Plattenwerk'!$F16)/1000*IF(NOT(ISBLANK('Eingabe Preise'!$O10)),'Eingabe Preise'!$O10,'Eingabe Preise'!$M10)</f>
        <v>11468</v>
      </c>
      <c r="T233" s="20" t="s">
        <v>106</v>
      </c>
    </row>
    <row r="234" spans="2:20" ht="15.75" hidden="1" outlineLevel="1" x14ac:dyDescent="0.3">
      <c r="B234" s="276"/>
      <c r="C234" s="17"/>
      <c r="D234" s="17" t="s">
        <v>165</v>
      </c>
      <c r="E234" s="17"/>
      <c r="F234" s="38">
        <f>IF(NOT(ISBLANK('Referenz Plattenwerk'!$I17)),'Referenz Plattenwerk'!$I17,'Referenz Plattenwerk'!$F17)*IF(NOT(ISBLANK('Eingabe EF'!$AS10)),'Eingabe EF'!$AS10,'Eingabe EF'!$AQ10)</f>
        <v>6.4022399999999999</v>
      </c>
      <c r="G234" s="38">
        <f>IF(NOT(ISBLANK('Referenz Plattenwerk'!$I17)),'Referenz Plattenwerk'!$I17,'Referenz Plattenwerk'!$F17)*IF(NOT(ISBLANK('Eingabe EF'!$AW10)),'Eingabe EF'!$AW10,'Eingabe EF'!$AU10)</f>
        <v>0</v>
      </c>
      <c r="H234" s="38">
        <f>IF(NOT(ISBLANK('Referenz Plattenwerk'!$I17)),'Referenz Plattenwerk'!$I17,'Referenz Plattenwerk'!$F17)*IF(NOT(ISBLANK('Eingabe EF'!$BA10)),'Eingabe EF'!$BA10,'Eingabe EF'!$AY10)</f>
        <v>0.949824</v>
      </c>
      <c r="I234" s="17"/>
      <c r="J234" s="38">
        <f>F234+G234</f>
        <v>6.4022399999999999</v>
      </c>
      <c r="K234" s="38">
        <f>SUM(F234:H234)</f>
        <v>7.3520640000000004</v>
      </c>
      <c r="L234" s="17" t="s">
        <v>198</v>
      </c>
      <c r="N234" s="276"/>
      <c r="O234" s="17" t="s">
        <v>165</v>
      </c>
      <c r="P234" s="17"/>
      <c r="Q234" s="20"/>
      <c r="R234" s="17"/>
      <c r="S234" s="42">
        <f>IF(NOT(ISBLANK('Referenz Plattenwerk'!$I17)),'Referenz Plattenwerk'!$I17,'Referenz Plattenwerk'!$F17)/1000*IF(NOT(ISBLANK('Eingabe Preise'!$O11)),'Eingabe Preise'!$O11,'Eingabe Preise'!$M11)</f>
        <v>1104</v>
      </c>
      <c r="T234" s="20" t="s">
        <v>106</v>
      </c>
    </row>
    <row r="235" spans="2:20" ht="15.75" hidden="1" outlineLevel="1" x14ac:dyDescent="0.3">
      <c r="B235" s="276"/>
      <c r="C235" s="17"/>
      <c r="D235" s="17" t="s">
        <v>152</v>
      </c>
      <c r="E235" s="17"/>
      <c r="F235" s="38">
        <f>IF(NOT(ISBLANK('Referenz Plattenwerk'!$I18)),'Referenz Plattenwerk'!$I18,'Referenz Plattenwerk'!$F18)*IF(NOT(ISBLANK('Eingabe EF'!$AS11)),'Eingabe EF'!$AS11,'Eingabe EF'!$AQ11)</f>
        <v>0</v>
      </c>
      <c r="G235" s="38">
        <f>IF(NOT(ISBLANK('Referenz Plattenwerk'!$I18)),'Referenz Plattenwerk'!$I18,'Referenz Plattenwerk'!$F18)*IF(NOT(ISBLANK('Eingabe EF'!$AW11)),'Eingabe EF'!$AW11,'Eingabe EF'!$AU11)</f>
        <v>6.1552554846110556</v>
      </c>
      <c r="H235" s="38">
        <f>IF(NOT(ISBLANK('Referenz Plattenwerk'!$I18)),'Referenz Plattenwerk'!$I18,'Referenz Plattenwerk'!$F18)*IF(NOT(ISBLANK('Eingabe EF'!$BA11)),'Eingabe EF'!$BA11,'Eingabe EF'!$AY11)</f>
        <v>0.90234111816287721</v>
      </c>
      <c r="I235" s="17"/>
      <c r="J235" s="38">
        <f>F235+G235</f>
        <v>6.1552554846110556</v>
      </c>
      <c r="K235" s="38">
        <f>SUM(F235:H235)</f>
        <v>7.0575966027739332</v>
      </c>
      <c r="L235" s="17" t="s">
        <v>198</v>
      </c>
      <c r="N235" s="276"/>
      <c r="O235" s="17" t="s">
        <v>152</v>
      </c>
      <c r="P235" s="17"/>
      <c r="Q235" s="20"/>
      <c r="R235" s="17"/>
      <c r="S235" s="42">
        <f>IF(NOT(ISBLANK('Referenz Plattenwerk'!$I18)),'Referenz Plattenwerk'!$I18,'Referenz Plattenwerk'!$F18)/1000*IF(NOT(ISBLANK('Eingabe Preise'!$O12)),'Eingabe Preise'!$O12,'Eingabe Preise'!$M12)</f>
        <v>7740</v>
      </c>
      <c r="T235" s="20" t="s">
        <v>106</v>
      </c>
    </row>
    <row r="236" spans="2:20" ht="15.75" hidden="1" outlineLevel="1" x14ac:dyDescent="0.3">
      <c r="B236" s="276"/>
      <c r="C236" s="17"/>
      <c r="D236" s="17" t="s">
        <v>126</v>
      </c>
      <c r="E236" s="17"/>
      <c r="F236" s="44">
        <f>IF(NOT(ISBLANK('Referenz Plattenwerk'!$I19)),'Referenz Plattenwerk'!$I19,'Referenz Plattenwerk'!$F19)*IF(NOT(ISBLANK('Eingabe EF'!$AS12)),'Eingabe EF'!$AS12,0)</f>
        <v>0</v>
      </c>
      <c r="G236" s="44">
        <f>IF(NOT(ISBLANK('Referenz Plattenwerk'!$I19)),'Referenz Plattenwerk'!$I19,'Referenz Plattenwerk'!$F19)*IF(NOT(ISBLANK('Eingabe EF'!$AW12)),'Eingabe EF'!$AW12,0)</f>
        <v>0</v>
      </c>
      <c r="H236" s="44">
        <f>IF(NOT(ISBLANK('Referenz Plattenwerk'!$I19)),'Referenz Plattenwerk'!$I19,'Referenz Plattenwerk'!$F19)*IF(NOT(ISBLANK('Eingabe EF'!$BA12)),'Eingabe EF'!$BA12,0)</f>
        <v>0</v>
      </c>
      <c r="I236" s="17"/>
      <c r="J236" s="38">
        <f>F236+G236</f>
        <v>0</v>
      </c>
      <c r="K236" s="38">
        <f>SUM(F236:H236)</f>
        <v>0</v>
      </c>
      <c r="L236" s="17" t="s">
        <v>198</v>
      </c>
      <c r="N236" s="276"/>
      <c r="O236" s="17" t="s">
        <v>126</v>
      </c>
      <c r="P236" s="17"/>
      <c r="Q236" s="20"/>
      <c r="R236" s="17"/>
      <c r="S236" s="42">
        <f>IF(NOT(ISBLANK('Referenz Plattenwerk'!$I19)),'Referenz Plattenwerk'!$I19,'Referenz Plattenwerk'!$F19)/1000*IF(NOT(ISBLANK('Eingabe Preise'!$O16)),'Eingabe Preise'!$O16,0)</f>
        <v>0</v>
      </c>
      <c r="T236" s="20" t="s">
        <v>106</v>
      </c>
    </row>
    <row r="237" spans="2:20" hidden="1" outlineLevel="1" x14ac:dyDescent="0.2">
      <c r="B237" s="17"/>
      <c r="C237" s="17" t="s">
        <v>147</v>
      </c>
      <c r="D237" s="17"/>
      <c r="E237" s="17"/>
      <c r="F237" s="17"/>
      <c r="G237" s="17"/>
      <c r="H237" s="17"/>
      <c r="I237" s="17"/>
      <c r="J237" s="17"/>
      <c r="K237" s="17"/>
      <c r="L237" s="17"/>
      <c r="N237" s="17" t="s">
        <v>147</v>
      </c>
      <c r="O237" s="17"/>
      <c r="P237" s="17"/>
      <c r="Q237" s="20"/>
      <c r="R237" s="17"/>
      <c r="S237" s="20"/>
      <c r="T237" s="20"/>
    </row>
    <row r="238" spans="2:20" ht="15.75" hidden="1" outlineLevel="1" x14ac:dyDescent="0.3">
      <c r="B238" s="276"/>
      <c r="C238" s="17"/>
      <c r="D238" s="17" t="s">
        <v>31</v>
      </c>
      <c r="E238" s="17"/>
      <c r="F238" s="44">
        <f>F223*IF(NOT(ISBLANK('Eingabe EF'!$AS9)),'Eingabe EF'!$AS9,'Eingabe EF'!$AQ9)</f>
        <v>8.6085200000000004</v>
      </c>
      <c r="G238" s="44">
        <f>F223*IF(NOT(ISBLANK('Eingabe EF'!$AW9)),'Eingabe EF'!$AW9,'Eingabe EF'!$AU9)</f>
        <v>0</v>
      </c>
      <c r="H238" s="44">
        <f>F223*IF(NOT(ISBLANK('Eingabe EF'!$BA9)),'Eingabe EF'!$BA9,'Eingabe EF'!$AY9)</f>
        <v>1.4734500000000001</v>
      </c>
      <c r="I238" s="17"/>
      <c r="J238" s="38">
        <f t="shared" ref="J238:J239" si="48">F238+G238</f>
        <v>8.6085200000000004</v>
      </c>
      <c r="K238" s="38">
        <f t="shared" ref="K238:K239" si="49">SUM(F238:H238)</f>
        <v>10.08197</v>
      </c>
      <c r="L238" s="17" t="s">
        <v>198</v>
      </c>
      <c r="N238" s="276"/>
      <c r="O238" s="17" t="s">
        <v>31</v>
      </c>
      <c r="P238" s="17"/>
      <c r="Q238" s="20"/>
      <c r="R238" s="17"/>
      <c r="S238" s="42">
        <f>F223/1000*IF(NOT(ISBLANK('Eingabe Preise'!$O10)),'Eingabe Preise'!$O10,'Eingabe Preise'!$M10)</f>
        <v>2867</v>
      </c>
      <c r="T238" s="20" t="s">
        <v>106</v>
      </c>
    </row>
    <row r="239" spans="2:20" ht="15.75" hidden="1" outlineLevel="1" x14ac:dyDescent="0.3">
      <c r="B239" s="276"/>
      <c r="C239" s="17"/>
      <c r="D239" s="17" t="s">
        <v>32</v>
      </c>
      <c r="E239" s="17"/>
      <c r="F239" s="44">
        <f>F224*IF(NOT(ISBLANK('Eingabe EF'!$AS10)),'Eingabe EF'!$AS10,'Eingabe EF'!$AQ10)</f>
        <v>9.6033600000000003</v>
      </c>
      <c r="G239" s="44">
        <f>F224*IF(NOT(ISBLANK('Eingabe EF'!$AW10)),'Eingabe EF'!$AW10,'Eingabe EF'!$AU10)</f>
        <v>0</v>
      </c>
      <c r="H239" s="44">
        <f>F224*IF(NOT(ISBLANK('Eingabe EF'!$BA10)),'Eingabe EF'!$BA10,'Eingabe EF'!$AY10)</f>
        <v>1.424736</v>
      </c>
      <c r="I239" s="17"/>
      <c r="J239" s="38">
        <f t="shared" si="48"/>
        <v>9.6033600000000003</v>
      </c>
      <c r="K239" s="38">
        <f t="shared" si="49"/>
        <v>11.028096</v>
      </c>
      <c r="L239" s="17" t="s">
        <v>198</v>
      </c>
      <c r="N239" s="276"/>
      <c r="O239" s="17" t="s">
        <v>32</v>
      </c>
      <c r="P239" s="17"/>
      <c r="Q239" s="20"/>
      <c r="R239" s="17"/>
      <c r="S239" s="42">
        <f>F224/1000*IF(NOT(ISBLANK('Eingabe Preise'!$O11)),'Eingabe Preise'!$O11,'Eingabe Preise'!$M11)</f>
        <v>1656</v>
      </c>
      <c r="T239" s="20" t="s">
        <v>106</v>
      </c>
    </row>
    <row r="240" spans="2:20" hidden="1" outlineLevel="1" x14ac:dyDescent="0.2">
      <c r="B240" s="17"/>
      <c r="C240" s="17" t="s">
        <v>148</v>
      </c>
      <c r="D240" s="17"/>
      <c r="E240" s="17"/>
      <c r="F240" s="17"/>
      <c r="G240" s="17"/>
      <c r="H240" s="17"/>
      <c r="I240" s="17"/>
      <c r="J240" s="17"/>
      <c r="K240" s="17"/>
      <c r="L240" s="17"/>
      <c r="N240" s="17" t="s">
        <v>148</v>
      </c>
      <c r="O240" s="17"/>
      <c r="P240" s="17"/>
      <c r="Q240" s="20"/>
      <c r="R240" s="17"/>
      <c r="S240" s="20"/>
      <c r="T240" s="20"/>
    </row>
    <row r="241" spans="2:20" ht="15.75" hidden="1" outlineLevel="1" x14ac:dyDescent="0.3">
      <c r="B241" s="276"/>
      <c r="C241" s="17"/>
      <c r="D241" s="17" t="s">
        <v>150</v>
      </c>
      <c r="E241" s="17"/>
      <c r="F241" s="44">
        <f>F225*IF(NOT(ISBLANK('Eingabe EF'!$AS11)),'Eingabe EF'!$AS11,'Eingabe EF'!$AQ11)</f>
        <v>0</v>
      </c>
      <c r="G241" s="44">
        <f>F225*IF(NOT(ISBLANK('Eingabe EF'!$AW11)),'Eingabe EF'!$AW11,'Eingabe EF'!$AU11)</f>
        <v>52.627434393424522</v>
      </c>
      <c r="H241" s="44">
        <f>F225*IF(NOT(ISBLANK('Eingabe EF'!$BA11)),'Eingabe EF'!$BA11,'Eingabe EF'!$AY11)</f>
        <v>7.7150165602926002</v>
      </c>
      <c r="I241" s="17"/>
      <c r="J241" s="38">
        <f t="shared" ref="J241:J249" si="50">F241+G241</f>
        <v>52.627434393424522</v>
      </c>
      <c r="K241" s="38">
        <f t="shared" ref="K241:K249" si="51">SUM(F241:H241)</f>
        <v>60.342450953717119</v>
      </c>
      <c r="L241" s="17" t="s">
        <v>198</v>
      </c>
      <c r="N241" s="276"/>
      <c r="O241" s="17" t="s">
        <v>150</v>
      </c>
      <c r="P241" s="17"/>
      <c r="Q241" s="20"/>
      <c r="R241" s="17"/>
      <c r="S241" s="42">
        <f>F225/1000*IF(NOT(ISBLANK('Eingabe Preise'!$O12)),'Eingabe Preise'!$O12,'Eingabe Preise'!$M12)</f>
        <v>66177</v>
      </c>
      <c r="T241" s="20" t="s">
        <v>106</v>
      </c>
    </row>
    <row r="242" spans="2:20" ht="15.75" hidden="1" outlineLevel="1" x14ac:dyDescent="0.3">
      <c r="B242" s="276"/>
      <c r="C242" s="17"/>
      <c r="D242" s="17" t="s">
        <v>122</v>
      </c>
      <c r="E242" s="17"/>
      <c r="F242" s="44">
        <f>F226*IF(NOT(ISBLANK('Eingabe EF'!$AS13)),'Eingabe EF'!$AS13,'Eingabe EF'!$AQ13)</f>
        <v>0</v>
      </c>
      <c r="G242" s="44">
        <f>F226*IF(NOT(ISBLANK('Eingabe EF'!$AW13)),'Eingabe EF'!$AW13,'Eingabe EF'!$AU13)</f>
        <v>0</v>
      </c>
      <c r="H242" s="44">
        <f>F226*IF(NOT(ISBLANK('Eingabe EF'!$BA13)),'Eingabe EF'!$BA13,'Eingabe EF'!$AY13)</f>
        <v>0</v>
      </c>
      <c r="I242" s="17"/>
      <c r="J242" s="38">
        <f t="shared" si="50"/>
        <v>0</v>
      </c>
      <c r="K242" s="38">
        <f t="shared" si="51"/>
        <v>0</v>
      </c>
      <c r="L242" s="17" t="s">
        <v>198</v>
      </c>
      <c r="N242" s="276"/>
      <c r="O242" s="17" t="s">
        <v>122</v>
      </c>
      <c r="P242" s="17"/>
      <c r="Q242" s="20"/>
      <c r="R242" s="17"/>
      <c r="S242" s="42">
        <f>F226/1000*IF(NOT(ISBLANK('Eingabe Preise'!$O13)),'Eingabe Preise'!$O13,'Eingabe Preise'!$M13)</f>
        <v>0</v>
      </c>
      <c r="T242" s="20" t="s">
        <v>106</v>
      </c>
    </row>
    <row r="243" spans="2:20" ht="15.75" hidden="1" outlineLevel="1" x14ac:dyDescent="0.3">
      <c r="B243" s="276"/>
      <c r="C243" s="17"/>
      <c r="D243" s="17" t="s">
        <v>149</v>
      </c>
      <c r="E243" s="17"/>
      <c r="F243" s="44">
        <f>F227*IF(NOT(ISBLANK('Eingabe EF'!$AS14)),'Eingabe EF'!$AS14,0)</f>
        <v>0</v>
      </c>
      <c r="G243" s="44">
        <f>F227*IF(NOT(ISBLANK('Eingabe EF'!$AW14)),'Eingabe EF'!$AW14,0)</f>
        <v>0</v>
      </c>
      <c r="H243" s="44">
        <f>F227*IF(NOT(ISBLANK('Eingabe EF'!$BA14)),'Eingabe EF'!$BA14,0)</f>
        <v>0</v>
      </c>
      <c r="I243" s="17"/>
      <c r="J243" s="38">
        <f t="shared" si="50"/>
        <v>0</v>
      </c>
      <c r="K243" s="38">
        <f t="shared" si="51"/>
        <v>0</v>
      </c>
      <c r="L243" s="17" t="s">
        <v>198</v>
      </c>
      <c r="N243" s="276"/>
      <c r="O243" s="17" t="s">
        <v>149</v>
      </c>
      <c r="P243" s="17"/>
      <c r="Q243" s="30"/>
      <c r="R243" s="17"/>
      <c r="S243" s="42">
        <f>F227/1000*IF(NOT(ISBLANK('Eingabe Preise'!$O17)),'Eingabe Preise'!$O17,0)</f>
        <v>0</v>
      </c>
      <c r="T243" s="20" t="s">
        <v>106</v>
      </c>
    </row>
    <row r="244" spans="2:20" hidden="1" outlineLevel="1" x14ac:dyDescent="0.2">
      <c r="B244" s="17"/>
      <c r="C244" s="17"/>
      <c r="D244" s="17"/>
      <c r="E244" s="17"/>
      <c r="F244" s="17"/>
      <c r="G244" s="17"/>
      <c r="H244" s="17"/>
      <c r="I244" s="17"/>
      <c r="J244" s="17"/>
      <c r="K244" s="17"/>
      <c r="L244" s="17"/>
      <c r="N244" s="17"/>
      <c r="O244" s="17"/>
      <c r="P244" s="17"/>
      <c r="Q244" s="30"/>
      <c r="R244" s="17"/>
      <c r="S244" s="17"/>
      <c r="T244" s="17"/>
    </row>
    <row r="245" spans="2:20" ht="15.75" hidden="1" outlineLevel="1" x14ac:dyDescent="0.3">
      <c r="B245" s="17"/>
      <c r="C245" s="17" t="s">
        <v>464</v>
      </c>
      <c r="D245" s="17" t="s">
        <v>34</v>
      </c>
      <c r="E245" s="17"/>
      <c r="F245" s="44">
        <f>IF(NOT(ISBLANK('Referenz Plattenwerk'!$I28)),'Referenz Plattenwerk'!$I28,'Referenz Plattenwerk'!$F28)*IF(NOT(ISBLANK('Eingabe EF'!$AS15)),'Eingabe EF'!$AS15,'Eingabe EF'!$AQ15)</f>
        <v>29.238941159999996</v>
      </c>
      <c r="G245" s="44">
        <f>IF(NOT(ISBLANK('Referenz Plattenwerk'!$I28)),'Referenz Plattenwerk'!$I28,'Referenz Plattenwerk'!$F28)*IF(NOT(ISBLANK('Eingabe EF'!$AW15)),'Eingabe EF'!$AW15,'Eingabe EF'!$AU15)</f>
        <v>0</v>
      </c>
      <c r="H245" s="44">
        <f>IF(NOT(ISBLANK('Referenz Plattenwerk'!$I28)),'Referenz Plattenwerk'!$I28,'Referenz Plattenwerk'!$F28)*IF(NOT(ISBLANK('Eingabe EF'!$BA15)),'Eingabe EF'!$BA15,'Eingabe EF'!$AY15)</f>
        <v>5.1658635600000009</v>
      </c>
      <c r="I245" s="17"/>
      <c r="J245" s="38">
        <f t="shared" ref="J245:J247" si="52">F245+G245</f>
        <v>29.238941159999996</v>
      </c>
      <c r="K245" s="38">
        <f t="shared" ref="K245:K247" si="53">SUM(F245:H245)</f>
        <v>34.404804719999994</v>
      </c>
      <c r="L245" s="17" t="s">
        <v>198</v>
      </c>
      <c r="N245" s="17"/>
      <c r="O245" s="17" t="s">
        <v>34</v>
      </c>
      <c r="P245" s="17" t="s">
        <v>464</v>
      </c>
      <c r="Q245" s="30"/>
      <c r="R245" s="17"/>
      <c r="S245" s="42">
        <f>IF(NOT(ISBLANK('Referenz Plattenwerk'!$I28)),'Referenz Plattenwerk'!$I28,'Referenz Plattenwerk'!$F28)*IF(NOT(ISBLANK('Eingabe Preise'!$O14)),'Eingabe Preise'!$O14,'Eingabe Preise'!$M14)</f>
        <v>12364.000000000002</v>
      </c>
      <c r="T245" s="20" t="s">
        <v>106</v>
      </c>
    </row>
    <row r="246" spans="2:20" ht="15.75" hidden="1" outlineLevel="1" x14ac:dyDescent="0.3">
      <c r="B246" s="17"/>
      <c r="C246" s="17" t="s">
        <v>75</v>
      </c>
      <c r="D246" s="17" t="s">
        <v>34</v>
      </c>
      <c r="E246" s="17"/>
      <c r="F246" s="44">
        <f>IF(NOT(ISBLANK('Referenz Plattenwerk'!$I29)),'Referenz Plattenwerk'!$I29,'Referenz Plattenwerk'!$F29)*IF(NOT(ISBLANK('Eingabe EF'!$AS15)),'Eingabe EF'!$AS15,'Eingabe EF'!$AQ15)</f>
        <v>6.645213899999999</v>
      </c>
      <c r="G246" s="44">
        <f>IF(NOT(ISBLANK('Referenz Plattenwerk'!$I29)),'Referenz Plattenwerk'!$I29,'Referenz Plattenwerk'!$F29)*IF(NOT(ISBLANK('Eingabe EF'!$AW15)),'Eingabe EF'!$AW15,'Eingabe EF'!$AU15)</f>
        <v>0</v>
      </c>
      <c r="H246" s="44">
        <f>IF(NOT(ISBLANK('Referenz Plattenwerk'!$I29)),'Referenz Plattenwerk'!$I29,'Referenz Plattenwerk'!$F29)*IF(NOT(ISBLANK('Eingabe EF'!$BA15)),'Eingabe EF'!$BA15,'Eingabe EF'!$AY15)</f>
        <v>1.1740599000000003</v>
      </c>
      <c r="I246" s="17"/>
      <c r="J246" s="38">
        <f t="shared" si="52"/>
        <v>6.645213899999999</v>
      </c>
      <c r="K246" s="38">
        <f t="shared" si="53"/>
        <v>7.8192737999999995</v>
      </c>
      <c r="L246" s="17" t="s">
        <v>198</v>
      </c>
      <c r="N246" s="17"/>
      <c r="O246" s="17" t="s">
        <v>34</v>
      </c>
      <c r="P246" s="17" t="s">
        <v>75</v>
      </c>
      <c r="Q246" s="30"/>
      <c r="R246" s="17"/>
      <c r="S246" s="42">
        <f>IF(NOT(ISBLANK('Referenz Plattenwerk'!$I29)),'Referenz Plattenwerk'!$I29,'Referenz Plattenwerk'!$F29)*IF(NOT(ISBLANK('Eingabe Preise'!$O14)),'Eingabe Preise'!$O14,'Eingabe Preise'!$M14)</f>
        <v>2810.0000000000005</v>
      </c>
      <c r="T246" s="20" t="s">
        <v>106</v>
      </c>
    </row>
    <row r="247" spans="2:20" ht="14.25" hidden="1" outlineLevel="1" x14ac:dyDescent="0.25">
      <c r="B247" s="70"/>
      <c r="C247" s="70" t="s">
        <v>189</v>
      </c>
      <c r="D247" s="70"/>
      <c r="E247" s="70"/>
      <c r="F247" s="72">
        <f>F248+F249</f>
        <v>0</v>
      </c>
      <c r="G247" s="72">
        <f t="shared" ref="G247:H247" si="54">G248+G249</f>
        <v>0</v>
      </c>
      <c r="H247" s="72">
        <f t="shared" si="54"/>
        <v>469.15642799999995</v>
      </c>
      <c r="I247" s="70"/>
      <c r="J247" s="72">
        <f t="shared" si="52"/>
        <v>0</v>
      </c>
      <c r="K247" s="72">
        <f t="shared" si="53"/>
        <v>469.15642799999995</v>
      </c>
      <c r="L247" s="77" t="s">
        <v>197</v>
      </c>
      <c r="N247" s="17"/>
      <c r="O247" s="17"/>
      <c r="P247" s="17"/>
      <c r="Q247" s="30"/>
      <c r="R247" s="17"/>
      <c r="S247" s="17"/>
      <c r="T247" s="17"/>
    </row>
    <row r="248" spans="2:20" ht="15.75" hidden="1" outlineLevel="1" x14ac:dyDescent="0.3">
      <c r="B248" s="17"/>
      <c r="C248" s="17"/>
      <c r="D248" s="17" t="s">
        <v>45</v>
      </c>
      <c r="E248" s="17"/>
      <c r="F248" s="44">
        <f>IF(NOT(ISBLANK('Referenz Plattenwerk'!$I32)),'Referenz Plattenwerk'!$I32,'Referenz Plattenwerk'!$F32)*IF(NOT(ISBLANK('Eingabe EF'!$AS17)),'Eingabe EF'!$AS17,'Eingabe EF'!$AQ17)</f>
        <v>0</v>
      </c>
      <c r="G248" s="44">
        <f>IF(NOT(ISBLANK('Referenz Plattenwerk'!$I32)),'Referenz Plattenwerk'!$I32,'Referenz Plattenwerk'!$F32)*IF(NOT(ISBLANK('Eingabe EF'!$AW17)),'Eingabe EF'!$AW17,'Eingabe EF'!$AU17)</f>
        <v>0</v>
      </c>
      <c r="H248" s="44">
        <f>IF(NOT(ISBLANK('Referenz Plattenwerk'!$I32)),'Referenz Plattenwerk'!$I32,'Referenz Plattenwerk'!$F32)*IF(NOT(ISBLANK('Eingabe EF'!$BA17)),'Eingabe EF'!$BA17,'Eingabe EF'!$AY17)</f>
        <v>109.4698332</v>
      </c>
      <c r="I248" s="17"/>
      <c r="J248" s="38">
        <f t="shared" si="50"/>
        <v>0</v>
      </c>
      <c r="K248" s="38">
        <f t="shared" si="51"/>
        <v>109.4698332</v>
      </c>
      <c r="L248" s="17" t="s">
        <v>198</v>
      </c>
      <c r="N248" s="17"/>
      <c r="O248" s="17"/>
      <c r="P248" s="17"/>
      <c r="Q248" s="30"/>
      <c r="R248" s="17"/>
      <c r="S248" s="17"/>
      <c r="T248" s="17"/>
    </row>
    <row r="249" spans="2:20" ht="15.75" hidden="1" outlineLevel="1" x14ac:dyDescent="0.3">
      <c r="B249" s="17"/>
      <c r="C249" s="17"/>
      <c r="D249" s="17" t="s">
        <v>46</v>
      </c>
      <c r="E249" s="17"/>
      <c r="F249" s="44">
        <f>IF(NOT(ISBLANK('Referenz Plattenwerk'!$I33)),'Referenz Plattenwerk'!$I33,'Referenz Plattenwerk'!$F33)*IF(NOT(ISBLANK('Eingabe EF'!$AS18)),'Eingabe EF'!$AS18,'Eingabe EF'!$AQ18)</f>
        <v>0</v>
      </c>
      <c r="G249" s="44">
        <f>IF(NOT(ISBLANK('Referenz Plattenwerk'!$I33)),'Referenz Plattenwerk'!$I33,'Referenz Plattenwerk'!$F33)*IF(NOT(ISBLANK('Eingabe EF'!$AW18)),'Eingabe EF'!$AW18,'Eingabe EF'!$AU18)</f>
        <v>0</v>
      </c>
      <c r="H249" s="44">
        <f>IF(NOT(ISBLANK('Referenz Plattenwerk'!$I33)),'Referenz Plattenwerk'!$I33,'Referenz Plattenwerk'!$F33)*IF(NOT(ISBLANK('Eingabe EF'!$BA18)),'Eingabe EF'!$BA18,'Eingabe EF'!$AY18)</f>
        <v>359.68659479999997</v>
      </c>
      <c r="I249" s="17"/>
      <c r="J249" s="38">
        <f t="shared" si="50"/>
        <v>0</v>
      </c>
      <c r="K249" s="38">
        <f t="shared" si="51"/>
        <v>359.68659479999997</v>
      </c>
      <c r="L249" s="17" t="s">
        <v>198</v>
      </c>
      <c r="N249" s="17"/>
      <c r="O249" s="17" t="s">
        <v>30</v>
      </c>
      <c r="P249" s="17"/>
      <c r="Q249" s="30"/>
      <c r="R249" s="17"/>
      <c r="S249" s="42">
        <f>S261+S262</f>
        <v>1800</v>
      </c>
      <c r="T249" s="20" t="s">
        <v>106</v>
      </c>
    </row>
    <row r="250" spans="2:20" hidden="1" outlineLevel="1" x14ac:dyDescent="0.2">
      <c r="B250" s="17"/>
      <c r="C250" s="17"/>
      <c r="D250" s="17"/>
      <c r="E250" s="17"/>
      <c r="F250" s="20"/>
      <c r="G250" s="20"/>
      <c r="H250" s="20"/>
      <c r="I250" s="17"/>
      <c r="J250" s="20"/>
      <c r="K250" s="20"/>
      <c r="L250" s="17"/>
      <c r="N250" s="17"/>
      <c r="O250" s="45" t="s">
        <v>153</v>
      </c>
      <c r="P250" s="17"/>
      <c r="Q250" s="30"/>
      <c r="R250" s="17"/>
      <c r="S250" s="42">
        <f>IF(NOT(ISBLANK($K$25)),$K$25,$I$25)</f>
        <v>0</v>
      </c>
      <c r="T250" s="20" t="s">
        <v>106</v>
      </c>
    </row>
    <row r="251" spans="2:20" ht="14.25" hidden="1" outlineLevel="1" x14ac:dyDescent="0.25">
      <c r="B251" s="70"/>
      <c r="C251" s="70" t="s">
        <v>68</v>
      </c>
      <c r="D251" s="71"/>
      <c r="E251" s="71"/>
      <c r="F251" s="72">
        <f>SUM(F252:F255)</f>
        <v>0</v>
      </c>
      <c r="G251" s="72">
        <f t="shared" ref="G251" si="55">SUM(G252:G255)</f>
        <v>0</v>
      </c>
      <c r="H251" s="72">
        <f>SUM(H252:H255)</f>
        <v>4548.5439999999999</v>
      </c>
      <c r="I251" s="71"/>
      <c r="J251" s="72">
        <f t="shared" ref="J251:J255" si="56">F251+G251</f>
        <v>0</v>
      </c>
      <c r="K251" s="72">
        <f t="shared" ref="K251" si="57">SUM(F251:H251)</f>
        <v>4548.5439999999999</v>
      </c>
      <c r="L251" s="77" t="s">
        <v>197</v>
      </c>
      <c r="N251" s="17"/>
      <c r="O251" s="45" t="s">
        <v>160</v>
      </c>
      <c r="P251" s="17"/>
      <c r="Q251" s="30"/>
      <c r="R251" s="17"/>
      <c r="S251" s="42">
        <f>S264+S265</f>
        <v>0</v>
      </c>
      <c r="T251" s="20" t="s">
        <v>106</v>
      </c>
    </row>
    <row r="252" spans="2:20" ht="15.75" hidden="1" outlineLevel="1" x14ac:dyDescent="0.3">
      <c r="B252" s="17"/>
      <c r="C252" s="17"/>
      <c r="D252" s="17" t="s">
        <v>47</v>
      </c>
      <c r="E252" s="17"/>
      <c r="F252" s="38">
        <f>IF(NOT(ISBLANK('Referenz Plattenwerk'!$I36)),'Referenz Plattenwerk'!$I36,'Referenz Plattenwerk'!$F36)*IF(NOT(ISBLANK('Eingabe EF'!$AS21)),'Eingabe EF'!$AS21,'Eingabe EF'!$AQ21)*IF(NOT(ISBLANK('Referenz Plattenwerk'!$I$12)),'Referenz Plattenwerk'!$I$12,'Referenz Plattenwerk'!$F$12)</f>
        <v>0</v>
      </c>
      <c r="G252" s="38">
        <f>IF(NOT(ISBLANK('Referenz Plattenwerk'!$I36)),'Referenz Plattenwerk'!$I36,'Referenz Plattenwerk'!$F36)*IF(NOT(ISBLANK('Eingabe EF'!$AW21)),'Eingabe EF'!$AW21,'Eingabe EF'!$AU21)*IF(NOT(ISBLANK('Referenz Plattenwerk'!$I$12)),'Referenz Plattenwerk'!$I$12,'Referenz Plattenwerk'!$F$12)</f>
        <v>0</v>
      </c>
      <c r="H252" s="38">
        <f>IF(NOT(ISBLANK('Referenz Plattenwerk'!$I36)),'Referenz Plattenwerk'!$I36,'Referenz Plattenwerk'!$F36)*IF(NOT(ISBLANK('Eingabe EF'!$BA21)),'Eingabe EF'!$BA21,'Eingabe EF'!$AY21)*IF(NOT(ISBLANK('Referenz Plattenwerk'!$I$12)),'Referenz Plattenwerk'!$I$12,'Referenz Plattenwerk'!$F$12)</f>
        <v>1210.3</v>
      </c>
      <c r="I252" s="17"/>
      <c r="J252" s="38">
        <f t="shared" si="56"/>
        <v>0</v>
      </c>
      <c r="K252" s="38">
        <f t="shared" ref="K252:K255" si="58">SUM(F252:H252)</f>
        <v>1210.3</v>
      </c>
      <c r="L252" s="17" t="s">
        <v>198</v>
      </c>
      <c r="N252" s="17"/>
      <c r="O252" s="17"/>
      <c r="P252" s="17"/>
      <c r="Q252" s="17"/>
      <c r="R252" s="17"/>
      <c r="S252" s="17"/>
      <c r="T252" s="17"/>
    </row>
    <row r="253" spans="2:20" ht="15.75" hidden="1" outlineLevel="1" x14ac:dyDescent="0.3">
      <c r="B253" s="17"/>
      <c r="C253" s="17"/>
      <c r="D253" s="17" t="s">
        <v>49</v>
      </c>
      <c r="E253" s="17"/>
      <c r="F253" s="38">
        <f>IF(NOT(ISBLANK('Referenz Plattenwerk'!$I37)),'Referenz Plattenwerk'!$I37,'Referenz Plattenwerk'!$F37)*IF(NOT(ISBLANK('Eingabe EF'!$AS22)),'Eingabe EF'!$AS22,'Eingabe EF'!$AQ22)*IF(NOT(ISBLANK('Referenz Plattenwerk'!$I$12)),'Referenz Plattenwerk'!$I$12,'Referenz Plattenwerk'!$F$12)</f>
        <v>0</v>
      </c>
      <c r="G253" s="38">
        <f>IF(NOT(ISBLANK('Referenz Plattenwerk'!$I37)),'Referenz Plattenwerk'!$I37,'Referenz Plattenwerk'!$F37)*IF(NOT(ISBLANK('Eingabe EF'!$AW22)),'Eingabe EF'!$AW22,'Eingabe EF'!$AU22)*IF(NOT(ISBLANK('Referenz Plattenwerk'!$I$12)),'Referenz Plattenwerk'!$I$12,'Referenz Plattenwerk'!$F$12)</f>
        <v>0</v>
      </c>
      <c r="H253" s="38">
        <f>IF(NOT(ISBLANK('Referenz Plattenwerk'!$I37)),'Referenz Plattenwerk'!$I37,'Referenz Plattenwerk'!$F37)*IF(NOT(ISBLANK('Eingabe EF'!$BA22)),'Eingabe EF'!$BA22,'Eingabe EF'!$AY22)*IF(NOT(ISBLANK('Referenz Plattenwerk'!$I$12)),'Referenz Plattenwerk'!$I$12,'Referenz Plattenwerk'!$F$12)</f>
        <v>2415.5039999999999</v>
      </c>
      <c r="I253" s="17"/>
      <c r="J253" s="38">
        <f t="shared" si="56"/>
        <v>0</v>
      </c>
      <c r="K253" s="38">
        <f t="shared" si="58"/>
        <v>2415.5039999999999</v>
      </c>
      <c r="L253" s="17" t="s">
        <v>198</v>
      </c>
      <c r="N253" s="17"/>
      <c r="O253" s="17"/>
      <c r="P253" s="17"/>
      <c r="Q253" s="17"/>
      <c r="R253" s="17"/>
      <c r="S253" s="17"/>
      <c r="T253" s="17"/>
    </row>
    <row r="254" spans="2:20" ht="15.75" hidden="1" outlineLevel="1" x14ac:dyDescent="0.3">
      <c r="B254" s="17"/>
      <c r="C254" s="17"/>
      <c r="D254" s="17" t="s">
        <v>50</v>
      </c>
      <c r="E254" s="17"/>
      <c r="F254" s="38">
        <f>IF(NOT(ISBLANK('Referenz Plattenwerk'!$I38)),'Referenz Plattenwerk'!$I38,'Referenz Plattenwerk'!$F38)*IF(NOT(ISBLANK('Eingabe EF'!$AS23)),'Eingabe EF'!$AS23,'Eingabe EF'!$AQ23)*IF(NOT(ISBLANK('Referenz Plattenwerk'!$I$12)),'Referenz Plattenwerk'!$I$12,'Referenz Plattenwerk'!$F$12)</f>
        <v>0</v>
      </c>
      <c r="G254" s="38">
        <f>IF(NOT(ISBLANK('Referenz Plattenwerk'!$I38)),'Referenz Plattenwerk'!$I38,'Referenz Plattenwerk'!$F38)*IF(NOT(ISBLANK('Eingabe EF'!$AW23)),'Eingabe EF'!$AW23,'Eingabe EF'!$AU23)*IF(NOT(ISBLANK('Referenz Plattenwerk'!$I$12)),'Referenz Plattenwerk'!$I$12,'Referenz Plattenwerk'!$F$12)</f>
        <v>0</v>
      </c>
      <c r="H254" s="38">
        <f>IF(NOT(ISBLANK('Referenz Plattenwerk'!$I38)),'Referenz Plattenwerk'!$I38,'Referenz Plattenwerk'!$F38)*IF(NOT(ISBLANK('Eingabe EF'!$BA23)),'Eingabe EF'!$BA23,'Eingabe EF'!$AY23)*IF(NOT(ISBLANK('Referenz Plattenwerk'!$I$12)),'Referenz Plattenwerk'!$I$12,'Referenz Plattenwerk'!$F$12)</f>
        <v>922.7399999999999</v>
      </c>
      <c r="I254" s="17"/>
      <c r="J254" s="38">
        <f t="shared" si="56"/>
        <v>0</v>
      </c>
      <c r="K254" s="38">
        <f t="shared" si="58"/>
        <v>922.7399999999999</v>
      </c>
      <c r="L254" s="17" t="s">
        <v>198</v>
      </c>
      <c r="N254" s="17"/>
      <c r="O254" s="17" t="s">
        <v>200</v>
      </c>
      <c r="P254" s="17"/>
      <c r="Q254" s="30"/>
      <c r="R254" s="17"/>
      <c r="S254" s="42">
        <f>F290*IF(NOT(ISBLANK('Eingabe Preise'!$O21)),'Eingabe Preise'!$O21,'Eingabe Preise'!$M21)</f>
        <v>7594.5884048000007</v>
      </c>
      <c r="T254" s="20" t="s">
        <v>106</v>
      </c>
    </row>
    <row r="255" spans="2:20" ht="15.75" hidden="1" outlineLevel="1" x14ac:dyDescent="0.3">
      <c r="B255" s="17"/>
      <c r="C255" s="17"/>
      <c r="D255" s="17" t="s">
        <v>161</v>
      </c>
      <c r="E255" s="17"/>
      <c r="F255" s="38">
        <f>IF(NOT(ISBLANK('Referenz Plattenwerk'!$I39)),'Referenz Plattenwerk'!$I39,'Referenz Plattenwerk'!$F39)*IF(NOT(ISBLANK('Eingabe EF'!$AS24)),'Eingabe EF'!$AS24,0)*IF(NOT(ISBLANK('Referenz Plattenwerk'!$I$12)),'Referenz Plattenwerk'!$I$12,'Referenz Plattenwerk'!$F$12)</f>
        <v>0</v>
      </c>
      <c r="G255" s="38">
        <f>IF(NOT(ISBLANK('Referenz Plattenwerk'!$I39)),'Referenz Plattenwerk'!$I39,'Referenz Plattenwerk'!$F39)*IF(NOT(ISBLANK('Eingabe EF'!$AW24)),'Eingabe EF'!$AW24,0)*IF(NOT(ISBLANK('Referenz Plattenwerk'!$I$12)),'Referenz Plattenwerk'!$I$12,'Referenz Plattenwerk'!$F$12)</f>
        <v>0</v>
      </c>
      <c r="H255" s="38">
        <f>IF(NOT(ISBLANK('Referenz Plattenwerk'!$I39)),'Referenz Plattenwerk'!$I39,'Referenz Plattenwerk'!$F39)*IF(NOT(ISBLANK('Eingabe EF'!$BA24)),'Eingabe EF'!$BA24,0)*IF(NOT(ISBLANK('Referenz Plattenwerk'!$I$12)),'Referenz Plattenwerk'!$I$12,'Referenz Plattenwerk'!$F$12)</f>
        <v>0</v>
      </c>
      <c r="I255" s="17"/>
      <c r="J255" s="38">
        <f t="shared" si="56"/>
        <v>0</v>
      </c>
      <c r="K255" s="38">
        <f t="shared" si="58"/>
        <v>0</v>
      </c>
      <c r="L255" s="17" t="s">
        <v>198</v>
      </c>
      <c r="N255" s="17"/>
      <c r="O255" s="17" t="s">
        <v>201</v>
      </c>
      <c r="P255" s="17"/>
      <c r="Q255" s="30"/>
      <c r="R255" s="17"/>
      <c r="S255" s="42">
        <f>G290*IF(NOT(ISBLANK('Eingabe Preise'!$O22)),'Eingabe Preise'!$O22,'Eingabe Preise'!$M22)</f>
        <v>4702.6151902428464</v>
      </c>
      <c r="T255" s="20" t="s">
        <v>106</v>
      </c>
    </row>
    <row r="256" spans="2:20" ht="15.75" hidden="1" outlineLevel="1" x14ac:dyDescent="0.3">
      <c r="B256" s="17"/>
      <c r="C256" s="17"/>
      <c r="D256" s="17"/>
      <c r="E256" s="17"/>
      <c r="F256" s="17"/>
      <c r="G256" s="17"/>
      <c r="H256" s="17"/>
      <c r="I256" s="17"/>
      <c r="J256" s="20"/>
      <c r="K256" s="20"/>
      <c r="L256" s="17"/>
      <c r="N256" s="17"/>
      <c r="O256" s="17" t="s">
        <v>202</v>
      </c>
      <c r="P256" s="17"/>
      <c r="Q256" s="30"/>
      <c r="R256" s="17"/>
      <c r="S256" s="42">
        <f>H290*IF(NOT(ISBLANK('Eingabe Preise'!$O23)),'Eingabe Preise'!$O23,'Eingabe Preise'!$M23)</f>
        <v>465195.75843903795</v>
      </c>
      <c r="T256" s="20" t="s">
        <v>106</v>
      </c>
    </row>
    <row r="257" spans="2:20" ht="14.25" hidden="1" outlineLevel="1" x14ac:dyDescent="0.25">
      <c r="B257" s="70"/>
      <c r="C257" s="70" t="s">
        <v>177</v>
      </c>
      <c r="D257" s="71"/>
      <c r="E257" s="71"/>
      <c r="F257" s="72">
        <f>SUM(F258:F260)</f>
        <v>0</v>
      </c>
      <c r="G257" s="72">
        <f t="shared" ref="G257:H257" si="59">SUM(G258:G260)</f>
        <v>0</v>
      </c>
      <c r="H257" s="72">
        <f t="shared" si="59"/>
        <v>129.59200000000001</v>
      </c>
      <c r="I257" s="71"/>
      <c r="J257" s="72">
        <f t="shared" ref="J257" si="60">F257+G257</f>
        <v>0</v>
      </c>
      <c r="K257" s="72">
        <f t="shared" ref="K257" si="61">SUM(F257:H257)</f>
        <v>129.59200000000001</v>
      </c>
      <c r="L257" s="77" t="s">
        <v>197</v>
      </c>
      <c r="N257" s="17"/>
      <c r="O257" s="17"/>
      <c r="P257" s="17"/>
      <c r="Q257" s="17"/>
      <c r="R257" s="17"/>
      <c r="S257" s="17"/>
      <c r="T257" s="17"/>
    </row>
    <row r="258" spans="2:20" ht="15.75" hidden="1" outlineLevel="1" x14ac:dyDescent="0.3">
      <c r="B258" s="17"/>
      <c r="C258" s="17"/>
      <c r="D258" s="17" t="s">
        <v>178</v>
      </c>
      <c r="E258" s="17"/>
      <c r="F258" s="38">
        <f>IF(NOT(ISBLANK('Referenz Plattenwerk'!$I42)),'Referenz Plattenwerk'!$I42,'Referenz Plattenwerk'!$F42)*IF(NOT(ISBLANK('Eingabe EF'!$AS27)),'Eingabe EF'!$AS27,'Eingabe EF'!$AQ27)*IF(NOT(ISBLANK('Referenz Plattenwerk'!$I$12)),'Referenz Plattenwerk'!$I$12,'Referenz Plattenwerk'!$F$12)</f>
        <v>0</v>
      </c>
      <c r="G258" s="38">
        <f>IF(NOT(ISBLANK('Referenz Plattenwerk'!$I42)),'Referenz Plattenwerk'!$I42,'Referenz Plattenwerk'!$F42)*IF(NOT(ISBLANK('Eingabe EF'!$AW27)),'Eingabe EF'!$AW27,'Eingabe EF'!$AU27)*IF(NOT(ISBLANK('Referenz Plattenwerk'!$I$12)),'Referenz Plattenwerk'!$I$12,'Referenz Plattenwerk'!$F$12)</f>
        <v>0</v>
      </c>
      <c r="H258" s="38">
        <f>IF(NOT(ISBLANK('Referenz Plattenwerk'!$I42)),'Referenz Plattenwerk'!$I42,'Referenz Plattenwerk'!$F42)*IF(NOT(ISBLANK('Eingabe EF'!$BA27)),'Eingabe EF'!$BA27,'Eingabe EF'!$AY27)*IF(NOT(ISBLANK('Referenz Plattenwerk'!$I$12)),'Referenz Plattenwerk'!$I$12,'Referenz Plattenwerk'!$F$12)</f>
        <v>129.59200000000001</v>
      </c>
      <c r="I258" s="17"/>
      <c r="J258" s="38">
        <f>F258+G258</f>
        <v>0</v>
      </c>
      <c r="K258" s="38">
        <f>SUM(F258:H258)</f>
        <v>129.59200000000001</v>
      </c>
      <c r="L258" s="17" t="s">
        <v>198</v>
      </c>
      <c r="N258" s="17"/>
      <c r="O258" s="17"/>
      <c r="P258" s="17"/>
      <c r="Q258" s="17"/>
      <c r="R258" s="17"/>
      <c r="S258" s="17"/>
      <c r="T258" s="17"/>
    </row>
    <row r="259" spans="2:20" ht="15.75" hidden="1" outlineLevel="1" x14ac:dyDescent="0.3">
      <c r="B259" s="17"/>
      <c r="C259" s="17"/>
      <c r="D259" s="17" t="s">
        <v>179</v>
      </c>
      <c r="E259" s="17"/>
      <c r="F259" s="38">
        <f>IF(NOT(ISBLANK('Referenz Plattenwerk'!$I43)),'Referenz Plattenwerk'!$I43,'Referenz Plattenwerk'!$F43)*IF(NOT(ISBLANK('Eingabe EF'!$AS28)),'Eingabe EF'!$AS28,0)*IF(NOT(ISBLANK('Referenz Plattenwerk'!$I$12)),'Referenz Plattenwerk'!$I$12,'Referenz Plattenwerk'!$F$12)</f>
        <v>0</v>
      </c>
      <c r="G259" s="38">
        <f>IF(NOT(ISBLANK('Referenz Plattenwerk'!$I43)),'Referenz Plattenwerk'!$I43,'Referenz Plattenwerk'!$F43)*IF(NOT(ISBLANK('Eingabe EF'!$AW28)),'Eingabe EF'!$AW28,0)*IF(NOT(ISBLANK('Referenz Plattenwerk'!$I$12)),'Referenz Plattenwerk'!$I$12,'Referenz Plattenwerk'!$F$12)</f>
        <v>0</v>
      </c>
      <c r="H259" s="38">
        <f>IF(NOT(ISBLANK('Referenz Plattenwerk'!$I43)),'Referenz Plattenwerk'!$I43,'Referenz Plattenwerk'!$F43)*IF(NOT(ISBLANK('Eingabe EF'!$BA28)),'Eingabe EF'!$BA28,0)*IF(NOT(ISBLANK('Referenz Plattenwerk'!$I$12)),'Referenz Plattenwerk'!$I$12,'Referenz Plattenwerk'!$F$12)</f>
        <v>0</v>
      </c>
      <c r="I259" s="17"/>
      <c r="J259" s="38">
        <f>F259+G259</f>
        <v>0</v>
      </c>
      <c r="K259" s="38">
        <f t="shared" ref="K259:K260" si="62">SUM(F259:H259)</f>
        <v>0</v>
      </c>
      <c r="L259" s="17" t="s">
        <v>198</v>
      </c>
      <c r="N259" s="17"/>
      <c r="O259" s="17"/>
      <c r="P259" s="17"/>
      <c r="Q259" s="18"/>
      <c r="R259" s="17"/>
      <c r="S259" s="18"/>
      <c r="T259" s="18"/>
    </row>
    <row r="260" spans="2:20" ht="15.75" hidden="1" outlineLevel="1" x14ac:dyDescent="0.3">
      <c r="B260" s="17"/>
      <c r="C260" s="17"/>
      <c r="D260" s="17" t="s">
        <v>180</v>
      </c>
      <c r="E260" s="17"/>
      <c r="F260" s="38">
        <f>IF(NOT(ISBLANK('Referenz Plattenwerk'!$I44)),'Referenz Plattenwerk'!$I44,'Referenz Plattenwerk'!$F44)*IF(NOT(ISBLANK('Eingabe EF'!$AS29)),'Eingabe EF'!$AS29,0)*IF(NOT(ISBLANK('Referenz Plattenwerk'!$I$12)),'Referenz Plattenwerk'!$I$12,'Referenz Plattenwerk'!$F$12)</f>
        <v>0</v>
      </c>
      <c r="G260" s="38">
        <f>IF(NOT(ISBLANK('Referenz Plattenwerk'!$I44)),'Referenz Plattenwerk'!$I44,'Referenz Plattenwerk'!$F44)*IF(NOT(ISBLANK('Eingabe EF'!$AW29)),'Eingabe EF'!$AW29,0)*IF(NOT(ISBLANK('Referenz Plattenwerk'!$I$12)),'Referenz Plattenwerk'!$I$12,'Referenz Plattenwerk'!$F$12)</f>
        <v>0</v>
      </c>
      <c r="H260" s="38">
        <f>IF(NOT(ISBLANK('Referenz Plattenwerk'!$I44)),'Referenz Plattenwerk'!$I44,'Referenz Plattenwerk'!$F44)*IF(NOT(ISBLANK('Eingabe EF'!$BA29)),'Eingabe EF'!$BA29,0)*IF(NOT(ISBLANK('Referenz Plattenwerk'!$I$12)),'Referenz Plattenwerk'!$I$12,'Referenz Plattenwerk'!$F$12)</f>
        <v>0</v>
      </c>
      <c r="I260" s="17"/>
      <c r="J260" s="38">
        <f t="shared" ref="J260" si="63">F260+G260</f>
        <v>0</v>
      </c>
      <c r="K260" s="38">
        <f t="shared" si="62"/>
        <v>0</v>
      </c>
      <c r="L260" s="17" t="s">
        <v>198</v>
      </c>
      <c r="N260" s="21" t="s">
        <v>223</v>
      </c>
      <c r="O260" s="17"/>
      <c r="P260" s="17"/>
      <c r="Q260" s="17"/>
      <c r="R260" s="17"/>
      <c r="S260" s="17"/>
      <c r="T260" s="17"/>
    </row>
    <row r="261" spans="2:20" hidden="1" outlineLevel="1" x14ac:dyDescent="0.2">
      <c r="B261" s="17"/>
      <c r="C261" s="17"/>
      <c r="D261" s="17"/>
      <c r="E261" s="17"/>
      <c r="F261" s="17"/>
      <c r="G261" s="17"/>
      <c r="H261" s="17"/>
      <c r="I261" s="17"/>
      <c r="J261" s="20"/>
      <c r="K261" s="20"/>
      <c r="L261" s="17"/>
      <c r="N261" s="17"/>
      <c r="O261" s="17" t="s">
        <v>224</v>
      </c>
      <c r="P261" s="17"/>
      <c r="Q261" s="18"/>
      <c r="R261" s="17"/>
      <c r="S261" s="42">
        <f>IF(IF(NOT(ISBLANK($G$29)),$G$29,$E$29)&gt;5,S173,0)</f>
        <v>1800</v>
      </c>
      <c r="T261" s="20" t="s">
        <v>106</v>
      </c>
    </row>
    <row r="262" spans="2:20" ht="14.25" hidden="1" outlineLevel="1" x14ac:dyDescent="0.25">
      <c r="B262" s="17"/>
      <c r="C262" s="17"/>
      <c r="D262" s="21" t="s">
        <v>57</v>
      </c>
      <c r="E262" s="21"/>
      <c r="F262" s="75">
        <f>IF(NOT(ISBLANK('Referenz Plattenwerk'!$I46)),'Referenz Plattenwerk'!$I46,'Referenz Plattenwerk'!$F46)*IF(NOT(ISBLANK('Eingabe EF'!$AS31)),'Eingabe EF'!$AS31,'Eingabe EF'!$AQ31)*IF(NOT(ISBLANK('Referenz Plattenwerk'!$I$12)),'Referenz Plattenwerk'!$I$12,'Referenz Plattenwerk'!$F$12)</f>
        <v>0</v>
      </c>
      <c r="G262" s="75">
        <f>IF(NOT(ISBLANK('Referenz Plattenwerk'!$I46)),'Referenz Plattenwerk'!$I46,'Referenz Plattenwerk'!$F46)*IF(NOT(ISBLANK('Eingabe EF'!$AW31)),'Eingabe EF'!$AW31,'Eingabe EF'!$AU31)*IF(NOT(ISBLANK('Referenz Plattenwerk'!$I$12)),'Referenz Plattenwerk'!$I$12,'Referenz Plattenwerk'!$F$12)</f>
        <v>0</v>
      </c>
      <c r="H262" s="75">
        <f>IF(NOT(ISBLANK('Referenz Plattenwerk'!$I46)),'Referenz Plattenwerk'!$I46,'Referenz Plattenwerk'!$F46)*IF(NOT(ISBLANK('Eingabe EF'!$BA31)),'Eingabe EF'!$BA31,'Eingabe EF'!$AY31)*IF(NOT(ISBLANK('Referenz Plattenwerk'!$I$12)),'Referenz Plattenwerk'!$I$12,'Referenz Plattenwerk'!$F$12)</f>
        <v>208</v>
      </c>
      <c r="I262" s="21"/>
      <c r="J262" s="75">
        <f>F262+G262</f>
        <v>0</v>
      </c>
      <c r="K262" s="75">
        <f t="shared" ref="K262" si="64">SUM(F262:H262)</f>
        <v>208</v>
      </c>
      <c r="L262" s="21" t="s">
        <v>197</v>
      </c>
      <c r="N262" s="17"/>
      <c r="O262" s="17" t="s">
        <v>225</v>
      </c>
      <c r="P262" s="17"/>
      <c r="Q262" s="17"/>
      <c r="R262" s="17"/>
      <c r="S262" s="42">
        <f>IF(NOT(ISBLANK($K$24)),$K$24,$I$24)/IF(NOT(ISBLANK($K$29)),$K$29,$I$29)+IF(NOT(ISBLANK($K$24)),$K$24,$I$24)*(IF(NOT(ISBLANK($K$30)),$K$30,$I$30)/100)</f>
        <v>0</v>
      </c>
      <c r="T262" s="20" t="s">
        <v>106</v>
      </c>
    </row>
    <row r="263" spans="2:20" hidden="1" outlineLevel="1" x14ac:dyDescent="0.2">
      <c r="B263" s="17"/>
      <c r="C263" s="17"/>
      <c r="D263" s="17"/>
      <c r="E263" s="17"/>
      <c r="F263" s="17"/>
      <c r="G263" s="17"/>
      <c r="H263" s="17"/>
      <c r="I263" s="17"/>
      <c r="J263" s="20"/>
      <c r="K263" s="20"/>
      <c r="L263" s="17"/>
      <c r="N263" s="17"/>
      <c r="O263" s="17"/>
      <c r="P263" s="17"/>
      <c r="Q263" s="18"/>
      <c r="R263" s="17"/>
      <c r="S263" s="18"/>
      <c r="T263" s="18"/>
    </row>
    <row r="264" spans="2:20" ht="14.25" hidden="1" outlineLevel="1" x14ac:dyDescent="0.25">
      <c r="B264" s="70"/>
      <c r="C264" s="70" t="s">
        <v>181</v>
      </c>
      <c r="D264" s="71"/>
      <c r="E264" s="71"/>
      <c r="F264" s="72">
        <f>SUM(F265:F267)</f>
        <v>0</v>
      </c>
      <c r="G264" s="72">
        <f t="shared" ref="G264:H264" si="65">SUM(G265:G267)</f>
        <v>0</v>
      </c>
      <c r="H264" s="72">
        <f t="shared" si="65"/>
        <v>81.003999999999991</v>
      </c>
      <c r="I264" s="71"/>
      <c r="J264" s="72">
        <f t="shared" ref="J264" si="66">F264+G264</f>
        <v>0</v>
      </c>
      <c r="K264" s="72">
        <f t="shared" ref="K264" si="67">SUM(F264:H264)</f>
        <v>81.003999999999991</v>
      </c>
      <c r="L264" s="77" t="s">
        <v>197</v>
      </c>
      <c r="N264" s="17"/>
      <c r="O264" s="17" t="s">
        <v>227</v>
      </c>
      <c r="P264" s="17"/>
      <c r="Q264" s="17"/>
      <c r="R264" s="17"/>
      <c r="S264" s="42">
        <f>IF(IF(NOT(ISBLANK($G$29)),$G$29,$E$29)&gt;5,S175,0)</f>
        <v>0</v>
      </c>
      <c r="T264" s="20" t="s">
        <v>106</v>
      </c>
    </row>
    <row r="265" spans="2:20" ht="15.75" hidden="1" outlineLevel="1" x14ac:dyDescent="0.3">
      <c r="B265" s="17"/>
      <c r="C265" s="17"/>
      <c r="D265" s="17" t="s">
        <v>59</v>
      </c>
      <c r="E265" s="17"/>
      <c r="F265" s="38">
        <f>IF(NOT(ISBLANK('Referenz Plattenwerk'!$I49)),'Referenz Plattenwerk'!$I49,'Referenz Plattenwerk'!$F49)*IF(NOT(ISBLANK('Eingabe EF'!$AS34)),'Eingabe EF'!$AS34,'Eingabe EF'!$AQ34)*IF(NOT(ISBLANK('Referenz Plattenwerk'!$I$12)),'Referenz Plattenwerk'!$I$12,'Referenz Plattenwerk'!$F$12)</f>
        <v>0</v>
      </c>
      <c r="G265" s="38">
        <f>IF(NOT(ISBLANK('Referenz Plattenwerk'!$I49)),'Referenz Plattenwerk'!$I49,'Referenz Plattenwerk'!$F49)*IF(NOT(ISBLANK('Eingabe EF'!$AW34)),'Eingabe EF'!$AW34,'Eingabe EF'!$AU34)*IF(NOT(ISBLANK('Referenz Plattenwerk'!$I$12)),'Referenz Plattenwerk'!$I$12,'Referenz Plattenwerk'!$F$12)</f>
        <v>0</v>
      </c>
      <c r="H265" s="38">
        <f>IF(NOT(ISBLANK('Referenz Plattenwerk'!$I49)),'Referenz Plattenwerk'!$I49,'Referenz Plattenwerk'!$F49)*IF(NOT(ISBLANK('Eingabe EF'!$BA34)),'Eingabe EF'!$BA34,'Eingabe EF'!$AY34)*IF(NOT(ISBLANK('Referenz Plattenwerk'!$I$12)),'Referenz Plattenwerk'!$I$12,'Referenz Plattenwerk'!$F$12)</f>
        <v>0</v>
      </c>
      <c r="I265" s="17"/>
      <c r="J265" s="38">
        <f>F265+G265</f>
        <v>0</v>
      </c>
      <c r="K265" s="38">
        <f>SUM(F265:H265)</f>
        <v>0</v>
      </c>
      <c r="L265" s="17" t="s">
        <v>198</v>
      </c>
      <c r="N265" s="17"/>
      <c r="O265" s="17" t="s">
        <v>228</v>
      </c>
      <c r="P265" s="17"/>
      <c r="Q265" s="18"/>
      <c r="R265" s="17"/>
      <c r="S265" s="42">
        <f>IF(NOT(ISBLANK($K$26)),$K$26,$I$26)/IF(NOT(ISBLANK($K$29)),$K$29,$I$29)+IF(NOT(ISBLANK($K$26)),$K$26,$I$26)*(IF(NOT(ISBLANK($K$30)),$K$30,$I$30)/100)</f>
        <v>0</v>
      </c>
      <c r="T265" s="20" t="s">
        <v>106</v>
      </c>
    </row>
    <row r="266" spans="2:20" ht="15.75" hidden="1" outlineLevel="1" x14ac:dyDescent="0.3">
      <c r="B266" s="17"/>
      <c r="C266" s="17"/>
      <c r="D266" s="17" t="s">
        <v>60</v>
      </c>
      <c r="E266" s="17"/>
      <c r="F266" s="38">
        <f>IF(NOT(ISBLANK('Referenz Plattenwerk'!$I50)),'Referenz Plattenwerk'!$I50,'Referenz Plattenwerk'!$F50)*IF(NOT(ISBLANK('Eingabe EF'!$AS35)),'Eingabe EF'!$AS35,'Eingabe EF'!$AQ35)*IF(NOT(ISBLANK('Referenz Plattenwerk'!$I$12)),'Referenz Plattenwerk'!$I$12,'Referenz Plattenwerk'!$F$12)</f>
        <v>0</v>
      </c>
      <c r="G266" s="38">
        <f>IF(NOT(ISBLANK('Referenz Plattenwerk'!$I50)),'Referenz Plattenwerk'!$I50,'Referenz Plattenwerk'!$F50)*IF(NOT(ISBLANK('Eingabe EF'!$AW35)),'Eingabe EF'!$AW35,'Eingabe EF'!$AU35)*IF(NOT(ISBLANK('Referenz Plattenwerk'!$I$12)),'Referenz Plattenwerk'!$I$12,'Referenz Plattenwerk'!$F$12)</f>
        <v>0</v>
      </c>
      <c r="H266" s="38">
        <f>IF(NOT(ISBLANK('Referenz Plattenwerk'!$I50)),'Referenz Plattenwerk'!$I50,'Referenz Plattenwerk'!$F50)*IF(NOT(ISBLANK('Eingabe EF'!$BA35)),'Eingabe EF'!$BA35,'Eingabe EF'!$AY35)*IF(NOT(ISBLANK('Referenz Plattenwerk'!$I$12)),'Referenz Plattenwerk'!$I$12,'Referenz Plattenwerk'!$F$12)</f>
        <v>8.6840000000000011</v>
      </c>
      <c r="I266" s="17"/>
      <c r="J266" s="38">
        <f>F266+G266</f>
        <v>0</v>
      </c>
      <c r="K266" s="38">
        <f>SUM(F266:H266)</f>
        <v>8.6840000000000011</v>
      </c>
      <c r="L266" s="17" t="s">
        <v>198</v>
      </c>
      <c r="N266" s="17"/>
      <c r="O266" s="17"/>
      <c r="P266" s="17"/>
      <c r="Q266" s="18"/>
      <c r="R266" s="17"/>
      <c r="S266" s="18"/>
      <c r="T266" s="18"/>
    </row>
    <row r="267" spans="2:20" ht="15.75" hidden="1" outlineLevel="1" x14ac:dyDescent="0.3">
      <c r="B267" s="17"/>
      <c r="C267" s="17"/>
      <c r="D267" s="17" t="s">
        <v>61</v>
      </c>
      <c r="E267" s="17"/>
      <c r="F267" s="38">
        <f>IF(NOT(ISBLANK('Referenz Plattenwerk'!$I51)),'Referenz Plattenwerk'!$I51,'Referenz Plattenwerk'!$F51)*IF(NOT(ISBLANK('Eingabe EF'!$AS36)),'Eingabe EF'!$AS36,'Eingabe EF'!$AQ36)*IF(NOT(ISBLANK('Referenz Plattenwerk'!$I$12)),'Referenz Plattenwerk'!$I$12,'Referenz Plattenwerk'!$F$12)</f>
        <v>0</v>
      </c>
      <c r="G267" s="38">
        <f>IF(NOT(ISBLANK('Referenz Plattenwerk'!$I51)),'Referenz Plattenwerk'!$I51,'Referenz Plattenwerk'!$F51)*IF(NOT(ISBLANK('Eingabe EF'!$AW36)),'Eingabe EF'!$AW36,'Eingabe EF'!$AU36)*IF(NOT(ISBLANK('Referenz Plattenwerk'!$I$12)),'Referenz Plattenwerk'!$I$12,'Referenz Plattenwerk'!$F$12)</f>
        <v>0</v>
      </c>
      <c r="H267" s="38">
        <f>IF(NOT(ISBLANK('Referenz Plattenwerk'!$I51)),'Referenz Plattenwerk'!$I51,'Referenz Plattenwerk'!$F51)*IF(NOT(ISBLANK('Eingabe EF'!$BA36)),'Eingabe EF'!$BA36,'Eingabe EF'!$AY36)*IF(NOT(ISBLANK('Referenz Plattenwerk'!$I$12)),'Referenz Plattenwerk'!$I$12,'Referenz Plattenwerk'!$F$12)</f>
        <v>72.319999999999993</v>
      </c>
      <c r="I267" s="17"/>
      <c r="J267" s="38">
        <f>F267+G267</f>
        <v>0</v>
      </c>
      <c r="K267" s="38">
        <f>SUM(F267:H267)</f>
        <v>72.319999999999993</v>
      </c>
      <c r="L267" s="17" t="s">
        <v>198</v>
      </c>
      <c r="N267" s="17"/>
      <c r="O267" s="17"/>
      <c r="P267" s="17"/>
      <c r="Q267" s="17"/>
      <c r="R267" s="17"/>
      <c r="S267" s="17"/>
      <c r="T267" s="17"/>
    </row>
    <row r="268" spans="2:20" hidden="1" outlineLevel="1" x14ac:dyDescent="0.2">
      <c r="B268" s="17"/>
      <c r="C268" s="17"/>
      <c r="D268" s="17"/>
      <c r="E268" s="17"/>
      <c r="F268" s="17"/>
      <c r="G268" s="17"/>
      <c r="H268" s="17"/>
      <c r="I268" s="17"/>
      <c r="J268" s="17"/>
      <c r="K268" s="20"/>
      <c r="L268" s="20"/>
      <c r="N268" s="17"/>
      <c r="O268" s="17"/>
      <c r="P268" s="17"/>
      <c r="Q268" s="18"/>
      <c r="R268" s="17"/>
      <c r="S268" s="18"/>
      <c r="T268" s="18"/>
    </row>
    <row r="269" spans="2:20" ht="14.25" hidden="1" outlineLevel="1" x14ac:dyDescent="0.25">
      <c r="B269" s="70"/>
      <c r="C269" s="70" t="s">
        <v>51</v>
      </c>
      <c r="D269" s="71"/>
      <c r="E269" s="71"/>
      <c r="F269" s="72">
        <f>SUM(F270:F273)</f>
        <v>0</v>
      </c>
      <c r="G269" s="72">
        <f t="shared" ref="G269:H269" si="68">SUM(G270:G273)</f>
        <v>0</v>
      </c>
      <c r="H269" s="72">
        <f t="shared" si="68"/>
        <v>148.44746134951595</v>
      </c>
      <c r="I269" s="71"/>
      <c r="J269" s="72">
        <f t="shared" ref="J269:J273" si="69">F269+G269</f>
        <v>0</v>
      </c>
      <c r="K269" s="72">
        <f t="shared" ref="K269" si="70">SUM(F269:H269)</f>
        <v>148.44746134951595</v>
      </c>
      <c r="L269" s="77" t="s">
        <v>197</v>
      </c>
    </row>
    <row r="270" spans="2:20" ht="15.75" hidden="1" outlineLevel="1" x14ac:dyDescent="0.3">
      <c r="B270" s="17"/>
      <c r="C270" s="17"/>
      <c r="D270" s="17" t="s">
        <v>52</v>
      </c>
      <c r="E270" s="17"/>
      <c r="F270"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70"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70"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70" s="17"/>
      <c r="J270" s="38">
        <f t="shared" si="69"/>
        <v>0</v>
      </c>
      <c r="K270" s="38">
        <f t="shared" ref="K270:K273" si="71">SUM(F270:H270)</f>
        <v>47.997919375812742</v>
      </c>
      <c r="L270" s="17" t="s">
        <v>198</v>
      </c>
    </row>
    <row r="271" spans="2:20" ht="15.75" hidden="1" outlineLevel="1" x14ac:dyDescent="0.3">
      <c r="B271" s="17"/>
      <c r="C271" s="17"/>
      <c r="D271" s="17" t="s">
        <v>54</v>
      </c>
      <c r="E271" s="17"/>
      <c r="F271"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71"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71"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71" s="17"/>
      <c r="J271" s="38">
        <f t="shared" si="69"/>
        <v>0</v>
      </c>
      <c r="K271" s="38">
        <f t="shared" si="71"/>
        <v>5.7797543707556596</v>
      </c>
      <c r="L271" s="17" t="s">
        <v>198</v>
      </c>
    </row>
    <row r="272" spans="2:20" ht="15.75" hidden="1" outlineLevel="1" x14ac:dyDescent="0.3">
      <c r="B272" s="17"/>
      <c r="C272" s="17"/>
      <c r="D272" s="17" t="s">
        <v>55</v>
      </c>
      <c r="E272" s="17"/>
      <c r="F272"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72"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72"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72" s="17"/>
      <c r="J272" s="38">
        <f t="shared" si="69"/>
        <v>0</v>
      </c>
      <c r="K272" s="38">
        <f t="shared" si="71"/>
        <v>1.4217598612917211E-2</v>
      </c>
      <c r="L272" s="17" t="s">
        <v>198</v>
      </c>
    </row>
    <row r="273" spans="2:12" ht="15.75" hidden="1" outlineLevel="1" x14ac:dyDescent="0.3">
      <c r="B273" s="17"/>
      <c r="C273" s="17"/>
      <c r="D273" s="17" t="s">
        <v>56</v>
      </c>
      <c r="E273" s="17"/>
      <c r="F273"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73"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73"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73" s="17"/>
      <c r="J273" s="38">
        <f t="shared" si="69"/>
        <v>0</v>
      </c>
      <c r="K273" s="38">
        <f t="shared" si="71"/>
        <v>94.655570004334635</v>
      </c>
      <c r="L273" s="17" t="s">
        <v>198</v>
      </c>
    </row>
    <row r="274" spans="2:12" hidden="1" outlineLevel="1" x14ac:dyDescent="0.2">
      <c r="B274" s="17"/>
      <c r="C274" s="17"/>
      <c r="D274" s="17"/>
      <c r="E274" s="17"/>
      <c r="F274" s="17"/>
      <c r="G274" s="17"/>
      <c r="H274" s="17"/>
      <c r="I274" s="17"/>
      <c r="J274" s="17"/>
      <c r="K274" s="17"/>
      <c r="L274" s="20"/>
    </row>
    <row r="275" spans="2:12" ht="14.25" hidden="1" outlineLevel="1" x14ac:dyDescent="0.25">
      <c r="B275" s="17"/>
      <c r="C275" s="17"/>
      <c r="D275" s="21" t="s">
        <v>110</v>
      </c>
      <c r="E275" s="21"/>
      <c r="F275" s="75">
        <f>IF(NOT(ISBLANK('Referenz Plattenwerk'!$I59)),'Referenz Plattenwerk'!$I59,'Referenz Plattenwerk'!$F59)*IF(NOT(ISBLANK('Eingabe EF'!$AS44)),'Eingabe EF'!$AS44,0)*IF(NOT(ISBLANK('Referenz Plattenwerk'!$I$12)),'Referenz Plattenwerk'!$I$12,'Referenz Plattenwerk'!$F$12)</f>
        <v>0</v>
      </c>
      <c r="G275" s="75">
        <f>IF(NOT(ISBLANK('Referenz Plattenwerk'!$I59)),'Referenz Plattenwerk'!$I59,'Referenz Plattenwerk'!$F59)*IF(NOT(ISBLANK('Eingabe EF'!$AW44)),'Eingabe EF'!$AW44,0)*IF(NOT(ISBLANK('Referenz Plattenwerk'!$I$12)),'Referenz Plattenwerk'!$I$12,'Referenz Plattenwerk'!$F$12)</f>
        <v>0</v>
      </c>
      <c r="H275" s="75">
        <f>IF(NOT(ISBLANK('Referenz Plattenwerk'!$I59)),'Referenz Plattenwerk'!$I59,'Referenz Plattenwerk'!$F59)*IF(NOT(ISBLANK('Eingabe EF'!$BA44)),'Eingabe EF'!$BA44,0)*IF(NOT(ISBLANK('Referenz Plattenwerk'!$I$12)),'Referenz Plattenwerk'!$I$12,'Referenz Plattenwerk'!$F$12)</f>
        <v>0</v>
      </c>
      <c r="I275" s="21"/>
      <c r="J275" s="75">
        <f>F275+G275</f>
        <v>0</v>
      </c>
      <c r="K275" s="75">
        <f>SUM(F275:H275)</f>
        <v>0</v>
      </c>
      <c r="L275" s="21" t="s">
        <v>197</v>
      </c>
    </row>
    <row r="276" spans="2:12" ht="14.25" hidden="1" outlineLevel="1" x14ac:dyDescent="0.25">
      <c r="B276" s="17"/>
      <c r="C276" s="17"/>
      <c r="D276" s="21" t="s">
        <v>64</v>
      </c>
      <c r="E276" s="21"/>
      <c r="F276" s="76">
        <f>IF(NOT(ISBLANK('Referenz Plattenwerk'!$I60)),'Referenz Plattenwerk'!$I60,'Referenz Plattenwerk'!$F60)*IF(NOT(ISBLANK('Eingabe EF'!$AS45)),'Eingabe EF'!$AS45,'Eingabe EF'!$AQ45)</f>
        <v>0</v>
      </c>
      <c r="G276" s="76">
        <f>IF(NOT(ISBLANK('Referenz Plattenwerk'!$I60)),'Referenz Plattenwerk'!$I60,'Referenz Plattenwerk'!$F60)*IF(NOT(ISBLANK('Eingabe EF'!$AW45)),'Eingabe EF'!$AW45,'Eingabe EF'!$AU45)</f>
        <v>0</v>
      </c>
      <c r="H276" s="76">
        <f>IF(NOT(ISBLANK('Referenz Plattenwerk'!$I60)),'Referenz Plattenwerk'!$I60,'Referenz Plattenwerk'!$F60)*IF(NOT(ISBLANK('Eingabe EF'!$BA45)),'Eingabe EF'!$BA45,'Eingabe EF'!$AY45)</f>
        <v>0.54400000000000004</v>
      </c>
      <c r="I276" s="21"/>
      <c r="J276" s="75">
        <f>F276+G276</f>
        <v>0</v>
      </c>
      <c r="K276" s="75">
        <f>SUM(F276:H276)</f>
        <v>0.54400000000000004</v>
      </c>
      <c r="L276" s="21" t="s">
        <v>197</v>
      </c>
    </row>
    <row r="277" spans="2:12" hidden="1" outlineLevel="1" x14ac:dyDescent="0.2">
      <c r="B277" s="17"/>
      <c r="C277" s="17"/>
      <c r="D277" s="17"/>
      <c r="E277" s="17"/>
      <c r="F277" s="17"/>
      <c r="G277" s="17"/>
      <c r="H277" s="17"/>
      <c r="I277" s="17"/>
      <c r="J277" s="17"/>
      <c r="K277" s="17"/>
      <c r="L277" s="20"/>
    </row>
    <row r="278" spans="2:12" ht="14.25" hidden="1" outlineLevel="1" x14ac:dyDescent="0.25">
      <c r="B278" s="70"/>
      <c r="C278" s="70" t="s">
        <v>182</v>
      </c>
      <c r="D278" s="71"/>
      <c r="E278" s="71"/>
      <c r="F278" s="72">
        <f>SUM(F279:F281)</f>
        <v>0</v>
      </c>
      <c r="G278" s="72">
        <f t="shared" ref="G278:H278" si="72">SUM(G279:G281)</f>
        <v>0</v>
      </c>
      <c r="H278" s="72">
        <f t="shared" si="72"/>
        <v>80.47999999999999</v>
      </c>
      <c r="I278" s="71"/>
      <c r="J278" s="72">
        <f t="shared" ref="J278" si="73">F278+G278</f>
        <v>0</v>
      </c>
      <c r="K278" s="72">
        <f t="shared" ref="K278" si="74">SUM(F278:H278)</f>
        <v>80.47999999999999</v>
      </c>
      <c r="L278" s="77" t="s">
        <v>197</v>
      </c>
    </row>
    <row r="279" spans="2:12" ht="15.75" hidden="1" outlineLevel="1" x14ac:dyDescent="0.3">
      <c r="B279" s="17"/>
      <c r="C279" s="17"/>
      <c r="D279" s="17" t="s">
        <v>183</v>
      </c>
      <c r="E279" s="17"/>
      <c r="F279" s="38">
        <f>IF(NOT(ISBLANK('Referenz Plattenwerk'!$I63)),'Referenz Plattenwerk'!$I63,'Referenz Plattenwerk'!$F63)*IF(NOT(ISBLANK('Eingabe EF'!$AS48)),'Eingabe EF'!$AS48,0)*IF(NOT(ISBLANK('Referenz Plattenwerk'!$I$12)),'Referenz Plattenwerk'!$I$12,'Referenz Plattenwerk'!$F$12)</f>
        <v>0</v>
      </c>
      <c r="G279" s="38">
        <f>IF(NOT(ISBLANK('Referenz Plattenwerk'!$I63)),'Referenz Plattenwerk'!$I63,'Referenz Plattenwerk'!$F63)*IF(NOT(ISBLANK('Eingabe EF'!$AW48)),'Eingabe EF'!$AW48,0)*IF(NOT(ISBLANK('Referenz Plattenwerk'!$I$12)),'Referenz Plattenwerk'!$I$12,'Referenz Plattenwerk'!$F$12)</f>
        <v>0</v>
      </c>
      <c r="H279" s="38">
        <f>IF(NOT(ISBLANK('Referenz Plattenwerk'!$I63)),'Referenz Plattenwerk'!$I63,'Referenz Plattenwerk'!$F63)*IF(NOT(ISBLANK('Eingabe EF'!$BA48)),'Eingabe EF'!$BA48,0)*IF(NOT(ISBLANK('Referenz Plattenwerk'!$I$12)),'Referenz Plattenwerk'!$I$12,'Referenz Plattenwerk'!$F$12)</f>
        <v>0</v>
      </c>
      <c r="I279" s="17"/>
      <c r="J279" s="38">
        <f>F279+G279</f>
        <v>0</v>
      </c>
      <c r="K279" s="38">
        <f>SUM(F279:H279)</f>
        <v>0</v>
      </c>
      <c r="L279" s="17" t="s">
        <v>198</v>
      </c>
    </row>
    <row r="280" spans="2:12" ht="15.75" hidden="1" outlineLevel="1" x14ac:dyDescent="0.3">
      <c r="B280" s="17"/>
      <c r="C280" s="17"/>
      <c r="D280" s="17" t="s">
        <v>62</v>
      </c>
      <c r="E280" s="17"/>
      <c r="F280" s="38">
        <f>IF(NOT(ISBLANK('Referenz Plattenwerk'!$I64)),'Referenz Plattenwerk'!$I64,'Referenz Plattenwerk'!$F64)*IF(NOT(ISBLANK('Eingabe EF'!$AS49)),'Eingabe EF'!$AS49,'Eingabe EF'!$AQ49)*IF(NOT(ISBLANK('Referenz Plattenwerk'!$I$12)),'Referenz Plattenwerk'!$I$12,'Referenz Plattenwerk'!$F$12)</f>
        <v>0</v>
      </c>
      <c r="G280" s="38">
        <f>IF(NOT(ISBLANK('Referenz Plattenwerk'!$I64)),'Referenz Plattenwerk'!$I64,'Referenz Plattenwerk'!$F64)*IF(NOT(ISBLANK('Eingabe EF'!$AW49)),'Eingabe EF'!$AW49,'Eingabe EF'!$AU49)*IF(NOT(ISBLANK('Referenz Plattenwerk'!$I$12)),'Referenz Plattenwerk'!$I$12,'Referenz Plattenwerk'!$F$12)</f>
        <v>0</v>
      </c>
      <c r="H280" s="38">
        <f>IF(NOT(ISBLANK('Referenz Plattenwerk'!$I64)),'Referenz Plattenwerk'!$I64,'Referenz Plattenwerk'!$F64)*IF(NOT(ISBLANK('Eingabe EF'!$BA49)),'Eingabe EF'!$BA49,'Eingabe EF'!$AY49)*IF(NOT(ISBLANK('Referenz Plattenwerk'!$I$12)),'Referenz Plattenwerk'!$I$12,'Referenz Plattenwerk'!$F$12)</f>
        <v>80.47999999999999</v>
      </c>
      <c r="I280" s="17"/>
      <c r="J280" s="38">
        <f t="shared" ref="J280" si="75">F280+G280</f>
        <v>0</v>
      </c>
      <c r="K280" s="38">
        <f t="shared" ref="K280" si="76">SUM(F280:H280)</f>
        <v>80.47999999999999</v>
      </c>
      <c r="L280" s="17" t="s">
        <v>198</v>
      </c>
    </row>
    <row r="281" spans="2:12" ht="15.75" hidden="1" outlineLevel="1" x14ac:dyDescent="0.3">
      <c r="B281" s="17"/>
      <c r="C281" s="17"/>
      <c r="D281" s="17" t="s">
        <v>184</v>
      </c>
      <c r="E281" s="17"/>
      <c r="F281" s="38">
        <f>IF(NOT(ISBLANK('Referenz Plattenwerk'!$I65)),'Referenz Plattenwerk'!$I65,'Referenz Plattenwerk'!$F65)*IF(NOT(ISBLANK('Eingabe EF'!$AS50)),'Eingabe EF'!$AS50,0)*IF(NOT(ISBLANK('Referenz Plattenwerk'!$I$12)),'Referenz Plattenwerk'!$I$12,'Referenz Plattenwerk'!$F$12)</f>
        <v>0</v>
      </c>
      <c r="G281" s="38">
        <f>IF(NOT(ISBLANK('Referenz Plattenwerk'!$I65)),'Referenz Plattenwerk'!$I65,'Referenz Plattenwerk'!$F65)*IF(NOT(ISBLANK('Eingabe EF'!$AW50)),'Eingabe EF'!$AW50,0)*IF(NOT(ISBLANK('Referenz Plattenwerk'!$I$12)),'Referenz Plattenwerk'!$I$12,'Referenz Plattenwerk'!$F$12)</f>
        <v>0</v>
      </c>
      <c r="H281" s="38">
        <f>IF(NOT(ISBLANK('Referenz Plattenwerk'!$I65)),'Referenz Plattenwerk'!$I65,'Referenz Plattenwerk'!$F65)*IF(NOT(ISBLANK('Eingabe EF'!$BA50)),'Eingabe EF'!$BA50,0)*IF(NOT(ISBLANK('Referenz Plattenwerk'!$I$12)),'Referenz Plattenwerk'!$I$12,'Referenz Plattenwerk'!$F$12)</f>
        <v>0</v>
      </c>
      <c r="I281" s="17"/>
      <c r="J281" s="38">
        <f>F281+G281</f>
        <v>0</v>
      </c>
      <c r="K281" s="38">
        <f>SUM(F281:H281)</f>
        <v>0</v>
      </c>
      <c r="L281" s="17" t="s">
        <v>198</v>
      </c>
    </row>
    <row r="282" spans="2:12" hidden="1" outlineLevel="1" x14ac:dyDescent="0.2">
      <c r="B282" s="17"/>
      <c r="C282" s="17"/>
      <c r="D282" s="17"/>
      <c r="E282" s="17"/>
      <c r="F282" s="17"/>
      <c r="G282" s="17"/>
      <c r="H282" s="17"/>
      <c r="I282" s="17"/>
      <c r="J282" s="17"/>
      <c r="K282" s="17"/>
      <c r="L282" s="20"/>
    </row>
    <row r="283" spans="2:12" ht="14.25" hidden="1" outlineLevel="1" x14ac:dyDescent="0.25">
      <c r="B283" s="70"/>
      <c r="C283" s="70" t="s">
        <v>185</v>
      </c>
      <c r="D283" s="71"/>
      <c r="E283" s="71"/>
      <c r="F283" s="72">
        <f>SUM(F284:F286)</f>
        <v>0</v>
      </c>
      <c r="G283" s="72">
        <f t="shared" ref="G283:H283" si="77">SUM(G284:G286)</f>
        <v>0</v>
      </c>
      <c r="H283" s="72">
        <f t="shared" si="77"/>
        <v>60</v>
      </c>
      <c r="I283" s="71"/>
      <c r="J283" s="72">
        <f t="shared" ref="J283" si="78">F283+G283</f>
        <v>0</v>
      </c>
      <c r="K283" s="72">
        <f t="shared" ref="K283" si="79">SUM(F283:H283)</f>
        <v>60</v>
      </c>
      <c r="L283" s="77" t="s">
        <v>197</v>
      </c>
    </row>
    <row r="284" spans="2:12" ht="15.75" hidden="1" outlineLevel="1" x14ac:dyDescent="0.3">
      <c r="B284" s="17"/>
      <c r="C284" s="17"/>
      <c r="D284" s="17" t="s">
        <v>66</v>
      </c>
      <c r="E284" s="17"/>
      <c r="F284" s="44">
        <f>IF(NOT(ISBLANK('Referenz Plattenwerk'!$I68)),'Referenz Plattenwerk'!$I68,'Referenz Plattenwerk'!$F68)*IF(NOT(ISBLANK('Eingabe EF'!$AS53)),'Eingabe EF'!$AS53,'Eingabe EF'!$AQ53)</f>
        <v>0</v>
      </c>
      <c r="G284" s="44">
        <f>IF(NOT(ISBLANK('Referenz Plattenwerk'!$I68)),'Referenz Plattenwerk'!$I68,'Referenz Plattenwerk'!$F68)*IF(NOT(ISBLANK('Eingabe EF'!$AW53)),'Eingabe EF'!$AW53,'Eingabe EF'!$AU53)</f>
        <v>0</v>
      </c>
      <c r="H284" s="44">
        <f>IF(NOT(ISBLANK('Referenz Plattenwerk'!$I68)),'Referenz Plattenwerk'!$I68,'Referenz Plattenwerk'!$F68)*IF(NOT(ISBLANK('Eingabe EF'!$BA53)),'Eingabe EF'!$BA53,'Eingabe EF'!$AY53)</f>
        <v>60</v>
      </c>
      <c r="I284" s="17"/>
      <c r="J284" s="38">
        <f>F284+G284</f>
        <v>0</v>
      </c>
      <c r="K284" s="38">
        <f>SUM(F284:H284)</f>
        <v>60</v>
      </c>
      <c r="L284" s="17" t="s">
        <v>198</v>
      </c>
    </row>
    <row r="285" spans="2:12" ht="15.75" hidden="1" outlineLevel="1" x14ac:dyDescent="0.3">
      <c r="B285" s="17"/>
      <c r="C285" s="17"/>
      <c r="D285" s="17" t="s">
        <v>187</v>
      </c>
      <c r="E285" s="17"/>
      <c r="F285" s="44">
        <f>IF(NOT(ISBLANK('Referenz Plattenwerk'!$I69)),'Referenz Plattenwerk'!$I69,'Referenz Plattenwerk'!$F69)*IF(NOT(ISBLANK('Eingabe EF'!$AS54)),'Eingabe EF'!$AS54,0)</f>
        <v>0</v>
      </c>
      <c r="G285" s="44">
        <f>IF(NOT(ISBLANK('Referenz Plattenwerk'!$I69)),'Referenz Plattenwerk'!$I69,'Referenz Plattenwerk'!$F69)*IF(NOT(ISBLANK('Eingabe EF'!$AW54)),'Eingabe EF'!$AW54,0)</f>
        <v>0</v>
      </c>
      <c r="H285" s="44">
        <f>IF(NOT(ISBLANK('Referenz Plattenwerk'!$I69)),'Referenz Plattenwerk'!$I69,'Referenz Plattenwerk'!$F69)*IF(NOT(ISBLANK('Eingabe EF'!$BA54)),'Eingabe EF'!$BA54,0)</f>
        <v>0</v>
      </c>
      <c r="I285" s="17"/>
      <c r="J285" s="38">
        <f t="shared" ref="J285:J286" si="80">F285+G285</f>
        <v>0</v>
      </c>
      <c r="K285" s="38">
        <f t="shared" ref="K285:K286" si="81">SUM(F285:H285)</f>
        <v>0</v>
      </c>
      <c r="L285" s="17" t="s">
        <v>198</v>
      </c>
    </row>
    <row r="286" spans="2:12" ht="15.75" hidden="1" outlineLevel="1" x14ac:dyDescent="0.3">
      <c r="B286" s="17"/>
      <c r="C286" s="17"/>
      <c r="D286" s="17" t="s">
        <v>186</v>
      </c>
      <c r="E286" s="17"/>
      <c r="F286" s="44">
        <f>IF(NOT(ISBLANK('Referenz Plattenwerk'!$I70)),'Referenz Plattenwerk'!$I70,'Referenz Plattenwerk'!$F70)*IF(NOT(ISBLANK('Eingabe EF'!$AS55)),'Eingabe EF'!$AS55,0)</f>
        <v>0</v>
      </c>
      <c r="G286" s="44">
        <f>IF(NOT(ISBLANK('Referenz Plattenwerk'!$I70)),'Referenz Plattenwerk'!$I70,'Referenz Plattenwerk'!$F70)*IF(NOT(ISBLANK('Eingabe EF'!$AW55)),'Eingabe EF'!$AW55,0)</f>
        <v>0</v>
      </c>
      <c r="H286" s="44">
        <f>IF(NOT(ISBLANK('Referenz Plattenwerk'!$I70)),'Referenz Plattenwerk'!$I70,'Referenz Plattenwerk'!$F70)*IF(NOT(ISBLANK('Eingabe EF'!$BA55)),'Eingabe EF'!$BA55,0)</f>
        <v>0</v>
      </c>
      <c r="I286" s="17"/>
      <c r="J286" s="38">
        <f t="shared" si="80"/>
        <v>0</v>
      </c>
      <c r="K286" s="38">
        <f t="shared" si="81"/>
        <v>0</v>
      </c>
      <c r="L286" s="17" t="s">
        <v>198</v>
      </c>
    </row>
    <row r="287" spans="2:12" hidden="1" outlineLevel="1" x14ac:dyDescent="0.2">
      <c r="B287" s="17"/>
      <c r="C287" s="17"/>
      <c r="D287" s="17"/>
      <c r="E287" s="17"/>
      <c r="F287" s="17"/>
      <c r="G287" s="17"/>
      <c r="H287" s="17"/>
      <c r="I287" s="17"/>
      <c r="J287" s="17"/>
      <c r="K287" s="17"/>
      <c r="L287" s="20"/>
    </row>
    <row r="288" spans="2:12" ht="14.25" hidden="1" outlineLevel="1" x14ac:dyDescent="0.25">
      <c r="B288" s="17"/>
      <c r="C288" s="17"/>
      <c r="D288" s="21" t="s">
        <v>63</v>
      </c>
      <c r="E288" s="21"/>
      <c r="F288" s="76">
        <f>IF(NOT(ISBLANK('Referenz Plattenwerk'!$I72)),'Referenz Plattenwerk'!$I72,'Referenz Plattenwerk'!$F72)*IF(NOT(ISBLANK('Eingabe EF'!$AS57)),'Eingabe EF'!$AS57,'Eingabe EF'!$AQ57)</f>
        <v>0</v>
      </c>
      <c r="G288" s="76">
        <f>IF(NOT(ISBLANK('Referenz Plattenwerk'!$I72)),'Referenz Plattenwerk'!$I72,'Referenz Plattenwerk'!$F72)*IF(NOT(ISBLANK('Eingabe EF'!$AW57)),'Eingabe EF'!$AW57,'Eingabe EF'!$AU57)</f>
        <v>0</v>
      </c>
      <c r="H288" s="76">
        <f>IF(NOT(ISBLANK('Referenz Plattenwerk'!$I72)),'Referenz Plattenwerk'!$I72,'Referenz Plattenwerk'!$F72)*IF(NOT(ISBLANK('Eingabe EF'!$BA57)),'Eingabe EF'!$BA57,'Eingabe EF'!$AY57)</f>
        <v>64.48</v>
      </c>
      <c r="I288" s="21"/>
      <c r="J288" s="75">
        <f t="shared" ref="J288" si="82">F288+G288</f>
        <v>0</v>
      </c>
      <c r="K288" s="75">
        <f t="shared" ref="K288" si="83">SUM(F288:H288)</f>
        <v>64.48</v>
      </c>
      <c r="L288" s="21" t="s">
        <v>197</v>
      </c>
    </row>
    <row r="289" spans="2:12" hidden="1" outlineLevel="1" x14ac:dyDescent="0.2">
      <c r="B289" s="17"/>
      <c r="C289" s="17"/>
      <c r="D289" s="17"/>
      <c r="E289" s="17"/>
      <c r="F289" s="20"/>
      <c r="G289" s="20"/>
      <c r="H289" s="20"/>
      <c r="I289" s="17"/>
      <c r="J289" s="17"/>
      <c r="K289" s="20"/>
      <c r="L289" s="20"/>
    </row>
    <row r="290" spans="2:12" ht="15" hidden="1" outlineLevel="1" thickBot="1" x14ac:dyDescent="0.3">
      <c r="B290" s="17"/>
      <c r="C290" s="17"/>
      <c r="D290" s="68" t="s">
        <v>69</v>
      </c>
      <c r="E290" s="68"/>
      <c r="F290" s="69">
        <f>SUM(F233:F288)-F247-F251-F257-F264-F269-F278-F283</f>
        <v>94.932355060000006</v>
      </c>
      <c r="G290" s="69">
        <f t="shared" ref="G290:H290" si="84">SUM(G233:G288)-G247-G251-G257-G264-G269-G278-G283</f>
        <v>58.782689878035576</v>
      </c>
      <c r="H290" s="69">
        <f t="shared" si="84"/>
        <v>5814.9469804879745</v>
      </c>
      <c r="I290" s="21"/>
      <c r="J290" s="69">
        <f t="shared" ref="J290:K290" si="85">SUM(J233:J288)-J247-J251-J257-J264-J269-J278-J283</f>
        <v>153.71504493803556</v>
      </c>
      <c r="K290" s="69">
        <f t="shared" si="85"/>
        <v>5968.6620254260097</v>
      </c>
      <c r="L290" s="69" t="s">
        <v>197</v>
      </c>
    </row>
    <row r="291" spans="2:12" ht="13.5" hidden="1" outlineLevel="1" thickTop="1" x14ac:dyDescent="0.2">
      <c r="B291" s="17"/>
      <c r="C291" s="17"/>
      <c r="D291" s="17"/>
      <c r="E291" s="17"/>
      <c r="F291" s="20"/>
      <c r="G291" s="20"/>
      <c r="H291" s="20"/>
      <c r="I291" s="17"/>
      <c r="J291" s="17"/>
      <c r="K291" s="20"/>
      <c r="L291" s="20"/>
    </row>
    <row r="292" spans="2:12" collapsed="1" x14ac:dyDescent="0.2"/>
  </sheetData>
  <sheetProtection algorithmName="SHA-512" hashValue="9CW9P4HLbfuNQPkitsk2KB9p6dnBJTzXin2RSGuJIkEU3E66wl3y8S/rYz+g6BpoSfMYt5PTdsC9eshOH7QYKg==" saltValue="XXS9Is5NC5xgDtXyKnaZWw==" spinCount="100000" sheet="1" objects="1" scenarios="1" selectLockedCells="1"/>
  <mergeCells count="8">
    <mergeCell ref="C76:C77"/>
    <mergeCell ref="S76:S77"/>
    <mergeCell ref="K85:K86"/>
    <mergeCell ref="D12:J12"/>
    <mergeCell ref="D6:L6"/>
    <mergeCell ref="E13:G13"/>
    <mergeCell ref="E19:G19"/>
    <mergeCell ref="I19:K19"/>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xdr:col>
                    <xdr:colOff>523875</xdr:colOff>
                    <xdr:row>77</xdr:row>
                    <xdr:rowOff>28575</xdr:rowOff>
                  </from>
                  <to>
                    <xdr:col>2</xdr:col>
                    <xdr:colOff>704850</xdr:colOff>
                    <xdr:row>78</xdr:row>
                    <xdr:rowOff>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xdr:col>
                    <xdr:colOff>523875</xdr:colOff>
                    <xdr:row>78</xdr:row>
                    <xdr:rowOff>28575</xdr:rowOff>
                  </from>
                  <to>
                    <xdr:col>2</xdr:col>
                    <xdr:colOff>704850</xdr:colOff>
                    <xdr:row>78</xdr:row>
                    <xdr:rowOff>190500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2</xdr:col>
                    <xdr:colOff>523875</xdr:colOff>
                    <xdr:row>79</xdr:row>
                    <xdr:rowOff>28575</xdr:rowOff>
                  </from>
                  <to>
                    <xdr:col>2</xdr:col>
                    <xdr:colOff>704850</xdr:colOff>
                    <xdr:row>79</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2</xdr:col>
                    <xdr:colOff>523875</xdr:colOff>
                    <xdr:row>80</xdr:row>
                    <xdr:rowOff>19050</xdr:rowOff>
                  </from>
                  <to>
                    <xdr:col>2</xdr:col>
                    <xdr:colOff>704850</xdr:colOff>
                    <xdr:row>80</xdr:row>
                    <xdr:rowOff>190500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xdr:col>
                    <xdr:colOff>523875</xdr:colOff>
                    <xdr:row>81</xdr:row>
                    <xdr:rowOff>19050</xdr:rowOff>
                  </from>
                  <to>
                    <xdr:col>2</xdr:col>
                    <xdr:colOff>704850</xdr:colOff>
                    <xdr:row>81</xdr:row>
                    <xdr:rowOff>180975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xdr:col>
                    <xdr:colOff>523875</xdr:colOff>
                    <xdr:row>82</xdr:row>
                    <xdr:rowOff>0</xdr:rowOff>
                  </from>
                  <to>
                    <xdr:col>2</xdr:col>
                    <xdr:colOff>704850</xdr:colOff>
                    <xdr:row>82</xdr:row>
                    <xdr:rowOff>180975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523875</xdr:colOff>
                    <xdr:row>83</xdr:row>
                    <xdr:rowOff>9525</xdr:rowOff>
                  </from>
                  <to>
                    <xdr:col>2</xdr:col>
                    <xdr:colOff>704850</xdr:colOff>
                    <xdr:row>83</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18</xdr:col>
                    <xdr:colOff>457200</xdr:colOff>
                    <xdr:row>88</xdr:row>
                    <xdr:rowOff>0</xdr:rowOff>
                  </from>
                  <to>
                    <xdr:col>18</xdr:col>
                    <xdr:colOff>676275</xdr:colOff>
                    <xdr:row>88</xdr:row>
                    <xdr:rowOff>180975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18</xdr:col>
                    <xdr:colOff>571500</xdr:colOff>
                    <xdr:row>89</xdr:row>
                    <xdr:rowOff>19050</xdr:rowOff>
                  </from>
                  <to>
                    <xdr:col>19</xdr:col>
                    <xdr:colOff>0</xdr:colOff>
                    <xdr:row>90</xdr:row>
                    <xdr:rowOff>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18</xdr:col>
                    <xdr:colOff>571500</xdr:colOff>
                    <xdr:row>90</xdr:row>
                    <xdr:rowOff>19050</xdr:rowOff>
                  </from>
                  <to>
                    <xdr:col>19</xdr:col>
                    <xdr:colOff>0</xdr:colOff>
                    <xdr:row>91</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18</xdr:col>
                    <xdr:colOff>571500</xdr:colOff>
                    <xdr:row>91</xdr:row>
                    <xdr:rowOff>9525</xdr:rowOff>
                  </from>
                  <to>
                    <xdr:col>19</xdr:col>
                    <xdr:colOff>0</xdr:colOff>
                    <xdr:row>91</xdr:row>
                    <xdr:rowOff>190500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18</xdr:col>
                    <xdr:colOff>457200</xdr:colOff>
                    <xdr:row>86</xdr:row>
                    <xdr:rowOff>9525</xdr:rowOff>
                  </from>
                  <to>
                    <xdr:col>18</xdr:col>
                    <xdr:colOff>676275</xdr:colOff>
                    <xdr:row>87</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18</xdr:col>
                    <xdr:colOff>457200</xdr:colOff>
                    <xdr:row>85</xdr:row>
                    <xdr:rowOff>0</xdr:rowOff>
                  </from>
                  <to>
                    <xdr:col>18</xdr:col>
                    <xdr:colOff>676275</xdr:colOff>
                    <xdr:row>86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18</xdr:col>
                    <xdr:colOff>457200</xdr:colOff>
                    <xdr:row>87</xdr:row>
                    <xdr:rowOff>9525</xdr:rowOff>
                  </from>
                  <to>
                    <xdr:col>18</xdr:col>
                    <xdr:colOff>676275</xdr:colOff>
                    <xdr:row>88</xdr:row>
                    <xdr:rowOff>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10</xdr:col>
                    <xdr:colOff>514350</xdr:colOff>
                    <xdr:row>85</xdr:row>
                    <xdr:rowOff>152400</xdr:rowOff>
                  </from>
                  <to>
                    <xdr:col>10</xdr:col>
                    <xdr:colOff>723900</xdr:colOff>
                    <xdr:row>87</xdr:row>
                    <xdr:rowOff>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10</xdr:col>
                    <xdr:colOff>514350</xdr:colOff>
                    <xdr:row>86</xdr:row>
                    <xdr:rowOff>171450</xdr:rowOff>
                  </from>
                  <to>
                    <xdr:col>10</xdr:col>
                    <xdr:colOff>723900</xdr:colOff>
                    <xdr:row>87</xdr:row>
                    <xdr:rowOff>190500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10</xdr:col>
                    <xdr:colOff>514350</xdr:colOff>
                    <xdr:row>87</xdr:row>
                    <xdr:rowOff>180975</xdr:rowOff>
                  </from>
                  <to>
                    <xdr:col>10</xdr:col>
                    <xdr:colOff>723900</xdr:colOff>
                    <xdr:row>88</xdr:row>
                    <xdr:rowOff>190500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10</xdr:col>
                    <xdr:colOff>514350</xdr:colOff>
                    <xdr:row>88</xdr:row>
                    <xdr:rowOff>180975</xdr:rowOff>
                  </from>
                  <to>
                    <xdr:col>10</xdr:col>
                    <xdr:colOff>723900</xdr:colOff>
                    <xdr:row>90</xdr:row>
                    <xdr:rowOff>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10</xdr:col>
                    <xdr:colOff>514350</xdr:colOff>
                    <xdr:row>89</xdr:row>
                    <xdr:rowOff>180975</xdr:rowOff>
                  </from>
                  <to>
                    <xdr:col>10</xdr:col>
                    <xdr:colOff>723900</xdr:colOff>
                    <xdr:row>91</xdr:row>
                    <xdr:rowOff>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10</xdr:col>
                    <xdr:colOff>514350</xdr:colOff>
                    <xdr:row>90</xdr:row>
                    <xdr:rowOff>180975</xdr:rowOff>
                  </from>
                  <to>
                    <xdr:col>10</xdr:col>
                    <xdr:colOff>723900</xdr:colOff>
                    <xdr:row>92</xdr:row>
                    <xdr:rowOff>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10</xdr:col>
                    <xdr:colOff>514350</xdr:colOff>
                    <xdr:row>91</xdr:row>
                    <xdr:rowOff>180975</xdr:rowOff>
                  </from>
                  <to>
                    <xdr:col>10</xdr:col>
                    <xdr:colOff>723900</xdr:colOff>
                    <xdr:row>93</xdr:row>
                    <xdr:rowOff>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10</xdr:col>
                    <xdr:colOff>514350</xdr:colOff>
                    <xdr:row>92</xdr:row>
                    <xdr:rowOff>190500</xdr:rowOff>
                  </from>
                  <to>
                    <xdr:col>10</xdr:col>
                    <xdr:colOff>723900</xdr:colOff>
                    <xdr:row>93</xdr:row>
                    <xdr:rowOff>190500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10</xdr:col>
                    <xdr:colOff>514350</xdr:colOff>
                    <xdr:row>93</xdr:row>
                    <xdr:rowOff>180975</xdr:rowOff>
                  </from>
                  <to>
                    <xdr:col>10</xdr:col>
                    <xdr:colOff>723900</xdr:colOff>
                    <xdr:row>94</xdr:row>
                    <xdr:rowOff>190500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10</xdr:col>
                    <xdr:colOff>514350</xdr:colOff>
                    <xdr:row>94</xdr:row>
                    <xdr:rowOff>171450</xdr:rowOff>
                  </from>
                  <to>
                    <xdr:col>10</xdr:col>
                    <xdr:colOff>723900</xdr:colOff>
                    <xdr:row>95</xdr:row>
                    <xdr:rowOff>180975</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10</xdr:col>
                    <xdr:colOff>514350</xdr:colOff>
                    <xdr:row>95</xdr:row>
                    <xdr:rowOff>171450</xdr:rowOff>
                  </from>
                  <to>
                    <xdr:col>10</xdr:col>
                    <xdr:colOff>723900</xdr:colOff>
                    <xdr:row>96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xr:uid="{45A4C9C3-6B41-4231-94B5-D3160E0B4F8F}">
          <x14:formula1>
            <xm:f>'Drop-Down'!$B$12:$B$15</xm:f>
          </x14:formula1>
          <xm:sqref>G16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2BE6-8FF7-410F-8983-D015BF27C0FE}">
  <sheetPr>
    <pageSetUpPr fitToPage="1"/>
  </sheetPr>
  <dimension ref="A2:AA312"/>
  <sheetViews>
    <sheetView zoomScale="90" zoomScaleNormal="90" workbookViewId="0">
      <selection activeCell="G17" sqref="G17"/>
    </sheetView>
  </sheetViews>
  <sheetFormatPr baseColWidth="10" defaultColWidth="9" defaultRowHeight="12.75" outlineLevelRow="2"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2"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90"/>
      <c r="D2" s="90"/>
      <c r="E2" s="90"/>
      <c r="F2" s="90"/>
      <c r="G2" s="90"/>
      <c r="H2" s="90"/>
      <c r="I2" s="90"/>
      <c r="J2" s="90"/>
      <c r="K2" s="90"/>
      <c r="L2" s="90"/>
      <c r="M2" s="3"/>
      <c r="N2" s="3"/>
      <c r="O2" s="3"/>
      <c r="P2" s="3"/>
    </row>
    <row r="3" spans="2:16" ht="18" x14ac:dyDescent="0.25">
      <c r="B3" s="3"/>
      <c r="C3" s="90"/>
      <c r="D3" s="91" t="s">
        <v>258</v>
      </c>
      <c r="E3" s="90"/>
      <c r="F3" s="90"/>
      <c r="G3" s="90"/>
      <c r="H3" s="90"/>
      <c r="I3" s="90"/>
      <c r="J3" s="90"/>
      <c r="K3" s="90"/>
      <c r="L3" s="90"/>
      <c r="M3" s="3"/>
      <c r="N3" s="3"/>
      <c r="O3" s="3"/>
      <c r="P3" s="3"/>
    </row>
    <row r="4" spans="2:16" x14ac:dyDescent="0.2">
      <c r="B4" s="3"/>
      <c r="C4" s="90"/>
      <c r="D4" s="3"/>
      <c r="E4" s="3"/>
      <c r="F4" s="3"/>
      <c r="G4" s="3"/>
      <c r="H4" s="3"/>
      <c r="I4" s="3"/>
      <c r="J4" s="3"/>
      <c r="K4" s="3"/>
      <c r="L4" s="3"/>
      <c r="M4" s="3"/>
      <c r="N4" s="3"/>
      <c r="O4" s="3"/>
      <c r="P4" s="3"/>
    </row>
    <row r="5" spans="2:16" ht="19.5" customHeight="1" x14ac:dyDescent="0.2">
      <c r="B5" s="3"/>
      <c r="C5" s="90"/>
      <c r="D5" s="104" t="s">
        <v>327</v>
      </c>
      <c r="E5" s="104"/>
      <c r="F5" s="104"/>
      <c r="G5" s="104"/>
      <c r="H5" s="104"/>
      <c r="I5" s="104"/>
      <c r="J5" s="104"/>
      <c r="K5" s="104"/>
      <c r="L5" s="104"/>
      <c r="M5" s="3"/>
      <c r="N5" s="3"/>
      <c r="O5" s="3"/>
      <c r="P5" s="3"/>
    </row>
    <row r="6" spans="2:16" ht="137.25" customHeight="1" x14ac:dyDescent="0.2">
      <c r="B6" s="3"/>
      <c r="C6" s="94"/>
      <c r="D6" s="396" t="s">
        <v>334</v>
      </c>
      <c r="E6" s="396"/>
      <c r="F6" s="396"/>
      <c r="G6" s="396"/>
      <c r="H6" s="396"/>
      <c r="I6" s="396"/>
      <c r="J6" s="396"/>
      <c r="K6" s="396"/>
      <c r="L6" s="396"/>
      <c r="M6" s="3"/>
      <c r="N6" s="3"/>
      <c r="O6" s="3"/>
      <c r="P6" s="3"/>
    </row>
    <row r="7" spans="2:16" x14ac:dyDescent="0.2">
      <c r="B7" s="3"/>
      <c r="C7" s="90"/>
      <c r="D7" s="90"/>
      <c r="E7" s="90"/>
      <c r="F7" s="90"/>
      <c r="G7" s="90"/>
      <c r="H7" s="90"/>
      <c r="I7" s="90"/>
      <c r="J7" s="90"/>
      <c r="K7" s="90"/>
      <c r="L7" s="90"/>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6" t="s">
        <v>481</v>
      </c>
      <c r="E11" s="95"/>
      <c r="F11" s="96"/>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98">
        <v>2025</v>
      </c>
      <c r="F13" s="398"/>
      <c r="G13" s="398"/>
      <c r="H13" s="13"/>
      <c r="I13" s="398">
        <v>2030</v>
      </c>
      <c r="J13" s="398"/>
      <c r="K13" s="398"/>
      <c r="L13" s="8"/>
      <c r="M13" s="3"/>
      <c r="N13" s="3"/>
      <c r="O13" s="3"/>
      <c r="P13" s="3"/>
    </row>
    <row r="14" spans="2:16" x14ac:dyDescent="0.2">
      <c r="B14" s="3"/>
      <c r="C14" s="3"/>
      <c r="D14" s="8"/>
      <c r="E14" s="102" t="s">
        <v>80</v>
      </c>
      <c r="F14" s="102"/>
      <c r="G14" s="102" t="s">
        <v>77</v>
      </c>
      <c r="H14" s="13"/>
      <c r="I14" s="102" t="s">
        <v>80</v>
      </c>
      <c r="J14" s="102"/>
      <c r="K14" s="102" t="s">
        <v>77</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479</v>
      </c>
      <c r="E16" s="3"/>
      <c r="F16" s="3"/>
      <c r="G16" s="3"/>
      <c r="H16" s="3"/>
      <c r="I16" s="3"/>
      <c r="J16" s="3"/>
      <c r="K16" s="3"/>
      <c r="L16" s="3"/>
      <c r="M16" s="3"/>
      <c r="N16" s="3"/>
      <c r="O16" s="3"/>
      <c r="P16" s="3"/>
    </row>
    <row r="17" spans="2:16" x14ac:dyDescent="0.2">
      <c r="B17" s="3"/>
      <c r="C17" s="3"/>
      <c r="D17" s="118" t="s">
        <v>260</v>
      </c>
      <c r="E17" s="80">
        <v>-2</v>
      </c>
      <c r="F17" s="15" t="s">
        <v>99</v>
      </c>
      <c r="G17" s="115"/>
      <c r="H17" s="15" t="s">
        <v>99</v>
      </c>
      <c r="I17" s="80">
        <v>-5</v>
      </c>
      <c r="J17" s="15" t="s">
        <v>99</v>
      </c>
      <c r="K17" s="115"/>
      <c r="L17" s="15" t="s">
        <v>99</v>
      </c>
      <c r="M17" s="3"/>
      <c r="N17" s="3"/>
      <c r="O17" s="3"/>
      <c r="P17" s="3"/>
    </row>
    <row r="18" spans="2:16" x14ac:dyDescent="0.2">
      <c r="B18" s="3"/>
      <c r="C18" s="3"/>
      <c r="D18" s="118" t="s">
        <v>261</v>
      </c>
      <c r="E18" s="80">
        <v>-2</v>
      </c>
      <c r="F18" s="15" t="s">
        <v>99</v>
      </c>
      <c r="G18" s="115"/>
      <c r="H18" s="15" t="s">
        <v>99</v>
      </c>
      <c r="I18" s="80">
        <v>-5</v>
      </c>
      <c r="J18" s="15" t="s">
        <v>99</v>
      </c>
      <c r="K18" s="115"/>
      <c r="L18" s="15" t="s">
        <v>99</v>
      </c>
      <c r="M18" s="3"/>
      <c r="N18" s="3"/>
      <c r="O18" s="3"/>
      <c r="P18" s="3"/>
    </row>
    <row r="19" spans="2:16" x14ac:dyDescent="0.2">
      <c r="B19" s="3"/>
      <c r="C19" s="3"/>
      <c r="D19" s="118" t="s">
        <v>50</v>
      </c>
      <c r="E19" s="80">
        <v>-2</v>
      </c>
      <c r="F19" s="15" t="s">
        <v>99</v>
      </c>
      <c r="G19" s="115"/>
      <c r="H19" s="15" t="s">
        <v>99</v>
      </c>
      <c r="I19" s="80">
        <v>-5</v>
      </c>
      <c r="J19" s="15" t="s">
        <v>99</v>
      </c>
      <c r="K19" s="115"/>
      <c r="L19" s="15" t="s">
        <v>99</v>
      </c>
      <c r="M19" s="3"/>
      <c r="N19" s="3"/>
      <c r="O19" s="3"/>
      <c r="P19" s="3"/>
    </row>
    <row r="20" spans="2:16" ht="14.25" x14ac:dyDescent="0.2">
      <c r="B20" s="3"/>
      <c r="C20" s="3"/>
      <c r="D20" s="118" t="s">
        <v>278</v>
      </c>
      <c r="E20" s="80">
        <v>-2</v>
      </c>
      <c r="F20" s="15" t="s">
        <v>99</v>
      </c>
      <c r="G20" s="115"/>
      <c r="H20" s="15" t="s">
        <v>99</v>
      </c>
      <c r="I20" s="80">
        <v>-5</v>
      </c>
      <c r="J20" s="15" t="s">
        <v>99</v>
      </c>
      <c r="K20" s="115"/>
      <c r="L20" s="15" t="s">
        <v>99</v>
      </c>
      <c r="M20" s="3"/>
      <c r="N20" s="3"/>
      <c r="O20" s="3"/>
      <c r="P20" s="3"/>
    </row>
    <row r="21" spans="2:16" x14ac:dyDescent="0.2">
      <c r="B21" s="3"/>
      <c r="C21" s="3"/>
      <c r="D21" s="11"/>
      <c r="E21" s="80"/>
      <c r="F21" s="80"/>
      <c r="G21" s="80"/>
      <c r="H21" s="80"/>
      <c r="I21" s="80"/>
      <c r="J21" s="80"/>
      <c r="K21" s="80"/>
      <c r="L21" s="15"/>
      <c r="M21" s="3"/>
      <c r="N21" s="3"/>
      <c r="O21" s="3"/>
      <c r="P21" s="3"/>
    </row>
    <row r="22" spans="2:16" ht="14.25" x14ac:dyDescent="0.2">
      <c r="B22" s="3"/>
      <c r="C22" s="3"/>
      <c r="D22" s="8" t="s">
        <v>480</v>
      </c>
      <c r="E22" s="80"/>
      <c r="F22" s="15"/>
      <c r="G22" s="15"/>
      <c r="H22" s="15"/>
      <c r="I22" s="15"/>
      <c r="J22" s="15"/>
      <c r="K22" s="15"/>
      <c r="L22" s="15"/>
      <c r="M22" s="3"/>
      <c r="N22" s="3"/>
      <c r="O22" s="3"/>
      <c r="P22" s="3"/>
    </row>
    <row r="23" spans="2:16" x14ac:dyDescent="0.2">
      <c r="B23" s="3"/>
      <c r="C23" s="3"/>
      <c r="D23" s="118" t="str">
        <f>'Referenz Plattenwerk'!D49</f>
        <v>Flugasche</v>
      </c>
      <c r="E23" s="80">
        <v>0</v>
      </c>
      <c r="F23" s="15" t="s">
        <v>99</v>
      </c>
      <c r="G23" s="115"/>
      <c r="H23" s="15" t="s">
        <v>99</v>
      </c>
      <c r="I23" s="80">
        <v>0</v>
      </c>
      <c r="J23" s="15" t="s">
        <v>99</v>
      </c>
      <c r="K23" s="115"/>
      <c r="L23" s="15" t="s">
        <v>99</v>
      </c>
      <c r="M23" s="3"/>
      <c r="N23" s="3"/>
      <c r="O23" s="3"/>
      <c r="P23" s="3"/>
    </row>
    <row r="24" spans="2:16" x14ac:dyDescent="0.2">
      <c r="B24" s="3"/>
      <c r="C24" s="3"/>
      <c r="D24" s="118" t="str">
        <f>'Referenz Plattenwerk'!D50</f>
        <v>Quarzsteinmehl</v>
      </c>
      <c r="E24" s="80">
        <v>2</v>
      </c>
      <c r="F24" s="15" t="s">
        <v>99</v>
      </c>
      <c r="G24" s="115"/>
      <c r="H24" s="15" t="s">
        <v>99</v>
      </c>
      <c r="I24" s="80">
        <v>5</v>
      </c>
      <c r="J24" s="15" t="s">
        <v>99</v>
      </c>
      <c r="K24" s="115"/>
      <c r="L24" s="15" t="s">
        <v>99</v>
      </c>
      <c r="M24" s="3"/>
      <c r="N24" s="3"/>
      <c r="O24" s="3"/>
      <c r="P24" s="3"/>
    </row>
    <row r="25" spans="2:16" x14ac:dyDescent="0.2">
      <c r="B25" s="3"/>
      <c r="C25" s="3"/>
      <c r="D25" s="118" t="str">
        <f>'Referenz Plattenwerk'!D51</f>
        <v>Kalksteinmehl</v>
      </c>
      <c r="E25" s="80">
        <v>2</v>
      </c>
      <c r="F25" s="15" t="s">
        <v>99</v>
      </c>
      <c r="G25" s="115"/>
      <c r="H25" s="15" t="s">
        <v>99</v>
      </c>
      <c r="I25" s="80">
        <v>5</v>
      </c>
      <c r="J25" s="15" t="s">
        <v>99</v>
      </c>
      <c r="K25" s="115"/>
      <c r="L25" s="15" t="s">
        <v>99</v>
      </c>
      <c r="M25" s="3"/>
      <c r="N25" s="3"/>
      <c r="O25" s="3"/>
      <c r="P25" s="3"/>
    </row>
    <row r="26" spans="2:16" x14ac:dyDescent="0.2">
      <c r="B26" s="3"/>
      <c r="C26" s="3"/>
      <c r="D26" s="118" t="s">
        <v>282</v>
      </c>
      <c r="E26" s="80">
        <v>0</v>
      </c>
      <c r="F26" s="15" t="s">
        <v>48</v>
      </c>
      <c r="G26" s="274"/>
      <c r="H26" s="15" t="s">
        <v>48</v>
      </c>
      <c r="I26" s="80">
        <v>0</v>
      </c>
      <c r="J26" s="15" t="s">
        <v>48</v>
      </c>
      <c r="K26" s="274"/>
      <c r="L26" s="15" t="s">
        <v>48</v>
      </c>
      <c r="M26" s="3"/>
      <c r="N26" s="3"/>
      <c r="O26" s="3"/>
      <c r="P26" s="3"/>
    </row>
    <row r="27" spans="2:16" x14ac:dyDescent="0.2">
      <c r="B27" s="3"/>
      <c r="C27" s="3"/>
      <c r="D27" s="118" t="s">
        <v>283</v>
      </c>
      <c r="E27" s="80">
        <v>0</v>
      </c>
      <c r="F27" s="15" t="s">
        <v>48</v>
      </c>
      <c r="G27" s="274"/>
      <c r="H27" s="15" t="s">
        <v>48</v>
      </c>
      <c r="I27" s="80">
        <v>0</v>
      </c>
      <c r="J27" s="15" t="s">
        <v>48</v>
      </c>
      <c r="K27" s="274"/>
      <c r="L27" s="15" t="s">
        <v>48</v>
      </c>
      <c r="M27" s="3"/>
      <c r="N27" s="3"/>
      <c r="O27" s="3"/>
      <c r="P27" s="3"/>
    </row>
    <row r="28" spans="2:16" x14ac:dyDescent="0.2">
      <c r="B28" s="3"/>
      <c r="C28" s="3"/>
      <c r="D28" s="3"/>
      <c r="E28" s="3"/>
      <c r="F28" s="3"/>
      <c r="G28" s="3"/>
      <c r="H28" s="3"/>
      <c r="I28" s="3"/>
      <c r="J28" s="3"/>
      <c r="K28" s="3"/>
      <c r="L28" s="3"/>
      <c r="M28" s="3"/>
      <c r="N28" s="3"/>
      <c r="O28" s="3"/>
      <c r="P28" s="3"/>
    </row>
    <row r="29" spans="2:16" ht="15.75" x14ac:dyDescent="0.2">
      <c r="B29" s="3"/>
      <c r="C29" s="3"/>
      <c r="D29" s="118" t="s">
        <v>269</v>
      </c>
      <c r="E29" s="291" t="s">
        <v>118</v>
      </c>
      <c r="F29" s="15"/>
      <c r="G29" s="294"/>
      <c r="H29" s="15" t="s">
        <v>320</v>
      </c>
      <c r="I29" s="291" t="s">
        <v>118</v>
      </c>
      <c r="J29" s="15"/>
      <c r="K29" s="294"/>
      <c r="L29" s="15" t="s">
        <v>320</v>
      </c>
      <c r="M29" s="3"/>
      <c r="N29" s="3"/>
      <c r="O29" s="3"/>
      <c r="P29" s="3"/>
    </row>
    <row r="30" spans="2:16" ht="15.75" x14ac:dyDescent="0.2">
      <c r="B30" s="3"/>
      <c r="C30" s="3"/>
      <c r="D30" s="118" t="s">
        <v>270</v>
      </c>
      <c r="E30" s="291" t="s">
        <v>118</v>
      </c>
      <c r="F30" s="15"/>
      <c r="G30" s="294"/>
      <c r="H30" s="15" t="s">
        <v>320</v>
      </c>
      <c r="I30" s="291" t="s">
        <v>118</v>
      </c>
      <c r="J30" s="15"/>
      <c r="K30" s="294"/>
      <c r="L30" s="15" t="s">
        <v>320</v>
      </c>
      <c r="M30" s="3"/>
      <c r="N30" s="3"/>
      <c r="O30" s="3"/>
      <c r="P30" s="3"/>
    </row>
    <row r="31" spans="2:16" x14ac:dyDescent="0.2">
      <c r="B31" s="3"/>
      <c r="C31" s="3"/>
      <c r="D31" s="11"/>
      <c r="E31" s="80"/>
      <c r="F31" s="80"/>
      <c r="G31" s="80"/>
      <c r="H31" s="80"/>
      <c r="I31" s="80"/>
      <c r="J31" s="80"/>
      <c r="K31" s="80"/>
      <c r="L31" s="15"/>
      <c r="M31" s="3"/>
      <c r="N31" s="3"/>
      <c r="O31" s="3"/>
      <c r="P31" s="3"/>
    </row>
    <row r="32" spans="2:16" x14ac:dyDescent="0.2">
      <c r="B32" s="3"/>
      <c r="C32" s="3"/>
      <c r="D32" s="8"/>
      <c r="E32" s="81"/>
      <c r="F32" s="15"/>
      <c r="G32" s="15"/>
      <c r="H32" s="15"/>
      <c r="I32" s="81"/>
      <c r="J32" s="15"/>
      <c r="K32" s="15"/>
      <c r="L32" s="3"/>
      <c r="M32" s="3"/>
      <c r="N32" s="3"/>
      <c r="O32" s="3"/>
      <c r="P32" s="3"/>
    </row>
    <row r="33" spans="2:16" ht="14.25" x14ac:dyDescent="0.2">
      <c r="B33" s="3"/>
      <c r="C33" s="3"/>
      <c r="D33" s="12" t="s">
        <v>279</v>
      </c>
      <c r="E33" s="80">
        <v>0</v>
      </c>
      <c r="F33" s="15" t="s">
        <v>105</v>
      </c>
      <c r="G33" s="274"/>
      <c r="H33" s="15" t="s">
        <v>105</v>
      </c>
      <c r="I33" s="80">
        <v>0</v>
      </c>
      <c r="J33" s="15" t="s">
        <v>105</v>
      </c>
      <c r="K33" s="274"/>
      <c r="L33" s="3" t="s">
        <v>105</v>
      </c>
      <c r="M33" s="3"/>
      <c r="N33" s="3"/>
      <c r="O33" s="3"/>
      <c r="P33" s="3"/>
    </row>
    <row r="34" spans="2:16" ht="14.25" x14ac:dyDescent="0.2">
      <c r="B34" s="3"/>
      <c r="C34" s="3"/>
      <c r="D34" s="79" t="s">
        <v>280</v>
      </c>
      <c r="E34" s="80">
        <v>0</v>
      </c>
      <c r="F34" s="15" t="s">
        <v>106</v>
      </c>
      <c r="G34" s="274"/>
      <c r="H34" s="15" t="s">
        <v>106</v>
      </c>
      <c r="I34" s="80">
        <v>0</v>
      </c>
      <c r="J34" s="15" t="s">
        <v>106</v>
      </c>
      <c r="K34" s="274"/>
      <c r="L34" s="3" t="s">
        <v>106</v>
      </c>
      <c r="M34" s="3"/>
      <c r="N34" s="3"/>
      <c r="O34" s="3"/>
      <c r="P34" s="3"/>
    </row>
    <row r="35" spans="2:16" ht="14.25" x14ac:dyDescent="0.2">
      <c r="B35" s="3"/>
      <c r="C35" s="3"/>
      <c r="D35" s="79" t="s">
        <v>281</v>
      </c>
      <c r="E35" s="80">
        <v>0</v>
      </c>
      <c r="F35" s="15" t="s">
        <v>105</v>
      </c>
      <c r="G35" s="274"/>
      <c r="H35" s="15" t="s">
        <v>105</v>
      </c>
      <c r="I35" s="80">
        <v>0</v>
      </c>
      <c r="J35" s="15" t="s">
        <v>105</v>
      </c>
      <c r="K35" s="274"/>
      <c r="L35" s="3" t="s">
        <v>105</v>
      </c>
      <c r="M35" s="3"/>
      <c r="N35" s="3"/>
      <c r="O35" s="3"/>
      <c r="P35" s="3"/>
    </row>
    <row r="36" spans="2:16" x14ac:dyDescent="0.2">
      <c r="B36" s="3"/>
      <c r="C36" s="3"/>
      <c r="D36" s="79"/>
      <c r="E36" s="79"/>
      <c r="F36" s="79"/>
      <c r="G36" s="79"/>
      <c r="H36" s="79"/>
      <c r="I36" s="79"/>
      <c r="J36" s="79"/>
      <c r="K36" s="79"/>
      <c r="L36" s="79"/>
      <c r="M36" s="3"/>
      <c r="N36" s="3"/>
      <c r="O36" s="3"/>
      <c r="P36" s="3"/>
    </row>
    <row r="37" spans="2:16" x14ac:dyDescent="0.2">
      <c r="B37" s="3"/>
      <c r="C37" s="3"/>
      <c r="D37" s="79"/>
      <c r="E37" s="15"/>
      <c r="F37" s="15"/>
      <c r="G37" s="15"/>
      <c r="H37" s="15"/>
      <c r="I37" s="15"/>
      <c r="J37" s="15"/>
      <c r="K37" s="15"/>
      <c r="L37" s="15"/>
      <c r="M37" s="3"/>
      <c r="N37" s="3"/>
      <c r="O37" s="3"/>
      <c r="P37" s="3"/>
    </row>
    <row r="38" spans="2:16" x14ac:dyDescent="0.2">
      <c r="B38" s="3"/>
      <c r="C38" s="3"/>
      <c r="D38" s="79" t="s">
        <v>25</v>
      </c>
      <c r="E38" s="80">
        <v>10</v>
      </c>
      <c r="F38" s="15" t="s">
        <v>98</v>
      </c>
      <c r="G38" s="115"/>
      <c r="H38" s="15" t="s">
        <v>98</v>
      </c>
      <c r="I38" s="80">
        <v>10</v>
      </c>
      <c r="J38" s="15" t="s">
        <v>98</v>
      </c>
      <c r="K38" s="115"/>
      <c r="L38" s="15" t="s">
        <v>98</v>
      </c>
      <c r="M38" s="3"/>
      <c r="N38" s="3"/>
      <c r="O38" s="3"/>
      <c r="P38" s="3"/>
    </row>
    <row r="39" spans="2:16" x14ac:dyDescent="0.2">
      <c r="B39" s="3"/>
      <c r="C39" s="3"/>
      <c r="D39" s="79" t="s">
        <v>26</v>
      </c>
      <c r="E39" s="82">
        <v>8</v>
      </c>
      <c r="F39" s="15" t="s">
        <v>99</v>
      </c>
      <c r="G39" s="275"/>
      <c r="H39" s="15" t="s">
        <v>99</v>
      </c>
      <c r="I39" s="82">
        <v>8</v>
      </c>
      <c r="J39" s="15" t="s">
        <v>99</v>
      </c>
      <c r="K39" s="275"/>
      <c r="L39" s="15" t="s">
        <v>99</v>
      </c>
      <c r="M39" s="3"/>
      <c r="N39" s="3"/>
      <c r="O39" s="3"/>
      <c r="P39" s="3"/>
    </row>
    <row r="40" spans="2:16" x14ac:dyDescent="0.2">
      <c r="B40" s="3"/>
      <c r="C40" s="3"/>
      <c r="D40" s="15"/>
      <c r="E40" s="82"/>
      <c r="F40" s="15"/>
      <c r="G40" s="15"/>
      <c r="H40" s="15"/>
      <c r="I40" s="81"/>
      <c r="J40" s="15"/>
      <c r="K40" s="15"/>
      <c r="L40" s="3"/>
      <c r="M40" s="3"/>
      <c r="N40" s="3"/>
      <c r="O40" s="3"/>
      <c r="P40" s="3"/>
    </row>
    <row r="41" spans="2:16" x14ac:dyDescent="0.2">
      <c r="B41" s="3"/>
      <c r="C41" s="3"/>
      <c r="D41" s="15"/>
      <c r="E41" s="82"/>
      <c r="F41" s="15"/>
      <c r="G41" s="15"/>
      <c r="H41" s="15"/>
      <c r="I41" s="81"/>
      <c r="J41" s="15"/>
      <c r="K41" s="15"/>
      <c r="L41" s="3"/>
      <c r="M41" s="3"/>
      <c r="N41" s="3"/>
      <c r="O41" s="3"/>
      <c r="P41" s="3"/>
    </row>
    <row r="42" spans="2:16" ht="13.5" customHeight="1" x14ac:dyDescent="0.2">
      <c r="B42" s="3"/>
      <c r="C42" s="292" t="s">
        <v>311</v>
      </c>
      <c r="D42" s="400" t="s">
        <v>310</v>
      </c>
      <c r="E42" s="400"/>
      <c r="F42" s="400"/>
      <c r="G42" s="400"/>
      <c r="H42" s="400"/>
      <c r="I42" s="400"/>
      <c r="J42" s="400"/>
      <c r="K42" s="400"/>
      <c r="L42" s="400"/>
      <c r="M42" s="3"/>
      <c r="N42" s="3"/>
      <c r="O42" s="3"/>
      <c r="P42" s="3"/>
    </row>
    <row r="43" spans="2:16" ht="25.5" customHeight="1" x14ac:dyDescent="0.2">
      <c r="B43" s="3"/>
      <c r="C43" s="292" t="s">
        <v>312</v>
      </c>
      <c r="D43" s="401" t="s">
        <v>316</v>
      </c>
      <c r="E43" s="401"/>
      <c r="F43" s="401"/>
      <c r="G43" s="401"/>
      <c r="H43" s="401"/>
      <c r="I43" s="401"/>
      <c r="J43" s="401"/>
      <c r="K43" s="401"/>
      <c r="L43" s="401"/>
      <c r="M43" s="3"/>
      <c r="N43" s="3"/>
      <c r="O43" s="3"/>
      <c r="P43" s="3"/>
    </row>
    <row r="44" spans="2:16" x14ac:dyDescent="0.2">
      <c r="B44" s="3"/>
      <c r="C44" s="292" t="s">
        <v>313</v>
      </c>
      <c r="D44" s="402" t="s">
        <v>319</v>
      </c>
      <c r="E44" s="402"/>
      <c r="F44" s="402"/>
      <c r="G44" s="402"/>
      <c r="H44" s="402"/>
      <c r="I44" s="402"/>
      <c r="J44" s="402"/>
      <c r="K44" s="402"/>
      <c r="L44" s="402"/>
      <c r="M44" s="3"/>
      <c r="N44" s="3"/>
      <c r="O44" s="3"/>
      <c r="P44" s="3"/>
    </row>
    <row r="45" spans="2:16" x14ac:dyDescent="0.2">
      <c r="B45" s="3"/>
      <c r="C45" s="292" t="s">
        <v>314</v>
      </c>
      <c r="D45" s="402" t="s">
        <v>317</v>
      </c>
      <c r="E45" s="402"/>
      <c r="F45" s="402"/>
      <c r="G45" s="402"/>
      <c r="H45" s="402"/>
      <c r="I45" s="402"/>
      <c r="J45" s="402"/>
      <c r="K45" s="402"/>
      <c r="L45" s="402"/>
      <c r="M45" s="3"/>
      <c r="N45" s="3"/>
      <c r="O45" s="3"/>
      <c r="P45" s="3"/>
    </row>
    <row r="46" spans="2:16" x14ac:dyDescent="0.2">
      <c r="B46" s="3"/>
      <c r="C46" s="292" t="s">
        <v>315</v>
      </c>
      <c r="D46" s="402" t="s">
        <v>318</v>
      </c>
      <c r="E46" s="402"/>
      <c r="F46" s="402"/>
      <c r="G46" s="402"/>
      <c r="H46" s="402"/>
      <c r="I46" s="402"/>
      <c r="J46" s="402"/>
      <c r="K46" s="402"/>
      <c r="L46" s="402"/>
      <c r="M46" s="3"/>
      <c r="N46" s="3"/>
      <c r="O46" s="3"/>
      <c r="P46" s="3"/>
    </row>
    <row r="47" spans="2:16" x14ac:dyDescent="0.2">
      <c r="B47" s="3"/>
      <c r="C47" s="3"/>
      <c r="D47" s="15"/>
      <c r="E47" s="10"/>
      <c r="F47" s="3"/>
      <c r="G47" s="3"/>
      <c r="H47" s="3"/>
      <c r="I47" s="16"/>
      <c r="J47" s="3"/>
      <c r="K47" s="3"/>
      <c r="L47" s="3"/>
      <c r="M47" s="3"/>
      <c r="N47" s="3"/>
      <c r="O47" s="3"/>
      <c r="P47" s="3"/>
    </row>
    <row r="49" spans="2:27" x14ac:dyDescent="0.2">
      <c r="B49" s="3"/>
      <c r="C49" s="3"/>
      <c r="D49" s="14"/>
      <c r="E49" s="3"/>
      <c r="F49" s="3"/>
      <c r="G49" s="3"/>
      <c r="H49" s="3"/>
      <c r="I49" s="3"/>
      <c r="J49" s="3"/>
      <c r="K49" s="3"/>
      <c r="L49" s="3"/>
      <c r="M49" s="3"/>
      <c r="N49" s="3"/>
      <c r="O49" s="3"/>
      <c r="P49" s="3"/>
      <c r="Q49" s="3"/>
      <c r="R49" s="3"/>
      <c r="S49" s="3"/>
      <c r="T49" s="3"/>
      <c r="U49" s="3"/>
      <c r="V49" s="3"/>
      <c r="W49" s="3"/>
      <c r="X49" s="3"/>
      <c r="Y49" s="3"/>
      <c r="Z49" s="3"/>
      <c r="AA49" s="3"/>
    </row>
    <row r="50" spans="2:27" ht="18" x14ac:dyDescent="0.25">
      <c r="B50" s="3"/>
      <c r="C50" s="97" t="s">
        <v>259</v>
      </c>
      <c r="D50" s="14"/>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14"/>
      <c r="E51" s="3"/>
      <c r="F51" s="3"/>
      <c r="G51" s="113"/>
      <c r="H51" s="3"/>
      <c r="I51" s="3"/>
      <c r="J51" s="3"/>
      <c r="K51" s="3"/>
      <c r="L51" s="3"/>
      <c r="M51" s="3"/>
      <c r="N51" s="3"/>
      <c r="O51" s="3"/>
      <c r="P51" s="3"/>
      <c r="Q51" s="3"/>
      <c r="R51" s="3"/>
      <c r="S51" s="3"/>
      <c r="T51" s="3"/>
      <c r="U51" s="3"/>
      <c r="V51" s="3"/>
      <c r="W51" s="3"/>
      <c r="X51" s="3"/>
      <c r="Y51" s="3"/>
      <c r="Z51" s="3"/>
      <c r="AA51" s="3"/>
    </row>
    <row r="52" spans="2:27" ht="15" x14ac:dyDescent="0.25">
      <c r="B52" s="3"/>
      <c r="C52" s="92" t="s">
        <v>262</v>
      </c>
      <c r="D52" s="3"/>
      <c r="E52" s="3"/>
      <c r="F52" s="3"/>
      <c r="G52" s="3"/>
      <c r="H52" s="3"/>
      <c r="I52" s="3"/>
      <c r="J52" s="3"/>
      <c r="K52" s="92" t="s">
        <v>116</v>
      </c>
      <c r="L52" s="3"/>
      <c r="M52" s="3"/>
      <c r="N52" s="3"/>
      <c r="O52" s="3"/>
      <c r="P52" s="3"/>
      <c r="Q52" s="3"/>
      <c r="R52" s="3"/>
      <c r="S52" s="93" t="s">
        <v>84</v>
      </c>
      <c r="T52" s="3"/>
      <c r="U52" s="3"/>
      <c r="V52" s="3"/>
      <c r="W52" s="3"/>
      <c r="X52" s="3"/>
      <c r="Y52" s="3"/>
      <c r="Z52" s="3"/>
      <c r="AA52" s="3"/>
    </row>
    <row r="53" spans="2:27" x14ac:dyDescent="0.2">
      <c r="B53" s="3"/>
      <c r="C53" s="3"/>
      <c r="D53" s="14"/>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x14ac:dyDescent="0.2">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x14ac:dyDescent="0.2">
      <c r="B83" s="3"/>
      <c r="C83" s="3"/>
      <c r="D83" s="3"/>
      <c r="E83" s="3"/>
      <c r="F83" s="3"/>
      <c r="G83" s="3"/>
      <c r="H83" s="3"/>
      <c r="I83" s="3"/>
      <c r="J83" s="3"/>
      <c r="K83" s="3"/>
      <c r="L83" s="3"/>
      <c r="M83" s="3"/>
      <c r="N83" s="3"/>
      <c r="O83" s="3"/>
      <c r="P83" s="3"/>
      <c r="Q83" s="3"/>
      <c r="R83" s="3"/>
      <c r="S83" s="3"/>
      <c r="T83" s="3"/>
      <c r="U83" s="3"/>
      <c r="V83" s="3"/>
      <c r="W83" s="3"/>
      <c r="X83" s="3"/>
      <c r="Y83" s="3"/>
      <c r="Z83" s="3"/>
      <c r="AA83" s="3"/>
    </row>
    <row r="84" spans="2:27" ht="15" customHeight="1" x14ac:dyDescent="0.25">
      <c r="B84" s="3"/>
      <c r="C84" s="97"/>
      <c r="D84" s="62"/>
      <c r="E84" s="3"/>
      <c r="F84" s="3"/>
      <c r="G84" s="3"/>
      <c r="H84" s="3"/>
      <c r="I84" s="3"/>
      <c r="J84" s="3"/>
      <c r="K84" s="3"/>
      <c r="L84" s="3"/>
      <c r="M84" s="3"/>
      <c r="N84" s="3"/>
      <c r="O84" s="3"/>
      <c r="P84" s="3"/>
      <c r="Q84" s="3"/>
      <c r="R84" s="3"/>
      <c r="S84" s="3"/>
      <c r="T84" s="3"/>
      <c r="U84" s="3"/>
      <c r="V84" s="3"/>
      <c r="W84" s="3"/>
      <c r="X84" s="3"/>
      <c r="Y84" s="85"/>
      <c r="Z84" s="85"/>
      <c r="AA84" s="3"/>
    </row>
    <row r="85" spans="2:27" x14ac:dyDescent="0.2">
      <c r="B85" s="3"/>
      <c r="C85" s="3"/>
      <c r="D85" s="3"/>
      <c r="E85" s="3"/>
      <c r="F85" s="3"/>
      <c r="G85" s="3"/>
      <c r="H85" s="3"/>
      <c r="I85" s="3"/>
      <c r="J85" s="3"/>
      <c r="K85" s="3"/>
      <c r="L85" s="3"/>
      <c r="M85" s="3"/>
      <c r="N85" s="3"/>
      <c r="O85" s="3"/>
      <c r="P85" s="3"/>
      <c r="Q85" s="3"/>
      <c r="R85" s="3"/>
      <c r="S85" s="3"/>
      <c r="T85" s="3"/>
      <c r="U85" s="3"/>
      <c r="V85" s="3"/>
      <c r="W85" s="3"/>
      <c r="X85" s="3"/>
      <c r="Y85" s="84"/>
      <c r="Z85" s="84"/>
      <c r="AA85" s="3"/>
    </row>
    <row r="86" spans="2:27" x14ac:dyDescent="0.2">
      <c r="B86" s="3"/>
      <c r="C86" s="3"/>
      <c r="D86" s="3"/>
      <c r="E86" s="3"/>
      <c r="F86" s="3"/>
      <c r="G86" s="3"/>
      <c r="H86" s="3"/>
      <c r="I86" s="3"/>
      <c r="J86" s="3"/>
      <c r="K86" s="3"/>
      <c r="L86" s="3"/>
      <c r="M86" s="3"/>
      <c r="N86" s="3"/>
      <c r="O86" s="3"/>
      <c r="P86" s="3"/>
      <c r="Q86" s="3"/>
      <c r="R86" s="3"/>
      <c r="S86" s="3"/>
      <c r="T86" s="3"/>
      <c r="U86" s="3"/>
      <c r="V86" s="3"/>
      <c r="W86" s="3"/>
      <c r="X86" s="3"/>
      <c r="Y86" s="84"/>
      <c r="Z86" s="84"/>
      <c r="AA86" s="3"/>
    </row>
    <row r="87" spans="2:27" ht="15" customHeight="1" x14ac:dyDescent="0.25">
      <c r="B87" s="3"/>
      <c r="C87" s="3"/>
      <c r="D87" s="23" t="s">
        <v>192</v>
      </c>
      <c r="E87" s="24"/>
      <c r="F87" s="24"/>
      <c r="G87" s="24"/>
      <c r="H87" s="24"/>
      <c r="I87" s="3"/>
      <c r="J87" s="3"/>
      <c r="K87" s="3"/>
      <c r="L87" s="23" t="s">
        <v>194</v>
      </c>
      <c r="M87" s="24"/>
      <c r="N87" s="24"/>
      <c r="O87" s="24"/>
      <c r="P87" s="24"/>
      <c r="Q87" s="3"/>
      <c r="R87" s="3"/>
      <c r="S87" s="3"/>
      <c r="T87" s="23" t="s">
        <v>199</v>
      </c>
      <c r="U87" s="24"/>
      <c r="V87" s="24"/>
      <c r="W87" s="24"/>
      <c r="X87" s="3"/>
      <c r="Y87" s="84"/>
      <c r="Z87" s="84"/>
      <c r="AA87" s="3"/>
    </row>
    <row r="88" spans="2:27" ht="15" customHeight="1" x14ac:dyDescent="0.25">
      <c r="B88" s="3"/>
      <c r="C88" s="397" t="s">
        <v>145</v>
      </c>
      <c r="D88" s="34"/>
      <c r="E88" s="46">
        <v>2020</v>
      </c>
      <c r="F88" s="47">
        <v>2025</v>
      </c>
      <c r="G88" s="47">
        <v>2030</v>
      </c>
      <c r="H88" s="34"/>
      <c r="I88" s="3"/>
      <c r="J88" s="3"/>
      <c r="K88" s="3"/>
      <c r="L88" s="34"/>
      <c r="M88" s="46">
        <v>2020</v>
      </c>
      <c r="N88" s="47">
        <v>2025</v>
      </c>
      <c r="O88" s="47">
        <v>2030</v>
      </c>
      <c r="P88" s="34"/>
      <c r="Q88" s="3"/>
      <c r="R88" s="3"/>
      <c r="S88" s="397" t="s">
        <v>145</v>
      </c>
      <c r="T88" s="34"/>
      <c r="U88" s="47">
        <v>2020</v>
      </c>
      <c r="V88" s="47">
        <v>2025</v>
      </c>
      <c r="W88" s="47">
        <v>2030</v>
      </c>
      <c r="X88" s="3"/>
      <c r="Y88" s="84"/>
      <c r="Z88" s="84"/>
      <c r="AA88" s="63"/>
    </row>
    <row r="89" spans="2:27" x14ac:dyDescent="0.2">
      <c r="B89" s="3"/>
      <c r="C89" s="397"/>
      <c r="D89" s="24"/>
      <c r="E89" s="48" t="s">
        <v>89</v>
      </c>
      <c r="F89" s="49"/>
      <c r="G89" s="49"/>
      <c r="H89" s="24"/>
      <c r="I89" s="3"/>
      <c r="J89" s="3"/>
      <c r="K89" s="3"/>
      <c r="L89" s="24"/>
      <c r="M89" s="48" t="s">
        <v>89</v>
      </c>
      <c r="N89" s="49"/>
      <c r="O89" s="49"/>
      <c r="P89" s="24"/>
      <c r="Q89" s="3"/>
      <c r="R89" s="3"/>
      <c r="S89" s="397"/>
      <c r="T89" s="24"/>
      <c r="U89" s="50" t="s">
        <v>89</v>
      </c>
      <c r="V89" s="50"/>
      <c r="W89" s="59"/>
      <c r="X89" s="3"/>
      <c r="Y89" s="84"/>
      <c r="Z89" s="84"/>
      <c r="AA89" s="63"/>
    </row>
    <row r="90" spans="2:27" ht="15.75" x14ac:dyDescent="0.3">
      <c r="B90" s="3"/>
      <c r="C90" s="3"/>
      <c r="D90" s="29" t="str">
        <f>C168</f>
        <v>Energieträger gesamt</v>
      </c>
      <c r="E90" s="26">
        <f>SUM('Referenz Plattenwerk'!S16:S29)</f>
        <v>41.281733459999998</v>
      </c>
      <c r="F90" s="26">
        <f>H168</f>
        <v>34.39057387091087</v>
      </c>
      <c r="G90" s="26">
        <f>H247</f>
        <v>25.105144641628776</v>
      </c>
      <c r="H90" s="25" t="s">
        <v>162</v>
      </c>
      <c r="I90" s="3"/>
      <c r="J90" s="3"/>
      <c r="K90" s="3"/>
      <c r="L90" s="29" t="s">
        <v>115</v>
      </c>
      <c r="M90" s="26">
        <f>'Referenz Plattenwerk'!Q74</f>
        <v>94.932355060000006</v>
      </c>
      <c r="N90" s="26">
        <f>F231</f>
        <v>94.932355060000006</v>
      </c>
      <c r="O90" s="26">
        <f>F310</f>
        <v>94.932355060000006</v>
      </c>
      <c r="P90" s="25" t="s">
        <v>162</v>
      </c>
      <c r="Q90" s="3"/>
      <c r="R90" s="3"/>
      <c r="S90" s="3"/>
      <c r="T90" s="57" t="s">
        <v>158</v>
      </c>
      <c r="U90" s="58">
        <f>SUM(U91:U97)</f>
        <v>109669</v>
      </c>
      <c r="V90" s="58">
        <f t="shared" ref="V90:W90" si="0">SUM(V91:V97)</f>
        <v>109669</v>
      </c>
      <c r="W90" s="58">
        <f t="shared" si="0"/>
        <v>109669</v>
      </c>
      <c r="X90" s="3"/>
      <c r="Y90" s="114"/>
      <c r="Z90" s="114"/>
      <c r="AA90" s="63"/>
    </row>
    <row r="91" spans="2:27" ht="15.75" x14ac:dyDescent="0.3">
      <c r="B91" s="3"/>
      <c r="C91" s="3"/>
      <c r="D91" s="8" t="str">
        <f>C184</f>
        <v>Transport gesamt</v>
      </c>
      <c r="E91" s="9">
        <f>'Referenz Plattenwerk'!S32+'Referenz Plattenwerk'!S33</f>
        <v>469.15642799999995</v>
      </c>
      <c r="F91" s="9">
        <f>H184</f>
        <v>469.15642799999995</v>
      </c>
      <c r="G91" s="9">
        <f>H263</f>
        <v>469.15642799999995</v>
      </c>
      <c r="H91" s="3" t="s">
        <v>162</v>
      </c>
      <c r="I91" s="3"/>
      <c r="J91" s="3"/>
      <c r="K91" s="3"/>
      <c r="L91" s="8" t="s">
        <v>28</v>
      </c>
      <c r="M91" s="9">
        <f>'Referenz Plattenwerk'!R74</f>
        <v>171.9</v>
      </c>
      <c r="N91" s="9">
        <f>G231</f>
        <v>124.8924470887134</v>
      </c>
      <c r="O91" s="9">
        <f>G310</f>
        <v>61.552554846110553</v>
      </c>
      <c r="P91" s="3" t="s">
        <v>162</v>
      </c>
      <c r="Q91" s="3"/>
      <c r="R91" s="3"/>
      <c r="S91" s="3"/>
      <c r="T91" s="31" t="s">
        <v>31</v>
      </c>
      <c r="U91" s="52">
        <f>'Referenz Plattenwerk'!AB16</f>
        <v>14335</v>
      </c>
      <c r="V91" s="52">
        <f>S169+S174</f>
        <v>14335</v>
      </c>
      <c r="W91" s="52">
        <f>S247+S252</f>
        <v>14335</v>
      </c>
      <c r="X91" s="3"/>
      <c r="Y91" s="114"/>
      <c r="Z91" s="114"/>
      <c r="AA91" s="63"/>
    </row>
    <row r="92" spans="2:27" ht="15.75" x14ac:dyDescent="0.3">
      <c r="B92" s="3"/>
      <c r="C92" s="3"/>
      <c r="D92" s="29" t="str">
        <f>C188</f>
        <v>Zement</v>
      </c>
      <c r="E92" s="26">
        <f>'Referenz Plattenwerk'!S35</f>
        <v>4548.5439999999999</v>
      </c>
      <c r="F92" s="26">
        <f>H188</f>
        <v>4457.57312</v>
      </c>
      <c r="G92" s="26">
        <f>H267</f>
        <v>4321.1167999999998</v>
      </c>
      <c r="H92" s="25" t="s">
        <v>162</v>
      </c>
      <c r="I92" s="3"/>
      <c r="J92" s="3"/>
      <c r="K92" s="3"/>
      <c r="L92" s="29" t="s">
        <v>29</v>
      </c>
      <c r="M92" s="26">
        <f>'Referenz Plattenwerk'!S74</f>
        <v>5831.5296228095176</v>
      </c>
      <c r="N92" s="26">
        <f>H231</f>
        <v>5735.2876632204307</v>
      </c>
      <c r="O92" s="26">
        <f>H310</f>
        <v>5591.9760339911491</v>
      </c>
      <c r="P92" s="25" t="s">
        <v>162</v>
      </c>
      <c r="Q92" s="3"/>
      <c r="R92" s="3"/>
      <c r="S92" s="3"/>
      <c r="T92" s="31" t="s">
        <v>32</v>
      </c>
      <c r="U92" s="52">
        <f>'Referenz Plattenwerk'!AB17</f>
        <v>2760</v>
      </c>
      <c r="V92" s="52">
        <f>S170+S175</f>
        <v>2760</v>
      </c>
      <c r="W92" s="52">
        <f>S248+S253</f>
        <v>2760</v>
      </c>
      <c r="X92" s="3"/>
      <c r="Y92" s="114"/>
      <c r="Z92" s="114"/>
      <c r="AA92" s="63"/>
    </row>
    <row r="93" spans="2:27" ht="16.5" thickBot="1" x14ac:dyDescent="0.35">
      <c r="B93" s="3"/>
      <c r="C93" s="3"/>
      <c r="D93" s="8" t="str">
        <f>C194</f>
        <v>Gesteinskörnungen (Zuschlagsstoffe)</v>
      </c>
      <c r="E93" s="9">
        <f>'Referenz Plattenwerk'!S41</f>
        <v>129.59200000000001</v>
      </c>
      <c r="F93" s="9">
        <f>H194</f>
        <v>129.59200000000001</v>
      </c>
      <c r="G93" s="9">
        <f>H273</f>
        <v>129.59200000000001</v>
      </c>
      <c r="H93" s="3" t="s">
        <v>162</v>
      </c>
      <c r="I93" s="3"/>
      <c r="J93" s="3"/>
      <c r="K93" s="3"/>
      <c r="L93" s="27" t="s">
        <v>69</v>
      </c>
      <c r="M93" s="28">
        <f>SUM(M90:M92)</f>
        <v>6098.3619778695174</v>
      </c>
      <c r="N93" s="28">
        <f t="shared" ref="N93:O93" si="1">SUM(N90:N92)</f>
        <v>5955.112465369144</v>
      </c>
      <c r="O93" s="28">
        <f t="shared" si="1"/>
        <v>5748.4609438972593</v>
      </c>
      <c r="P93" s="27" t="s">
        <v>163</v>
      </c>
      <c r="Q93" s="3"/>
      <c r="R93" s="3"/>
      <c r="S93" s="3"/>
      <c r="T93" s="31" t="s">
        <v>33</v>
      </c>
      <c r="U93" s="52">
        <f>'Referenz Plattenwerk'!AB18</f>
        <v>77400</v>
      </c>
      <c r="V93" s="52">
        <f>S171+S177</f>
        <v>77400</v>
      </c>
      <c r="W93" s="52">
        <f>S249+S255</f>
        <v>77400</v>
      </c>
      <c r="X93" s="3"/>
      <c r="Y93" s="114"/>
      <c r="Z93" s="114"/>
      <c r="AA93" s="63"/>
    </row>
    <row r="94" spans="2:27" ht="16.5" thickTop="1" x14ac:dyDescent="0.3">
      <c r="B94" s="3"/>
      <c r="C94" s="3"/>
      <c r="D94" s="29" t="str">
        <f>D199</f>
        <v>Farben</v>
      </c>
      <c r="E94" s="26">
        <f>'Referenz Plattenwerk'!S46</f>
        <v>208</v>
      </c>
      <c r="F94" s="26">
        <f>H199</f>
        <v>208</v>
      </c>
      <c r="G94" s="26">
        <f>H278</f>
        <v>208</v>
      </c>
      <c r="H94" s="25" t="s">
        <v>162</v>
      </c>
      <c r="I94" s="3"/>
      <c r="J94" s="3"/>
      <c r="K94" s="3"/>
      <c r="L94" s="3"/>
      <c r="M94" s="3"/>
      <c r="N94" s="3"/>
      <c r="O94" s="3"/>
      <c r="P94" s="3"/>
      <c r="Q94" s="3"/>
      <c r="R94" s="3"/>
      <c r="S94" s="3"/>
      <c r="T94" s="31" t="s">
        <v>122</v>
      </c>
      <c r="U94" s="52">
        <f>'Referenz Plattenwerk'!AB19</f>
        <v>0</v>
      </c>
      <c r="V94" s="52">
        <f>S178</f>
        <v>0</v>
      </c>
      <c r="W94" s="52">
        <f>S256</f>
        <v>0</v>
      </c>
      <c r="X94" s="3"/>
      <c r="Y94" s="114"/>
      <c r="Z94" s="114"/>
      <c r="AA94" s="63"/>
    </row>
    <row r="95" spans="2:27" ht="15.75" x14ac:dyDescent="0.3">
      <c r="B95" s="3"/>
      <c r="C95" s="3"/>
      <c r="D95" s="8" t="str">
        <f>C201</f>
        <v>Zusatzstoffe (Füllstoffe)</v>
      </c>
      <c r="E95" s="9">
        <f>'Referenz Plattenwerk'!S48</f>
        <v>81.003999999999991</v>
      </c>
      <c r="F95" s="9">
        <f>H201</f>
        <v>82.624080000000006</v>
      </c>
      <c r="G95" s="9">
        <f>H280</f>
        <v>85.054199999999994</v>
      </c>
      <c r="H95" s="3" t="s">
        <v>162</v>
      </c>
      <c r="I95" s="3"/>
      <c r="J95" s="3"/>
      <c r="K95" s="3"/>
      <c r="L95" s="3"/>
      <c r="M95" s="3"/>
      <c r="N95" s="3"/>
      <c r="O95" s="3"/>
      <c r="P95" s="3"/>
      <c r="Q95" s="3"/>
      <c r="R95" s="3"/>
      <c r="S95" s="3"/>
      <c r="T95" s="31" t="s">
        <v>123</v>
      </c>
      <c r="U95" s="52">
        <f>'Referenz Plattenwerk'!AB20</f>
        <v>0</v>
      </c>
      <c r="V95" s="52">
        <f>S172</f>
        <v>0</v>
      </c>
      <c r="W95" s="52">
        <f>S250</f>
        <v>0</v>
      </c>
      <c r="X95" s="3"/>
      <c r="Y95" s="114"/>
      <c r="Z95" s="114"/>
      <c r="AA95" s="63"/>
    </row>
    <row r="96" spans="2:27" ht="15.75" x14ac:dyDescent="0.3">
      <c r="B96" s="3"/>
      <c r="C96" s="3"/>
      <c r="D96" s="29" t="str">
        <f>C206</f>
        <v>Zusatzmittel</v>
      </c>
      <c r="E96" s="26">
        <f>'Referenz Plattenwerk'!S53</f>
        <v>148.44746134951595</v>
      </c>
      <c r="F96" s="26">
        <f>H206</f>
        <v>148.44746134951595</v>
      </c>
      <c r="G96" s="26">
        <f>H285</f>
        <v>148.44746134951595</v>
      </c>
      <c r="H96" s="25" t="s">
        <v>162</v>
      </c>
      <c r="I96" s="3"/>
      <c r="J96" s="3"/>
      <c r="K96" s="3"/>
      <c r="L96" s="23" t="s">
        <v>263</v>
      </c>
      <c r="M96" s="24"/>
      <c r="N96" s="24"/>
      <c r="O96" s="24"/>
      <c r="P96" s="24"/>
      <c r="Q96" s="3"/>
      <c r="R96" s="3"/>
      <c r="S96" s="3"/>
      <c r="T96" s="31" t="s">
        <v>466</v>
      </c>
      <c r="U96" s="52">
        <f>'Referenz Plattenwerk'!AB21</f>
        <v>0</v>
      </c>
      <c r="V96" s="52">
        <f>S179</f>
        <v>0</v>
      </c>
      <c r="W96" s="52">
        <f>S257</f>
        <v>0</v>
      </c>
      <c r="X96" s="3"/>
      <c r="Y96" s="114"/>
      <c r="Z96" s="114"/>
      <c r="AA96" s="63"/>
    </row>
    <row r="97" spans="2:27" ht="15.75" x14ac:dyDescent="0.3">
      <c r="B97" s="3"/>
      <c r="C97" s="3"/>
      <c r="D97" s="8" t="str">
        <f>C212</f>
        <v>Zusätzliche Ersatzstoffe</v>
      </c>
      <c r="E97" s="9">
        <v>0</v>
      </c>
      <c r="F97" s="9">
        <f>H212</f>
        <v>0</v>
      </c>
      <c r="G97" s="9">
        <f>H291</f>
        <v>0</v>
      </c>
      <c r="H97" s="3" t="s">
        <v>162</v>
      </c>
      <c r="I97" s="3"/>
      <c r="J97" s="3"/>
      <c r="K97" s="397" t="s">
        <v>145</v>
      </c>
      <c r="L97" s="46"/>
      <c r="M97" s="46">
        <v>2020</v>
      </c>
      <c r="N97" s="47">
        <v>2025</v>
      </c>
      <c r="O97" s="47">
        <v>2030</v>
      </c>
      <c r="P97" s="34"/>
      <c r="Q97" s="3"/>
      <c r="R97" s="3"/>
      <c r="S97" s="3"/>
      <c r="T97" s="51" t="s">
        <v>34</v>
      </c>
      <c r="U97" s="53">
        <f>'Referenz Plattenwerk'!AB22</f>
        <v>15174.000000000002</v>
      </c>
      <c r="V97" s="54">
        <f>S181+S182</f>
        <v>15174.000000000002</v>
      </c>
      <c r="W97" s="54">
        <f>S259+S260</f>
        <v>15174.000000000002</v>
      </c>
      <c r="X97" s="3"/>
      <c r="Y97" s="114"/>
      <c r="Z97" s="114"/>
      <c r="AA97" s="63"/>
    </row>
    <row r="98" spans="2:27" ht="15.75" x14ac:dyDescent="0.3">
      <c r="B98" s="3"/>
      <c r="C98" s="3"/>
      <c r="D98" s="29" t="s">
        <v>193</v>
      </c>
      <c r="E98" s="26">
        <f>'Referenz Plattenwerk'!S59+'Referenz Plattenwerk'!S60</f>
        <v>0.54400000000000004</v>
      </c>
      <c r="F98" s="26">
        <f>H216+H217</f>
        <v>0.54400000000000004</v>
      </c>
      <c r="G98" s="26">
        <f>H295+H296</f>
        <v>0.54400000000000004</v>
      </c>
      <c r="H98" s="25" t="s">
        <v>162</v>
      </c>
      <c r="I98" s="3"/>
      <c r="J98" s="3"/>
      <c r="K98" s="397"/>
      <c r="L98" s="24"/>
      <c r="M98" s="48" t="s">
        <v>89</v>
      </c>
      <c r="N98" s="49"/>
      <c r="O98" s="49"/>
      <c r="P98" s="24"/>
      <c r="Q98" s="3"/>
      <c r="R98" s="3"/>
      <c r="S98" s="3"/>
      <c r="T98" s="8" t="s">
        <v>30</v>
      </c>
      <c r="U98" s="55">
        <v>0</v>
      </c>
      <c r="V98" s="55">
        <f>S185</f>
        <v>0</v>
      </c>
      <c r="W98" s="55">
        <f>S263</f>
        <v>0</v>
      </c>
      <c r="X98" s="3"/>
      <c r="Y98" s="114"/>
      <c r="Z98" s="114"/>
      <c r="AA98" s="63"/>
    </row>
    <row r="99" spans="2:27" ht="15.75" x14ac:dyDescent="0.3">
      <c r="B99" s="3"/>
      <c r="C99" s="3"/>
      <c r="D99" s="8" t="str">
        <f>C219</f>
        <v>Oberflächenschutzsysteme</v>
      </c>
      <c r="E99" s="9">
        <f>'Referenz Plattenwerk'!S62</f>
        <v>80.47999999999999</v>
      </c>
      <c r="F99" s="9">
        <f>H219</f>
        <v>80.47999999999999</v>
      </c>
      <c r="G99" s="9">
        <f>H298</f>
        <v>80.47999999999999</v>
      </c>
      <c r="H99" s="3" t="s">
        <v>162</v>
      </c>
      <c r="I99" s="3"/>
      <c r="J99" s="3"/>
      <c r="K99" s="3"/>
      <c r="L99" s="29" t="s">
        <v>31</v>
      </c>
      <c r="M99" s="32">
        <f>'Referenz Plattenwerk'!$U$16+'Referenz Plattenwerk'!U21</f>
        <v>43.0426</v>
      </c>
      <c r="N99" s="32">
        <f>J170+J175</f>
        <v>43.0426</v>
      </c>
      <c r="O99" s="32">
        <f>J249+J254</f>
        <v>43.0426</v>
      </c>
      <c r="P99" s="25" t="s">
        <v>162</v>
      </c>
      <c r="Q99" s="3"/>
      <c r="R99" s="3"/>
      <c r="S99" s="3"/>
      <c r="T99" s="8" t="s">
        <v>153</v>
      </c>
      <c r="U99" s="55">
        <v>0</v>
      </c>
      <c r="V99" s="55">
        <f>S186</f>
        <v>0</v>
      </c>
      <c r="W99" s="55">
        <f>S264</f>
        <v>0</v>
      </c>
      <c r="X99" s="3"/>
      <c r="Y99" s="114"/>
      <c r="Z99" s="114"/>
      <c r="AA99" s="63"/>
    </row>
    <row r="100" spans="2:27" ht="15.75" x14ac:dyDescent="0.3">
      <c r="B100" s="3"/>
      <c r="C100" s="3"/>
      <c r="D100" s="29" t="str">
        <f>C224</f>
        <v>Oberflächenbearbeitung (vor/nach Erhärtung)</v>
      </c>
      <c r="E100" s="26">
        <f>'Referenz Plattenwerk'!S67</f>
        <v>60</v>
      </c>
      <c r="F100" s="26">
        <f>H224</f>
        <v>60</v>
      </c>
      <c r="G100" s="26">
        <f>H303</f>
        <v>60</v>
      </c>
      <c r="H100" s="25" t="s">
        <v>162</v>
      </c>
      <c r="I100" s="3"/>
      <c r="J100" s="3"/>
      <c r="K100" s="3"/>
      <c r="L100" s="8" t="s">
        <v>32</v>
      </c>
      <c r="M100" s="10">
        <f>'Referenz Plattenwerk'!$U$17+'Referenz Plattenwerk'!U22</f>
        <v>16.005600000000001</v>
      </c>
      <c r="N100" s="10">
        <f>J171+J176</f>
        <v>16.005600000000001</v>
      </c>
      <c r="O100" s="10">
        <f>J250+J255</f>
        <v>16.005600000000001</v>
      </c>
      <c r="P100" s="3" t="s">
        <v>162</v>
      </c>
      <c r="Q100" s="3"/>
      <c r="R100" s="3"/>
      <c r="S100" s="3"/>
      <c r="T100" s="59" t="s">
        <v>160</v>
      </c>
      <c r="U100" s="61">
        <v>0</v>
      </c>
      <c r="V100" s="61">
        <f>S187</f>
        <v>0</v>
      </c>
      <c r="W100" s="61">
        <f>S265</f>
        <v>0</v>
      </c>
      <c r="X100" s="3"/>
      <c r="Y100" s="114"/>
      <c r="Z100" s="114"/>
      <c r="AA100" s="63"/>
    </row>
    <row r="101" spans="2:27" ht="15.75" x14ac:dyDescent="0.3">
      <c r="B101" s="3"/>
      <c r="C101" s="3"/>
      <c r="D101" s="8" t="str">
        <f>D229</f>
        <v>Verpackungsmaterial</v>
      </c>
      <c r="E101" s="9">
        <f>'Referenz Plattenwerk'!S72</f>
        <v>64.48</v>
      </c>
      <c r="F101" s="9">
        <f>H229</f>
        <v>64.48</v>
      </c>
      <c r="G101" s="9">
        <f>H308</f>
        <v>64.48</v>
      </c>
      <c r="H101" s="3" t="s">
        <v>162</v>
      </c>
      <c r="I101" s="3"/>
      <c r="J101" s="3"/>
      <c r="K101" s="3"/>
      <c r="L101" s="29" t="s">
        <v>33</v>
      </c>
      <c r="M101" s="32">
        <f>'Referenz Plattenwerk'!$U$18+'Referenz Plattenwerk'!R24</f>
        <v>171.9</v>
      </c>
      <c r="N101" s="32">
        <f>J172+J178</f>
        <v>124.8924470887134</v>
      </c>
      <c r="O101" s="32">
        <f>J251+J257</f>
        <v>61.552554846110553</v>
      </c>
      <c r="P101" s="25" t="s">
        <v>162</v>
      </c>
      <c r="Q101" s="3"/>
      <c r="R101" s="3"/>
      <c r="S101" s="3"/>
      <c r="T101" s="57" t="s">
        <v>154</v>
      </c>
      <c r="U101" s="58">
        <f>SUM(U102:U104)</f>
        <v>152459.04944673795</v>
      </c>
      <c r="V101" s="58">
        <f t="shared" ref="V101:W101" si="2">SUM(V102:V104)</f>
        <v>267980.06094161147</v>
      </c>
      <c r="W101" s="58">
        <f t="shared" si="2"/>
        <v>459876.87551178073</v>
      </c>
      <c r="X101" s="3"/>
      <c r="Y101" s="114"/>
      <c r="Z101" s="114"/>
      <c r="AA101" s="63"/>
    </row>
    <row r="102" spans="2:27" ht="16.5" thickBot="1" x14ac:dyDescent="0.35">
      <c r="B102" s="3"/>
      <c r="C102" s="3"/>
      <c r="D102" s="27" t="s">
        <v>69</v>
      </c>
      <c r="E102" s="28">
        <f>SUM(E90:E101)</f>
        <v>5831.529622809514</v>
      </c>
      <c r="F102" s="28">
        <f>SUM(F90:F101)</f>
        <v>5735.2876632204252</v>
      </c>
      <c r="G102" s="28">
        <f>SUM(G90:G101)</f>
        <v>5591.9760339911427</v>
      </c>
      <c r="H102" s="27" t="s">
        <v>163</v>
      </c>
      <c r="I102" s="3"/>
      <c r="J102" s="3"/>
      <c r="K102" s="3"/>
      <c r="L102" s="8" t="s">
        <v>126</v>
      </c>
      <c r="M102" s="10">
        <f>'Referenz Plattenwerk'!$U$19</f>
        <v>0</v>
      </c>
      <c r="N102" s="10">
        <f>J173</f>
        <v>0</v>
      </c>
      <c r="O102" s="10">
        <f>J252</f>
        <v>0</v>
      </c>
      <c r="P102" s="3" t="s">
        <v>162</v>
      </c>
      <c r="Q102" s="3"/>
      <c r="R102" s="3"/>
      <c r="S102" s="3"/>
      <c r="T102" s="31" t="s">
        <v>155</v>
      </c>
      <c r="U102" s="52">
        <f>'Referenz Plattenwerk'!AB26</f>
        <v>2373.3088765000002</v>
      </c>
      <c r="V102" s="52">
        <f>S190</f>
        <v>4271.9559777000004</v>
      </c>
      <c r="W102" s="52">
        <f>S268</f>
        <v>7594.5884048000007</v>
      </c>
      <c r="X102" s="3"/>
      <c r="Y102" s="114"/>
      <c r="Z102" s="114"/>
      <c r="AA102" s="63"/>
    </row>
    <row r="103" spans="2:27" ht="16.5" thickTop="1" x14ac:dyDescent="0.3">
      <c r="B103" s="3"/>
      <c r="C103" s="3"/>
      <c r="D103" s="3"/>
      <c r="E103" s="3"/>
      <c r="F103" s="3"/>
      <c r="G103" s="3"/>
      <c r="H103" s="3"/>
      <c r="I103" s="3"/>
      <c r="J103" s="3"/>
      <c r="K103" s="3"/>
      <c r="L103" s="29" t="s">
        <v>122</v>
      </c>
      <c r="M103" s="32">
        <f>'Referenz Plattenwerk'!$U$25</f>
        <v>0</v>
      </c>
      <c r="N103" s="32">
        <f>J179</f>
        <v>0</v>
      </c>
      <c r="O103" s="32">
        <f>J258</f>
        <v>0</v>
      </c>
      <c r="P103" s="25" t="s">
        <v>162</v>
      </c>
      <c r="Q103" s="3"/>
      <c r="R103" s="3"/>
      <c r="S103" s="3"/>
      <c r="T103" s="31" t="s">
        <v>156</v>
      </c>
      <c r="U103" s="52">
        <f>'Referenz Plattenwerk'!AB27</f>
        <v>4297.5</v>
      </c>
      <c r="V103" s="52">
        <f>S191</f>
        <v>5620.160118992103</v>
      </c>
      <c r="W103" s="52">
        <f>S269</f>
        <v>4924.2043876888438</v>
      </c>
      <c r="X103" s="3"/>
      <c r="Y103" s="114"/>
      <c r="Z103" s="114"/>
      <c r="AA103" s="63"/>
    </row>
    <row r="104" spans="2:27" ht="15.75" x14ac:dyDescent="0.3">
      <c r="B104" s="3"/>
      <c r="C104" s="3"/>
      <c r="D104" s="3"/>
      <c r="E104" s="3"/>
      <c r="F104" s="3"/>
      <c r="G104" s="3"/>
      <c r="H104" s="3"/>
      <c r="I104" s="3"/>
      <c r="J104" s="3"/>
      <c r="K104" s="3"/>
      <c r="L104" s="8" t="s">
        <v>149</v>
      </c>
      <c r="M104" s="10">
        <f>'Referenz Plattenwerk'!$U$26</f>
        <v>0</v>
      </c>
      <c r="N104" s="10">
        <f>J180</f>
        <v>0</v>
      </c>
      <c r="O104" s="10">
        <f>J259</f>
        <v>0</v>
      </c>
      <c r="P104" s="3" t="s">
        <v>162</v>
      </c>
      <c r="Q104" s="3"/>
      <c r="R104" s="3"/>
      <c r="S104" s="3"/>
      <c r="T104" s="31" t="s">
        <v>157</v>
      </c>
      <c r="U104" s="52">
        <f>'Referenz Plattenwerk'!AB28</f>
        <v>145788.24057023795</v>
      </c>
      <c r="V104" s="52">
        <f>S192</f>
        <v>258087.94484491937</v>
      </c>
      <c r="W104" s="52">
        <f>S270</f>
        <v>447358.08271929191</v>
      </c>
      <c r="X104" s="3"/>
      <c r="Y104" s="114"/>
      <c r="Z104" s="114"/>
      <c r="AA104" s="63"/>
    </row>
    <row r="105" spans="2:27" ht="16.5" thickBot="1" x14ac:dyDescent="0.35">
      <c r="B105" s="3"/>
      <c r="C105" s="3"/>
      <c r="D105" s="3"/>
      <c r="E105" s="3"/>
      <c r="F105" s="3"/>
      <c r="G105" s="3"/>
      <c r="H105" s="3"/>
      <c r="I105" s="3"/>
      <c r="J105" s="3"/>
      <c r="K105" s="3"/>
      <c r="L105" s="29" t="s">
        <v>34</v>
      </c>
      <c r="M105" s="32">
        <f>'Referenz Plattenwerk'!$U$28+'Referenz Plattenwerk'!$U$29</f>
        <v>35.884155059999998</v>
      </c>
      <c r="N105" s="32">
        <f>J182+J183</f>
        <v>35.884155059999998</v>
      </c>
      <c r="O105" s="32">
        <f>J261+J262</f>
        <v>35.884155059999998</v>
      </c>
      <c r="P105" s="25" t="s">
        <v>162</v>
      </c>
      <c r="Q105" s="3"/>
      <c r="R105" s="3"/>
      <c r="S105" s="3"/>
      <c r="T105" s="27" t="s">
        <v>69</v>
      </c>
      <c r="U105" s="56">
        <f>U101+U100+U99+U98+U90</f>
        <v>262128.04944673795</v>
      </c>
      <c r="V105" s="56">
        <f t="shared" ref="V105:W105" si="3">V101+V100+V99+V98+V90</f>
        <v>377649.06094161147</v>
      </c>
      <c r="W105" s="56">
        <f t="shared" si="3"/>
        <v>569545.87551178073</v>
      </c>
      <c r="X105" s="3"/>
      <c r="Y105" s="114"/>
      <c r="Z105" s="114"/>
      <c r="AA105" s="63"/>
    </row>
    <row r="106" spans="2:27" ht="15.75" thickTop="1" thickBot="1" x14ac:dyDescent="0.3">
      <c r="B106" s="3"/>
      <c r="C106" s="3"/>
      <c r="D106" s="3"/>
      <c r="E106" s="3"/>
      <c r="F106" s="3"/>
      <c r="G106" s="3"/>
      <c r="H106" s="3"/>
      <c r="I106" s="3"/>
      <c r="J106" s="3"/>
      <c r="K106" s="3"/>
      <c r="L106" s="27" t="s">
        <v>69</v>
      </c>
      <c r="M106" s="33">
        <f>SUM(M99:M105)</f>
        <v>266.83235506</v>
      </c>
      <c r="N106" s="33">
        <f>SUM(N99:N105)</f>
        <v>219.82480214871339</v>
      </c>
      <c r="O106" s="33">
        <f>SUM(O99:O105)</f>
        <v>156.48490990611054</v>
      </c>
      <c r="P106" s="27" t="s">
        <v>163</v>
      </c>
      <c r="Q106" s="3"/>
      <c r="R106" s="3"/>
      <c r="S106" s="3"/>
      <c r="T106" s="3"/>
      <c r="U106" s="3"/>
      <c r="V106" s="3"/>
      <c r="W106" s="3"/>
      <c r="X106" s="3"/>
      <c r="Y106" s="63"/>
      <c r="Z106" s="63"/>
      <c r="AA106" s="63"/>
    </row>
    <row r="107" spans="2:27" ht="17.25" thickTop="1" thickBot="1" x14ac:dyDescent="0.35">
      <c r="B107" s="3"/>
      <c r="C107" s="3"/>
      <c r="D107" s="3"/>
      <c r="E107" s="3"/>
      <c r="F107" s="3"/>
      <c r="G107" s="3"/>
      <c r="H107" s="3"/>
      <c r="I107" s="3"/>
      <c r="J107" s="3"/>
      <c r="K107" s="3"/>
      <c r="L107" s="3"/>
      <c r="M107" s="3"/>
      <c r="N107" s="3"/>
      <c r="O107" s="3"/>
      <c r="P107" s="3"/>
      <c r="Q107" s="3"/>
      <c r="R107" s="3"/>
      <c r="S107" s="3"/>
      <c r="T107" s="105" t="s">
        <v>210</v>
      </c>
      <c r="U107" s="106">
        <f>U105-U104</f>
        <v>116339.8088765</v>
      </c>
      <c r="V107" s="106">
        <f>V105-V104</f>
        <v>119561.1160966921</v>
      </c>
      <c r="W107" s="106">
        <f>W105-W104</f>
        <v>122187.79279248882</v>
      </c>
      <c r="X107" s="3"/>
      <c r="Y107" s="3"/>
      <c r="Z107" s="3"/>
      <c r="AA107" s="3"/>
    </row>
    <row r="108" spans="2:27" ht="16.5" thickBot="1" x14ac:dyDescent="0.35">
      <c r="B108" s="3"/>
      <c r="C108" s="3"/>
      <c r="D108" s="3"/>
      <c r="E108" s="3"/>
      <c r="F108" s="3"/>
      <c r="G108" s="3"/>
      <c r="H108" s="3"/>
      <c r="I108" s="3"/>
      <c r="J108" s="3"/>
      <c r="K108" s="3"/>
      <c r="L108" s="3"/>
      <c r="M108" s="3"/>
      <c r="N108" s="3"/>
      <c r="O108" s="3"/>
      <c r="P108" s="3"/>
      <c r="Q108" s="3"/>
      <c r="R108" s="3"/>
      <c r="S108" s="3"/>
      <c r="T108" s="107" t="s">
        <v>159</v>
      </c>
      <c r="U108" s="108">
        <f>U105-U101</f>
        <v>109669</v>
      </c>
      <c r="V108" s="108">
        <f>V105-V101</f>
        <v>109669</v>
      </c>
      <c r="W108" s="108">
        <f>W105-W101</f>
        <v>109669</v>
      </c>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x14ac:dyDescent="0.2">
      <c r="B111" s="3"/>
      <c r="C111" s="3"/>
      <c r="D111" s="3"/>
      <c r="E111" s="3"/>
      <c r="F111" s="3"/>
      <c r="G111" s="3"/>
      <c r="H111" s="3"/>
      <c r="I111" s="3"/>
      <c r="J111" s="3"/>
      <c r="K111" s="3"/>
      <c r="L111" s="8"/>
      <c r="M111" s="83"/>
      <c r="N111" s="83"/>
      <c r="O111" s="83"/>
      <c r="P111" s="8"/>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8"/>
      <c r="M112" s="83"/>
      <c r="N112" s="83"/>
      <c r="O112" s="83"/>
      <c r="P112" s="8"/>
      <c r="Q112" s="3"/>
      <c r="R112" s="3"/>
      <c r="S112" s="3"/>
      <c r="T112" s="3"/>
      <c r="U112" s="3"/>
      <c r="V112" s="3"/>
      <c r="W112" s="3"/>
      <c r="X112" s="3"/>
      <c r="Y112" s="3"/>
      <c r="Z112" s="3"/>
      <c r="AA112" s="3"/>
    </row>
    <row r="113" spans="2:27" ht="15" x14ac:dyDescent="0.25">
      <c r="B113" s="3"/>
      <c r="C113" s="3"/>
      <c r="D113" s="3"/>
      <c r="E113" s="3"/>
      <c r="F113" s="3"/>
      <c r="G113" s="3"/>
      <c r="H113" s="3"/>
      <c r="I113" s="3"/>
      <c r="J113" s="3"/>
      <c r="K113" s="3"/>
      <c r="L113" s="23" t="s">
        <v>208</v>
      </c>
      <c r="M113" s="3"/>
      <c r="N113" s="3"/>
      <c r="O113" s="3"/>
      <c r="P113" s="3"/>
      <c r="Q113" s="3"/>
      <c r="R113" s="3"/>
      <c r="S113" s="3"/>
      <c r="T113" s="3"/>
      <c r="U113" s="3"/>
      <c r="V113" s="3"/>
      <c r="W113" s="3"/>
      <c r="X113" s="3"/>
      <c r="Y113" s="3"/>
      <c r="Z113" s="3"/>
      <c r="AA113" s="3"/>
    </row>
    <row r="114" spans="2:27" ht="15" x14ac:dyDescent="0.25">
      <c r="B114" s="3"/>
      <c r="C114" s="3"/>
      <c r="D114" s="3"/>
      <c r="E114" s="3"/>
      <c r="F114" s="3"/>
      <c r="G114" s="3"/>
      <c r="H114" s="3"/>
      <c r="I114" s="3"/>
      <c r="J114" s="3"/>
      <c r="K114" s="3"/>
      <c r="L114" s="34"/>
      <c r="M114" s="46">
        <v>2020</v>
      </c>
      <c r="N114" s="47">
        <v>2025</v>
      </c>
      <c r="O114" s="47">
        <v>2030</v>
      </c>
      <c r="P114" s="34"/>
      <c r="Q114" s="3"/>
      <c r="R114" s="3"/>
      <c r="S114" s="3"/>
      <c r="T114" s="3"/>
      <c r="U114" s="3"/>
      <c r="V114" s="3"/>
      <c r="W114" s="3"/>
      <c r="X114" s="3"/>
      <c r="Y114" s="3"/>
      <c r="Z114" s="3"/>
      <c r="AA114" s="3"/>
    </row>
    <row r="115" spans="2:27" x14ac:dyDescent="0.2">
      <c r="B115" s="3"/>
      <c r="C115" s="3"/>
      <c r="D115" s="3"/>
      <c r="E115" s="3"/>
      <c r="F115" s="3"/>
      <c r="G115" s="3"/>
      <c r="H115" s="3"/>
      <c r="I115" s="3"/>
      <c r="J115" s="3"/>
      <c r="K115" s="3"/>
      <c r="L115" s="24"/>
      <c r="M115" s="48" t="s">
        <v>89</v>
      </c>
      <c r="N115" s="49"/>
      <c r="O115" s="49"/>
      <c r="P115" s="24"/>
      <c r="Q115" s="3"/>
      <c r="R115" s="3"/>
      <c r="S115" s="3"/>
      <c r="T115" s="3"/>
      <c r="U115" s="3"/>
      <c r="V115" s="3"/>
      <c r="W115" s="3"/>
      <c r="X115" s="3"/>
      <c r="Y115" s="3"/>
      <c r="Z115" s="3"/>
      <c r="AA115" s="3"/>
    </row>
    <row r="116" spans="2:27" ht="15.75" x14ac:dyDescent="0.3">
      <c r="B116" s="3"/>
      <c r="C116" s="3"/>
      <c r="D116" s="3"/>
      <c r="E116" s="3"/>
      <c r="F116" s="3"/>
      <c r="G116" s="3"/>
      <c r="H116" s="3"/>
      <c r="I116" s="3"/>
      <c r="J116" s="3"/>
      <c r="K116" s="3"/>
      <c r="L116" s="29" t="s">
        <v>115</v>
      </c>
      <c r="M116" s="98">
        <f>M90/IF(NOT(ISBLANK('Referenz Plattenwerk'!$I$12)),'Referenz Plattenwerk'!$I$12,'Referenz Plattenwerk'!$F$12)</f>
        <v>2.3733088764999999E-3</v>
      </c>
      <c r="N116" s="98">
        <f>N90/IF(NOT(ISBLANK('Referenz Plattenwerk'!$I$12)),'Referenz Plattenwerk'!$I$12,'Referenz Plattenwerk'!$F$12)</f>
        <v>2.3733088764999999E-3</v>
      </c>
      <c r="O116" s="98">
        <f>O90/IF(NOT(ISBLANK('Referenz Plattenwerk'!$I$12)),'Referenz Plattenwerk'!$I$12,'Referenz Plattenwerk'!$F$12)</f>
        <v>2.3733088764999999E-3</v>
      </c>
      <c r="P116" s="25" t="s">
        <v>207</v>
      </c>
      <c r="Q116" s="3"/>
      <c r="R116" s="3"/>
      <c r="S116" s="3"/>
      <c r="T116" s="3"/>
      <c r="U116" s="3"/>
      <c r="V116" s="3"/>
      <c r="W116" s="3"/>
      <c r="X116" s="3"/>
      <c r="Y116" s="3"/>
      <c r="Z116" s="3"/>
      <c r="AA116" s="3"/>
    </row>
    <row r="117" spans="2:27" ht="15.75" x14ac:dyDescent="0.3">
      <c r="B117" s="3"/>
      <c r="C117" s="3"/>
      <c r="D117" s="3"/>
      <c r="E117" s="3"/>
      <c r="F117" s="3"/>
      <c r="G117" s="3"/>
      <c r="H117" s="3"/>
      <c r="I117" s="3"/>
      <c r="J117" s="3"/>
      <c r="K117" s="3"/>
      <c r="L117" s="8" t="s">
        <v>28</v>
      </c>
      <c r="M117" s="99">
        <f>M91/IF(NOT(ISBLANK('Referenz Plattenwerk'!$I$12)),'Referenz Plattenwerk'!$I$12,'Referenz Plattenwerk'!$F$12)</f>
        <v>4.2975000000000001E-3</v>
      </c>
      <c r="N117" s="99">
        <f>N91/IF(NOT(ISBLANK('Referenz Plattenwerk'!$I$12)),'Referenz Plattenwerk'!$I$12,'Referenz Plattenwerk'!$F$12)</f>
        <v>3.122311177217835E-3</v>
      </c>
      <c r="O117" s="99">
        <f>O91/IF(NOT(ISBLANK('Referenz Plattenwerk'!$I$12)),'Referenz Plattenwerk'!$I$12,'Referenz Plattenwerk'!$F$12)</f>
        <v>1.5388138711527638E-3</v>
      </c>
      <c r="P117" s="3" t="s">
        <v>207</v>
      </c>
      <c r="Q117" s="3"/>
      <c r="R117" s="3"/>
      <c r="S117" s="3"/>
      <c r="T117" s="3"/>
      <c r="U117" s="3"/>
      <c r="V117" s="3"/>
      <c r="W117" s="3"/>
      <c r="X117" s="3"/>
      <c r="Y117" s="3"/>
      <c r="Z117" s="3"/>
      <c r="AA117" s="3"/>
    </row>
    <row r="118" spans="2:27" ht="15.75" x14ac:dyDescent="0.3">
      <c r="B118" s="3"/>
      <c r="C118" s="3"/>
      <c r="D118" s="3"/>
      <c r="E118" s="3"/>
      <c r="F118" s="3"/>
      <c r="G118" s="3"/>
      <c r="H118" s="3"/>
      <c r="I118" s="3"/>
      <c r="J118" s="3"/>
      <c r="K118" s="3"/>
      <c r="L118" s="29" t="s">
        <v>29</v>
      </c>
      <c r="M118" s="98">
        <f>M92/IF(NOT(ISBLANK('Referenz Plattenwerk'!$I$12)),'Referenz Plattenwerk'!$I$12,'Referenz Plattenwerk'!$F$12)</f>
        <v>0.14578824057023795</v>
      </c>
      <c r="N118" s="98">
        <f>N92/IF(NOT(ISBLANK('Referenz Plattenwerk'!$I$12)),'Referenz Plattenwerk'!$I$12,'Referenz Plattenwerk'!$F$12)</f>
        <v>0.14338219158051077</v>
      </c>
      <c r="O118" s="98">
        <f>O92/IF(NOT(ISBLANK('Referenz Plattenwerk'!$I$12)),'Referenz Plattenwerk'!$I$12,'Referenz Plattenwerk'!$F$12)</f>
        <v>0.13979940084977874</v>
      </c>
      <c r="P118" s="25" t="s">
        <v>207</v>
      </c>
      <c r="Q118" s="3"/>
      <c r="R118" s="3"/>
      <c r="S118" s="3"/>
      <c r="T118" s="3"/>
      <c r="U118" s="3"/>
      <c r="V118" s="3"/>
      <c r="W118" s="3"/>
      <c r="X118" s="3"/>
      <c r="Y118" s="3"/>
      <c r="Z118" s="3"/>
      <c r="AA118" s="3"/>
    </row>
    <row r="119" spans="2:27" ht="15" thickBot="1" x14ac:dyDescent="0.3">
      <c r="B119" s="3"/>
      <c r="C119" s="3"/>
      <c r="D119" s="3"/>
      <c r="E119" s="3"/>
      <c r="F119" s="3"/>
      <c r="G119" s="3"/>
      <c r="H119" s="3"/>
      <c r="I119" s="3"/>
      <c r="J119" s="3"/>
      <c r="K119" s="3"/>
      <c r="L119" s="27" t="s">
        <v>69</v>
      </c>
      <c r="M119" s="100">
        <f>M93/IF(NOT(ISBLANK('Referenz Plattenwerk'!$I$12)),'Referenz Plattenwerk'!$I$12,'Referenz Plattenwerk'!$F$12)</f>
        <v>0.15245904944673794</v>
      </c>
      <c r="N119" s="100">
        <f>N93/IF(NOT(ISBLANK('Referenz Plattenwerk'!$I$12)),'Referenz Plattenwerk'!$I$12,'Referenz Plattenwerk'!$F$12)</f>
        <v>0.14887781163422861</v>
      </c>
      <c r="O119" s="100">
        <f>O93/IF(NOT(ISBLANK('Referenz Plattenwerk'!$I$12)),'Referenz Plattenwerk'!$I$12,'Referenz Plattenwerk'!$F$12)</f>
        <v>0.14371152359743147</v>
      </c>
      <c r="P119" s="27" t="s">
        <v>209</v>
      </c>
      <c r="Q119" s="3"/>
      <c r="R119" s="3"/>
      <c r="S119" s="3"/>
      <c r="T119" s="3"/>
      <c r="U119" s="3"/>
      <c r="V119" s="3"/>
      <c r="W119" s="3"/>
      <c r="X119" s="3"/>
      <c r="Y119" s="3"/>
      <c r="Z119" s="3"/>
      <c r="AA119" s="3"/>
    </row>
    <row r="120" spans="2:27" ht="13.5" thickTop="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5" spans="2:27" hidden="1" outlineLevel="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2:27" ht="15.75" hidden="1" outlineLevel="1" x14ac:dyDescent="0.25">
      <c r="B126" s="3"/>
      <c r="C126" s="3"/>
      <c r="D126" s="62" t="s">
        <v>144</v>
      </c>
      <c r="E126" s="3"/>
      <c r="F126" s="3"/>
      <c r="G126" s="3"/>
      <c r="H126" s="3"/>
      <c r="I126" s="3"/>
      <c r="J126" s="3"/>
      <c r="K126" s="3"/>
      <c r="L126" s="62" t="s">
        <v>144</v>
      </c>
      <c r="M126" s="3"/>
      <c r="N126" s="3"/>
      <c r="O126" s="3"/>
      <c r="P126" s="3"/>
      <c r="Q126" s="3"/>
      <c r="R126" s="3"/>
      <c r="S126" s="62" t="s">
        <v>144</v>
      </c>
      <c r="T126" s="24"/>
      <c r="U126" s="24"/>
      <c r="V126" s="24"/>
      <c r="W126" s="24"/>
      <c r="X126" s="3"/>
      <c r="Y126" s="3"/>
    </row>
    <row r="127" spans="2:27" ht="15" hidden="1" outlineLevel="1" x14ac:dyDescent="0.25">
      <c r="B127" s="3"/>
      <c r="C127" s="3"/>
      <c r="D127" s="35" t="s">
        <v>113</v>
      </c>
      <c r="E127" s="35">
        <v>2020</v>
      </c>
      <c r="F127" s="35">
        <v>2025</v>
      </c>
      <c r="G127" s="35">
        <v>2030</v>
      </c>
      <c r="H127" s="34"/>
      <c r="I127" s="3"/>
      <c r="J127" s="3"/>
      <c r="K127" s="3"/>
      <c r="L127" s="35" t="s">
        <v>264</v>
      </c>
      <c r="M127" s="35">
        <v>2020</v>
      </c>
      <c r="N127" s="35">
        <v>2025</v>
      </c>
      <c r="O127" s="35">
        <v>2030</v>
      </c>
      <c r="P127" s="34"/>
      <c r="Q127" s="3"/>
      <c r="R127" s="3"/>
      <c r="S127" s="3"/>
      <c r="T127" s="46" t="s">
        <v>199</v>
      </c>
      <c r="U127" s="47">
        <v>2020</v>
      </c>
      <c r="V127" s="47">
        <v>2025</v>
      </c>
      <c r="W127" s="47">
        <v>2030</v>
      </c>
      <c r="X127" s="3"/>
      <c r="Y127" s="3"/>
    </row>
    <row r="128" spans="2:27" hidden="1" outlineLevel="1" x14ac:dyDescent="0.2">
      <c r="B128" s="3"/>
      <c r="C128" s="3"/>
      <c r="D128" s="24"/>
      <c r="E128" s="60" t="s">
        <v>89</v>
      </c>
      <c r="F128" s="59"/>
      <c r="G128" s="59"/>
      <c r="H128" s="24"/>
      <c r="I128" s="3"/>
      <c r="J128" s="3"/>
      <c r="K128" s="3"/>
      <c r="L128" s="24"/>
      <c r="M128" s="60" t="s">
        <v>89</v>
      </c>
      <c r="N128" s="59"/>
      <c r="O128" s="59"/>
      <c r="P128" s="24"/>
      <c r="Q128" s="3"/>
      <c r="R128" s="3"/>
      <c r="S128" s="3"/>
      <c r="T128" s="24"/>
      <c r="U128" s="50" t="s">
        <v>89</v>
      </c>
      <c r="V128" s="50"/>
      <c r="W128" s="59"/>
      <c r="X128" s="3"/>
      <c r="Y128" s="3"/>
    </row>
    <row r="129" spans="2:25" ht="15.75" hidden="1" outlineLevel="1" x14ac:dyDescent="0.3">
      <c r="B129" s="3"/>
      <c r="C129" s="3"/>
      <c r="D129" s="3" t="str">
        <f t="shared" ref="D129:D135" si="4">IF($I129,L99,"")</f>
        <v>Erdgas</v>
      </c>
      <c r="E129" s="10">
        <f t="shared" ref="E129:G135" si="5">IF($I129,M99,NA())</f>
        <v>43.0426</v>
      </c>
      <c r="F129" s="10">
        <f t="shared" si="5"/>
        <v>43.0426</v>
      </c>
      <c r="G129" s="10">
        <f t="shared" si="5"/>
        <v>43.0426</v>
      </c>
      <c r="H129" s="3" t="s">
        <v>162</v>
      </c>
      <c r="I129" s="3" t="b">
        <v>1</v>
      </c>
      <c r="J129" s="3"/>
      <c r="K129" s="3"/>
      <c r="L129" s="3" t="str">
        <f t="shared" ref="L129:L140" si="6">IF($Q129,D90,"")</f>
        <v>Energieträger gesamt</v>
      </c>
      <c r="M129" s="9">
        <f t="shared" ref="M129:M140" si="7">IF($Q129,E90,NA())</f>
        <v>41.281733459999998</v>
      </c>
      <c r="N129" s="9">
        <f t="shared" ref="N129:N140" si="8">IF($Q129,F90,NA())</f>
        <v>34.39057387091087</v>
      </c>
      <c r="O129" s="9">
        <f t="shared" ref="O129:O140" si="9">IF($Q129,G90,NA())</f>
        <v>25.105144641628776</v>
      </c>
      <c r="P129" s="3" t="s">
        <v>162</v>
      </c>
      <c r="Q129" s="381" t="b">
        <v>1</v>
      </c>
      <c r="R129" s="3"/>
      <c r="S129" s="3"/>
      <c r="T129" s="57" t="s">
        <v>158</v>
      </c>
      <c r="U129" s="58">
        <f>SUM(U130:U136)</f>
        <v>109669</v>
      </c>
      <c r="V129" s="58">
        <f t="shared" ref="V129:W129" si="10">SUM(V130:V136)</f>
        <v>109669</v>
      </c>
      <c r="W129" s="58">
        <f t="shared" si="10"/>
        <v>109669</v>
      </c>
      <c r="X129" s="3"/>
      <c r="Y129" s="3"/>
    </row>
    <row r="130" spans="2:25" ht="15.75" hidden="1" outlineLevel="1" x14ac:dyDescent="0.3">
      <c r="B130" s="3"/>
      <c r="C130" s="3"/>
      <c r="D130" s="3" t="str">
        <f t="shared" si="4"/>
        <v>Heizöl</v>
      </c>
      <c r="E130" s="10">
        <f t="shared" si="5"/>
        <v>16.005600000000001</v>
      </c>
      <c r="F130" s="10">
        <f t="shared" si="5"/>
        <v>16.005600000000001</v>
      </c>
      <c r="G130" s="10">
        <f t="shared" si="5"/>
        <v>16.005600000000001</v>
      </c>
      <c r="H130" s="3" t="s">
        <v>162</v>
      </c>
      <c r="I130" s="3" t="b">
        <v>1</v>
      </c>
      <c r="J130" s="3"/>
      <c r="K130" s="3"/>
      <c r="L130" s="3" t="str">
        <f t="shared" si="6"/>
        <v>Transport gesamt</v>
      </c>
      <c r="M130" s="9">
        <f t="shared" si="7"/>
        <v>469.15642799999995</v>
      </c>
      <c r="N130" s="9">
        <f t="shared" si="8"/>
        <v>469.15642799999995</v>
      </c>
      <c r="O130" s="9">
        <f t="shared" si="9"/>
        <v>469.15642799999995</v>
      </c>
      <c r="P130" s="3" t="s">
        <v>162</v>
      </c>
      <c r="Q130" s="381" t="b">
        <v>1</v>
      </c>
      <c r="R130" s="3"/>
      <c r="S130" s="3"/>
      <c r="T130" s="31" t="s">
        <v>31</v>
      </c>
      <c r="U130" s="52">
        <f>U91</f>
        <v>14335</v>
      </c>
      <c r="V130" s="52">
        <f t="shared" ref="V130:W130" si="11">V91</f>
        <v>14335</v>
      </c>
      <c r="W130" s="52">
        <f t="shared" si="11"/>
        <v>14335</v>
      </c>
      <c r="X130" s="3"/>
      <c r="Y130" s="3"/>
    </row>
    <row r="131" spans="2:25" ht="15.75" hidden="1" outlineLevel="1" x14ac:dyDescent="0.3">
      <c r="B131" s="3"/>
      <c r="C131" s="3"/>
      <c r="D131" s="3" t="str">
        <f t="shared" si="4"/>
        <v>Strom</v>
      </c>
      <c r="E131" s="10">
        <f t="shared" si="5"/>
        <v>171.9</v>
      </c>
      <c r="F131" s="10">
        <f t="shared" si="5"/>
        <v>124.8924470887134</v>
      </c>
      <c r="G131" s="10">
        <f t="shared" si="5"/>
        <v>61.552554846110553</v>
      </c>
      <c r="H131" s="3" t="s">
        <v>162</v>
      </c>
      <c r="I131" s="3" t="b">
        <v>1</v>
      </c>
      <c r="J131" s="3"/>
      <c r="K131" s="3"/>
      <c r="L131" s="3" t="str">
        <f t="shared" si="6"/>
        <v>Zement</v>
      </c>
      <c r="M131" s="9">
        <f t="shared" si="7"/>
        <v>4548.5439999999999</v>
      </c>
      <c r="N131" s="9">
        <f t="shared" si="8"/>
        <v>4457.57312</v>
      </c>
      <c r="O131" s="9">
        <f t="shared" si="9"/>
        <v>4321.1167999999998</v>
      </c>
      <c r="P131" s="3" t="s">
        <v>162</v>
      </c>
      <c r="Q131" s="381" t="b">
        <v>1</v>
      </c>
      <c r="R131" s="3"/>
      <c r="S131" s="3"/>
      <c r="T131" s="31" t="s">
        <v>32</v>
      </c>
      <c r="U131" s="52">
        <f t="shared" ref="U131:W136" si="12">U92</f>
        <v>2760</v>
      </c>
      <c r="V131" s="52">
        <f t="shared" si="12"/>
        <v>2760</v>
      </c>
      <c r="W131" s="52">
        <f t="shared" si="12"/>
        <v>2760</v>
      </c>
      <c r="X131" s="3"/>
      <c r="Y131" s="3"/>
    </row>
    <row r="132" spans="2:25" ht="15.75" hidden="1" outlineLevel="1" x14ac:dyDescent="0.3">
      <c r="B132" s="3"/>
      <c r="C132" s="3"/>
      <c r="D132" s="3" t="str">
        <f t="shared" si="4"/>
        <v/>
      </c>
      <c r="E132" s="10" t="e">
        <f t="shared" si="5"/>
        <v>#N/A</v>
      </c>
      <c r="F132" s="10" t="e">
        <f t="shared" si="5"/>
        <v>#N/A</v>
      </c>
      <c r="G132" s="10" t="e">
        <f t="shared" si="5"/>
        <v>#N/A</v>
      </c>
      <c r="H132" s="3" t="s">
        <v>162</v>
      </c>
      <c r="I132" s="3" t="b">
        <v>0</v>
      </c>
      <c r="J132" s="3"/>
      <c r="K132" s="3"/>
      <c r="L132" s="3" t="str">
        <f t="shared" si="6"/>
        <v>Gesteinskörnungen (Zuschlagsstoffe)</v>
      </c>
      <c r="M132" s="9">
        <f t="shared" si="7"/>
        <v>129.59200000000001</v>
      </c>
      <c r="N132" s="9">
        <f t="shared" si="8"/>
        <v>129.59200000000001</v>
      </c>
      <c r="O132" s="9">
        <f t="shared" si="9"/>
        <v>129.59200000000001</v>
      </c>
      <c r="P132" s="3" t="s">
        <v>162</v>
      </c>
      <c r="Q132" s="381" t="b">
        <v>1</v>
      </c>
      <c r="R132" s="3"/>
      <c r="S132" s="3"/>
      <c r="T132" s="31" t="s">
        <v>33</v>
      </c>
      <c r="U132" s="52">
        <f t="shared" si="12"/>
        <v>77400</v>
      </c>
      <c r="V132" s="52">
        <f t="shared" si="12"/>
        <v>77400</v>
      </c>
      <c r="W132" s="52">
        <f t="shared" si="12"/>
        <v>77400</v>
      </c>
      <c r="X132" s="3"/>
      <c r="Y132" s="3"/>
    </row>
    <row r="133" spans="2:25" ht="15.75" hidden="1" outlineLevel="1" x14ac:dyDescent="0.3">
      <c r="B133" s="3"/>
      <c r="C133" s="3"/>
      <c r="D133" s="3" t="str">
        <f t="shared" si="4"/>
        <v/>
      </c>
      <c r="E133" s="10" t="e">
        <f t="shared" si="5"/>
        <v>#N/A</v>
      </c>
      <c r="F133" s="10" t="e">
        <f t="shared" si="5"/>
        <v>#N/A</v>
      </c>
      <c r="G133" s="10" t="e">
        <f t="shared" si="5"/>
        <v>#N/A</v>
      </c>
      <c r="H133" s="3" t="s">
        <v>162</v>
      </c>
      <c r="I133" s="3" t="b">
        <v>0</v>
      </c>
      <c r="J133" s="3"/>
      <c r="K133" s="3"/>
      <c r="L133" s="3" t="str">
        <f t="shared" si="6"/>
        <v>Farben</v>
      </c>
      <c r="M133" s="9">
        <f t="shared" si="7"/>
        <v>208</v>
      </c>
      <c r="N133" s="9">
        <f t="shared" si="8"/>
        <v>208</v>
      </c>
      <c r="O133" s="9">
        <f t="shared" si="9"/>
        <v>208</v>
      </c>
      <c r="P133" s="3" t="s">
        <v>162</v>
      </c>
      <c r="Q133" s="381" t="b">
        <v>1</v>
      </c>
      <c r="R133" s="3"/>
      <c r="S133" s="3"/>
      <c r="T133" s="31" t="s">
        <v>122</v>
      </c>
      <c r="U133" s="52">
        <f t="shared" si="12"/>
        <v>0</v>
      </c>
      <c r="V133" s="52">
        <f t="shared" si="12"/>
        <v>0</v>
      </c>
      <c r="W133" s="52">
        <f t="shared" si="12"/>
        <v>0</v>
      </c>
      <c r="X133" s="3"/>
      <c r="Y133" s="3"/>
    </row>
    <row r="134" spans="2:25" ht="15.75" hidden="1" outlineLevel="1" x14ac:dyDescent="0.3">
      <c r="B134" s="3"/>
      <c r="C134" s="3"/>
      <c r="D134" s="3" t="str">
        <f t="shared" si="4"/>
        <v/>
      </c>
      <c r="E134" s="10" t="e">
        <f t="shared" si="5"/>
        <v>#N/A</v>
      </c>
      <c r="F134" s="10" t="e">
        <f t="shared" si="5"/>
        <v>#N/A</v>
      </c>
      <c r="G134" s="10" t="e">
        <f t="shared" si="5"/>
        <v>#N/A</v>
      </c>
      <c r="H134" s="3" t="s">
        <v>162</v>
      </c>
      <c r="I134" s="3" t="b">
        <v>0</v>
      </c>
      <c r="J134" s="3"/>
      <c r="K134" s="3"/>
      <c r="L134" s="3" t="str">
        <f t="shared" si="6"/>
        <v>Zusatzstoffe (Füllstoffe)</v>
      </c>
      <c r="M134" s="9">
        <f t="shared" si="7"/>
        <v>81.003999999999991</v>
      </c>
      <c r="N134" s="9">
        <f t="shared" si="8"/>
        <v>82.624080000000006</v>
      </c>
      <c r="O134" s="9">
        <f t="shared" si="9"/>
        <v>85.054199999999994</v>
      </c>
      <c r="P134" s="3" t="s">
        <v>162</v>
      </c>
      <c r="Q134" s="381" t="b">
        <v>1</v>
      </c>
      <c r="R134" s="3"/>
      <c r="S134" s="3"/>
      <c r="T134" s="31" t="s">
        <v>123</v>
      </c>
      <c r="U134" s="52">
        <f t="shared" si="12"/>
        <v>0</v>
      </c>
      <c r="V134" s="52">
        <f t="shared" si="12"/>
        <v>0</v>
      </c>
      <c r="W134" s="52">
        <f t="shared" si="12"/>
        <v>0</v>
      </c>
      <c r="X134" s="3"/>
      <c r="Y134" s="3"/>
    </row>
    <row r="135" spans="2:25" ht="15.75" hidden="1" outlineLevel="1" x14ac:dyDescent="0.3">
      <c r="B135" s="3"/>
      <c r="C135" s="3"/>
      <c r="D135" s="3" t="str">
        <f t="shared" si="4"/>
        <v>Diesel</v>
      </c>
      <c r="E135" s="10">
        <f t="shared" si="5"/>
        <v>35.884155059999998</v>
      </c>
      <c r="F135" s="10">
        <f t="shared" si="5"/>
        <v>35.884155059999998</v>
      </c>
      <c r="G135" s="10">
        <f t="shared" si="5"/>
        <v>35.884155059999998</v>
      </c>
      <c r="H135" s="3" t="s">
        <v>162</v>
      </c>
      <c r="I135" s="3" t="b">
        <v>1</v>
      </c>
      <c r="J135" s="3"/>
      <c r="K135" s="3"/>
      <c r="L135" s="3" t="str">
        <f t="shared" si="6"/>
        <v>Zusatzmittel</v>
      </c>
      <c r="M135" s="9">
        <f t="shared" si="7"/>
        <v>148.44746134951595</v>
      </c>
      <c r="N135" s="9">
        <f t="shared" si="8"/>
        <v>148.44746134951595</v>
      </c>
      <c r="O135" s="9">
        <f t="shared" si="9"/>
        <v>148.44746134951595</v>
      </c>
      <c r="P135" s="3" t="s">
        <v>162</v>
      </c>
      <c r="Q135" s="381" t="b">
        <v>1</v>
      </c>
      <c r="R135" s="3"/>
      <c r="S135" s="3"/>
      <c r="T135" s="31" t="s">
        <v>124</v>
      </c>
      <c r="U135" s="52">
        <f t="shared" si="12"/>
        <v>0</v>
      </c>
      <c r="V135" s="52">
        <f t="shared" si="12"/>
        <v>0</v>
      </c>
      <c r="W135" s="52">
        <f t="shared" si="12"/>
        <v>0</v>
      </c>
      <c r="X135" s="3"/>
      <c r="Y135" s="3"/>
    </row>
    <row r="136" spans="2:25" ht="16.5" hidden="1" outlineLevel="1" thickBot="1" x14ac:dyDescent="0.35">
      <c r="B136" s="3"/>
      <c r="C136" s="3"/>
      <c r="D136" s="27" t="s">
        <v>69</v>
      </c>
      <c r="E136" s="33">
        <f>SUMIF($I$129:$I$135,"WAHR",E129:E135)</f>
        <v>266.83235506</v>
      </c>
      <c r="F136" s="33">
        <f>SUMIF($I$129:$I$135,"WAHR",F129:F135)</f>
        <v>219.82480214871339</v>
      </c>
      <c r="G136" s="33">
        <f>SUMIF($I$129:$I$135,"WAHR",G129:G135)</f>
        <v>156.48490990611054</v>
      </c>
      <c r="H136" s="27" t="s">
        <v>163</v>
      </c>
      <c r="I136" s="3"/>
      <c r="J136" s="3"/>
      <c r="K136" s="3"/>
      <c r="L136" s="3" t="str">
        <f t="shared" si="6"/>
        <v/>
      </c>
      <c r="M136" s="9" t="e">
        <f t="shared" si="7"/>
        <v>#N/A</v>
      </c>
      <c r="N136" s="9" t="e">
        <f t="shared" si="8"/>
        <v>#N/A</v>
      </c>
      <c r="O136" s="9" t="e">
        <f t="shared" si="9"/>
        <v>#N/A</v>
      </c>
      <c r="P136" s="3" t="s">
        <v>162</v>
      </c>
      <c r="Q136" s="381" t="b">
        <v>0</v>
      </c>
      <c r="R136" s="3"/>
      <c r="S136" s="3"/>
      <c r="T136" s="51" t="s">
        <v>34</v>
      </c>
      <c r="U136" s="53">
        <f t="shared" si="12"/>
        <v>15174.000000000002</v>
      </c>
      <c r="V136" s="54">
        <f t="shared" si="12"/>
        <v>15174.000000000002</v>
      </c>
      <c r="W136" s="54">
        <f t="shared" si="12"/>
        <v>15174.000000000002</v>
      </c>
      <c r="X136" s="3"/>
      <c r="Y136" s="3"/>
    </row>
    <row r="137" spans="2:25" ht="16.5" hidden="1" outlineLevel="1" thickTop="1" x14ac:dyDescent="0.3">
      <c r="B137" s="3"/>
      <c r="C137" s="3"/>
      <c r="D137" s="3"/>
      <c r="E137" s="3"/>
      <c r="F137" s="3"/>
      <c r="G137" s="3"/>
      <c r="H137" s="3"/>
      <c r="I137" s="3"/>
      <c r="J137" s="3"/>
      <c r="K137" s="3"/>
      <c r="L137" s="3" t="str">
        <f t="shared" si="6"/>
        <v/>
      </c>
      <c r="M137" s="9" t="e">
        <f t="shared" si="7"/>
        <v>#N/A</v>
      </c>
      <c r="N137" s="9" t="e">
        <f t="shared" si="8"/>
        <v>#N/A</v>
      </c>
      <c r="O137" s="9" t="e">
        <f t="shared" si="9"/>
        <v>#N/A</v>
      </c>
      <c r="P137" s="3" t="s">
        <v>162</v>
      </c>
      <c r="Q137" s="381" t="b">
        <v>0</v>
      </c>
      <c r="R137" s="3"/>
      <c r="S137" s="3"/>
      <c r="T137" s="8" t="str">
        <f>IF(X137,"CAPEX","")</f>
        <v>CAPEX</v>
      </c>
      <c r="U137" s="55">
        <f>IF($X137,U98,NA())</f>
        <v>0</v>
      </c>
      <c r="V137" s="55">
        <f t="shared" ref="V137:W139" si="13">IF($X137,V98,NA())</f>
        <v>0</v>
      </c>
      <c r="W137" s="55">
        <f t="shared" si="13"/>
        <v>0</v>
      </c>
      <c r="X137" s="381" t="b">
        <v>1</v>
      </c>
      <c r="Y137" s="3"/>
    </row>
    <row r="138" spans="2:25" ht="15.75" hidden="1" outlineLevel="1" x14ac:dyDescent="0.3">
      <c r="B138" s="3"/>
      <c r="C138" s="3"/>
      <c r="D138" s="3"/>
      <c r="E138" s="3"/>
      <c r="F138" s="3"/>
      <c r="G138" s="3"/>
      <c r="H138" s="3"/>
      <c r="I138" s="3"/>
      <c r="J138" s="3"/>
      <c r="K138" s="3"/>
      <c r="L138" s="3" t="str">
        <f t="shared" si="6"/>
        <v/>
      </c>
      <c r="M138" s="9" t="e">
        <f t="shared" si="7"/>
        <v>#N/A</v>
      </c>
      <c r="N138" s="9" t="e">
        <f t="shared" si="8"/>
        <v>#N/A</v>
      </c>
      <c r="O138" s="9" t="e">
        <f t="shared" si="9"/>
        <v>#N/A</v>
      </c>
      <c r="P138" s="3" t="s">
        <v>162</v>
      </c>
      <c r="Q138" s="381" t="b">
        <v>0</v>
      </c>
      <c r="R138" s="3"/>
      <c r="S138" s="3"/>
      <c r="T138" s="8" t="str">
        <f>IF(X138,"Zusätzliche jährliche Kosten","")</f>
        <v/>
      </c>
      <c r="U138" s="55" t="e">
        <f>IF($X138,U99,NA())</f>
        <v>#N/A</v>
      </c>
      <c r="V138" s="55" t="e">
        <f t="shared" si="13"/>
        <v>#N/A</v>
      </c>
      <c r="W138" s="55" t="e">
        <f t="shared" si="13"/>
        <v>#N/A</v>
      </c>
      <c r="X138" s="381" t="b">
        <v>0</v>
      </c>
      <c r="Y138" s="3"/>
    </row>
    <row r="139" spans="2:25" ht="15.75" hidden="1" outlineLevel="1" x14ac:dyDescent="0.3">
      <c r="B139" s="3"/>
      <c r="C139" s="3"/>
      <c r="D139" s="3"/>
      <c r="E139" s="3"/>
      <c r="F139" s="3"/>
      <c r="G139" s="3"/>
      <c r="H139" s="3"/>
      <c r="I139" s="3"/>
      <c r="J139" s="3"/>
      <c r="K139" s="3"/>
      <c r="L139" s="3" t="str">
        <f t="shared" si="6"/>
        <v/>
      </c>
      <c r="M139" s="9" t="e">
        <f t="shared" si="7"/>
        <v>#N/A</v>
      </c>
      <c r="N139" s="9" t="e">
        <f t="shared" si="8"/>
        <v>#N/A</v>
      </c>
      <c r="O139" s="9" t="e">
        <f t="shared" si="9"/>
        <v>#N/A</v>
      </c>
      <c r="P139" s="3" t="s">
        <v>162</v>
      </c>
      <c r="Q139" s="381" t="b">
        <v>0</v>
      </c>
      <c r="R139" s="3"/>
      <c r="S139" s="3"/>
      <c r="T139" s="59" t="str">
        <f>IF(X139,"Einmalige Kosten","")</f>
        <v/>
      </c>
      <c r="U139" s="55" t="e">
        <f>IF($X139,U100,NA())</f>
        <v>#N/A</v>
      </c>
      <c r="V139" s="55" t="e">
        <f t="shared" si="13"/>
        <v>#N/A</v>
      </c>
      <c r="W139" s="55" t="e">
        <f t="shared" si="13"/>
        <v>#N/A</v>
      </c>
      <c r="X139" s="381" t="b">
        <v>0</v>
      </c>
      <c r="Y139" s="3"/>
    </row>
    <row r="140" spans="2:25" ht="15.75" hidden="1" outlineLevel="1" x14ac:dyDescent="0.3">
      <c r="B140" s="3"/>
      <c r="C140" s="3"/>
      <c r="D140" s="3"/>
      <c r="E140" s="3"/>
      <c r="F140" s="3"/>
      <c r="G140" s="3"/>
      <c r="H140" s="3"/>
      <c r="I140" s="3"/>
      <c r="J140" s="3"/>
      <c r="K140" s="3"/>
      <c r="L140" s="3" t="str">
        <f t="shared" si="6"/>
        <v>Verpackungsmaterial</v>
      </c>
      <c r="M140" s="9">
        <f t="shared" si="7"/>
        <v>64.48</v>
      </c>
      <c r="N140" s="9">
        <f t="shared" si="8"/>
        <v>64.48</v>
      </c>
      <c r="O140" s="9">
        <f t="shared" si="9"/>
        <v>64.48</v>
      </c>
      <c r="P140" s="3" t="s">
        <v>162</v>
      </c>
      <c r="Q140" s="381" t="b">
        <v>1</v>
      </c>
      <c r="R140" s="3"/>
      <c r="S140" s="3"/>
      <c r="T140" s="57" t="str">
        <f>IF(X140,"CO2-Kosten","")</f>
        <v>CO2-Kosten</v>
      </c>
      <c r="U140" s="58">
        <f>IF($X$140,SUMIF($X$141:$X$143,"WAHR",U141:U143),NA())</f>
        <v>152459.04944673795</v>
      </c>
      <c r="V140" s="58">
        <f t="shared" ref="V140:W140" si="14">IF($X$140,SUMIF($X$141:$X$143,"WAHR",V141:V143),NA())</f>
        <v>267980.06094161147</v>
      </c>
      <c r="W140" s="58">
        <f t="shared" si="14"/>
        <v>459876.87551178073</v>
      </c>
      <c r="X140" s="381" t="b">
        <v>1</v>
      </c>
      <c r="Y140" s="3"/>
    </row>
    <row r="141" spans="2:25" ht="16.5" hidden="1" outlineLevel="1" thickBot="1" x14ac:dyDescent="0.35">
      <c r="B141" s="3"/>
      <c r="C141" s="3"/>
      <c r="D141" s="3"/>
      <c r="E141" s="3"/>
      <c r="F141" s="3"/>
      <c r="G141" s="3"/>
      <c r="H141" s="3"/>
      <c r="I141" s="3"/>
      <c r="J141" s="3"/>
      <c r="K141" s="3"/>
      <c r="L141" s="27" t="s">
        <v>69</v>
      </c>
      <c r="M141" s="28">
        <f>SUMIF($Q$129:$Q$140,"WAHR",M129:M140)</f>
        <v>5690.5056228095145</v>
      </c>
      <c r="N141" s="28">
        <f>SUMIF($Q$129:$Q$140,"WAHR",N129:N140)</f>
        <v>5594.2636632204258</v>
      </c>
      <c r="O141" s="28">
        <f>SUMIF($Q$129:$Q$140,"WAHR",O129:O140)</f>
        <v>5450.9520339911433</v>
      </c>
      <c r="P141" s="27" t="s">
        <v>163</v>
      </c>
      <c r="Q141" s="3"/>
      <c r="R141" s="3"/>
      <c r="S141" s="3"/>
      <c r="T141" s="31" t="s">
        <v>155</v>
      </c>
      <c r="U141" s="52">
        <f>IF($X141,U102,NA())</f>
        <v>2373.3088765000002</v>
      </c>
      <c r="V141" s="52">
        <f t="shared" ref="V141:W141" si="15">IF($X141,V102,NA())</f>
        <v>4271.9559777000004</v>
      </c>
      <c r="W141" s="52">
        <f t="shared" si="15"/>
        <v>7594.5884048000007</v>
      </c>
      <c r="X141" s="381" t="b">
        <v>1</v>
      </c>
      <c r="Y141" s="3"/>
    </row>
    <row r="142" spans="2:25" ht="16.5" hidden="1" outlineLevel="1" thickTop="1" x14ac:dyDescent="0.3">
      <c r="B142" s="3"/>
      <c r="C142" s="3"/>
      <c r="D142" s="3"/>
      <c r="E142" s="3"/>
      <c r="F142" s="3"/>
      <c r="G142" s="3"/>
      <c r="H142" s="3"/>
      <c r="I142" s="3"/>
      <c r="J142" s="3"/>
      <c r="K142" s="3"/>
      <c r="L142" s="3"/>
      <c r="M142" s="3"/>
      <c r="N142" s="3"/>
      <c r="O142" s="3"/>
      <c r="P142" s="3"/>
      <c r="Q142" s="3"/>
      <c r="R142" s="3"/>
      <c r="S142" s="3"/>
      <c r="T142" s="31" t="s">
        <v>156</v>
      </c>
      <c r="U142" s="52">
        <f t="shared" ref="U142:W143" si="16">IF($X142,U103,NA())</f>
        <v>4297.5</v>
      </c>
      <c r="V142" s="52">
        <f t="shared" si="16"/>
        <v>5620.160118992103</v>
      </c>
      <c r="W142" s="52">
        <f t="shared" si="16"/>
        <v>4924.2043876888438</v>
      </c>
      <c r="X142" s="381" t="b">
        <v>1</v>
      </c>
      <c r="Y142" s="3"/>
    </row>
    <row r="143" spans="2:25" ht="15.75" hidden="1" outlineLevel="1" x14ac:dyDescent="0.3">
      <c r="B143" s="3"/>
      <c r="C143" s="3"/>
      <c r="D143" s="3"/>
      <c r="E143" s="3"/>
      <c r="F143" s="3"/>
      <c r="G143" s="3"/>
      <c r="H143" s="3"/>
      <c r="I143" s="3"/>
      <c r="J143" s="3"/>
      <c r="K143" s="3"/>
      <c r="L143" s="3"/>
      <c r="M143" s="3"/>
      <c r="N143" s="3"/>
      <c r="O143" s="3"/>
      <c r="P143" s="3"/>
      <c r="Q143" s="3"/>
      <c r="R143" s="3"/>
      <c r="S143" s="3"/>
      <c r="T143" s="31" t="s">
        <v>157</v>
      </c>
      <c r="U143" s="52">
        <f t="shared" si="16"/>
        <v>145788.24057023795</v>
      </c>
      <c r="V143" s="52">
        <f t="shared" si="16"/>
        <v>258087.94484491937</v>
      </c>
      <c r="W143" s="52">
        <f t="shared" si="16"/>
        <v>447358.08271929191</v>
      </c>
      <c r="X143" s="381" t="b">
        <v>1</v>
      </c>
      <c r="Y143" s="3"/>
    </row>
    <row r="144" spans="2:25" ht="13.5" hidden="1" outlineLevel="1" thickBot="1" x14ac:dyDescent="0.25">
      <c r="B144" s="3"/>
      <c r="C144" s="3"/>
      <c r="D144" s="3"/>
      <c r="E144" s="3"/>
      <c r="F144" s="3"/>
      <c r="G144" s="3"/>
      <c r="H144" s="3"/>
      <c r="I144" s="3"/>
      <c r="J144" s="3"/>
      <c r="K144" s="3"/>
      <c r="L144" s="3"/>
      <c r="M144" s="3"/>
      <c r="N144" s="3"/>
      <c r="O144" s="3"/>
      <c r="P144" s="3"/>
      <c r="Q144" s="3"/>
      <c r="R144" s="3"/>
      <c r="S144" s="3"/>
      <c r="T144" s="27" t="s">
        <v>69</v>
      </c>
      <c r="U144" s="56">
        <f>IF($X$140,U140,0)+IF($X$139,U139,0)+IF($X$138,U138,0)+IF($X$137,U137,0)+U129</f>
        <v>262128.04944673795</v>
      </c>
      <c r="V144" s="56">
        <f t="shared" ref="V144:W144" si="17">IF($X$140,V140,0)+IF($X$139,V139,0)+IF($X$138,V138,0)+IF($X$137,V137,0)+V129</f>
        <v>377649.06094161147</v>
      </c>
      <c r="W144" s="56">
        <f t="shared" si="17"/>
        <v>569545.87551178073</v>
      </c>
      <c r="X144" s="3"/>
      <c r="Y144" s="3"/>
    </row>
    <row r="145" spans="2:25" ht="13.5" hidden="1" outlineLevel="1" thickTop="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103" t="str">
        <f>IF(OR(G17&gt;0,G18&gt;0,G19&gt;0,G20&gt;0),"Hinweis: Bitte den Handeingabewert 'Reduktion' für 2030 auch anpassen. Dieser muss dem Werte Ihrer Handeingabe 2025 entsprechen, sollte nur eine Maßnahme in 2025 umgesetzt werden.","")</f>
        <v/>
      </c>
      <c r="E149" s="3"/>
      <c r="F149" s="3"/>
      <c r="G149" s="3"/>
      <c r="H149" s="3"/>
      <c r="I149" s="3"/>
      <c r="J149" s="3"/>
      <c r="K149" s="3"/>
      <c r="L149" s="3"/>
      <c r="M149" s="3"/>
      <c r="N149" s="3"/>
      <c r="O149" s="3"/>
      <c r="P149" s="3"/>
      <c r="Q149" s="3"/>
      <c r="R149" s="3"/>
      <c r="S149" s="3"/>
      <c r="T149" s="3"/>
      <c r="U149" s="3"/>
      <c r="V149" s="3"/>
      <c r="W149" s="3"/>
      <c r="X149" s="3"/>
      <c r="Y149" s="3"/>
    </row>
    <row r="150" spans="2:25" hidden="1" outlineLevel="1" x14ac:dyDescent="0.2">
      <c r="B150" s="3"/>
      <c r="C150" s="3"/>
      <c r="D150" s="103" t="str">
        <f>IF(OR(G23&gt;0,G24&gt;0,G25&gt;0,G26&gt;0,G27&gt;0),"Hinweis: Bitte den Handeingabewert 'Mehrverbrauch' für 2030 auch anpassen. Dieser muss dem Werte Ihrer Handeingabe 2025 entsprechen, sollte nur eine Maßnahme in 2025 umgesetzt werden.","")</f>
        <v/>
      </c>
      <c r="E150" s="3"/>
      <c r="F150" s="3"/>
      <c r="G150" s="3"/>
      <c r="H150" s="3"/>
      <c r="I150" s="3"/>
      <c r="J150" s="3"/>
      <c r="K150" s="3"/>
      <c r="L150" s="3"/>
      <c r="M150" s="3"/>
      <c r="N150" s="3"/>
      <c r="O150" s="3"/>
      <c r="P150" s="3"/>
      <c r="Q150" s="3"/>
      <c r="R150" s="3"/>
      <c r="S150" s="3"/>
      <c r="T150" s="3"/>
      <c r="U150" s="3"/>
      <c r="V150" s="3"/>
      <c r="W150" s="3"/>
      <c r="X150" s="3"/>
      <c r="Y150" s="3"/>
    </row>
    <row r="151" spans="2:25" hidden="1" outlineLevel="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hidden="1" outlineLevel="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2:25" collapsed="1" x14ac:dyDescent="0.2"/>
    <row r="155" spans="2:25" ht="15.75" hidden="1" outlineLevel="1" x14ac:dyDescent="0.25">
      <c r="B155" s="22"/>
      <c r="C155" s="22" t="s">
        <v>114</v>
      </c>
      <c r="D155" s="17"/>
      <c r="E155" s="17"/>
      <c r="F155" s="17"/>
      <c r="G155" s="17"/>
      <c r="H155" s="17"/>
      <c r="I155" s="17"/>
      <c r="J155" s="17"/>
      <c r="K155" s="17"/>
      <c r="L155" s="17"/>
      <c r="N155" s="22" t="s">
        <v>117</v>
      </c>
      <c r="O155" s="17"/>
      <c r="P155" s="17"/>
      <c r="Q155" s="17"/>
      <c r="R155" s="17"/>
      <c r="S155" s="17"/>
      <c r="T155" s="17"/>
    </row>
    <row r="156" spans="2:25" ht="15" hidden="1" outlineLevel="1" x14ac:dyDescent="0.25">
      <c r="B156" s="65"/>
      <c r="C156" s="65">
        <v>2025</v>
      </c>
      <c r="D156" s="17" t="s">
        <v>265</v>
      </c>
      <c r="E156" s="17"/>
      <c r="F156" s="17"/>
      <c r="G156" s="17"/>
      <c r="H156" s="17"/>
      <c r="I156" s="17"/>
      <c r="J156" s="17"/>
      <c r="K156" s="17"/>
      <c r="L156" s="17"/>
      <c r="N156" s="65">
        <v>2025</v>
      </c>
      <c r="O156" s="17"/>
      <c r="P156" s="17"/>
      <c r="Q156" s="17"/>
      <c r="R156" s="17"/>
      <c r="S156" s="17"/>
      <c r="T156" s="17"/>
    </row>
    <row r="157" spans="2:25" hidden="1" outlineLevel="1" x14ac:dyDescent="0.2">
      <c r="B157" s="276"/>
      <c r="C157" s="17"/>
      <c r="D157" s="17" t="s">
        <v>260</v>
      </c>
      <c r="E157" s="289">
        <f>(1+(IF(NOT(ISBLANK($G17)),$G17/100,$E17/100)))</f>
        <v>0.98</v>
      </c>
      <c r="F157" s="17"/>
      <c r="G157" s="17"/>
      <c r="H157" s="17"/>
      <c r="I157" s="17"/>
      <c r="J157" s="17"/>
      <c r="K157" s="17"/>
      <c r="L157" s="17"/>
      <c r="N157" s="21"/>
      <c r="O157" s="17"/>
      <c r="P157" s="17"/>
      <c r="Q157" s="17"/>
      <c r="R157" s="17"/>
      <c r="S157" s="17"/>
      <c r="T157" s="17"/>
    </row>
    <row r="158" spans="2:25" hidden="1" outlineLevel="1" x14ac:dyDescent="0.2">
      <c r="B158" s="276"/>
      <c r="C158" s="17"/>
      <c r="D158" s="17" t="s">
        <v>261</v>
      </c>
      <c r="E158" s="289">
        <f>(1+(IF(NOT(ISBLANK($G18)),$G18/100,$E18/100)))</f>
        <v>0.98</v>
      </c>
      <c r="F158" s="17"/>
      <c r="G158" s="17"/>
      <c r="H158" s="17"/>
      <c r="I158" s="17"/>
      <c r="J158" s="17"/>
      <c r="K158" s="17"/>
      <c r="L158" s="17"/>
      <c r="N158" s="21"/>
      <c r="O158" s="17"/>
      <c r="P158" s="17"/>
      <c r="Q158" s="17"/>
      <c r="R158" s="17"/>
      <c r="S158" s="17"/>
      <c r="T158" s="17"/>
    </row>
    <row r="159" spans="2:25" hidden="1" outlineLevel="1" x14ac:dyDescent="0.2">
      <c r="B159" s="276"/>
      <c r="C159" s="17"/>
      <c r="D159" s="17" t="s">
        <v>50</v>
      </c>
      <c r="E159" s="289">
        <f>(1+(IF(NOT(ISBLANK($G19)),$G19/100,$E19/100)))</f>
        <v>0.98</v>
      </c>
      <c r="F159" s="17"/>
      <c r="G159" s="17"/>
      <c r="H159" s="17"/>
      <c r="I159" s="17"/>
      <c r="J159" s="17"/>
      <c r="K159" s="17"/>
      <c r="L159" s="17"/>
      <c r="N159" s="21"/>
      <c r="O159" s="17"/>
      <c r="P159" s="17"/>
      <c r="Q159" s="17"/>
      <c r="R159" s="17"/>
      <c r="S159" s="17"/>
      <c r="T159" s="17"/>
    </row>
    <row r="160" spans="2:25" hidden="1" outlineLevel="1" x14ac:dyDescent="0.2">
      <c r="B160" s="276"/>
      <c r="C160" s="17"/>
      <c r="D160" s="17" t="s">
        <v>161</v>
      </c>
      <c r="E160" s="289">
        <f>(1+(IF(NOT(ISBLANK($G20)),$G20/100,$E20/100)))</f>
        <v>0.98</v>
      </c>
      <c r="F160" s="17"/>
      <c r="G160" s="17"/>
      <c r="H160" s="17"/>
      <c r="I160" s="17"/>
      <c r="J160" s="17"/>
      <c r="K160" s="17"/>
      <c r="L160" s="17"/>
      <c r="N160" s="21"/>
      <c r="O160" s="17"/>
      <c r="P160" s="17"/>
      <c r="Q160" s="17"/>
      <c r="R160" s="17"/>
      <c r="S160" s="17"/>
      <c r="T160" s="17"/>
    </row>
    <row r="161" spans="2:20" hidden="1" outlineLevel="1" x14ac:dyDescent="0.2">
      <c r="B161" s="276"/>
      <c r="C161" s="17"/>
      <c r="D161" s="17"/>
      <c r="E161" s="290"/>
      <c r="F161" s="17"/>
      <c r="G161" s="17"/>
      <c r="H161" s="17"/>
      <c r="I161" s="17"/>
      <c r="J161" s="17"/>
      <c r="K161" s="17"/>
      <c r="L161" s="17"/>
      <c r="N161" s="21"/>
      <c r="O161" s="17"/>
      <c r="P161" s="17"/>
      <c r="Q161" s="17"/>
      <c r="R161" s="17"/>
      <c r="S161" s="17"/>
      <c r="T161" s="17"/>
    </row>
    <row r="162" spans="2:20" hidden="1" outlineLevel="1" x14ac:dyDescent="0.2">
      <c r="B162" s="276"/>
      <c r="C162" s="17"/>
      <c r="D162" s="17" t="s">
        <v>59</v>
      </c>
      <c r="E162" s="289">
        <f>(1+(IF(NOT(ISBLANK($G23)),$G23/100,$E23/100)))</f>
        <v>1</v>
      </c>
      <c r="F162" s="17"/>
      <c r="G162" s="17"/>
      <c r="H162" s="17"/>
      <c r="I162" s="17"/>
      <c r="J162" s="17"/>
      <c r="K162" s="17"/>
      <c r="L162" s="17"/>
      <c r="N162" s="21"/>
      <c r="O162" s="17"/>
      <c r="P162" s="17"/>
      <c r="Q162" s="17"/>
      <c r="R162" s="17"/>
      <c r="S162" s="17"/>
      <c r="T162" s="17"/>
    </row>
    <row r="163" spans="2:20" hidden="1" outlineLevel="1" x14ac:dyDescent="0.2">
      <c r="B163" s="276"/>
      <c r="C163" s="17"/>
      <c r="D163" s="17" t="s">
        <v>60</v>
      </c>
      <c r="E163" s="289">
        <f>(1+(IF(NOT(ISBLANK($G24)),$G24/100,$E24/100)))</f>
        <v>1.02</v>
      </c>
      <c r="F163" s="17"/>
      <c r="G163" s="17"/>
      <c r="H163" s="17"/>
      <c r="I163" s="17"/>
      <c r="J163" s="17"/>
      <c r="K163" s="17"/>
      <c r="L163" s="17"/>
      <c r="N163" s="21"/>
      <c r="O163" s="17"/>
      <c r="P163" s="17"/>
      <c r="Q163" s="17"/>
      <c r="R163" s="17"/>
      <c r="S163" s="17"/>
      <c r="T163" s="17"/>
    </row>
    <row r="164" spans="2:20" hidden="1" outlineLevel="1" x14ac:dyDescent="0.2">
      <c r="B164" s="276"/>
      <c r="C164" s="17"/>
      <c r="D164" s="17" t="s">
        <v>61</v>
      </c>
      <c r="E164" s="289">
        <f>(1+(IF(NOT(ISBLANK($G25)),$G25/100,$E25/100)))</f>
        <v>1.02</v>
      </c>
      <c r="F164" s="17"/>
      <c r="G164" s="17"/>
      <c r="H164" s="17"/>
      <c r="I164" s="17"/>
      <c r="J164" s="17"/>
      <c r="K164" s="17"/>
      <c r="L164" s="17"/>
      <c r="N164" s="17"/>
      <c r="O164" s="17"/>
      <c r="P164" s="17"/>
      <c r="Q164" s="17"/>
      <c r="R164" s="17"/>
      <c r="S164" s="17"/>
      <c r="T164" s="17"/>
    </row>
    <row r="165" spans="2:20" hidden="1" outlineLevel="1" x14ac:dyDescent="0.2">
      <c r="B165" s="17"/>
      <c r="C165" s="17"/>
      <c r="D165" s="17"/>
      <c r="E165" s="17"/>
      <c r="F165" s="20"/>
      <c r="G165" s="20"/>
      <c r="H165" s="20"/>
      <c r="I165" s="17"/>
      <c r="J165" s="17"/>
      <c r="K165" s="17"/>
      <c r="L165" s="17"/>
      <c r="N165" s="17"/>
      <c r="O165" s="17"/>
      <c r="P165" s="17"/>
      <c r="Q165" s="17"/>
      <c r="R165" s="17"/>
      <c r="S165" s="17"/>
      <c r="T165" s="17"/>
    </row>
    <row r="166" spans="2:20" hidden="1" outlineLevel="1" x14ac:dyDescent="0.2">
      <c r="B166" s="17"/>
      <c r="C166" s="17"/>
      <c r="D166" s="17"/>
      <c r="E166" s="17"/>
      <c r="F166" s="20"/>
      <c r="G166" s="20"/>
      <c r="H166" s="20"/>
      <c r="I166" s="17"/>
      <c r="J166" s="17"/>
      <c r="K166" s="17"/>
      <c r="L166" s="17"/>
      <c r="N166" s="17"/>
      <c r="O166" s="17"/>
      <c r="P166" s="17"/>
      <c r="Q166" s="18"/>
      <c r="R166" s="18"/>
      <c r="S166" s="18"/>
      <c r="T166" s="18"/>
    </row>
    <row r="167" spans="2:20" ht="25.5" hidden="1" outlineLevel="1" x14ac:dyDescent="0.2">
      <c r="B167" s="17"/>
      <c r="C167" s="17"/>
      <c r="D167" s="17"/>
      <c r="E167" s="17"/>
      <c r="F167" s="36" t="s">
        <v>27</v>
      </c>
      <c r="G167" s="36" t="s">
        <v>82</v>
      </c>
      <c r="H167" s="36" t="s">
        <v>29</v>
      </c>
      <c r="I167" s="17"/>
      <c r="J167" s="40" t="s">
        <v>111</v>
      </c>
      <c r="K167" s="41" t="s">
        <v>39</v>
      </c>
      <c r="L167" s="17"/>
      <c r="N167" s="17"/>
      <c r="O167" s="17"/>
      <c r="P167" s="17"/>
      <c r="Q167" s="18"/>
      <c r="R167" s="18"/>
      <c r="S167" s="18"/>
      <c r="T167" s="18"/>
    </row>
    <row r="168" spans="2:20" ht="14.25" hidden="1" outlineLevel="1" x14ac:dyDescent="0.25">
      <c r="B168" s="77"/>
      <c r="C168" s="77" t="s">
        <v>190</v>
      </c>
      <c r="D168" s="77"/>
      <c r="E168" s="77"/>
      <c r="F168" s="78">
        <f>SUM(F170:F183)</f>
        <v>94.932355060000006</v>
      </c>
      <c r="G168" s="78">
        <f t="shared" ref="G168:H168" si="18">SUM(G170:G183)</f>
        <v>124.8924470887134</v>
      </c>
      <c r="H168" s="78">
        <f t="shared" si="18"/>
        <v>34.39057387091087</v>
      </c>
      <c r="I168" s="77"/>
      <c r="J168" s="78">
        <f>F168+G168</f>
        <v>219.82480214871339</v>
      </c>
      <c r="K168" s="78">
        <f>SUM(F168:H168)</f>
        <v>254.21537601962427</v>
      </c>
      <c r="L168" s="77" t="s">
        <v>197</v>
      </c>
      <c r="N168" s="17" t="s">
        <v>146</v>
      </c>
      <c r="O168" s="17"/>
      <c r="P168" s="17"/>
      <c r="Q168" s="18"/>
      <c r="R168" s="18"/>
      <c r="S168" s="18"/>
      <c r="T168" s="18"/>
    </row>
    <row r="169" spans="2:20" hidden="1" outlineLevel="1" x14ac:dyDescent="0.2">
      <c r="B169" s="17"/>
      <c r="C169" s="17" t="s">
        <v>146</v>
      </c>
      <c r="D169" s="17"/>
      <c r="E169" s="17"/>
      <c r="F169" s="17"/>
      <c r="G169" s="17"/>
      <c r="H169" s="17"/>
      <c r="I169" s="17"/>
      <c r="J169" s="17"/>
      <c r="K169" s="17"/>
      <c r="L169" s="17"/>
      <c r="N169" s="276"/>
      <c r="O169" s="17" t="s">
        <v>125</v>
      </c>
      <c r="P169" s="17"/>
      <c r="Q169" s="19"/>
      <c r="R169" s="20"/>
      <c r="S169" s="42">
        <f>IF(NOT(ISBLANK('Referenz Plattenwerk'!$I16)),'Referenz Plattenwerk'!$I16,'Referenz Plattenwerk'!$F16)/1000*IF(NOT(ISBLANK('Eingabe Preise'!$K10)),'Eingabe Preise'!$K10,'Eingabe Preise'!$I10)</f>
        <v>11468</v>
      </c>
      <c r="T169" s="20" t="s">
        <v>106</v>
      </c>
    </row>
    <row r="170" spans="2:20" ht="15.75" hidden="1" outlineLevel="1" x14ac:dyDescent="0.3">
      <c r="B170" s="276"/>
      <c r="C170" s="17"/>
      <c r="D170" s="17" t="s">
        <v>125</v>
      </c>
      <c r="E170" s="17"/>
      <c r="F170" s="38">
        <f>IF(NOT(ISBLANK('Referenz Plattenwerk'!$I16)),'Referenz Plattenwerk'!$I16,'Referenz Plattenwerk'!$F16)*IF(NOT(ISBLANK('Eingabe EF'!$AA9)),'Eingabe EF'!$AA9,'Eingabe EF'!$Y9)</f>
        <v>34.434080000000002</v>
      </c>
      <c r="G170" s="38">
        <f>IF(NOT(ISBLANK('Referenz Plattenwerk'!$I16)),'Referenz Plattenwerk'!$I16,'Referenz Plattenwerk'!$F16)*IF(NOT(ISBLANK('Eingabe EF'!$AE9)),'Eingabe EF'!$AE9,'Eingabe EF'!$AC9)</f>
        <v>0</v>
      </c>
      <c r="H170" s="38">
        <f>IF(NOT(ISBLANK('Referenz Plattenwerk'!$I16)),'Referenz Plattenwerk'!$I16,'Referenz Plattenwerk'!$F16)*IF(NOT(ISBLANK('Eingabe EF'!$AI9)),'Eingabe EF'!$AI9,'Eingabe EF'!$AG9)</f>
        <v>5.8938000000000006</v>
      </c>
      <c r="I170" s="17"/>
      <c r="J170" s="38">
        <f>F170+G170</f>
        <v>34.434080000000002</v>
      </c>
      <c r="K170" s="38">
        <f>SUM(F170:H170)</f>
        <v>40.32788</v>
      </c>
      <c r="L170" s="17" t="s">
        <v>198</v>
      </c>
      <c r="N170" s="276"/>
      <c r="O170" s="17" t="s">
        <v>165</v>
      </c>
      <c r="P170" s="17"/>
      <c r="Q170" s="20"/>
      <c r="R170" s="20"/>
      <c r="S170" s="42">
        <f>IF(NOT(ISBLANK('Referenz Plattenwerk'!$I17)),'Referenz Plattenwerk'!$I17,'Referenz Plattenwerk'!$F17)/1000*IF(NOT(ISBLANK('Eingabe Preise'!$K11)),'Eingabe Preise'!$K11,'Eingabe Preise'!$I11)</f>
        <v>1104</v>
      </c>
      <c r="T170" s="20" t="s">
        <v>106</v>
      </c>
    </row>
    <row r="171" spans="2:20" ht="15.75" hidden="1" outlineLevel="1" x14ac:dyDescent="0.3">
      <c r="B171" s="276"/>
      <c r="C171" s="17"/>
      <c r="D171" s="17" t="s">
        <v>165</v>
      </c>
      <c r="E171" s="17"/>
      <c r="F171" s="38">
        <f>IF(NOT(ISBLANK('Referenz Plattenwerk'!$I17)),'Referenz Plattenwerk'!$I17,'Referenz Plattenwerk'!$F17)*IF(NOT(ISBLANK('Eingabe EF'!$AA10)),'Eingabe EF'!$AA10,'Eingabe EF'!$Y10)</f>
        <v>6.4022399999999999</v>
      </c>
      <c r="G171" s="38">
        <f>IF(NOT(ISBLANK('Referenz Plattenwerk'!$I17)),'Referenz Plattenwerk'!$I17,'Referenz Plattenwerk'!$F17)*IF(NOT(ISBLANK('Eingabe EF'!$AE10)),'Eingabe EF'!$AE10,'Eingabe EF'!$AC10)</f>
        <v>0</v>
      </c>
      <c r="H171" s="38">
        <f>IF(NOT(ISBLANK('Referenz Plattenwerk'!$I17)),'Referenz Plattenwerk'!$I17,'Referenz Plattenwerk'!$F17)*IF(NOT(ISBLANK('Eingabe EF'!$AI10)),'Eingabe EF'!$AI10,'Eingabe EF'!$AG10)</f>
        <v>0.949824</v>
      </c>
      <c r="I171" s="17"/>
      <c r="J171" s="38">
        <f>F171+G171</f>
        <v>6.4022399999999999</v>
      </c>
      <c r="K171" s="38">
        <f>SUM(F171:H171)</f>
        <v>7.3520640000000004</v>
      </c>
      <c r="L171" s="17" t="s">
        <v>198</v>
      </c>
      <c r="N171" s="276"/>
      <c r="O171" s="17" t="s">
        <v>166</v>
      </c>
      <c r="P171" s="17"/>
      <c r="Q171" s="20"/>
      <c r="R171" s="20"/>
      <c r="S171" s="42">
        <f>IF(NOT(ISBLANK('Referenz Plattenwerk'!$I18)),'Referenz Plattenwerk'!$I18,'Referenz Plattenwerk'!$F18)/1000*IF(NOT(ISBLANK('Eingabe Preise'!$K12)),'Eingabe Preise'!$K12,'Eingabe Preise'!$I12)</f>
        <v>7740</v>
      </c>
      <c r="T171" s="20" t="s">
        <v>106</v>
      </c>
    </row>
    <row r="172" spans="2:20" ht="15.75" hidden="1" outlineLevel="1" x14ac:dyDescent="0.3">
      <c r="B172" s="276"/>
      <c r="C172" s="17"/>
      <c r="D172" s="17" t="s">
        <v>166</v>
      </c>
      <c r="E172" s="17"/>
      <c r="F172" s="38">
        <f>IF(NOT(ISBLANK('Referenz Plattenwerk'!$I18)),'Referenz Plattenwerk'!$I18,'Referenz Plattenwerk'!$F18)*IF(NOT(ISBLANK('Eingabe EF'!$AA11)),'Eingabe EF'!$AA11,'Eingabe EF'!$Y11)</f>
        <v>0</v>
      </c>
      <c r="G172" s="38">
        <f>IF(NOT(ISBLANK('Referenz Plattenwerk'!$I18)),'Referenz Plattenwerk'!$I18,'Referenz Plattenwerk'!$F18)*IF(NOT(ISBLANK('Eingabe EF'!$AE11)),'Eingabe EF'!$AE11,'Eingabe EF'!$AC11)</f>
        <v>12.48924470887134</v>
      </c>
      <c r="H172" s="38">
        <f>IF(NOT(ISBLANK('Referenz Plattenwerk'!$I18)),'Referenz Plattenwerk'!$I18,'Referenz Plattenwerk'!$F18)*IF(NOT(ISBLANK('Eingabe EF'!$AI11)),'Eingabe EF'!$AI11,'Eingabe EF'!$AG11)</f>
        <v>1.8308840410910865</v>
      </c>
      <c r="I172" s="17"/>
      <c r="J172" s="38">
        <f>F172+G172</f>
        <v>12.48924470887134</v>
      </c>
      <c r="K172" s="38">
        <f>SUM(F172:H172)</f>
        <v>14.320128749962427</v>
      </c>
      <c r="L172" s="17" t="s">
        <v>198</v>
      </c>
      <c r="N172" s="276"/>
      <c r="O172" s="17" t="s">
        <v>126</v>
      </c>
      <c r="P172" s="17"/>
      <c r="Q172" s="20"/>
      <c r="R172" s="20"/>
      <c r="S172" s="42">
        <f>IF(NOT(ISBLANK('Referenz Plattenwerk'!$I19)),'Referenz Plattenwerk'!$I19,'Referenz Plattenwerk'!$F19)/1000*IF(NOT(ISBLANK('Eingabe Preise'!$K16)),'Eingabe Preise'!$K16,0)</f>
        <v>0</v>
      </c>
      <c r="T172" s="20" t="s">
        <v>106</v>
      </c>
    </row>
    <row r="173" spans="2:20" ht="15.75" hidden="1" outlineLevel="1" x14ac:dyDescent="0.3">
      <c r="B173" s="276"/>
      <c r="C173" s="17"/>
      <c r="D173" s="17" t="s">
        <v>126</v>
      </c>
      <c r="E173" s="17"/>
      <c r="F173" s="44">
        <f>IF(NOT(ISBLANK('Referenz Plattenwerk'!$I19)),'Referenz Plattenwerk'!$I19,'Referenz Plattenwerk'!$F19)*IF(NOT(ISBLANK('Eingabe EF'!$AA12)),'Eingabe EF'!$AA12,0)</f>
        <v>0</v>
      </c>
      <c r="G173" s="44">
        <f>IF(NOT(ISBLANK('Referenz Plattenwerk'!$I19)),'Referenz Plattenwerk'!$I19,'Referenz Plattenwerk'!$F19)*IF(NOT(ISBLANK('Eingabe EF'!$AE12)),'Eingabe EF'!$AE12,0)</f>
        <v>0</v>
      </c>
      <c r="H173" s="44">
        <f>IF(NOT(ISBLANK('Referenz Plattenwerk'!$I19)),'Referenz Plattenwerk'!$I19,'Referenz Plattenwerk'!$F19)*IF(NOT(ISBLANK('Eingabe EF'!$AI12)),'Eingabe EF'!$AI12,0)</f>
        <v>0</v>
      </c>
      <c r="I173" s="17"/>
      <c r="J173" s="38">
        <f>F173+G173</f>
        <v>0</v>
      </c>
      <c r="K173" s="38">
        <f>SUM(F173:H173)</f>
        <v>0</v>
      </c>
      <c r="L173" s="17" t="s">
        <v>198</v>
      </c>
      <c r="N173" s="17" t="s">
        <v>147</v>
      </c>
      <c r="O173" s="17"/>
      <c r="P173" s="17"/>
      <c r="Q173" s="20"/>
      <c r="R173" s="20"/>
      <c r="S173" s="20"/>
      <c r="T173" s="20"/>
    </row>
    <row r="174" spans="2:20" hidden="1" outlineLevel="1" x14ac:dyDescent="0.2">
      <c r="B174" s="17"/>
      <c r="C174" s="17" t="s">
        <v>147</v>
      </c>
      <c r="D174" s="17"/>
      <c r="E174" s="17"/>
      <c r="F174" s="20"/>
      <c r="G174" s="20"/>
      <c r="H174" s="20"/>
      <c r="I174" s="17"/>
      <c r="J174" s="17"/>
      <c r="K174" s="17"/>
      <c r="L174" s="17"/>
      <c r="N174" s="17"/>
      <c r="O174" s="17" t="s">
        <v>31</v>
      </c>
      <c r="P174" s="17"/>
      <c r="Q174" s="20"/>
      <c r="R174" s="20"/>
      <c r="S174" s="42">
        <f>IF(NOT(ISBLANK('Referenz Plattenwerk'!$I21)),'Referenz Plattenwerk'!$I21,'Referenz Plattenwerk'!$F21)/1000*IF(NOT(ISBLANK('Eingabe Preise'!$K10)),'Eingabe Preise'!$K10,'Eingabe Preise'!$I10)</f>
        <v>2867</v>
      </c>
      <c r="T174" s="20" t="s">
        <v>106</v>
      </c>
    </row>
    <row r="175" spans="2:20" ht="15.75" hidden="1" outlineLevel="1" x14ac:dyDescent="0.3">
      <c r="B175" s="17"/>
      <c r="C175" s="17"/>
      <c r="D175" s="17" t="s">
        <v>31</v>
      </c>
      <c r="E175" s="17"/>
      <c r="F175" s="38">
        <f>IF(NOT(ISBLANK('Referenz Plattenwerk'!$I21)),'Referenz Plattenwerk'!$I21,'Referenz Plattenwerk'!$F21)*IF(NOT(ISBLANK('Eingabe EF'!$AA9)),'Eingabe EF'!$AA9,'Eingabe EF'!$Y9)</f>
        <v>8.6085200000000004</v>
      </c>
      <c r="G175" s="38">
        <f>IF(NOT(ISBLANK('Referenz Plattenwerk'!$I21)),'Referenz Plattenwerk'!$I21,'Referenz Plattenwerk'!$F21)*IF(NOT(ISBLANK('Eingabe EF'!$AE9)),'Eingabe EF'!$AE9,'Eingabe EF'!$AC9)</f>
        <v>0</v>
      </c>
      <c r="H175" s="38">
        <f>IF(NOT(ISBLANK('Referenz Plattenwerk'!$I21)),'Referenz Plattenwerk'!$I21,'Referenz Plattenwerk'!$F21)*IF(NOT(ISBLANK('Eingabe EF'!$AG9)),'Eingabe EF'!$AG9,'Eingabe EF'!$AIC9)</f>
        <v>1.4734500000000001</v>
      </c>
      <c r="I175" s="17"/>
      <c r="J175" s="38">
        <f t="shared" ref="J175:J176" si="19">F175+G175</f>
        <v>8.6085200000000004</v>
      </c>
      <c r="K175" s="38">
        <f t="shared" ref="K175:K186" si="20">SUM(F175:H175)</f>
        <v>10.08197</v>
      </c>
      <c r="L175" s="17" t="s">
        <v>198</v>
      </c>
      <c r="M175" s="43"/>
      <c r="N175" s="17"/>
      <c r="O175" s="17" t="s">
        <v>32</v>
      </c>
      <c r="P175" s="17"/>
      <c r="Q175" s="20"/>
      <c r="R175" s="20"/>
      <c r="S175" s="42">
        <f>IF(NOT(ISBLANK('Referenz Plattenwerk'!$I22)),'Referenz Plattenwerk'!$I22,'Referenz Plattenwerk'!$F22)/1000*IF(NOT(ISBLANK('Eingabe Preise'!$K11)),'Eingabe Preise'!$K11,'Eingabe Preise'!$I11)</f>
        <v>1656</v>
      </c>
      <c r="T175" s="20" t="s">
        <v>106</v>
      </c>
    </row>
    <row r="176" spans="2:20" ht="15.75" hidden="1" outlineLevel="1" x14ac:dyDescent="0.3">
      <c r="B176" s="17"/>
      <c r="C176" s="17"/>
      <c r="D176" s="17" t="s">
        <v>32</v>
      </c>
      <c r="E176" s="17"/>
      <c r="F176" s="38">
        <f>IF(NOT(ISBLANK('Referenz Plattenwerk'!$I22)),'Referenz Plattenwerk'!$I22,'Referenz Plattenwerk'!$F22)*IF(NOT(ISBLANK('Eingabe EF'!$AA10)),'Eingabe EF'!$AA10,'Eingabe EF'!$Y10)</f>
        <v>9.6033600000000003</v>
      </c>
      <c r="G176" s="38">
        <f>IF(NOT(ISBLANK('Referenz Plattenwerk'!$I22)),'Referenz Plattenwerk'!$I22,'Referenz Plattenwerk'!$F22)*IF(NOT(ISBLANK('Eingabe EF'!$AE10)),'Eingabe EF'!$AE10,'Eingabe EF'!$AC10)</f>
        <v>0</v>
      </c>
      <c r="H176" s="38">
        <f>IF(NOT(ISBLANK('Referenz Plattenwerk'!$I22)),'Referenz Plattenwerk'!$I22,'Referenz Plattenwerk'!$F22)*IF(NOT(ISBLANK('Eingabe EF'!$AG10)),'Eingabe EF'!$AG10,'Eingabe EF'!$AIC10)</f>
        <v>1.424736</v>
      </c>
      <c r="I176" s="17"/>
      <c r="J176" s="38">
        <f t="shared" si="19"/>
        <v>9.6033600000000003</v>
      </c>
      <c r="K176" s="38">
        <f t="shared" si="20"/>
        <v>11.028096</v>
      </c>
      <c r="L176" s="17" t="s">
        <v>198</v>
      </c>
      <c r="M176" s="43"/>
      <c r="N176" s="17" t="s">
        <v>148</v>
      </c>
      <c r="O176" s="17"/>
      <c r="P176" s="17"/>
      <c r="Q176" s="20"/>
      <c r="R176" s="20"/>
      <c r="S176" s="20"/>
      <c r="T176" s="20"/>
    </row>
    <row r="177" spans="1:21" hidden="1" outlineLevel="1" x14ac:dyDescent="0.2">
      <c r="B177" s="17"/>
      <c r="C177" s="17" t="s">
        <v>148</v>
      </c>
      <c r="D177" s="17"/>
      <c r="E177" s="17"/>
      <c r="F177" s="20"/>
      <c r="G177" s="20"/>
      <c r="H177" s="20"/>
      <c r="I177" s="17"/>
      <c r="J177" s="17"/>
      <c r="K177" s="17"/>
      <c r="L177" s="17"/>
      <c r="N177" s="17"/>
      <c r="O177" s="17" t="s">
        <v>167</v>
      </c>
      <c r="P177" s="17"/>
      <c r="Q177" s="20"/>
      <c r="R177" s="20"/>
      <c r="S177" s="42">
        <f>IF(NOT(ISBLANK('Referenz Plattenwerk'!$I24)),'Referenz Plattenwerk'!$I24,'Referenz Plattenwerk'!$F24)/1000*IF(NOT(ISBLANK('Eingabe Preise'!$K12)),'Eingabe Preise'!$K12,'Eingabe Preise'!$I12)</f>
        <v>69660</v>
      </c>
      <c r="T177" s="20" t="s">
        <v>106</v>
      </c>
    </row>
    <row r="178" spans="1:21" ht="15.75" hidden="1" outlineLevel="1" x14ac:dyDescent="0.3">
      <c r="B178" s="17"/>
      <c r="C178" s="17"/>
      <c r="D178" s="17" t="s">
        <v>150</v>
      </c>
      <c r="E178" s="17"/>
      <c r="F178" s="38">
        <f>IF(NOT(ISBLANK('Referenz Plattenwerk'!$I24)),'Referenz Plattenwerk'!$I24,'Referenz Plattenwerk'!$F24)*IF(NOT(ISBLANK('Eingabe EF'!$AA11)),'Eingabe EF'!$AA11,'Eingabe EF'!$Y11)</f>
        <v>0</v>
      </c>
      <c r="G178" s="38">
        <f>IF(NOT(ISBLANK('Referenz Plattenwerk'!$I24)),'Referenz Plattenwerk'!$I24,'Referenz Plattenwerk'!$F24)*IF(NOT(ISBLANK('Eingabe EF'!$AE11)),'Eingabe EF'!$AE11,'Eingabe EF'!$AC11)</f>
        <v>112.40320237984206</v>
      </c>
      <c r="H178" s="38">
        <f>IF(NOT(ISBLANK('Referenz Plattenwerk'!$I24)),'Referenz Plattenwerk'!$I24,'Referenz Plattenwerk'!$F24)*IF(NOT(ISBLANK('Eingabe EF'!$AI11)),'Eingabe EF'!$AI11,'Eingabe EF'!$AG11)</f>
        <v>16.477956369819779</v>
      </c>
      <c r="I178" s="17"/>
      <c r="J178" s="38">
        <f t="shared" ref="J178:J186" si="21">F178+G178</f>
        <v>112.40320237984206</v>
      </c>
      <c r="K178" s="38">
        <f t="shared" si="20"/>
        <v>128.88115874966184</v>
      </c>
      <c r="L178" s="17" t="s">
        <v>198</v>
      </c>
      <c r="M178" s="43"/>
      <c r="N178" s="17"/>
      <c r="O178" s="17" t="s">
        <v>122</v>
      </c>
      <c r="P178" s="17"/>
      <c r="Q178" s="20"/>
      <c r="R178" s="20"/>
      <c r="S178" s="42">
        <f>IF(NOT(ISBLANK('Referenz Plattenwerk'!$I25)),'Referenz Plattenwerk'!$I25,'Referenz Plattenwerk'!$F25)/1000*IF(NOT(ISBLANK('Eingabe Preise'!$K13)),'Eingabe Preise'!$K13,'Eingabe Preise'!$I13)</f>
        <v>0</v>
      </c>
      <c r="T178" s="20" t="s">
        <v>106</v>
      </c>
    </row>
    <row r="179" spans="1:21" ht="15.75" hidden="1" outlineLevel="1" x14ac:dyDescent="0.3">
      <c r="B179" s="17"/>
      <c r="C179" s="17"/>
      <c r="D179" s="17" t="s">
        <v>122</v>
      </c>
      <c r="E179" s="17"/>
      <c r="F179" s="38">
        <f>IF(NOT(ISBLANK('Referenz Plattenwerk'!$I25)),'Referenz Plattenwerk'!$I25,'Referenz Plattenwerk'!$F25)*IF(NOT(ISBLANK('Eingabe EF'!$AA13)),'Eingabe EF'!$AA13,'Eingabe EF'!$Y13)</f>
        <v>0</v>
      </c>
      <c r="G179" s="38">
        <f>IF(NOT(ISBLANK('Referenz Plattenwerk'!$I25)),'Referenz Plattenwerk'!$I25,'Referenz Plattenwerk'!$F25)*IF(NOT(ISBLANK('Eingabe EF'!$AE13)),'Eingabe EF'!$AE13,'Eingabe EF'!$AC13)</f>
        <v>0</v>
      </c>
      <c r="H179" s="38">
        <f>IF(NOT(ISBLANK('Referenz Plattenwerk'!$I25)),'Referenz Plattenwerk'!$I25,'Referenz Plattenwerk'!$F25)*IF(NOT(ISBLANK('Eingabe EF'!$AI13)),'Eingabe EF'!$AI13,'Eingabe EF'!$AG13)</f>
        <v>0</v>
      </c>
      <c r="I179" s="17"/>
      <c r="J179" s="38">
        <f t="shared" si="21"/>
        <v>0</v>
      </c>
      <c r="K179" s="38">
        <f t="shared" si="20"/>
        <v>0</v>
      </c>
      <c r="L179" s="17" t="s">
        <v>198</v>
      </c>
      <c r="M179" s="43"/>
      <c r="N179" s="17"/>
      <c r="O179" s="17" t="s">
        <v>149</v>
      </c>
      <c r="P179" s="17"/>
      <c r="Q179" s="30"/>
      <c r="R179" s="17"/>
      <c r="S179" s="42">
        <f>IF(NOT(ISBLANK('Referenz Plattenwerk'!$I26)),'Referenz Plattenwerk'!$I26,'Referenz Plattenwerk'!$F26)/1000*IF(NOT(ISBLANK('Eingabe Preise'!$K17)),'Eingabe Preise'!$K17,0)</f>
        <v>0</v>
      </c>
      <c r="T179" s="20" t="s">
        <v>106</v>
      </c>
    </row>
    <row r="180" spans="1:21" ht="15.75" hidden="1" outlineLevel="1" x14ac:dyDescent="0.3">
      <c r="B180" s="17"/>
      <c r="C180" s="17"/>
      <c r="D180" s="17" t="s">
        <v>149</v>
      </c>
      <c r="E180" s="17"/>
      <c r="F180" s="38">
        <f>IF(NOT(ISBLANK('Referenz Plattenwerk'!$I26)),'Referenz Plattenwerk'!$I26,'Referenz Plattenwerk'!$F26)*IF(NOT(ISBLANK('Eingabe EF'!$AA14)),'Eingabe EF'!$AA14,0)</f>
        <v>0</v>
      </c>
      <c r="G180" s="38">
        <f>IF(NOT(ISBLANK('Referenz Plattenwerk'!$I26)),'Referenz Plattenwerk'!$I26,'Referenz Plattenwerk'!$F26)*IF(NOT(ISBLANK('Eingabe EF'!$AE14)),'Eingabe EF'!$AE14,0)</f>
        <v>0</v>
      </c>
      <c r="H180" s="38">
        <f>IF(NOT(ISBLANK('Referenz Plattenwerk'!$I26)),'Referenz Plattenwerk'!$I26,'Referenz Plattenwerk'!$F26)*IF(NOT(ISBLANK('Eingabe EF'!$AI14)),'Eingabe EF'!$AI14,0)</f>
        <v>0</v>
      </c>
      <c r="I180" s="17"/>
      <c r="J180" s="38">
        <f t="shared" si="21"/>
        <v>0</v>
      </c>
      <c r="K180" s="38">
        <f t="shared" si="20"/>
        <v>0</v>
      </c>
      <c r="L180" s="17" t="s">
        <v>198</v>
      </c>
      <c r="M180" s="43"/>
      <c r="N180" s="17"/>
      <c r="O180" s="17"/>
      <c r="P180" s="17"/>
      <c r="Q180" s="30"/>
      <c r="R180" s="17"/>
      <c r="S180" s="17"/>
      <c r="T180" s="17"/>
    </row>
    <row r="181" spans="1:21" hidden="1" outlineLevel="1" x14ac:dyDescent="0.2">
      <c r="B181" s="17"/>
      <c r="C181" s="17"/>
      <c r="D181" s="17"/>
      <c r="E181" s="17"/>
      <c r="F181" s="20"/>
      <c r="G181" s="20"/>
      <c r="H181" s="20"/>
      <c r="I181" s="17"/>
      <c r="J181" s="17"/>
      <c r="K181" s="17"/>
      <c r="L181" s="17"/>
      <c r="N181" s="17"/>
      <c r="O181" s="17" t="s">
        <v>34</v>
      </c>
      <c r="P181" s="17" t="s">
        <v>464</v>
      </c>
      <c r="Q181" s="30"/>
      <c r="R181" s="17"/>
      <c r="S181" s="42">
        <f>IF(NOT(ISBLANK('Referenz Plattenwerk'!$I28)),'Referenz Plattenwerk'!$I28,'Referenz Plattenwerk'!$F28)*IF(NOT(ISBLANK('Eingabe Preise'!$K14)),'Eingabe Preise'!$K14,'Eingabe Preise'!$I14)</f>
        <v>12364.000000000002</v>
      </c>
      <c r="T181" s="20" t="s">
        <v>106</v>
      </c>
    </row>
    <row r="182" spans="1:21" ht="15.75" hidden="1" outlineLevel="1" x14ac:dyDescent="0.3">
      <c r="B182" s="17"/>
      <c r="C182" s="17" t="s">
        <v>464</v>
      </c>
      <c r="D182" s="17" t="s">
        <v>34</v>
      </c>
      <c r="E182" s="17"/>
      <c r="F182" s="38">
        <f>IF(NOT(ISBLANK('Referenz Plattenwerk'!$I28)),'Referenz Plattenwerk'!$I28,'Referenz Plattenwerk'!$F28)*IF(NOT(ISBLANK('Eingabe EF'!$AA15)),'Eingabe EF'!$AA15,'Eingabe EF'!$Y15)</f>
        <v>29.238941159999996</v>
      </c>
      <c r="G182" s="38">
        <f>IF(NOT(ISBLANK('Referenz Plattenwerk'!$I28)),'Referenz Plattenwerk'!$I28,'Referenz Plattenwerk'!$F28)*IF(NOT(ISBLANK('Eingabe EF'!$AE15)),'Eingabe EF'!$AE15,'Eingabe EF'!$AC15)</f>
        <v>0</v>
      </c>
      <c r="H182" s="38">
        <f>IF(NOT(ISBLANK('Referenz Plattenwerk'!$I28)),'Referenz Plattenwerk'!$I28,'Referenz Plattenwerk'!$F28)*IF(NOT(ISBLANK('Eingabe EF'!$AI15)),'Eingabe EF'!$AI15,'Eingabe EF'!$AG15)</f>
        <v>5.1658635600000009</v>
      </c>
      <c r="I182" s="17"/>
      <c r="J182" s="38">
        <f t="shared" si="21"/>
        <v>29.238941159999996</v>
      </c>
      <c r="K182" s="38">
        <f t="shared" si="20"/>
        <v>34.404804719999994</v>
      </c>
      <c r="L182" s="17" t="s">
        <v>198</v>
      </c>
      <c r="M182" s="43"/>
      <c r="N182" s="17"/>
      <c r="O182" s="17" t="s">
        <v>34</v>
      </c>
      <c r="P182" s="17" t="s">
        <v>75</v>
      </c>
      <c r="Q182" s="30"/>
      <c r="R182" s="17"/>
      <c r="S182" s="42">
        <f>IF(NOT(ISBLANK('Referenz Plattenwerk'!$I29)),'Referenz Plattenwerk'!$I29,'Referenz Plattenwerk'!$F29)*IF(NOT(ISBLANK('Eingabe Preise'!$K14)),'Eingabe Preise'!$K14,'Eingabe Preise'!$I14)</f>
        <v>2810.0000000000005</v>
      </c>
      <c r="T182" s="20" t="s">
        <v>106</v>
      </c>
    </row>
    <row r="183" spans="1:21" s="73" customFormat="1" ht="15.75" hidden="1" outlineLevel="1" x14ac:dyDescent="0.3">
      <c r="A183" s="6"/>
      <c r="B183" s="17"/>
      <c r="C183" s="17" t="s">
        <v>75</v>
      </c>
      <c r="D183" s="17" t="s">
        <v>34</v>
      </c>
      <c r="E183" s="17"/>
      <c r="F183" s="38">
        <f>IF(NOT(ISBLANK('Referenz Plattenwerk'!$I29)),'Referenz Plattenwerk'!$I29,'Referenz Plattenwerk'!$F29)*IF(NOT(ISBLANK('Eingabe EF'!$AA15)),'Eingabe EF'!$AA15,'Eingabe EF'!$Y15)</f>
        <v>6.645213899999999</v>
      </c>
      <c r="G183" s="38">
        <f>IF(NOT(ISBLANK('Referenz Plattenwerk'!$I29)),'Referenz Plattenwerk'!$I29,'Referenz Plattenwerk'!$F29)*IF(NOT(ISBLANK('Eingabe EF'!$AE15)),'Eingabe EF'!$AE15,'Eingabe EF'!$AC15)</f>
        <v>0</v>
      </c>
      <c r="H183" s="38">
        <f>IF(NOT(ISBLANK('Referenz Plattenwerk'!$I29)),'Referenz Plattenwerk'!$I29,'Referenz Plattenwerk'!$F29)*IF(NOT(ISBLANK('Eingabe EF'!$AI15)),'Eingabe EF'!$AI15,'Eingabe EF'!$AG15)</f>
        <v>1.1740599000000003</v>
      </c>
      <c r="I183" s="17"/>
      <c r="J183" s="38">
        <f t="shared" si="21"/>
        <v>6.645213899999999</v>
      </c>
      <c r="K183" s="38">
        <f t="shared" si="20"/>
        <v>7.8192737999999995</v>
      </c>
      <c r="L183" s="17" t="s">
        <v>198</v>
      </c>
      <c r="M183" s="43"/>
      <c r="N183" s="21"/>
      <c r="O183" s="21"/>
      <c r="P183" s="21"/>
      <c r="Q183" s="74"/>
      <c r="R183" s="21"/>
      <c r="S183" s="21"/>
      <c r="T183" s="21"/>
      <c r="U183" s="6"/>
    </row>
    <row r="184" spans="1:21" ht="14.25" hidden="1" outlineLevel="1" x14ac:dyDescent="0.25">
      <c r="A184" s="73"/>
      <c r="B184" s="70"/>
      <c r="C184" s="70" t="s">
        <v>189</v>
      </c>
      <c r="D184" s="70"/>
      <c r="E184" s="70"/>
      <c r="F184" s="72">
        <f>F185+F186</f>
        <v>0</v>
      </c>
      <c r="G184" s="72">
        <f t="shared" ref="G184:H184" si="22">G185+G186</f>
        <v>0</v>
      </c>
      <c r="H184" s="72">
        <f t="shared" si="22"/>
        <v>469.15642799999995</v>
      </c>
      <c r="I184" s="70"/>
      <c r="J184" s="72">
        <f t="shared" si="21"/>
        <v>0</v>
      </c>
      <c r="K184" s="72">
        <f t="shared" si="20"/>
        <v>469.15642799999995</v>
      </c>
      <c r="L184" s="77" t="s">
        <v>197</v>
      </c>
      <c r="M184" s="73"/>
      <c r="N184" s="17"/>
      <c r="O184" s="17"/>
      <c r="P184" s="17"/>
      <c r="Q184" s="30"/>
      <c r="R184" s="17"/>
      <c r="S184" s="17"/>
      <c r="T184" s="17"/>
    </row>
    <row r="185" spans="1:21" ht="15.75" hidden="1" outlineLevel="1" x14ac:dyDescent="0.3">
      <c r="B185" s="17"/>
      <c r="C185" s="17"/>
      <c r="D185" s="17" t="s">
        <v>45</v>
      </c>
      <c r="E185" s="17"/>
      <c r="F185" s="38">
        <f>IF(NOT(ISBLANK('Referenz Plattenwerk'!$I32)),'Referenz Plattenwerk'!$I32,'Referenz Plattenwerk'!$F32)*IF(NOT(ISBLANK('Eingabe EF'!$AA17)),'Eingabe EF'!$AA17,'Eingabe EF'!$Y17)</f>
        <v>0</v>
      </c>
      <c r="G185" s="38">
        <f>IF(NOT(ISBLANK('Referenz Plattenwerk'!$I32)),'Referenz Plattenwerk'!$I32,'Referenz Plattenwerk'!$F32)*IF(NOT(ISBLANK('Eingabe EF'!$AE17)),'Eingabe EF'!$AE17,'Eingabe EF'!$AC17)</f>
        <v>0</v>
      </c>
      <c r="H185" s="38">
        <f>IF(NOT(ISBLANK('Referenz Plattenwerk'!$I32)),'Referenz Plattenwerk'!$I32,'Referenz Plattenwerk'!$F32)*IF(NOT(ISBLANK('Eingabe EF'!$AI17)),'Eingabe EF'!$AI17,'Eingabe EF'!$AG17)</f>
        <v>109.4698332</v>
      </c>
      <c r="I185" s="17"/>
      <c r="J185" s="38">
        <f t="shared" si="21"/>
        <v>0</v>
      </c>
      <c r="K185" s="38">
        <f t="shared" si="20"/>
        <v>109.4698332</v>
      </c>
      <c r="L185" s="17" t="s">
        <v>198</v>
      </c>
      <c r="M185" s="43"/>
      <c r="N185" s="17"/>
      <c r="O185" s="17" t="s">
        <v>30</v>
      </c>
      <c r="P185" s="17"/>
      <c r="Q185" s="30"/>
      <c r="R185" s="17"/>
      <c r="S185" s="42">
        <f>IF(NOT(ISBLANK($G$33)),$G$33,$E$33)/IF(NOT(ISBLANK($G$38)),$G$38,$E$38)+IF(NOT(ISBLANK($G$33)),$G$33,$E$33)*(IF(NOT(ISBLANK($G$39)),$G$39,$E$39)/100)</f>
        <v>0</v>
      </c>
      <c r="T185" s="20" t="s">
        <v>106</v>
      </c>
    </row>
    <row r="186" spans="1:21" ht="15.75" hidden="1" outlineLevel="1" x14ac:dyDescent="0.3">
      <c r="B186" s="17"/>
      <c r="C186" s="17"/>
      <c r="D186" s="17" t="s">
        <v>46</v>
      </c>
      <c r="E186" s="17"/>
      <c r="F186" s="38">
        <f>IF(NOT(ISBLANK('Referenz Plattenwerk'!$I33)),'Referenz Plattenwerk'!$I33,'Referenz Plattenwerk'!$F33)*IF(NOT(ISBLANK('Eingabe EF'!$AA18)),'Eingabe EF'!$AA18,'Eingabe EF'!$Y18)</f>
        <v>0</v>
      </c>
      <c r="G186" s="38">
        <f>IF(NOT(ISBLANK('Referenz Plattenwerk'!$I33)),'Referenz Plattenwerk'!$I33,'Referenz Plattenwerk'!$F33)*IF(NOT(ISBLANK('Eingabe EF'!$AE18)),'Eingabe EF'!$AE18,'Eingabe EF'!$AC18)</f>
        <v>0</v>
      </c>
      <c r="H186" s="38">
        <f>IF(NOT(ISBLANK('Referenz Plattenwerk'!$I33)),'Referenz Plattenwerk'!$I33,'Referenz Plattenwerk'!$F33)*IF(NOT(ISBLANK('Eingabe EF'!$AI18)),'Eingabe EF'!$AI18,'Eingabe EF'!$AG18)</f>
        <v>359.68659479999997</v>
      </c>
      <c r="I186" s="17"/>
      <c r="J186" s="38">
        <f t="shared" si="21"/>
        <v>0</v>
      </c>
      <c r="K186" s="38">
        <f t="shared" si="20"/>
        <v>359.68659479999997</v>
      </c>
      <c r="L186" s="17" t="s">
        <v>198</v>
      </c>
      <c r="M186" s="43"/>
      <c r="N186" s="17"/>
      <c r="O186" s="45" t="s">
        <v>153</v>
      </c>
      <c r="P186" s="17"/>
      <c r="Q186" s="30"/>
      <c r="R186" s="17"/>
      <c r="S186" s="42">
        <f>IF(NOT(ISBLANK($G$34)),$G$34,$E$34)</f>
        <v>0</v>
      </c>
      <c r="T186" s="20" t="s">
        <v>106</v>
      </c>
    </row>
    <row r="187" spans="1:21" hidden="1" outlineLevel="1" x14ac:dyDescent="0.2">
      <c r="B187" s="17"/>
      <c r="C187" s="17"/>
      <c r="D187" s="17"/>
      <c r="E187" s="17"/>
      <c r="F187" s="20"/>
      <c r="G187" s="20"/>
      <c r="H187" s="20"/>
      <c r="I187" s="17"/>
      <c r="J187" s="20"/>
      <c r="K187" s="20"/>
      <c r="L187" s="17"/>
      <c r="N187" s="17"/>
      <c r="O187" s="45" t="s">
        <v>160</v>
      </c>
      <c r="P187" s="17"/>
      <c r="Q187" s="30"/>
      <c r="R187" s="17"/>
      <c r="S187" s="42">
        <f>IF(NOT(ISBLANK($G$35)),$G$35,$E$35)/IF(NOT(ISBLANK($G$38)),$G$38,$E$38)+IF(NOT(ISBLANK($G$35)),$G$35,$E$35)*(IF(NOT(ISBLANK($G$39)),$G$39,$E$39)/100)</f>
        <v>0</v>
      </c>
      <c r="T187" s="20" t="s">
        <v>106</v>
      </c>
    </row>
    <row r="188" spans="1:21" ht="14.25" hidden="1" outlineLevel="1" x14ac:dyDescent="0.25">
      <c r="B188" s="70"/>
      <c r="C188" s="70" t="s">
        <v>68</v>
      </c>
      <c r="D188" s="71"/>
      <c r="E188" s="71"/>
      <c r="F188" s="72">
        <f>SUM(F189:F192)</f>
        <v>0</v>
      </c>
      <c r="G188" s="72">
        <f>SUM(G189:G192)</f>
        <v>0</v>
      </c>
      <c r="H188" s="72">
        <f>SUM(H189:H192)</f>
        <v>4457.57312</v>
      </c>
      <c r="I188" s="71"/>
      <c r="J188" s="72">
        <f t="shared" ref="J188:J192" si="23">F188+G188</f>
        <v>0</v>
      </c>
      <c r="K188" s="72">
        <f t="shared" ref="K188:K191" si="24">SUM(F188:H188)</f>
        <v>4457.57312</v>
      </c>
      <c r="L188" s="77" t="s">
        <v>197</v>
      </c>
      <c r="N188" s="17"/>
      <c r="O188" s="17"/>
      <c r="P188" s="17"/>
      <c r="Q188" s="17"/>
      <c r="R188" s="17"/>
      <c r="S188" s="17"/>
      <c r="T188" s="17"/>
    </row>
    <row r="189" spans="1:21" ht="15.75" hidden="1" outlineLevel="1" x14ac:dyDescent="0.3">
      <c r="B189" s="276"/>
      <c r="C189" s="17"/>
      <c r="D189" s="17" t="s">
        <v>47</v>
      </c>
      <c r="E189" s="17"/>
      <c r="F189" s="38">
        <f>$E$157*IF(NOT(ISBLANK('Referenz Plattenwerk'!$I36)),'Referenz Plattenwerk'!$I36,'Referenz Plattenwerk'!$F36)*IF(NOT(ISBLANK('Eingabe EF'!$AA21)),'Eingabe EF'!$AA21,'Eingabe EF'!$Y21)*IF(NOT(ISBLANK('Referenz Plattenwerk'!$I$12)),'Referenz Plattenwerk'!$I$12,'Referenz Plattenwerk'!$F$12)</f>
        <v>0</v>
      </c>
      <c r="G189" s="38">
        <f>$E$157*IF(NOT(ISBLANK('Referenz Plattenwerk'!$I36)),'Referenz Plattenwerk'!$I36,'Referenz Plattenwerk'!$F36)*IF(NOT(ISBLANK('Eingabe EF'!$AE21)),'Eingabe EF'!$AE21,'Eingabe EF'!$AC21)*IF(NOT(ISBLANK('Referenz Plattenwerk'!$I$12)),'Referenz Plattenwerk'!$I$12,'Referenz Plattenwerk'!$F$12)</f>
        <v>0</v>
      </c>
      <c r="H189" s="38">
        <f>$E$157*IF(NOT(ISBLANK('Referenz Plattenwerk'!$I36)),'Referenz Plattenwerk'!$I36,'Referenz Plattenwerk'!$F36)*IF(NOT(ISBLANK('Eingabe EF'!$AI21)),'Eingabe EF'!$AI21,'Eingabe EF'!$AG21)*IF(NOT(ISBLANK('Referenz Plattenwerk'!$I$12)),'Referenz Plattenwerk'!$I$12,'Referenz Plattenwerk'!$F$12)</f>
        <v>1186.0940000000001</v>
      </c>
      <c r="I189" s="17"/>
      <c r="J189" s="38">
        <f t="shared" si="23"/>
        <v>0</v>
      </c>
      <c r="K189" s="38">
        <f t="shared" si="24"/>
        <v>1186.0940000000001</v>
      </c>
      <c r="L189" s="17" t="s">
        <v>198</v>
      </c>
      <c r="M189" s="43"/>
      <c r="N189" s="17"/>
      <c r="O189" s="17"/>
      <c r="P189" s="17"/>
      <c r="Q189" s="17"/>
      <c r="R189" s="17"/>
      <c r="S189" s="17"/>
      <c r="T189" s="17"/>
    </row>
    <row r="190" spans="1:21" ht="15.75" hidden="1" outlineLevel="1" x14ac:dyDescent="0.3">
      <c r="B190" s="276"/>
      <c r="C190" s="17"/>
      <c r="D190" s="17" t="s">
        <v>49</v>
      </c>
      <c r="E190" s="17"/>
      <c r="F190" s="38">
        <f>$E$158*IF(NOT(ISBLANK('Referenz Plattenwerk'!$I37)),'Referenz Plattenwerk'!$I37,'Referenz Plattenwerk'!$F37)*IF(NOT(ISBLANK('Eingabe EF'!$AA22)),'Eingabe EF'!$AA22,'Eingabe EF'!$Y22)*IF(NOT(ISBLANK('Referenz Plattenwerk'!$I$12)),'Referenz Plattenwerk'!$I$12,'Referenz Plattenwerk'!$F$12)</f>
        <v>0</v>
      </c>
      <c r="G190" s="38">
        <f>$E$158*IF(NOT(ISBLANK('Referenz Plattenwerk'!$I37)),'Referenz Plattenwerk'!$I37,'Referenz Plattenwerk'!$F37)*IF(NOT(ISBLANK('Eingabe EF'!$AE22)),'Eingabe EF'!$AE22,'Eingabe EF'!$AC22)*IF(NOT(ISBLANK('Referenz Plattenwerk'!$I$12)),'Referenz Plattenwerk'!$I$12,'Referenz Plattenwerk'!$F$12)</f>
        <v>0</v>
      </c>
      <c r="H190" s="38">
        <f>$E$158*IF(NOT(ISBLANK('Referenz Plattenwerk'!$I37)),'Referenz Plattenwerk'!$I37,'Referenz Plattenwerk'!$F37)*IF(NOT(ISBLANK('Eingabe EF'!$AI22)),'Eingabe EF'!$AI22,'Eingabe EF'!$AG22)*IF(NOT(ISBLANK('Referenz Plattenwerk'!$I$12)),'Referenz Plattenwerk'!$I$12,'Referenz Plattenwerk'!$F$12)</f>
        <v>2367.1939200000002</v>
      </c>
      <c r="I190" s="17"/>
      <c r="J190" s="38">
        <f t="shared" si="23"/>
        <v>0</v>
      </c>
      <c r="K190" s="38">
        <f t="shared" si="24"/>
        <v>2367.1939200000002</v>
      </c>
      <c r="L190" s="17" t="s">
        <v>198</v>
      </c>
      <c r="M190" s="43"/>
      <c r="N190" s="17"/>
      <c r="O190" s="17" t="s">
        <v>200</v>
      </c>
      <c r="P190" s="17"/>
      <c r="Q190" s="30"/>
      <c r="R190" s="17"/>
      <c r="S190" s="42">
        <f>F231*IF(NOT(ISBLANK('Eingabe Preise'!$K21)),'Eingabe Preise'!$K21,'Eingabe Preise'!$I21)</f>
        <v>4271.9559777000004</v>
      </c>
      <c r="T190" s="20" t="s">
        <v>106</v>
      </c>
    </row>
    <row r="191" spans="1:21" ht="15.75" hidden="1" outlineLevel="1" x14ac:dyDescent="0.3">
      <c r="B191" s="276"/>
      <c r="C191" s="17"/>
      <c r="D191" s="17" t="s">
        <v>50</v>
      </c>
      <c r="E191" s="17"/>
      <c r="F191" s="38">
        <f>$E$159*IF(NOT(ISBLANK('Referenz Plattenwerk'!$I38)),'Referenz Plattenwerk'!$I38,'Referenz Plattenwerk'!$F38)*IF(NOT(ISBLANK('Eingabe EF'!$AA23)),'Eingabe EF'!$AA23,'Eingabe EF'!$Y23)*IF(NOT(ISBLANK('Referenz Plattenwerk'!$I$12)),'Referenz Plattenwerk'!$I$12,'Referenz Plattenwerk'!$F$12)</f>
        <v>0</v>
      </c>
      <c r="G191" s="38">
        <f>$E$159*IF(NOT(ISBLANK('Referenz Plattenwerk'!$I38)),'Referenz Plattenwerk'!$I38,'Referenz Plattenwerk'!$F38)*IF(NOT(ISBLANK('Eingabe EF'!$AE23)),'Eingabe EF'!$AE23,'Eingabe EF'!$AC23)*IF(NOT(ISBLANK('Referenz Plattenwerk'!$I$12)),'Referenz Plattenwerk'!$I$12,'Referenz Plattenwerk'!$F$12)</f>
        <v>0</v>
      </c>
      <c r="H191" s="38">
        <f>$E$159*IF(NOT(ISBLANK('Referenz Plattenwerk'!$I38)),'Referenz Plattenwerk'!$I38,'Referenz Plattenwerk'!$F38)*IF(NOT(ISBLANK('Eingabe EF'!$AI23)),'Eingabe EF'!$AI23,'Eingabe EF'!$AG23)*IF(NOT(ISBLANK('Referenz Plattenwerk'!$I$12)),'Referenz Plattenwerk'!$I$12,'Referenz Plattenwerk'!$F$12)</f>
        <v>904.2851999999998</v>
      </c>
      <c r="I191" s="17"/>
      <c r="J191" s="38">
        <f t="shared" si="23"/>
        <v>0</v>
      </c>
      <c r="K191" s="38">
        <f t="shared" si="24"/>
        <v>904.2851999999998</v>
      </c>
      <c r="L191" s="17" t="s">
        <v>198</v>
      </c>
      <c r="M191" s="43"/>
      <c r="N191" s="17"/>
      <c r="O191" s="17" t="s">
        <v>201</v>
      </c>
      <c r="P191" s="17"/>
      <c r="Q191" s="30"/>
      <c r="R191" s="17"/>
      <c r="S191" s="42">
        <f>G231*IF(NOT(ISBLANK('Eingabe Preise'!$K22)),'Eingabe Preise'!$K22,'Eingabe Preise'!$I22)</f>
        <v>5620.160118992103</v>
      </c>
      <c r="T191" s="20" t="s">
        <v>106</v>
      </c>
    </row>
    <row r="192" spans="1:21" ht="15.75" hidden="1" outlineLevel="1" x14ac:dyDescent="0.3">
      <c r="B192" s="276"/>
      <c r="C192" s="17"/>
      <c r="D192" s="17" t="s">
        <v>161</v>
      </c>
      <c r="E192" s="17"/>
      <c r="F192" s="38">
        <f>$E$160*IF(NOT(ISBLANK('Referenz Plattenwerk'!$I39)),'Referenz Plattenwerk'!$I39,'Referenz Plattenwerk'!$F39)*IF(NOT(ISBLANK('Eingabe EF'!$AA24)),'Eingabe EF'!$AA24,0)*IF(NOT(ISBLANK('Referenz Plattenwerk'!$I$12)),'Referenz Plattenwerk'!$I$12,'Referenz Plattenwerk'!$F$12)</f>
        <v>0</v>
      </c>
      <c r="G192" s="38">
        <f>$E$160*IF(NOT(ISBLANK('Referenz Plattenwerk'!$I39)),'Referenz Plattenwerk'!$I39,'Referenz Plattenwerk'!$F39)*IF(NOT(ISBLANK('Eingabe EF'!$AE24)),'Eingabe EF'!$AE24,0)*IF(NOT(ISBLANK('Referenz Plattenwerk'!$I$12)),'Referenz Plattenwerk'!$I$12,'Referenz Plattenwerk'!$F$12)</f>
        <v>0</v>
      </c>
      <c r="H192" s="38">
        <f>$E$160*IF(NOT(ISBLANK('Referenz Plattenwerk'!$I39)),'Referenz Plattenwerk'!$I39,'Referenz Plattenwerk'!$F39)*IF(NOT(ISBLANK('Eingabe EF'!$AI24)),'Eingabe EF'!$AI24,0)*IF(NOT(ISBLANK('Referenz Plattenwerk'!$I$12)),'Referenz Plattenwerk'!$I$12,'Referenz Plattenwerk'!$F$12)</f>
        <v>0</v>
      </c>
      <c r="I192" s="17"/>
      <c r="J192" s="38">
        <f t="shared" si="23"/>
        <v>0</v>
      </c>
      <c r="K192" s="38">
        <f t="shared" ref="K192" si="25">SUM(F192:H192)</f>
        <v>0</v>
      </c>
      <c r="L192" s="17" t="s">
        <v>198</v>
      </c>
      <c r="M192" s="43"/>
      <c r="N192" s="17"/>
      <c r="O192" s="17" t="s">
        <v>202</v>
      </c>
      <c r="P192" s="17"/>
      <c r="Q192" s="30"/>
      <c r="R192" s="17"/>
      <c r="S192" s="42">
        <f>H231*IF(NOT(ISBLANK('Eingabe Preise'!$K23)),'Eingabe Preise'!$K23,'Eingabe Preise'!$I23)</f>
        <v>258087.94484491937</v>
      </c>
      <c r="T192" s="20" t="s">
        <v>106</v>
      </c>
    </row>
    <row r="193" spans="2:20" hidden="1" outlineLevel="1" x14ac:dyDescent="0.2">
      <c r="B193" s="17"/>
      <c r="C193" s="17"/>
      <c r="D193" s="17"/>
      <c r="E193" s="17"/>
      <c r="F193" s="20"/>
      <c r="G193" s="20"/>
      <c r="H193" s="20"/>
      <c r="I193" s="17"/>
      <c r="J193" s="17"/>
      <c r="K193" s="20"/>
      <c r="L193" s="20"/>
      <c r="M193" s="43"/>
      <c r="N193" s="17"/>
      <c r="O193" s="17"/>
      <c r="P193" s="17"/>
      <c r="Q193" s="30"/>
      <c r="R193" s="17"/>
      <c r="S193" s="67"/>
      <c r="T193" s="17"/>
    </row>
    <row r="194" spans="2:20" ht="14.25" hidden="1" outlineLevel="1" x14ac:dyDescent="0.25">
      <c r="B194" s="70"/>
      <c r="C194" s="70" t="s">
        <v>177</v>
      </c>
      <c r="D194" s="71"/>
      <c r="E194" s="71"/>
      <c r="F194" s="72">
        <f>SUM(F195:F197)</f>
        <v>0</v>
      </c>
      <c r="G194" s="72">
        <f>SUM(G195:G197)</f>
        <v>0</v>
      </c>
      <c r="H194" s="72">
        <f>SUM(H195:H197)</f>
        <v>129.59200000000001</v>
      </c>
      <c r="I194" s="71"/>
      <c r="J194" s="72">
        <f t="shared" ref="J194" si="26">F194+G194</f>
        <v>0</v>
      </c>
      <c r="K194" s="72">
        <f t="shared" ref="K194" si="27">SUM(F194:H194)</f>
        <v>129.59200000000001</v>
      </c>
      <c r="L194" s="77" t="s">
        <v>197</v>
      </c>
      <c r="M194" s="43"/>
      <c r="N194" s="17"/>
      <c r="O194" s="17"/>
      <c r="P194" s="17"/>
      <c r="Q194" s="30"/>
      <c r="R194" s="17"/>
      <c r="S194" s="17"/>
      <c r="T194" s="17"/>
    </row>
    <row r="195" spans="2:20" ht="15.75" hidden="1" outlineLevel="1" x14ac:dyDescent="0.3">
      <c r="B195" s="17"/>
      <c r="C195" s="17"/>
      <c r="D195" s="17" t="s">
        <v>178</v>
      </c>
      <c r="E195" s="17"/>
      <c r="F195" s="38">
        <f>IF(NOT(ISBLANK('Referenz Plattenwerk'!$I42)),'Referenz Plattenwerk'!$I42,'Referenz Plattenwerk'!$F42)*IF(NOT(ISBLANK('Eingabe EF'!$AA27)),'Eingabe EF'!$AA27,'Eingabe EF'!$Y27)*IF(NOT(ISBLANK('Referenz Plattenwerk'!$I$12)),'Referenz Plattenwerk'!$I$12,'Referenz Plattenwerk'!$F$12)</f>
        <v>0</v>
      </c>
      <c r="G195" s="38">
        <f>IF(NOT(ISBLANK('Referenz Plattenwerk'!$I42)),'Referenz Plattenwerk'!$I42,'Referenz Plattenwerk'!$F42)*IF(NOT(ISBLANK('Eingabe EF'!$AE27)),'Eingabe EF'!$AE27,'Eingabe EF'!$AC27)*IF(NOT(ISBLANK('Referenz Plattenwerk'!$I$12)),'Referenz Plattenwerk'!$I$12,'Referenz Plattenwerk'!$F$12)</f>
        <v>0</v>
      </c>
      <c r="H195" s="38">
        <f>IF(NOT(ISBLANK('Referenz Plattenwerk'!$I42)),'Referenz Plattenwerk'!$I42,'Referenz Plattenwerk'!$F42)*IF(NOT(ISBLANK('Eingabe EF'!$AI27)),'Eingabe EF'!$AI27,'Eingabe EF'!$AG27)*IF(NOT(ISBLANK('Referenz Plattenwerk'!$I$12)),'Referenz Plattenwerk'!$I$12,'Referenz Plattenwerk'!$F$12)</f>
        <v>129.59200000000001</v>
      </c>
      <c r="I195" s="17"/>
      <c r="J195" s="38">
        <f>F195+G195</f>
        <v>0</v>
      </c>
      <c r="K195" s="38">
        <f>SUM(F195:H195)</f>
        <v>129.59200000000001</v>
      </c>
      <c r="L195" s="17" t="s">
        <v>198</v>
      </c>
      <c r="M195" s="43"/>
      <c r="N195" s="17"/>
      <c r="O195" s="17"/>
      <c r="P195" s="17"/>
      <c r="Q195" s="30"/>
      <c r="R195" s="17"/>
      <c r="S195" s="67"/>
      <c r="T195" s="17"/>
    </row>
    <row r="196" spans="2:20" ht="15.75" hidden="1" outlineLevel="1" x14ac:dyDescent="0.3">
      <c r="B196" s="17"/>
      <c r="C196" s="17"/>
      <c r="D196" s="17" t="s">
        <v>179</v>
      </c>
      <c r="E196" s="17"/>
      <c r="F196" s="38">
        <f>IF(NOT(ISBLANK('Referenz Plattenwerk'!$I43)),'Referenz Plattenwerk'!$I43,'Referenz Plattenwerk'!$F43)*IF(NOT(ISBLANK('Eingabe EF'!$AA28)),'Eingabe EF'!$AA28,0)*IF(NOT(ISBLANK('Referenz Plattenwerk'!$I$12)),'Referenz Plattenwerk'!$I$12,'Referenz Plattenwerk'!$F$12)</f>
        <v>0</v>
      </c>
      <c r="G196" s="38">
        <f>IF(NOT(ISBLANK('Referenz Plattenwerk'!$I43)),'Referenz Plattenwerk'!$I43,'Referenz Plattenwerk'!$F43)*IF(NOT(ISBLANK('Eingabe EF'!$AE28)),'Eingabe EF'!$AE28,0)*IF(NOT(ISBLANK('Referenz Plattenwerk'!$I$12)),'Referenz Plattenwerk'!$I$12,'Referenz Plattenwerk'!$F$12)</f>
        <v>0</v>
      </c>
      <c r="H196" s="38">
        <f>IF(NOT(ISBLANK('Referenz Plattenwerk'!$I43)),'Referenz Plattenwerk'!$I43,'Referenz Plattenwerk'!$F43)*IF(NOT(ISBLANK('Eingabe EF'!$AI28)),'Eingabe EF'!$AI28,0)*IF(NOT(ISBLANK('Referenz Plattenwerk'!$I$12)),'Referenz Plattenwerk'!$I$12,'Referenz Plattenwerk'!$F$12)</f>
        <v>0</v>
      </c>
      <c r="I196" s="17"/>
      <c r="J196" s="38">
        <f t="shared" ref="J196:J197" si="28">F196+G196</f>
        <v>0</v>
      </c>
      <c r="K196" s="38">
        <f t="shared" ref="K196:K197" si="29">SUM(F196:H196)</f>
        <v>0</v>
      </c>
      <c r="L196" s="17" t="s">
        <v>198</v>
      </c>
      <c r="M196" s="43"/>
      <c r="N196" s="43"/>
      <c r="O196" s="43"/>
      <c r="P196" s="43"/>
      <c r="Q196" s="43"/>
      <c r="R196" s="43"/>
      <c r="S196" s="43"/>
    </row>
    <row r="197" spans="2:20" ht="15.75" hidden="1" outlineLevel="1" x14ac:dyDescent="0.3">
      <c r="B197" s="17"/>
      <c r="C197" s="17"/>
      <c r="D197" s="17" t="s">
        <v>180</v>
      </c>
      <c r="E197" s="17"/>
      <c r="F197" s="38">
        <f>IF(NOT(ISBLANK('Referenz Plattenwerk'!$I44)),'Referenz Plattenwerk'!$I44,'Referenz Plattenwerk'!$F44)*IF(NOT(ISBLANK('Eingabe EF'!$AA29)),'Eingabe EF'!$AA29,0)*IF(NOT(ISBLANK('Referenz Plattenwerk'!$I$12)),'Referenz Plattenwerk'!$I$12,'Referenz Plattenwerk'!$F$12)</f>
        <v>0</v>
      </c>
      <c r="G197" s="38">
        <f>IF(NOT(ISBLANK('Referenz Plattenwerk'!$I44)),'Referenz Plattenwerk'!$I44,'Referenz Plattenwerk'!$F44)*IF(NOT(ISBLANK('Eingabe EF'!$AE29)),'Eingabe EF'!$AE29,0)*IF(NOT(ISBLANK('Referenz Plattenwerk'!$I$12)),'Referenz Plattenwerk'!$I$12,'Referenz Plattenwerk'!$F$12)</f>
        <v>0</v>
      </c>
      <c r="H197" s="38">
        <f>IF(NOT(ISBLANK('Referenz Plattenwerk'!$I44)),'Referenz Plattenwerk'!$I44,'Referenz Plattenwerk'!$F44)*IF(NOT(ISBLANK('Eingabe EF'!$AI29)),'Eingabe EF'!$AI29,0)*IF(NOT(ISBLANK('Referenz Plattenwerk'!$I$12)),'Referenz Plattenwerk'!$I$12,'Referenz Plattenwerk'!$F$12)</f>
        <v>0</v>
      </c>
      <c r="I197" s="17"/>
      <c r="J197" s="38">
        <f t="shared" si="28"/>
        <v>0</v>
      </c>
      <c r="K197" s="38">
        <f t="shared" si="29"/>
        <v>0</v>
      </c>
      <c r="L197" s="17" t="s">
        <v>198</v>
      </c>
      <c r="M197" s="43"/>
      <c r="N197" s="43"/>
      <c r="O197" s="43"/>
      <c r="P197" s="43"/>
      <c r="Q197" s="43"/>
      <c r="R197" s="43"/>
      <c r="S197" s="43"/>
    </row>
    <row r="198" spans="2:20" hidden="1" outlineLevel="1" x14ac:dyDescent="0.2">
      <c r="B198" s="17"/>
      <c r="C198" s="17"/>
      <c r="D198" s="17"/>
      <c r="E198" s="17"/>
      <c r="F198" s="20"/>
      <c r="G198" s="20"/>
      <c r="H198" s="20"/>
      <c r="I198" s="17"/>
      <c r="J198" s="17"/>
      <c r="K198" s="20"/>
      <c r="L198" s="20"/>
      <c r="M198" s="43"/>
      <c r="N198" s="43"/>
      <c r="O198" s="43"/>
      <c r="P198" s="43"/>
      <c r="Q198" s="43"/>
      <c r="R198" s="43"/>
      <c r="S198" s="43"/>
    </row>
    <row r="199" spans="2:20" ht="14.25" hidden="1" outlineLevel="1" x14ac:dyDescent="0.25">
      <c r="B199" s="17"/>
      <c r="C199" s="17"/>
      <c r="D199" s="21" t="s">
        <v>57</v>
      </c>
      <c r="E199" s="21"/>
      <c r="F199" s="75">
        <f>IF(NOT(ISBLANK('Referenz Plattenwerk'!$I46)),'Referenz Plattenwerk'!$I46,'Referenz Plattenwerk'!$F46)*IF(NOT(ISBLANK('Eingabe EF'!$AA31)),'Eingabe EF'!$AA31,'Eingabe EF'!$Y31)*IF(NOT(ISBLANK('Referenz Plattenwerk'!$I$12)),'Referenz Plattenwerk'!$I$12,'Referenz Plattenwerk'!$F$12)</f>
        <v>0</v>
      </c>
      <c r="G199" s="75">
        <f>IF(NOT(ISBLANK('Referenz Plattenwerk'!$I46)),'Referenz Plattenwerk'!$I46,'Referenz Plattenwerk'!$F46)*IF(NOT(ISBLANK('Eingabe EF'!$AE31)),'Eingabe EF'!$AE31,'Eingabe EF'!$AC31)*IF(NOT(ISBLANK('Referenz Plattenwerk'!$I$12)),'Referenz Plattenwerk'!$I$12,'Referenz Plattenwerk'!$F$12)</f>
        <v>0</v>
      </c>
      <c r="H199" s="75">
        <f>IF(NOT(ISBLANK('Referenz Plattenwerk'!$I46)),'Referenz Plattenwerk'!$I46,'Referenz Plattenwerk'!$F46)*IF(NOT(ISBLANK('Eingabe EF'!$AI31)),'Eingabe EF'!$AI31,'Eingabe EF'!$AG31)*IF(NOT(ISBLANK('Referenz Plattenwerk'!$I$12)),'Referenz Plattenwerk'!$I$12,'Referenz Plattenwerk'!$F$12)</f>
        <v>208</v>
      </c>
      <c r="I199" s="21"/>
      <c r="J199" s="75">
        <f>F199+G199</f>
        <v>0</v>
      </c>
      <c r="K199" s="75">
        <f t="shared" ref="K199" si="30">SUM(F199:H199)</f>
        <v>208</v>
      </c>
      <c r="L199" s="21" t="s">
        <v>197</v>
      </c>
      <c r="M199" s="43"/>
      <c r="N199" s="43"/>
      <c r="O199" s="43"/>
      <c r="P199" s="43"/>
      <c r="Q199" s="43"/>
      <c r="R199" s="43"/>
      <c r="S199" s="43"/>
    </row>
    <row r="200" spans="2:20" hidden="1" outlineLevel="1" x14ac:dyDescent="0.2">
      <c r="B200" s="17"/>
      <c r="C200" s="17"/>
      <c r="D200" s="17"/>
      <c r="E200" s="17"/>
      <c r="F200" s="20"/>
      <c r="G200" s="20"/>
      <c r="H200" s="20"/>
      <c r="I200" s="17"/>
      <c r="J200" s="17"/>
      <c r="K200" s="20"/>
      <c r="L200" s="20"/>
      <c r="M200" s="43"/>
      <c r="N200" s="43"/>
      <c r="O200" s="43"/>
      <c r="P200" s="43"/>
      <c r="Q200" s="43"/>
      <c r="R200" s="43"/>
      <c r="S200" s="43"/>
    </row>
    <row r="201" spans="2:20" ht="14.25" hidden="1" outlineLevel="1" x14ac:dyDescent="0.25">
      <c r="B201" s="70"/>
      <c r="C201" s="70" t="s">
        <v>181</v>
      </c>
      <c r="D201" s="71"/>
      <c r="E201" s="71"/>
      <c r="F201" s="72">
        <f>SUM(F202:F204)</f>
        <v>0</v>
      </c>
      <c r="G201" s="72">
        <f>SUM(G202:G204)</f>
        <v>0</v>
      </c>
      <c r="H201" s="72">
        <f>SUM(H202:H204)</f>
        <v>82.624080000000006</v>
      </c>
      <c r="I201" s="71"/>
      <c r="J201" s="72">
        <f t="shared" ref="J201" si="31">F201+G201</f>
        <v>0</v>
      </c>
      <c r="K201" s="72">
        <f t="shared" ref="K201" si="32">SUM(F201:H201)</f>
        <v>82.624080000000006</v>
      </c>
      <c r="L201" s="77" t="s">
        <v>197</v>
      </c>
      <c r="M201" s="43"/>
      <c r="N201" s="43"/>
      <c r="O201" s="43"/>
      <c r="P201" s="43"/>
      <c r="Q201" s="43"/>
      <c r="R201" s="43"/>
      <c r="S201" s="43"/>
    </row>
    <row r="202" spans="2:20" ht="15.75" hidden="1" outlineLevel="1" x14ac:dyDescent="0.3">
      <c r="B202" s="276"/>
      <c r="C202" s="17"/>
      <c r="D202" s="17" t="s">
        <v>59</v>
      </c>
      <c r="E202" s="17"/>
      <c r="F202" s="38">
        <f>IF(NOT(ISBLANK('Referenz Plattenwerk'!$I49)),'Referenz Plattenwerk'!$I49,'Referenz Plattenwerk'!$F49)*IF(NOT(ISBLANK('Eingabe EF'!$AA34)),'Eingabe EF'!$AA34,'Eingabe EF'!$Y34)*IF(NOT(ISBLANK('Referenz Plattenwerk'!$I$12)),'Referenz Plattenwerk'!$I$12,'Referenz Plattenwerk'!$F$12)</f>
        <v>0</v>
      </c>
      <c r="G202" s="38">
        <f>IF(NOT(ISBLANK('Referenz Plattenwerk'!$I49)),'Referenz Plattenwerk'!$I49,'Referenz Plattenwerk'!$F49)*IF(NOT(ISBLANK('Eingabe EF'!$AE34)),'Eingabe EF'!$AE34,'Eingabe EF'!$AC34)*IF(NOT(ISBLANK('Referenz Plattenwerk'!$I$12)),'Referenz Plattenwerk'!$I$12,'Referenz Plattenwerk'!$F$12)</f>
        <v>0</v>
      </c>
      <c r="H202" s="38">
        <f>$E$162*IF(NOT(ISBLANK('Referenz Plattenwerk'!$I49)),'Referenz Plattenwerk'!$I49,'Referenz Plattenwerk'!$F49)*IF(NOT(ISBLANK('Eingabe EF'!$AI34)),'Eingabe EF'!$AI34,'Eingabe EF'!$AG34)*IF(NOT(ISBLANK('Referenz Plattenwerk'!$I$12)),'Referenz Plattenwerk'!$I$12,'Referenz Plattenwerk'!$F$12)</f>
        <v>0</v>
      </c>
      <c r="I202" s="17"/>
      <c r="J202" s="38">
        <f>F202+G202</f>
        <v>0</v>
      </c>
      <c r="K202" s="38">
        <f>SUM(F202:H202)</f>
        <v>0</v>
      </c>
      <c r="L202" s="17" t="s">
        <v>198</v>
      </c>
      <c r="M202" s="43"/>
      <c r="N202" s="43"/>
      <c r="O202" s="43"/>
      <c r="P202" s="43"/>
      <c r="Q202" s="43"/>
      <c r="R202" s="43"/>
      <c r="S202" s="43"/>
    </row>
    <row r="203" spans="2:20" ht="15.75" hidden="1" outlineLevel="1" x14ac:dyDescent="0.3">
      <c r="B203" s="276"/>
      <c r="C203" s="17"/>
      <c r="D203" s="17" t="s">
        <v>60</v>
      </c>
      <c r="E203" s="17"/>
      <c r="F203" s="38">
        <f>E163*IF(NOT(ISBLANK('Referenz Plattenwerk'!$I50)),'Referenz Plattenwerk'!$I50,'Referenz Plattenwerk'!$F50)*IF(NOT(ISBLANK('Eingabe EF'!$AA35)),'Eingabe EF'!$AA35,'Eingabe EF'!$Y35)*IF(NOT(ISBLANK('Referenz Plattenwerk'!$I$12)),'Referenz Plattenwerk'!$I$12,'Referenz Plattenwerk'!$F$12)</f>
        <v>0</v>
      </c>
      <c r="G203" s="38">
        <f>E163*IF(NOT(ISBLANK('Referenz Plattenwerk'!$I50)),'Referenz Plattenwerk'!$I50,'Referenz Plattenwerk'!$F50)*IF(NOT(ISBLANK('Eingabe EF'!$AE35)),'Eingabe EF'!$AE35,'Eingabe EF'!$AC35)*IF(NOT(ISBLANK('Referenz Plattenwerk'!$I$12)),'Referenz Plattenwerk'!$I$12,'Referenz Plattenwerk'!$F$12)</f>
        <v>0</v>
      </c>
      <c r="H203" s="38">
        <f>E163*IF(NOT(ISBLANK('Referenz Plattenwerk'!$I50)),'Referenz Plattenwerk'!$I50,'Referenz Plattenwerk'!$F50)*IF(NOT(ISBLANK('Eingabe EF'!$AI35)),'Eingabe EF'!$AI35,'Eingabe EF'!$AG35)*IF(NOT(ISBLANK('Referenz Plattenwerk'!$I$12)),'Referenz Plattenwerk'!$I$12,'Referenz Plattenwerk'!$F$12)</f>
        <v>8.8576800000000002</v>
      </c>
      <c r="I203" s="17"/>
      <c r="J203" s="38">
        <f>F203+G203</f>
        <v>0</v>
      </c>
      <c r="K203" s="38">
        <f>SUM(F203:H203)</f>
        <v>8.8576800000000002</v>
      </c>
      <c r="L203" s="17" t="s">
        <v>198</v>
      </c>
      <c r="M203" s="43"/>
      <c r="N203" s="43"/>
      <c r="O203" s="43"/>
      <c r="P203" s="43"/>
      <c r="Q203" s="43"/>
      <c r="R203" s="43"/>
      <c r="S203" s="43"/>
    </row>
    <row r="204" spans="2:20" ht="15.75" hidden="1" outlineLevel="1" x14ac:dyDescent="0.3">
      <c r="B204" s="276"/>
      <c r="C204" s="17"/>
      <c r="D204" s="17" t="s">
        <v>61</v>
      </c>
      <c r="E204" s="17"/>
      <c r="F204" s="38">
        <f>E164*IF(NOT(ISBLANK('Referenz Plattenwerk'!$I51)),'Referenz Plattenwerk'!$I51,'Referenz Plattenwerk'!$F51)*IF(NOT(ISBLANK('Eingabe EF'!$AA36)),'Eingabe EF'!$AA36,'Eingabe EF'!$Y36)*IF(NOT(ISBLANK('Referenz Plattenwerk'!$I$12)),'Referenz Plattenwerk'!$I$12,'Referenz Plattenwerk'!$F$12)</f>
        <v>0</v>
      </c>
      <c r="G204" s="38">
        <f>E164*IF(NOT(ISBLANK('Referenz Plattenwerk'!$I51)),'Referenz Plattenwerk'!$I51,'Referenz Plattenwerk'!$F51)*IF(NOT(ISBLANK('Eingabe EF'!$AE36)),'Eingabe EF'!$AE36,'Eingabe EF'!$AC36)*IF(NOT(ISBLANK('Referenz Plattenwerk'!$I$12)),'Referenz Plattenwerk'!$I$12,'Referenz Plattenwerk'!$F$12)</f>
        <v>0</v>
      </c>
      <c r="H204" s="38">
        <f>E164*IF(NOT(ISBLANK('Referenz Plattenwerk'!$I51)),'Referenz Plattenwerk'!$I51,'Referenz Plattenwerk'!$F51)*IF(NOT(ISBLANK('Eingabe EF'!$AI36)),'Eingabe EF'!$AI36,'Eingabe EF'!$AG36)*IF(NOT(ISBLANK('Referenz Plattenwerk'!$I$12)),'Referenz Plattenwerk'!$I$12,'Referenz Plattenwerk'!$F$12)</f>
        <v>73.766400000000004</v>
      </c>
      <c r="I204" s="17"/>
      <c r="J204" s="38">
        <f>F204+G204</f>
        <v>0</v>
      </c>
      <c r="K204" s="38">
        <f>SUM(F204:H204)</f>
        <v>73.766400000000004</v>
      </c>
      <c r="L204" s="17" t="s">
        <v>198</v>
      </c>
      <c r="M204" s="43"/>
      <c r="N204" s="43"/>
      <c r="O204" s="43"/>
      <c r="P204" s="43"/>
      <c r="Q204" s="43"/>
      <c r="R204" s="43"/>
      <c r="S204" s="43"/>
    </row>
    <row r="205" spans="2:20" hidden="1" outlineLevel="1" x14ac:dyDescent="0.2">
      <c r="B205" s="17"/>
      <c r="C205" s="17"/>
      <c r="D205" s="17"/>
      <c r="E205" s="17"/>
      <c r="F205" s="20"/>
      <c r="G205" s="20"/>
      <c r="H205" s="20"/>
      <c r="I205" s="17"/>
      <c r="J205" s="17"/>
      <c r="K205" s="20"/>
      <c r="L205" s="20"/>
      <c r="M205" s="43"/>
      <c r="N205" s="43"/>
      <c r="O205" s="43"/>
      <c r="P205" s="43"/>
      <c r="Q205" s="43"/>
      <c r="R205" s="43"/>
      <c r="S205" s="43"/>
    </row>
    <row r="206" spans="2:20" ht="14.25" hidden="1" outlineLevel="1" x14ac:dyDescent="0.25">
      <c r="B206" s="70"/>
      <c r="C206" s="70" t="s">
        <v>51</v>
      </c>
      <c r="D206" s="71"/>
      <c r="E206" s="71"/>
      <c r="F206" s="72">
        <f>SUM(F207:F210)</f>
        <v>0</v>
      </c>
      <c r="G206" s="72">
        <f>SUM(G207:G210)</f>
        <v>0</v>
      </c>
      <c r="H206" s="72">
        <f>SUM(H207:H210)</f>
        <v>148.44746134951595</v>
      </c>
      <c r="I206" s="71"/>
      <c r="J206" s="72">
        <f t="shared" ref="J206:J210" si="33">F206+G206</f>
        <v>0</v>
      </c>
      <c r="K206" s="72">
        <f t="shared" ref="K206" si="34">SUM(F206:H206)</f>
        <v>148.44746134951595</v>
      </c>
      <c r="L206" s="77" t="s">
        <v>197</v>
      </c>
      <c r="M206" s="43"/>
      <c r="N206" s="43"/>
      <c r="O206" s="43"/>
      <c r="P206" s="43"/>
      <c r="Q206" s="43"/>
      <c r="R206" s="43"/>
      <c r="S206" s="43"/>
    </row>
    <row r="207" spans="2:20" ht="15.75" hidden="1" outlineLevel="1" x14ac:dyDescent="0.3">
      <c r="B207" s="17"/>
      <c r="C207" s="17"/>
      <c r="D207" s="17" t="s">
        <v>52</v>
      </c>
      <c r="E207" s="17"/>
      <c r="F207"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207"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207"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207" s="17"/>
      <c r="J207" s="38">
        <f t="shared" si="33"/>
        <v>0</v>
      </c>
      <c r="K207" s="38">
        <f t="shared" ref="K207:K210" si="35">SUM(F207:H207)</f>
        <v>47.997919375812742</v>
      </c>
      <c r="L207" s="17" t="s">
        <v>198</v>
      </c>
      <c r="M207" s="43"/>
      <c r="N207" s="43"/>
      <c r="O207" s="43"/>
      <c r="P207" s="43"/>
      <c r="Q207" s="43"/>
      <c r="R207" s="43"/>
      <c r="S207" s="43"/>
    </row>
    <row r="208" spans="2:20" ht="15.75" hidden="1" outlineLevel="1" x14ac:dyDescent="0.3">
      <c r="B208" s="17"/>
      <c r="C208" s="17"/>
      <c r="D208" s="17" t="s">
        <v>54</v>
      </c>
      <c r="E208" s="17"/>
      <c r="F208"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208"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208"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208" s="17"/>
      <c r="J208" s="38">
        <f t="shared" si="33"/>
        <v>0</v>
      </c>
      <c r="K208" s="38">
        <f t="shared" si="35"/>
        <v>5.7797543707556596</v>
      </c>
      <c r="L208" s="17" t="s">
        <v>198</v>
      </c>
      <c r="M208" s="43"/>
      <c r="N208" s="43"/>
      <c r="O208" s="43"/>
      <c r="P208" s="43"/>
      <c r="Q208" s="43"/>
      <c r="R208" s="43"/>
      <c r="S208" s="43"/>
    </row>
    <row r="209" spans="2:19" ht="15.75" hidden="1" outlineLevel="1" x14ac:dyDescent="0.3">
      <c r="B209" s="17"/>
      <c r="C209" s="17"/>
      <c r="D209" s="17" t="s">
        <v>55</v>
      </c>
      <c r="E209" s="17"/>
      <c r="F209"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209"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209"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209" s="17"/>
      <c r="J209" s="38">
        <f t="shared" si="33"/>
        <v>0</v>
      </c>
      <c r="K209" s="38">
        <f t="shared" si="35"/>
        <v>1.4217598612917211E-2</v>
      </c>
      <c r="L209" s="17" t="s">
        <v>198</v>
      </c>
      <c r="M209" s="43"/>
      <c r="N209" s="43"/>
      <c r="O209" s="43"/>
      <c r="P209" s="43"/>
      <c r="Q209" s="43"/>
      <c r="R209" s="43"/>
      <c r="S209" s="43"/>
    </row>
    <row r="210" spans="2:19" ht="15.75" hidden="1" outlineLevel="1" x14ac:dyDescent="0.3">
      <c r="B210" s="17"/>
      <c r="C210" s="17"/>
      <c r="D210" s="17" t="s">
        <v>56</v>
      </c>
      <c r="E210" s="17"/>
      <c r="F210"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210"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210"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210" s="17"/>
      <c r="J210" s="38">
        <f t="shared" si="33"/>
        <v>0</v>
      </c>
      <c r="K210" s="38">
        <f t="shared" si="35"/>
        <v>94.655570004334635</v>
      </c>
      <c r="L210" s="17" t="s">
        <v>198</v>
      </c>
      <c r="M210" s="43"/>
      <c r="N210" s="43"/>
      <c r="O210" s="43"/>
      <c r="P210" s="43"/>
      <c r="Q210" s="43"/>
      <c r="R210" s="43"/>
      <c r="S210" s="43"/>
    </row>
    <row r="211" spans="2:19" hidden="1" outlineLevel="1" x14ac:dyDescent="0.2">
      <c r="B211" s="17"/>
      <c r="C211" s="17"/>
      <c r="D211" s="17"/>
      <c r="E211" s="17"/>
      <c r="F211" s="20"/>
      <c r="G211" s="20"/>
      <c r="H211" s="20"/>
      <c r="I211" s="17"/>
      <c r="J211" s="20"/>
      <c r="K211" s="20"/>
      <c r="L211" s="17"/>
      <c r="M211" s="43"/>
      <c r="N211" s="43"/>
      <c r="O211" s="43"/>
      <c r="P211" s="43"/>
      <c r="Q211" s="43"/>
      <c r="R211" s="43"/>
      <c r="S211" s="43"/>
    </row>
    <row r="212" spans="2:19" ht="14.25" hidden="1" outlineLevel="1" x14ac:dyDescent="0.25">
      <c r="B212" s="70"/>
      <c r="C212" s="70" t="s">
        <v>271</v>
      </c>
      <c r="D212" s="71"/>
      <c r="E212" s="71"/>
      <c r="F212" s="72">
        <f>SUM(F213:F214)</f>
        <v>0</v>
      </c>
      <c r="G212" s="72">
        <f t="shared" ref="G212" si="36">SUM(G213:G214)</f>
        <v>0</v>
      </c>
      <c r="H212" s="72">
        <f>SUM(H213:H214)</f>
        <v>0</v>
      </c>
      <c r="I212" s="71"/>
      <c r="J212" s="72">
        <f>F212+G212</f>
        <v>0</v>
      </c>
      <c r="K212" s="72">
        <f t="shared" ref="K212" si="37">SUM(F212:H212)</f>
        <v>0</v>
      </c>
      <c r="L212" s="77" t="s">
        <v>197</v>
      </c>
      <c r="M212" s="43"/>
      <c r="N212" s="43"/>
      <c r="O212" s="43"/>
      <c r="P212" s="43"/>
      <c r="Q212" s="43"/>
      <c r="R212" s="43"/>
      <c r="S212" s="43"/>
    </row>
    <row r="213" spans="2:19" ht="15.75" hidden="1" outlineLevel="1" x14ac:dyDescent="0.3">
      <c r="B213" s="276"/>
      <c r="C213" s="17"/>
      <c r="D213" s="17" t="s">
        <v>267</v>
      </c>
      <c r="E213" s="17"/>
      <c r="F213" s="38">
        <v>0</v>
      </c>
      <c r="G213" s="38">
        <v>0</v>
      </c>
      <c r="H213" s="38">
        <f>IF(NOT(ISBLANK(G26)),G26,E26)*IF(NOT(ISBLANK(G29)),G29,0)</f>
        <v>0</v>
      </c>
      <c r="I213" s="17"/>
      <c r="J213" s="38">
        <f t="shared" ref="J213:J214" si="38">F213+G213</f>
        <v>0</v>
      </c>
      <c r="K213" s="38">
        <f t="shared" ref="K213:K214" si="39">SUM(F213:H213)</f>
        <v>0</v>
      </c>
      <c r="L213" s="17" t="s">
        <v>198</v>
      </c>
      <c r="M213" s="43"/>
      <c r="N213" s="43"/>
      <c r="O213" s="43"/>
      <c r="P213" s="43"/>
      <c r="Q213" s="43"/>
      <c r="R213" s="43"/>
      <c r="S213" s="43"/>
    </row>
    <row r="214" spans="2:19" ht="15.75" hidden="1" outlineLevel="1" x14ac:dyDescent="0.3">
      <c r="B214" s="276"/>
      <c r="C214" s="17"/>
      <c r="D214" s="17" t="s">
        <v>268</v>
      </c>
      <c r="E214" s="17"/>
      <c r="F214" s="38">
        <v>0</v>
      </c>
      <c r="G214" s="38">
        <v>0</v>
      </c>
      <c r="H214" s="38">
        <f>IF(NOT(ISBLANK(G27)),G27,E27)*IF(NOT(ISBLANK(G30)),G30,0)</f>
        <v>0</v>
      </c>
      <c r="I214" s="17"/>
      <c r="J214" s="38">
        <f t="shared" si="38"/>
        <v>0</v>
      </c>
      <c r="K214" s="38">
        <f t="shared" si="39"/>
        <v>0</v>
      </c>
      <c r="L214" s="17" t="s">
        <v>198</v>
      </c>
      <c r="M214" s="43"/>
      <c r="N214" s="43"/>
      <c r="O214" s="43"/>
      <c r="P214" s="43"/>
      <c r="Q214" s="43"/>
      <c r="R214" s="43"/>
      <c r="S214" s="43"/>
    </row>
    <row r="215" spans="2:19" hidden="1" outlineLevel="1" x14ac:dyDescent="0.2">
      <c r="B215" s="17"/>
      <c r="C215" s="17"/>
      <c r="D215" s="17"/>
      <c r="E215" s="17"/>
      <c r="F215" s="20"/>
      <c r="G215" s="20"/>
      <c r="H215" s="20"/>
      <c r="I215" s="17"/>
      <c r="J215" s="20"/>
      <c r="K215" s="20"/>
      <c r="L215" s="17"/>
      <c r="M215" s="43"/>
      <c r="N215" s="43"/>
      <c r="O215" s="43"/>
      <c r="P215" s="43"/>
      <c r="Q215" s="43"/>
      <c r="R215" s="43"/>
      <c r="S215" s="43"/>
    </row>
    <row r="216" spans="2:19" ht="14.25" hidden="1" outlineLevel="1" x14ac:dyDescent="0.25">
      <c r="B216" s="17"/>
      <c r="C216" s="17"/>
      <c r="D216" s="21" t="s">
        <v>110</v>
      </c>
      <c r="E216" s="21"/>
      <c r="F216" s="75">
        <f>IF(NOT(ISBLANK('Referenz Plattenwerk'!$I59)),'Referenz Plattenwerk'!$I59,'Referenz Plattenwerk'!$F59)*IF(NOT(ISBLANK('Eingabe EF'!$AA44)),'Eingabe EF'!$AA44,0)*IF(NOT(ISBLANK('Referenz Plattenwerk'!$I$12)),'Referenz Plattenwerk'!$I$12,'Referenz Plattenwerk'!$F$12)</f>
        <v>0</v>
      </c>
      <c r="G216" s="75">
        <f>IF(NOT(ISBLANK('Referenz Plattenwerk'!$I59)),'Referenz Plattenwerk'!$I59,'Referenz Plattenwerk'!$F59)*IF(NOT(ISBLANK('Eingabe EF'!$AE44)),'Eingabe EF'!$AE44,0)*IF(NOT(ISBLANK('Referenz Plattenwerk'!$I$12)),'Referenz Plattenwerk'!$I$12,'Referenz Plattenwerk'!$F$12)</f>
        <v>0</v>
      </c>
      <c r="H216" s="75">
        <f>IF(NOT(ISBLANK('Referenz Plattenwerk'!$I59)),'Referenz Plattenwerk'!$I59,'Referenz Plattenwerk'!$F59)*IF(NOT(ISBLANK('Eingabe EF'!$AI44)),'Eingabe EF'!$AI44,0)*IF(NOT(ISBLANK('Referenz Plattenwerk'!$I$12)),'Referenz Plattenwerk'!$I$12,'Referenz Plattenwerk'!$F$12)</f>
        <v>0</v>
      </c>
      <c r="I216" s="21"/>
      <c r="J216" s="75">
        <f>F216+G216</f>
        <v>0</v>
      </c>
      <c r="K216" s="75">
        <f>SUM(F216:H216)</f>
        <v>0</v>
      </c>
      <c r="L216" s="21" t="s">
        <v>197</v>
      </c>
      <c r="M216" s="43"/>
      <c r="N216" s="43"/>
      <c r="O216" s="43"/>
      <c r="P216" s="43"/>
      <c r="Q216" s="43"/>
      <c r="R216" s="43"/>
      <c r="S216" s="43"/>
    </row>
    <row r="217" spans="2:19" ht="14.25" hidden="1" outlineLevel="1" x14ac:dyDescent="0.25">
      <c r="B217" s="17"/>
      <c r="C217" s="17"/>
      <c r="D217" s="21" t="s">
        <v>64</v>
      </c>
      <c r="E217" s="21"/>
      <c r="F217" s="75">
        <f>IF(NOT(ISBLANK('Referenz Plattenwerk'!$I60)),'Referenz Plattenwerk'!$I60,'Referenz Plattenwerk'!$F60)*IF(NOT(ISBLANK('Eingabe EF'!$AA45)),'Eingabe EF'!$AA45,'Eingabe EF'!$Y45)</f>
        <v>0</v>
      </c>
      <c r="G217" s="75">
        <f>IF(NOT(ISBLANK('Referenz Plattenwerk'!$I60)),'Referenz Plattenwerk'!$I60,'Referenz Plattenwerk'!$F60)*IF(NOT(ISBLANK('Eingabe EF'!$AE45)),'Eingabe EF'!$AE45,'Eingabe EF'!$AC45)</f>
        <v>0</v>
      </c>
      <c r="H217" s="75">
        <f>IF(NOT(ISBLANK('Referenz Plattenwerk'!$I60)),'Referenz Plattenwerk'!$I60,'Referenz Plattenwerk'!$F60)*IF(NOT(ISBLANK('Eingabe EF'!$AI45)),'Eingabe EF'!$AI45,'Eingabe EF'!$AG45)</f>
        <v>0.54400000000000004</v>
      </c>
      <c r="I217" s="21"/>
      <c r="J217" s="75">
        <f>F217+G217</f>
        <v>0</v>
      </c>
      <c r="K217" s="75">
        <f>SUM(F217:H217)</f>
        <v>0.54400000000000004</v>
      </c>
      <c r="L217" s="21" t="s">
        <v>197</v>
      </c>
      <c r="M217" s="43"/>
      <c r="N217" s="43"/>
      <c r="O217" s="43"/>
      <c r="P217" s="43"/>
      <c r="Q217" s="43"/>
      <c r="R217" s="43"/>
      <c r="S217" s="43"/>
    </row>
    <row r="218" spans="2:19" hidden="1" outlineLevel="1" x14ac:dyDescent="0.2">
      <c r="B218" s="17"/>
      <c r="C218" s="17"/>
      <c r="D218" s="17"/>
      <c r="E218" s="17"/>
      <c r="F218" s="20"/>
      <c r="G218" s="20"/>
      <c r="H218" s="20"/>
      <c r="I218" s="17"/>
      <c r="J218" s="20"/>
      <c r="K218" s="20"/>
      <c r="L218" s="17"/>
      <c r="M218" s="43"/>
      <c r="N218" s="43"/>
      <c r="O218" s="43"/>
      <c r="P218" s="43"/>
      <c r="Q218" s="43"/>
      <c r="R218" s="43"/>
      <c r="S218" s="43"/>
    </row>
    <row r="219" spans="2:19" ht="14.25" hidden="1" outlineLevel="1" x14ac:dyDescent="0.25">
      <c r="B219" s="70"/>
      <c r="C219" s="70" t="s">
        <v>182</v>
      </c>
      <c r="D219" s="71"/>
      <c r="E219" s="71"/>
      <c r="F219" s="72">
        <f>SUM(F220:F222)</f>
        <v>0</v>
      </c>
      <c r="G219" s="72">
        <f>SUM(G220:G222)</f>
        <v>0</v>
      </c>
      <c r="H219" s="72">
        <f>SUM(H220:H222)</f>
        <v>80.47999999999999</v>
      </c>
      <c r="I219" s="71"/>
      <c r="J219" s="72">
        <f t="shared" ref="J219:J222" si="40">F219+G219</f>
        <v>0</v>
      </c>
      <c r="K219" s="72">
        <f t="shared" ref="K219" si="41">SUM(F219:H219)</f>
        <v>80.47999999999999</v>
      </c>
      <c r="L219" s="77" t="s">
        <v>197</v>
      </c>
      <c r="M219" s="43"/>
      <c r="N219" s="43"/>
      <c r="O219" s="43"/>
      <c r="P219" s="43"/>
      <c r="Q219" s="43"/>
      <c r="R219" s="43"/>
      <c r="S219" s="43"/>
    </row>
    <row r="220" spans="2:19" ht="15.75" hidden="1" outlineLevel="1" x14ac:dyDescent="0.3">
      <c r="B220" s="17"/>
      <c r="C220" s="17"/>
      <c r="D220" s="17" t="s">
        <v>183</v>
      </c>
      <c r="E220" s="17"/>
      <c r="F220" s="38">
        <f>IF(NOT(ISBLANK('Referenz Plattenwerk'!$I63)),'Referenz Plattenwerk'!$I63,'Referenz Plattenwerk'!$F63)*IF(NOT(ISBLANK('Eingabe EF'!$AA48)),'Eingabe EF'!$AA48,0)*IF(NOT(ISBLANK('Referenz Plattenwerk'!$I$12)),'Referenz Plattenwerk'!$I$12,'Referenz Plattenwerk'!$F$12)</f>
        <v>0</v>
      </c>
      <c r="G220" s="38">
        <f>IF(NOT(ISBLANK('Referenz Plattenwerk'!$I63)),'Referenz Plattenwerk'!$I63,'Referenz Plattenwerk'!$F63)*IF(NOT(ISBLANK('Eingabe EF'!$AE48)),'Eingabe EF'!$AE48,0)*IF(NOT(ISBLANK('Referenz Plattenwerk'!$I$12)),'Referenz Plattenwerk'!$I$12,'Referenz Plattenwerk'!$F$12)</f>
        <v>0</v>
      </c>
      <c r="H220" s="38">
        <f>IF(NOT(ISBLANK('Referenz Plattenwerk'!$I63)),'Referenz Plattenwerk'!$I63,'Referenz Plattenwerk'!$F63)*IF(NOT(ISBLANK('Eingabe EF'!$AI48)),'Eingabe EF'!$AI48,0)*IF(NOT(ISBLANK('Referenz Plattenwerk'!$I$12)),'Referenz Plattenwerk'!$I$12,'Referenz Plattenwerk'!$F$12)</f>
        <v>0</v>
      </c>
      <c r="I220" s="17"/>
      <c r="J220" s="38">
        <f t="shared" si="40"/>
        <v>0</v>
      </c>
      <c r="K220" s="38">
        <f t="shared" ref="K220:K222" si="42">SUM(F220:H220)</f>
        <v>0</v>
      </c>
      <c r="L220" s="17" t="s">
        <v>198</v>
      </c>
      <c r="M220" s="43"/>
      <c r="N220" s="43"/>
      <c r="O220" s="43"/>
      <c r="P220" s="43"/>
      <c r="Q220" s="43"/>
      <c r="R220" s="43"/>
      <c r="S220" s="43"/>
    </row>
    <row r="221" spans="2:19" ht="15.75" hidden="1" outlineLevel="1" x14ac:dyDescent="0.3">
      <c r="B221" s="17"/>
      <c r="C221" s="17"/>
      <c r="D221" s="17" t="s">
        <v>62</v>
      </c>
      <c r="E221" s="17"/>
      <c r="F221" s="38">
        <f>IF(NOT(ISBLANK('Referenz Plattenwerk'!$I64)),'Referenz Plattenwerk'!$I64,'Referenz Plattenwerk'!$F64)*IF(NOT(ISBLANK('Eingabe EF'!$AA49)),'Eingabe EF'!$AA49,'Eingabe EF'!$Y49)*IF(NOT(ISBLANK('Referenz Plattenwerk'!$I$12)),'Referenz Plattenwerk'!$I$12,'Referenz Plattenwerk'!$F$12)</f>
        <v>0</v>
      </c>
      <c r="G221" s="38">
        <f>IF(NOT(ISBLANK('Referenz Plattenwerk'!$I64)),'Referenz Plattenwerk'!$I64,'Referenz Plattenwerk'!$F64)*IF(NOT(ISBLANK('Eingabe EF'!$AE49)),'Eingabe EF'!$AE49,'Eingabe EF'!$AC49)*IF(NOT(ISBLANK('Referenz Plattenwerk'!$I$12)),'Referenz Plattenwerk'!$I$12,'Referenz Plattenwerk'!$F$12)</f>
        <v>0</v>
      </c>
      <c r="H221" s="38">
        <f>IF(NOT(ISBLANK('Referenz Plattenwerk'!$I64)),'Referenz Plattenwerk'!$I64,'Referenz Plattenwerk'!$F64)*IF(NOT(ISBLANK('Eingabe EF'!$AI49)),'Eingabe EF'!$AI49,'Eingabe EF'!$AG49)*IF(NOT(ISBLANK('Referenz Plattenwerk'!$I$12)),'Referenz Plattenwerk'!$I$12,'Referenz Plattenwerk'!$F$12)</f>
        <v>80.47999999999999</v>
      </c>
      <c r="I221" s="17"/>
      <c r="J221" s="38">
        <f t="shared" si="40"/>
        <v>0</v>
      </c>
      <c r="K221" s="38">
        <f t="shared" si="42"/>
        <v>80.47999999999999</v>
      </c>
      <c r="L221" s="17" t="s">
        <v>198</v>
      </c>
      <c r="M221" s="43"/>
      <c r="N221" s="43"/>
      <c r="O221" s="43"/>
      <c r="P221" s="43"/>
      <c r="Q221" s="43"/>
      <c r="R221" s="43"/>
      <c r="S221" s="43"/>
    </row>
    <row r="222" spans="2:19" ht="15.75" hidden="1" outlineLevel="1" x14ac:dyDescent="0.3">
      <c r="B222" s="17"/>
      <c r="C222" s="17"/>
      <c r="D222" s="17" t="s">
        <v>184</v>
      </c>
      <c r="E222" s="17"/>
      <c r="F222" s="38">
        <f>IF(NOT(ISBLANK('Referenz Plattenwerk'!$I65)),'Referenz Plattenwerk'!$I65,'Referenz Plattenwerk'!$F65)*IF(NOT(ISBLANK('Eingabe EF'!$AA50)),'Eingabe EF'!$AA50,0)*IF(NOT(ISBLANK('Referenz Plattenwerk'!$I$12)),'Referenz Plattenwerk'!$I$12,'Referenz Plattenwerk'!$F$12)</f>
        <v>0</v>
      </c>
      <c r="G222" s="38">
        <f>IF(NOT(ISBLANK('Referenz Plattenwerk'!$I65)),'Referenz Plattenwerk'!$I65,'Referenz Plattenwerk'!$F65)*IF(NOT(ISBLANK('Eingabe EF'!$AE50)),'Eingabe EF'!$AE50,0)*IF(NOT(ISBLANK('Referenz Plattenwerk'!$I$12)),'Referenz Plattenwerk'!$I$12,'Referenz Plattenwerk'!$F$12)</f>
        <v>0</v>
      </c>
      <c r="H222" s="38">
        <f>IF(NOT(ISBLANK('Referenz Plattenwerk'!$I65)),'Referenz Plattenwerk'!$I65,'Referenz Plattenwerk'!$F65)*IF(NOT(ISBLANK('Eingabe EF'!$AI50)),'Eingabe EF'!$AI50,0)*IF(NOT(ISBLANK('Referenz Plattenwerk'!$I$12)),'Referenz Plattenwerk'!$I$12,'Referenz Plattenwerk'!$F$12)</f>
        <v>0</v>
      </c>
      <c r="I222" s="17"/>
      <c r="J222" s="38">
        <f t="shared" si="40"/>
        <v>0</v>
      </c>
      <c r="K222" s="38">
        <f t="shared" si="42"/>
        <v>0</v>
      </c>
      <c r="L222" s="17" t="s">
        <v>198</v>
      </c>
      <c r="M222" s="43"/>
      <c r="N222" s="43"/>
      <c r="O222" s="43"/>
      <c r="P222" s="43"/>
      <c r="Q222" s="43"/>
      <c r="R222" s="43"/>
      <c r="S222" s="43"/>
    </row>
    <row r="223" spans="2:19" hidden="1" outlineLevel="1" x14ac:dyDescent="0.2">
      <c r="B223" s="17"/>
      <c r="C223" s="17"/>
      <c r="D223" s="17"/>
      <c r="E223" s="17"/>
      <c r="F223" s="20"/>
      <c r="G223" s="20"/>
      <c r="H223" s="20"/>
      <c r="I223" s="17"/>
      <c r="J223" s="17"/>
      <c r="K223" s="17"/>
      <c r="L223" s="20"/>
      <c r="M223" s="43"/>
      <c r="N223" s="43"/>
      <c r="O223" s="43"/>
      <c r="P223" s="43"/>
      <c r="Q223" s="43"/>
      <c r="R223" s="43"/>
      <c r="S223" s="43"/>
    </row>
    <row r="224" spans="2:19" ht="14.25" hidden="1" outlineLevel="1" x14ac:dyDescent="0.25">
      <c r="B224" s="70"/>
      <c r="C224" s="70" t="s">
        <v>185</v>
      </c>
      <c r="D224" s="71"/>
      <c r="E224" s="71"/>
      <c r="F224" s="72">
        <f>SUM(F225:F227)</f>
        <v>0</v>
      </c>
      <c r="G224" s="72">
        <f>SUM(G225:G227)</f>
        <v>0</v>
      </c>
      <c r="H224" s="72">
        <f>SUM(H225:H227)</f>
        <v>60</v>
      </c>
      <c r="I224" s="71"/>
      <c r="J224" s="72">
        <f>F224+G224</f>
        <v>0</v>
      </c>
      <c r="K224" s="72">
        <f t="shared" ref="K224" si="43">SUM(F224:H224)</f>
        <v>60</v>
      </c>
      <c r="L224" s="77" t="s">
        <v>197</v>
      </c>
      <c r="M224" s="43"/>
      <c r="N224" s="43"/>
      <c r="O224" s="43"/>
      <c r="P224" s="43"/>
      <c r="Q224" s="43"/>
      <c r="R224" s="43"/>
      <c r="S224" s="43"/>
    </row>
    <row r="225" spans="2:20" ht="15.75" hidden="1" outlineLevel="1" x14ac:dyDescent="0.3">
      <c r="B225" s="17"/>
      <c r="C225" s="17"/>
      <c r="D225" s="17" t="s">
        <v>66</v>
      </c>
      <c r="E225" s="17"/>
      <c r="F225" s="38">
        <f>IF(NOT(ISBLANK('Referenz Plattenwerk'!$I68)),'Referenz Plattenwerk'!$I68,'Referenz Plattenwerk'!$F68)*IF(NOT(ISBLANK('Eingabe EF'!$AA53)),'Eingabe EF'!$AA53,'Eingabe EF'!$Y53)</f>
        <v>0</v>
      </c>
      <c r="G225" s="38">
        <f>IF(NOT(ISBLANK('Referenz Plattenwerk'!$I68)),'Referenz Plattenwerk'!$I68,'Referenz Plattenwerk'!$F68)*IF(NOT(ISBLANK('Eingabe EF'!$AE53)),'Eingabe EF'!$AE53,'Eingabe EF'!$AC53)</f>
        <v>0</v>
      </c>
      <c r="H225" s="38">
        <f>IF(NOT(ISBLANK('Referenz Plattenwerk'!$I68)),'Referenz Plattenwerk'!$I68,'Referenz Plattenwerk'!$F68)*IF(NOT(ISBLANK('Eingabe EF'!$AI53)),'Eingabe EF'!$AI53,'Eingabe EF'!$AG53)</f>
        <v>60</v>
      </c>
      <c r="I225" s="17"/>
      <c r="J225" s="38">
        <f>F225+G225</f>
        <v>0</v>
      </c>
      <c r="K225" s="38">
        <f>SUM(F225:H225)</f>
        <v>60</v>
      </c>
      <c r="L225" s="17" t="s">
        <v>198</v>
      </c>
      <c r="M225" s="43"/>
      <c r="N225" s="43"/>
      <c r="O225" s="43"/>
      <c r="P225" s="43"/>
      <c r="Q225" s="43"/>
      <c r="R225" s="43"/>
      <c r="S225" s="43"/>
    </row>
    <row r="226" spans="2:20" ht="15.75" hidden="1" outlineLevel="1" x14ac:dyDescent="0.3">
      <c r="B226" s="17"/>
      <c r="C226" s="17"/>
      <c r="D226" s="17" t="s">
        <v>187</v>
      </c>
      <c r="E226" s="17"/>
      <c r="F226" s="38">
        <f>IF(NOT(ISBLANK('Referenz Plattenwerk'!$I69)),'Referenz Plattenwerk'!$I69,'Referenz Plattenwerk'!$F69)*IF(NOT(ISBLANK('Eingabe EF'!$AA54)),'Eingabe EF'!$AA54,0)</f>
        <v>0</v>
      </c>
      <c r="G226" s="38">
        <f>IF(NOT(ISBLANK('Referenz Plattenwerk'!$I69)),'Referenz Plattenwerk'!$I69,'Referenz Plattenwerk'!$F69)*IF(NOT(ISBLANK('Eingabe EF'!$AE54)),'Eingabe EF'!$AE54,0)</f>
        <v>0</v>
      </c>
      <c r="H226" s="38">
        <f>IF(NOT(ISBLANK('Referenz Plattenwerk'!$I69)),'Referenz Plattenwerk'!$I69,'Referenz Plattenwerk'!$F69)*IF(NOT(ISBLANK('Eingabe EF'!$AI54)),'Eingabe EF'!$AI54,0)</f>
        <v>0</v>
      </c>
      <c r="I226" s="17"/>
      <c r="J226" s="38">
        <f t="shared" ref="J226:J227" si="44">F226+G226</f>
        <v>0</v>
      </c>
      <c r="K226" s="38">
        <f t="shared" ref="K226:K227" si="45">SUM(F226:H226)</f>
        <v>0</v>
      </c>
      <c r="L226" s="17" t="s">
        <v>198</v>
      </c>
      <c r="M226" s="43"/>
      <c r="N226" s="43"/>
      <c r="O226" s="43"/>
      <c r="P226" s="43"/>
      <c r="Q226" s="43"/>
      <c r="R226" s="43"/>
      <c r="S226" s="43"/>
    </row>
    <row r="227" spans="2:20" ht="15.75" hidden="1" outlineLevel="1" x14ac:dyDescent="0.3">
      <c r="B227" s="17"/>
      <c r="C227" s="17"/>
      <c r="D227" s="17" t="s">
        <v>186</v>
      </c>
      <c r="E227" s="17"/>
      <c r="F227" s="38">
        <f>IF(NOT(ISBLANK('Referenz Plattenwerk'!$I70)),'Referenz Plattenwerk'!$I70,'Referenz Plattenwerk'!$F70)*IF(NOT(ISBLANK('Eingabe EF'!$AA55)),'Eingabe EF'!$AA55,0)</f>
        <v>0</v>
      </c>
      <c r="G227" s="38">
        <f>IF(NOT(ISBLANK('Referenz Plattenwerk'!$I70)),'Referenz Plattenwerk'!$I70,'Referenz Plattenwerk'!$F70)*IF(NOT(ISBLANK('Eingabe EF'!$AE55)),'Eingabe EF'!$AE55,0)</f>
        <v>0</v>
      </c>
      <c r="H227" s="38">
        <f>IF(NOT(ISBLANK('Referenz Plattenwerk'!$I70)),'Referenz Plattenwerk'!$I70,'Referenz Plattenwerk'!$F70)*IF(NOT(ISBLANK('Eingabe EF'!$AI55)),'Eingabe EF'!$AI55,0)</f>
        <v>0</v>
      </c>
      <c r="I227" s="17"/>
      <c r="J227" s="38">
        <f t="shared" si="44"/>
        <v>0</v>
      </c>
      <c r="K227" s="38">
        <f t="shared" si="45"/>
        <v>0</v>
      </c>
      <c r="L227" s="17" t="s">
        <v>198</v>
      </c>
      <c r="M227" s="43"/>
      <c r="N227" s="43"/>
      <c r="O227" s="43"/>
      <c r="P227" s="43"/>
      <c r="Q227" s="43"/>
      <c r="R227" s="43"/>
      <c r="S227" s="43"/>
    </row>
    <row r="228" spans="2:20" hidden="1" outlineLevel="1" x14ac:dyDescent="0.2">
      <c r="B228" s="17"/>
      <c r="C228" s="17"/>
      <c r="D228" s="17"/>
      <c r="E228" s="17"/>
      <c r="F228" s="20"/>
      <c r="G228" s="20"/>
      <c r="H228" s="20"/>
      <c r="I228" s="17"/>
      <c r="J228" s="17"/>
      <c r="K228" s="17"/>
      <c r="L228" s="20"/>
      <c r="M228" s="43"/>
      <c r="N228" s="43"/>
      <c r="O228" s="43"/>
      <c r="P228" s="43"/>
      <c r="Q228" s="43"/>
      <c r="R228" s="43"/>
      <c r="S228" s="43"/>
    </row>
    <row r="229" spans="2:20" ht="14.25" hidden="1" outlineLevel="1" x14ac:dyDescent="0.25">
      <c r="B229" s="17"/>
      <c r="C229" s="17"/>
      <c r="D229" s="21" t="s">
        <v>63</v>
      </c>
      <c r="E229" s="21"/>
      <c r="F229" s="75">
        <f>IF(NOT(ISBLANK('Referenz Plattenwerk'!$I72)),'Referenz Plattenwerk'!$I72,'Referenz Plattenwerk'!$F72)*IF(NOT(ISBLANK('Eingabe EF'!$AA57)),'Eingabe EF'!$AA57,'Eingabe EF'!$Y57)</f>
        <v>0</v>
      </c>
      <c r="G229" s="75">
        <f>IF(NOT(ISBLANK('Referenz Plattenwerk'!$I72)),'Referenz Plattenwerk'!$I72,'Referenz Plattenwerk'!$F72)*IF(NOT(ISBLANK('Eingabe EF'!$AE57)),'Eingabe EF'!$AE57,'Eingabe EF'!$AC57)</f>
        <v>0</v>
      </c>
      <c r="H229" s="75">
        <f>IF(NOT(ISBLANK('Referenz Plattenwerk'!$I72)),'Referenz Plattenwerk'!$I72,'Referenz Plattenwerk'!$F72)*IF(NOT(ISBLANK('Eingabe EF'!$AI57)),'Eingabe EF'!$AI57,'Eingabe EF'!$AG57)</f>
        <v>64.48</v>
      </c>
      <c r="I229" s="21"/>
      <c r="J229" s="75">
        <f t="shared" ref="J229" si="46">F229+G229</f>
        <v>0</v>
      </c>
      <c r="K229" s="75">
        <f t="shared" ref="K229" si="47">SUM(F229:H229)</f>
        <v>64.48</v>
      </c>
      <c r="L229" s="21" t="s">
        <v>197</v>
      </c>
      <c r="M229" s="43"/>
      <c r="N229" s="43"/>
      <c r="O229" s="43"/>
      <c r="P229" s="43"/>
      <c r="Q229" s="43"/>
      <c r="R229" s="43"/>
      <c r="S229" s="43"/>
    </row>
    <row r="230" spans="2:20" hidden="1" outlineLevel="1" x14ac:dyDescent="0.2">
      <c r="B230" s="17"/>
      <c r="C230" s="17"/>
      <c r="D230" s="17"/>
      <c r="E230" s="17"/>
      <c r="F230" s="20"/>
      <c r="G230" s="20"/>
      <c r="H230" s="20"/>
      <c r="I230" s="17"/>
      <c r="J230" s="17"/>
      <c r="K230" s="17"/>
      <c r="L230" s="20"/>
      <c r="M230" s="43"/>
      <c r="N230" s="43"/>
      <c r="O230" s="43"/>
      <c r="P230" s="43"/>
      <c r="Q230" s="43"/>
      <c r="R230" s="43"/>
      <c r="S230" s="43"/>
    </row>
    <row r="231" spans="2:20" ht="15" hidden="1" outlineLevel="1" thickBot="1" x14ac:dyDescent="0.3">
      <c r="B231" s="17"/>
      <c r="C231" s="17"/>
      <c r="D231" s="68" t="s">
        <v>69</v>
      </c>
      <c r="E231" s="68"/>
      <c r="F231" s="69">
        <f>SUM(F170:F229)-F184-F188-F194-F201-F206-F219-F224-F212</f>
        <v>94.932355060000006</v>
      </c>
      <c r="G231" s="69">
        <f t="shared" ref="G231:H231" si="48">SUM(G170:G229)-G184-G188-G194-G201-G206-G219-G224-G212</f>
        <v>124.8924470887134</v>
      </c>
      <c r="H231" s="69">
        <f t="shared" si="48"/>
        <v>5735.2876632204307</v>
      </c>
      <c r="I231" s="21"/>
      <c r="J231" s="69">
        <f>SUM(J170:J229)-J184-J188-J194-J201-J206-J219-J224-J212</f>
        <v>219.82480214871336</v>
      </c>
      <c r="K231" s="69">
        <f>SUM(K170:K229)-K184-K188-K194-K201-K206-K219-K224-K212</f>
        <v>5955.112465369145</v>
      </c>
      <c r="L231" s="69" t="s">
        <v>197</v>
      </c>
      <c r="M231" s="43"/>
      <c r="N231" s="43"/>
      <c r="O231" s="43"/>
      <c r="P231" s="43"/>
      <c r="Q231" s="43"/>
      <c r="R231" s="43"/>
      <c r="S231" s="43"/>
    </row>
    <row r="232" spans="2:20" ht="13.5" hidden="1" outlineLevel="2" thickTop="1" x14ac:dyDescent="0.2">
      <c r="B232" s="17"/>
      <c r="C232" s="17"/>
      <c r="D232" s="17"/>
      <c r="E232" s="17"/>
      <c r="F232" s="20"/>
      <c r="G232" s="20"/>
      <c r="H232" s="20"/>
      <c r="I232" s="17"/>
      <c r="J232" s="17"/>
      <c r="K232" s="17"/>
      <c r="L232" s="20"/>
      <c r="M232" s="43"/>
    </row>
    <row r="233" spans="2:20" collapsed="1" x14ac:dyDescent="0.2"/>
    <row r="234" spans="2:20" ht="15.75" hidden="1" outlineLevel="1" x14ac:dyDescent="0.25">
      <c r="N234" s="22" t="s">
        <v>117</v>
      </c>
      <c r="O234" s="17"/>
      <c r="P234" s="17"/>
      <c r="Q234" s="17"/>
      <c r="R234" s="17"/>
      <c r="S234" s="17"/>
      <c r="T234" s="17"/>
    </row>
    <row r="235" spans="2:20" ht="15.75" hidden="1" outlineLevel="1" x14ac:dyDescent="0.25">
      <c r="B235" s="22"/>
      <c r="C235" s="22" t="s">
        <v>114</v>
      </c>
      <c r="D235" s="17"/>
      <c r="E235" s="17"/>
      <c r="F235" s="17"/>
      <c r="G235" s="17"/>
      <c r="H235" s="17"/>
      <c r="I235" s="17"/>
      <c r="J235" s="17"/>
      <c r="K235" s="17"/>
      <c r="L235" s="17"/>
      <c r="N235" s="65">
        <v>2030</v>
      </c>
      <c r="O235" s="17"/>
      <c r="P235" s="17"/>
      <c r="Q235" s="17"/>
      <c r="R235" s="17"/>
      <c r="S235" s="17"/>
      <c r="T235" s="17"/>
    </row>
    <row r="236" spans="2:20" ht="15" hidden="1" outlineLevel="1" x14ac:dyDescent="0.25">
      <c r="B236" s="65"/>
      <c r="C236" s="65">
        <v>2030</v>
      </c>
      <c r="D236" s="17" t="s">
        <v>206</v>
      </c>
      <c r="E236" s="25"/>
      <c r="F236" s="25"/>
      <c r="G236" s="25"/>
      <c r="H236" s="25"/>
      <c r="I236" s="25"/>
      <c r="J236" s="25"/>
      <c r="K236" s="25"/>
      <c r="L236" s="25"/>
      <c r="N236" s="17"/>
      <c r="O236" s="17"/>
      <c r="P236" s="17"/>
      <c r="Q236" s="17"/>
      <c r="R236" s="17"/>
      <c r="S236" s="17"/>
      <c r="T236" s="17"/>
    </row>
    <row r="237" spans="2:20" hidden="1" outlineLevel="1" x14ac:dyDescent="0.2">
      <c r="B237" s="276"/>
      <c r="C237" s="17"/>
      <c r="D237" s="17" t="s">
        <v>260</v>
      </c>
      <c r="E237" s="289">
        <f>(1+(IF(NOT(ISBLANK($K17)),$K17/100,$I17/100)))</f>
        <v>0.95</v>
      </c>
      <c r="F237" s="17"/>
      <c r="G237" s="17"/>
      <c r="H237" s="17"/>
      <c r="I237" s="17"/>
      <c r="J237" s="17"/>
      <c r="K237" s="17"/>
      <c r="L237" s="17"/>
      <c r="N237" s="17"/>
      <c r="O237" s="17"/>
      <c r="P237" s="17"/>
      <c r="Q237" s="17"/>
      <c r="R237" s="17"/>
      <c r="S237" s="17"/>
      <c r="T237" s="17"/>
    </row>
    <row r="238" spans="2:20" hidden="1" outlineLevel="1" x14ac:dyDescent="0.2">
      <c r="B238" s="276"/>
      <c r="C238" s="17"/>
      <c r="D238" s="17" t="s">
        <v>261</v>
      </c>
      <c r="E238" s="289">
        <f>(1+(IF(NOT(ISBLANK($K18)),$K18/100,$I18/100)))</f>
        <v>0.95</v>
      </c>
      <c r="F238" s="17"/>
      <c r="G238" s="17"/>
      <c r="H238" s="17"/>
      <c r="I238" s="17"/>
      <c r="J238" s="17"/>
      <c r="K238" s="17"/>
      <c r="L238" s="17"/>
      <c r="N238" s="17"/>
      <c r="O238" s="17"/>
      <c r="P238" s="17"/>
      <c r="Q238" s="17"/>
      <c r="R238" s="17"/>
      <c r="S238" s="17"/>
      <c r="T238" s="17"/>
    </row>
    <row r="239" spans="2:20" hidden="1" outlineLevel="1" x14ac:dyDescent="0.2">
      <c r="B239" s="276"/>
      <c r="C239" s="17"/>
      <c r="D239" s="17" t="s">
        <v>50</v>
      </c>
      <c r="E239" s="289">
        <f>(1+(IF(NOT(ISBLANK($K19)),$K19/100,$I19/100)))</f>
        <v>0.95</v>
      </c>
      <c r="F239" s="17"/>
      <c r="G239" s="17"/>
      <c r="H239" s="17"/>
      <c r="I239" s="17"/>
      <c r="J239" s="17"/>
      <c r="K239" s="17"/>
      <c r="L239" s="17"/>
      <c r="N239" s="17"/>
      <c r="O239" s="17"/>
      <c r="P239" s="17"/>
      <c r="Q239" s="17"/>
      <c r="R239" s="17"/>
      <c r="S239" s="17"/>
      <c r="T239" s="17"/>
    </row>
    <row r="240" spans="2:20" hidden="1" outlineLevel="1" x14ac:dyDescent="0.2">
      <c r="B240" s="276"/>
      <c r="C240" s="17"/>
      <c r="D240" s="17" t="s">
        <v>161</v>
      </c>
      <c r="E240" s="289">
        <f>(1+(IF(NOT(ISBLANK($K20)),$K20/100,$I20/100)))</f>
        <v>0.95</v>
      </c>
      <c r="F240" s="17"/>
      <c r="G240" s="17"/>
      <c r="H240" s="17"/>
      <c r="I240" s="17"/>
      <c r="J240" s="17"/>
      <c r="K240" s="17"/>
      <c r="L240" s="17"/>
      <c r="N240" s="17"/>
      <c r="O240" s="17"/>
      <c r="P240" s="17"/>
      <c r="Q240" s="17"/>
      <c r="R240" s="17"/>
      <c r="S240" s="17"/>
      <c r="T240" s="17"/>
    </row>
    <row r="241" spans="2:20" hidden="1" outlineLevel="1" x14ac:dyDescent="0.2">
      <c r="B241" s="276"/>
      <c r="C241" s="17"/>
      <c r="D241" s="17"/>
      <c r="E241" s="290"/>
      <c r="F241" s="17"/>
      <c r="G241" s="17"/>
      <c r="H241" s="17"/>
      <c r="I241" s="17"/>
      <c r="J241" s="17"/>
      <c r="K241" s="17"/>
      <c r="L241" s="17"/>
      <c r="N241" s="17"/>
      <c r="O241" s="17"/>
      <c r="P241" s="17"/>
      <c r="Q241" s="17"/>
      <c r="R241" s="17"/>
      <c r="S241" s="17"/>
      <c r="T241" s="17"/>
    </row>
    <row r="242" spans="2:20" hidden="1" outlineLevel="1" x14ac:dyDescent="0.2">
      <c r="B242" s="276"/>
      <c r="C242" s="17"/>
      <c r="D242" s="17" t="s">
        <v>59</v>
      </c>
      <c r="E242" s="289">
        <f>(1+(IF(NOT(ISBLANK($K23)),$K23/100,$I23/100)))</f>
        <v>1</v>
      </c>
      <c r="F242" s="17"/>
      <c r="G242" s="17"/>
      <c r="H242" s="17"/>
      <c r="I242" s="17"/>
      <c r="J242" s="17"/>
      <c r="K242" s="17"/>
      <c r="L242" s="17"/>
      <c r="N242" s="17"/>
      <c r="O242" s="17"/>
      <c r="P242" s="17"/>
      <c r="Q242" s="17"/>
      <c r="R242" s="17"/>
      <c r="S242" s="17"/>
      <c r="T242" s="17"/>
    </row>
    <row r="243" spans="2:20" hidden="1" outlineLevel="1" x14ac:dyDescent="0.2">
      <c r="B243" s="276"/>
      <c r="C243" s="17"/>
      <c r="D243" s="17" t="s">
        <v>60</v>
      </c>
      <c r="E243" s="289">
        <f>(1+(IF(NOT(ISBLANK($K24)),$K24/100,$I24/100)))</f>
        <v>1.05</v>
      </c>
      <c r="F243" s="17"/>
      <c r="G243" s="17"/>
      <c r="H243" s="17"/>
      <c r="I243" s="17"/>
      <c r="J243" s="17"/>
      <c r="K243" s="17"/>
      <c r="L243" s="17"/>
      <c r="N243" s="17"/>
      <c r="O243" s="17"/>
      <c r="P243" s="17"/>
      <c r="Q243" s="17"/>
      <c r="R243" s="17"/>
      <c r="S243" s="17"/>
      <c r="T243" s="17"/>
    </row>
    <row r="244" spans="2:20" hidden="1" outlineLevel="1" x14ac:dyDescent="0.2">
      <c r="B244" s="276"/>
      <c r="C244" s="17"/>
      <c r="D244" s="17" t="s">
        <v>61</v>
      </c>
      <c r="E244" s="289">
        <f>(1+(IF(NOT(ISBLANK($K25)),$K25/100,$I25/100)))</f>
        <v>1.05</v>
      </c>
      <c r="F244" s="17"/>
      <c r="G244" s="17"/>
      <c r="H244" s="17"/>
      <c r="I244" s="17"/>
      <c r="J244" s="17"/>
      <c r="K244" s="17"/>
      <c r="L244" s="17"/>
      <c r="N244" s="17"/>
      <c r="O244" s="17"/>
      <c r="P244" s="17"/>
      <c r="Q244" s="18"/>
      <c r="R244" s="17"/>
      <c r="S244" s="18"/>
      <c r="T244" s="18"/>
    </row>
    <row r="245" spans="2:20" hidden="1" outlineLevel="1" x14ac:dyDescent="0.2">
      <c r="B245" s="17"/>
      <c r="C245" s="17"/>
      <c r="D245" s="17"/>
      <c r="E245" s="17"/>
      <c r="F245" s="17"/>
      <c r="G245" s="17"/>
      <c r="H245" s="17"/>
      <c r="I245" s="17"/>
      <c r="J245" s="17"/>
      <c r="K245" s="17"/>
      <c r="L245" s="17"/>
      <c r="N245" s="17"/>
      <c r="O245" s="17"/>
      <c r="P245" s="17"/>
      <c r="Q245" s="18"/>
      <c r="R245" s="17"/>
      <c r="S245" s="18"/>
      <c r="T245" s="18"/>
    </row>
    <row r="246" spans="2:20" ht="25.5" hidden="1" outlineLevel="1" x14ac:dyDescent="0.2">
      <c r="B246" s="17"/>
      <c r="C246" s="17"/>
      <c r="D246" s="17"/>
      <c r="E246" s="17"/>
      <c r="F246" s="36" t="s">
        <v>27</v>
      </c>
      <c r="G246" s="36" t="s">
        <v>82</v>
      </c>
      <c r="H246" s="36" t="s">
        <v>29</v>
      </c>
      <c r="I246" s="17"/>
      <c r="J246" s="40" t="s">
        <v>111</v>
      </c>
      <c r="K246" s="41" t="s">
        <v>39</v>
      </c>
      <c r="L246" s="17"/>
      <c r="N246" s="17" t="s">
        <v>146</v>
      </c>
      <c r="O246" s="17"/>
      <c r="P246" s="17"/>
      <c r="Q246" s="18"/>
      <c r="R246" s="17"/>
      <c r="S246" s="18"/>
      <c r="T246" s="18"/>
    </row>
    <row r="247" spans="2:20" ht="14.25" hidden="1" outlineLevel="1" x14ac:dyDescent="0.25">
      <c r="B247" s="77"/>
      <c r="C247" s="77" t="s">
        <v>190</v>
      </c>
      <c r="D247" s="77"/>
      <c r="E247" s="77"/>
      <c r="F247" s="78">
        <f>SUM(F249:F262)</f>
        <v>94.932355060000006</v>
      </c>
      <c r="G247" s="78">
        <f>SUM(G249:G262)</f>
        <v>61.552554846110553</v>
      </c>
      <c r="H247" s="78">
        <f>SUM(H249:H262)</f>
        <v>25.105144641628776</v>
      </c>
      <c r="I247" s="77"/>
      <c r="J247" s="78">
        <f>F247+G247</f>
        <v>156.48490990611054</v>
      </c>
      <c r="K247" s="78">
        <f>SUM(F247:H247)</f>
        <v>181.59005454773933</v>
      </c>
      <c r="L247" s="77" t="s">
        <v>197</v>
      </c>
      <c r="N247" s="276"/>
      <c r="O247" s="17" t="s">
        <v>125</v>
      </c>
      <c r="P247" s="17"/>
      <c r="Q247" s="19"/>
      <c r="R247" s="17"/>
      <c r="S247" s="42">
        <f>IF(NOT(ISBLANK('Referenz Plattenwerk'!$I16)),'Referenz Plattenwerk'!$I16,'Referenz Plattenwerk'!$F16)/1000*IF(NOT(ISBLANK('Eingabe Preise'!$O10)),'Eingabe Preise'!$O10,'Eingabe Preise'!$M10)</f>
        <v>11468</v>
      </c>
      <c r="T247" s="20" t="s">
        <v>106</v>
      </c>
    </row>
    <row r="248" spans="2:20" hidden="1" outlineLevel="1" x14ac:dyDescent="0.2">
      <c r="B248" s="17"/>
      <c r="C248" s="17" t="s">
        <v>146</v>
      </c>
      <c r="D248" s="17"/>
      <c r="E248" s="17"/>
      <c r="F248" s="17"/>
      <c r="G248" s="17"/>
      <c r="H248" s="17"/>
      <c r="I248" s="17"/>
      <c r="J248" s="17"/>
      <c r="K248" s="17"/>
      <c r="L248" s="17"/>
      <c r="N248" s="276"/>
      <c r="O248" s="17" t="s">
        <v>165</v>
      </c>
      <c r="P248" s="17"/>
      <c r="Q248" s="20"/>
      <c r="R248" s="17"/>
      <c r="S248" s="42">
        <f>IF(NOT(ISBLANK('Referenz Plattenwerk'!$I17)),'Referenz Plattenwerk'!$I17,'Referenz Plattenwerk'!$F17)/1000*IF(NOT(ISBLANK('Eingabe Preise'!$O11)),'Eingabe Preise'!$O11,'Eingabe Preise'!$M11)</f>
        <v>1104</v>
      </c>
      <c r="T248" s="20" t="s">
        <v>106</v>
      </c>
    </row>
    <row r="249" spans="2:20" ht="15.75" hidden="1" outlineLevel="1" x14ac:dyDescent="0.3">
      <c r="B249" s="276"/>
      <c r="C249" s="17"/>
      <c r="D249" s="17" t="s">
        <v>125</v>
      </c>
      <c r="E249" s="17"/>
      <c r="F249" s="38">
        <f>IF(NOT(ISBLANK('Referenz Plattenwerk'!$I16)),'Referenz Plattenwerk'!$I16,'Referenz Plattenwerk'!$F16)*IF(NOT(ISBLANK('Eingabe EF'!$AS9)),'Eingabe EF'!$AS9,'Eingabe EF'!$AQ9)</f>
        <v>34.434080000000002</v>
      </c>
      <c r="G249" s="38">
        <f>IF(NOT(ISBLANK('Referenz Plattenwerk'!$I16)),'Referenz Plattenwerk'!$I16,'Referenz Plattenwerk'!$F16)*IF(NOT(ISBLANK('Eingabe EF'!$AW9)),'Eingabe EF'!$AW9,'Eingabe EF'!$AU9)</f>
        <v>0</v>
      </c>
      <c r="H249" s="38">
        <f>IF(NOT(ISBLANK('Referenz Plattenwerk'!$I16)),'Referenz Plattenwerk'!$I16,'Referenz Plattenwerk'!$F16)*IF(NOT(ISBLANK('Eingabe EF'!$BA9)),'Eingabe EF'!$BA9,'Eingabe EF'!$AY9)</f>
        <v>5.8938000000000006</v>
      </c>
      <c r="I249" s="17"/>
      <c r="J249" s="38">
        <f>F249+G249</f>
        <v>34.434080000000002</v>
      </c>
      <c r="K249" s="38">
        <f>SUM(F249:H249)</f>
        <v>40.32788</v>
      </c>
      <c r="L249" s="17" t="s">
        <v>198</v>
      </c>
      <c r="N249" s="276"/>
      <c r="O249" s="17" t="s">
        <v>152</v>
      </c>
      <c r="P249" s="17"/>
      <c r="Q249" s="20"/>
      <c r="R249" s="17"/>
      <c r="S249" s="42">
        <f>IF(NOT(ISBLANK('Referenz Plattenwerk'!$I18)),'Referenz Plattenwerk'!$I18,'Referenz Plattenwerk'!$F18)/1000*IF(NOT(ISBLANK('Eingabe Preise'!$O12)),'Eingabe Preise'!$O12,'Eingabe Preise'!$M12)</f>
        <v>7740</v>
      </c>
      <c r="T249" s="20" t="s">
        <v>106</v>
      </c>
    </row>
    <row r="250" spans="2:20" ht="15.75" hidden="1" outlineLevel="1" x14ac:dyDescent="0.3">
      <c r="B250" s="276"/>
      <c r="C250" s="17"/>
      <c r="D250" s="17" t="s">
        <v>165</v>
      </c>
      <c r="E250" s="17"/>
      <c r="F250" s="38">
        <f>IF(NOT(ISBLANK('Referenz Plattenwerk'!$I17)),'Referenz Plattenwerk'!$I17,'Referenz Plattenwerk'!$F17)*IF(NOT(ISBLANK('Eingabe EF'!$AS10)),'Eingabe EF'!$AS10,'Eingabe EF'!$AQ10)</f>
        <v>6.4022399999999999</v>
      </c>
      <c r="G250" s="38">
        <f>IF(NOT(ISBLANK('Referenz Plattenwerk'!$I17)),'Referenz Plattenwerk'!$I17,'Referenz Plattenwerk'!$F17)*IF(NOT(ISBLANK('Eingabe EF'!$AW10)),'Eingabe EF'!$AW10,'Eingabe EF'!$AU10)</f>
        <v>0</v>
      </c>
      <c r="H250" s="38">
        <f>IF(NOT(ISBLANK('Referenz Plattenwerk'!$I17)),'Referenz Plattenwerk'!$I17,'Referenz Plattenwerk'!$F17)*IF(NOT(ISBLANK('Eingabe EF'!$BA10)),'Eingabe EF'!$BA10,'Eingabe EF'!$AY10)</f>
        <v>0.949824</v>
      </c>
      <c r="I250" s="17"/>
      <c r="J250" s="38">
        <f>F250+G250</f>
        <v>6.4022399999999999</v>
      </c>
      <c r="K250" s="38">
        <f>SUM(F250:H250)</f>
        <v>7.3520640000000004</v>
      </c>
      <c r="L250" s="17" t="s">
        <v>198</v>
      </c>
      <c r="N250" s="276"/>
      <c r="O250" s="17" t="s">
        <v>126</v>
      </c>
      <c r="P250" s="17"/>
      <c r="Q250" s="20"/>
      <c r="R250" s="17"/>
      <c r="S250" s="42">
        <f>IF(NOT(ISBLANK('Referenz Plattenwerk'!$I19)),'Referenz Plattenwerk'!$I19,'Referenz Plattenwerk'!$F19)/1000*IF(NOT(ISBLANK('Eingabe Preise'!$O16)),'Eingabe Preise'!$O16,0)</f>
        <v>0</v>
      </c>
      <c r="T250" s="20" t="s">
        <v>106</v>
      </c>
    </row>
    <row r="251" spans="2:20" ht="15.75" hidden="1" outlineLevel="1" x14ac:dyDescent="0.3">
      <c r="B251" s="276"/>
      <c r="C251" s="17"/>
      <c r="D251" s="17" t="s">
        <v>152</v>
      </c>
      <c r="E251" s="17"/>
      <c r="F251" s="38">
        <f>IF(NOT(ISBLANK('Referenz Plattenwerk'!$I18)),'Referenz Plattenwerk'!$I18,'Referenz Plattenwerk'!$F18)*IF(NOT(ISBLANK('Eingabe EF'!$AS11)),'Eingabe EF'!$AS11,'Eingabe EF'!$AQ11)</f>
        <v>0</v>
      </c>
      <c r="G251" s="38">
        <f>IF(NOT(ISBLANK('Referenz Plattenwerk'!$I18)),'Referenz Plattenwerk'!$I18,'Referenz Plattenwerk'!$F18)*IF(NOT(ISBLANK('Eingabe EF'!$AW11)),'Eingabe EF'!$AW11,'Eingabe EF'!$AU11)</f>
        <v>6.1552554846110556</v>
      </c>
      <c r="H251" s="38">
        <f>IF(NOT(ISBLANK('Referenz Plattenwerk'!$I18)),'Referenz Plattenwerk'!$I18,'Referenz Plattenwerk'!$F18)*IF(NOT(ISBLANK('Eingabe EF'!$BA11)),'Eingabe EF'!$BA11,'Eingabe EF'!$AY11)</f>
        <v>0.90234111816287721</v>
      </c>
      <c r="I251" s="17"/>
      <c r="J251" s="38">
        <f>F251+G251</f>
        <v>6.1552554846110556</v>
      </c>
      <c r="K251" s="38">
        <f>SUM(F251:H251)</f>
        <v>7.0575966027739332</v>
      </c>
      <c r="L251" s="17" t="s">
        <v>198</v>
      </c>
      <c r="N251" s="17" t="s">
        <v>147</v>
      </c>
      <c r="O251" s="17"/>
      <c r="P251" s="17"/>
      <c r="Q251" s="20"/>
      <c r="R251" s="17"/>
      <c r="S251" s="20"/>
      <c r="T251" s="20"/>
    </row>
    <row r="252" spans="2:20" ht="15.75" hidden="1" outlineLevel="1" x14ac:dyDescent="0.3">
      <c r="B252" s="276"/>
      <c r="C252" s="17"/>
      <c r="D252" s="17" t="s">
        <v>126</v>
      </c>
      <c r="E252" s="17"/>
      <c r="F252" s="44">
        <f>IF(NOT(ISBLANK('Referenz Plattenwerk'!$I19)),'Referenz Plattenwerk'!$I19,'Referenz Plattenwerk'!$F19)*IF(NOT(ISBLANK('Eingabe EF'!$AS12)),'Eingabe EF'!$AS12,0)</f>
        <v>0</v>
      </c>
      <c r="G252" s="44">
        <f>IF(NOT(ISBLANK('Referenz Plattenwerk'!$I19)),'Referenz Plattenwerk'!$I19,'Referenz Plattenwerk'!$F19)*IF(NOT(ISBLANK('Eingabe EF'!$AW12)),'Eingabe EF'!$AW12,0)</f>
        <v>0</v>
      </c>
      <c r="H252" s="44">
        <f>IF(NOT(ISBLANK('Referenz Plattenwerk'!$I19)),'Referenz Plattenwerk'!$I19,'Referenz Plattenwerk'!$F19)*IF(NOT(ISBLANK('Eingabe EF'!$BA12)),'Eingabe EF'!$BA12,0)</f>
        <v>0</v>
      </c>
      <c r="I252" s="17"/>
      <c r="J252" s="38">
        <f>F252+G252</f>
        <v>0</v>
      </c>
      <c r="K252" s="38">
        <f>SUM(F252:H252)</f>
        <v>0</v>
      </c>
      <c r="L252" s="17" t="s">
        <v>198</v>
      </c>
      <c r="N252" s="17"/>
      <c r="O252" s="17" t="s">
        <v>31</v>
      </c>
      <c r="P252" s="17"/>
      <c r="Q252" s="20"/>
      <c r="R252" s="17"/>
      <c r="S252" s="42">
        <f>IF(NOT(ISBLANK('Referenz Plattenwerk'!$I21)),'Referenz Plattenwerk'!$I21,'Referenz Plattenwerk'!$F21)/1000*IF(NOT(ISBLANK('Eingabe Preise'!$O10)),'Eingabe Preise'!$O10,'Eingabe Preise'!$M10)</f>
        <v>2867</v>
      </c>
      <c r="T252" s="20" t="s">
        <v>106</v>
      </c>
    </row>
    <row r="253" spans="2:20" hidden="1" outlineLevel="1" x14ac:dyDescent="0.2">
      <c r="B253" s="17"/>
      <c r="C253" s="17" t="s">
        <v>147</v>
      </c>
      <c r="D253" s="17"/>
      <c r="E253" s="17"/>
      <c r="F253" s="17"/>
      <c r="G253" s="17"/>
      <c r="H253" s="17"/>
      <c r="I253" s="17"/>
      <c r="J253" s="17"/>
      <c r="K253" s="17"/>
      <c r="L253" s="17"/>
      <c r="N253" s="17"/>
      <c r="O253" s="17" t="s">
        <v>32</v>
      </c>
      <c r="P253" s="17"/>
      <c r="Q253" s="20"/>
      <c r="R253" s="17"/>
      <c r="S253" s="42">
        <f>IF(NOT(ISBLANK('Referenz Plattenwerk'!$I22)),'Referenz Plattenwerk'!$I22,'Referenz Plattenwerk'!$F22)/1000*IF(NOT(ISBLANK('Eingabe Preise'!$O11)),'Eingabe Preise'!$O11,'Eingabe Preise'!$M11)</f>
        <v>1656</v>
      </c>
      <c r="T253" s="20" t="s">
        <v>106</v>
      </c>
    </row>
    <row r="254" spans="2:20" ht="15.75" hidden="1" outlineLevel="1" x14ac:dyDescent="0.3">
      <c r="B254" s="17"/>
      <c r="C254" s="17"/>
      <c r="D254" s="17" t="s">
        <v>31</v>
      </c>
      <c r="E254" s="17"/>
      <c r="F254" s="44">
        <f>IF(NOT(ISBLANK('Referenz Plattenwerk'!$I21)),'Referenz Plattenwerk'!$I21,'Referenz Plattenwerk'!$F21)*IF(NOT(ISBLANK('Eingabe EF'!$AS9)),'Eingabe EF'!$AS9,'Eingabe EF'!$AQ9)</f>
        <v>8.6085200000000004</v>
      </c>
      <c r="G254" s="44">
        <f>IF(NOT(ISBLANK('Referenz Plattenwerk'!$I21)),'Referenz Plattenwerk'!$I21,'Referenz Plattenwerk'!$F21)*IF(NOT(ISBLANK('Eingabe EF'!$AW9)),'Eingabe EF'!$AW9,'Eingabe EF'!$AU9)</f>
        <v>0</v>
      </c>
      <c r="H254" s="44">
        <f>IF(NOT(ISBLANK('Referenz Plattenwerk'!$I21)),'Referenz Plattenwerk'!$I21,'Referenz Plattenwerk'!$F21)*IF(NOT(ISBLANK('Eingabe EF'!$BA9)),'Eingabe EF'!$BA9,'Eingabe EF'!$AY9)</f>
        <v>1.4734500000000001</v>
      </c>
      <c r="I254" s="17"/>
      <c r="J254" s="38">
        <f t="shared" ref="J254:J255" si="49">F254+G254</f>
        <v>8.6085200000000004</v>
      </c>
      <c r="K254" s="38">
        <f t="shared" ref="K254:K255" si="50">SUM(F254:H254)</f>
        <v>10.08197</v>
      </c>
      <c r="L254" s="17" t="s">
        <v>198</v>
      </c>
      <c r="N254" s="17" t="s">
        <v>148</v>
      </c>
      <c r="O254" s="17"/>
      <c r="P254" s="17"/>
      <c r="Q254" s="20"/>
      <c r="R254" s="17"/>
      <c r="S254" s="20"/>
      <c r="T254" s="20"/>
    </row>
    <row r="255" spans="2:20" ht="15.75" hidden="1" outlineLevel="1" x14ac:dyDescent="0.3">
      <c r="B255" s="17"/>
      <c r="C255" s="17"/>
      <c r="D255" s="17" t="s">
        <v>32</v>
      </c>
      <c r="E255" s="17"/>
      <c r="F255" s="44">
        <f>IF(NOT(ISBLANK('Referenz Plattenwerk'!$I22)),'Referenz Plattenwerk'!$I22,'Referenz Plattenwerk'!$F22)*IF(NOT(ISBLANK('Eingabe EF'!$AS10)),'Eingabe EF'!$AS10,'Eingabe EF'!$AQ10)</f>
        <v>9.6033600000000003</v>
      </c>
      <c r="G255" s="44">
        <f>IF(NOT(ISBLANK('Referenz Plattenwerk'!$I22)),'Referenz Plattenwerk'!$I22,'Referenz Plattenwerk'!$F22)*IF(NOT(ISBLANK('Eingabe EF'!$AW10)),'Eingabe EF'!$AW10,'Eingabe EF'!$AU10)</f>
        <v>0</v>
      </c>
      <c r="H255" s="44">
        <f>IF(NOT(ISBLANK('Referenz Plattenwerk'!$I22)),'Referenz Plattenwerk'!$I22,'Referenz Plattenwerk'!$F22)*IF(NOT(ISBLANK('Eingabe EF'!$BA10)),'Eingabe EF'!$BA10,'Eingabe EF'!$AY10)</f>
        <v>1.424736</v>
      </c>
      <c r="I255" s="17"/>
      <c r="J255" s="38">
        <f t="shared" si="49"/>
        <v>9.6033600000000003</v>
      </c>
      <c r="K255" s="38">
        <f t="shared" si="50"/>
        <v>11.028096</v>
      </c>
      <c r="L255" s="17" t="s">
        <v>198</v>
      </c>
      <c r="N255" s="17"/>
      <c r="O255" s="17" t="s">
        <v>150</v>
      </c>
      <c r="P255" s="17"/>
      <c r="Q255" s="20"/>
      <c r="R255" s="17"/>
      <c r="S255" s="42">
        <f>IF(NOT(ISBLANK('Referenz Plattenwerk'!$I24)),'Referenz Plattenwerk'!$I24,'Referenz Plattenwerk'!$F24)/1000*IF(NOT(ISBLANK('Eingabe Preise'!$O12)),'Eingabe Preise'!$O12,'Eingabe Preise'!$M12)</f>
        <v>69660</v>
      </c>
      <c r="T255" s="20" t="s">
        <v>106</v>
      </c>
    </row>
    <row r="256" spans="2:20" hidden="1" outlineLevel="1" x14ac:dyDescent="0.2">
      <c r="B256" s="17"/>
      <c r="C256" s="17" t="s">
        <v>148</v>
      </c>
      <c r="D256" s="17"/>
      <c r="E256" s="17"/>
      <c r="F256" s="17"/>
      <c r="G256" s="17"/>
      <c r="H256" s="17"/>
      <c r="I256" s="17"/>
      <c r="J256" s="17"/>
      <c r="K256" s="17"/>
      <c r="L256" s="17"/>
      <c r="N256" s="17"/>
      <c r="O256" s="17" t="s">
        <v>122</v>
      </c>
      <c r="P256" s="17"/>
      <c r="Q256" s="20"/>
      <c r="R256" s="17"/>
      <c r="S256" s="42">
        <f>IF(NOT(ISBLANK('Referenz Plattenwerk'!$I25)),'Referenz Plattenwerk'!$I25,'Referenz Plattenwerk'!$F25)/1000*IF(NOT(ISBLANK('Eingabe Preise'!$O13)),'Eingabe Preise'!$O13,'Eingabe Preise'!$M13)</f>
        <v>0</v>
      </c>
      <c r="T256" s="20" t="s">
        <v>106</v>
      </c>
    </row>
    <row r="257" spans="2:20" ht="15.75" hidden="1" outlineLevel="1" x14ac:dyDescent="0.3">
      <c r="B257" s="17"/>
      <c r="C257" s="17"/>
      <c r="D257" s="17" t="s">
        <v>150</v>
      </c>
      <c r="E257" s="17"/>
      <c r="F257" s="44">
        <f>IF(NOT(ISBLANK('Referenz Plattenwerk'!$I24)),'Referenz Plattenwerk'!$I24,'Referenz Plattenwerk'!$F24)*IF(NOT(ISBLANK('Eingabe EF'!$AS11)),'Eingabe EF'!$AS11,'Eingabe EF'!$AQ11)</f>
        <v>0</v>
      </c>
      <c r="G257" s="44">
        <f>IF(NOT(ISBLANK('Referenz Plattenwerk'!$I24)),'Referenz Plattenwerk'!$I24,'Referenz Plattenwerk'!$F24)*IF(NOT(ISBLANK('Eingabe EF'!$AW11)),'Eingabe EF'!$AW11,'Eingabe EF'!$AU11)</f>
        <v>55.397299361499499</v>
      </c>
      <c r="H257" s="44">
        <f>IF(NOT(ISBLANK('Referenz Plattenwerk'!$I24)),'Referenz Plattenwerk'!$I24,'Referenz Plattenwerk'!$F24)*IF(NOT(ISBLANK('Eingabe EF'!$BA11)),'Eingabe EF'!$BA11,'Eingabe EF'!$AY11)</f>
        <v>8.1210700634658952</v>
      </c>
      <c r="I257" s="17"/>
      <c r="J257" s="38">
        <f t="shared" ref="J257:J265" si="51">F257+G257</f>
        <v>55.397299361499499</v>
      </c>
      <c r="K257" s="38">
        <f t="shared" ref="K257:K265" si="52">SUM(F257:H257)</f>
        <v>63.518369424965393</v>
      </c>
      <c r="L257" s="17" t="s">
        <v>198</v>
      </c>
      <c r="N257" s="17"/>
      <c r="O257" s="17" t="s">
        <v>149</v>
      </c>
      <c r="P257" s="17"/>
      <c r="Q257" s="30"/>
      <c r="R257" s="17"/>
      <c r="S257" s="42">
        <f>IF(NOT(ISBLANK('Referenz Plattenwerk'!$I26)),'Referenz Plattenwerk'!$I26,'Referenz Plattenwerk'!$F26)/1000*IF(NOT(ISBLANK('Eingabe Preise'!$O17)),'Eingabe Preise'!$O17,0)</f>
        <v>0</v>
      </c>
      <c r="T257" s="20" t="s">
        <v>106</v>
      </c>
    </row>
    <row r="258" spans="2:20" ht="15.75" hidden="1" outlineLevel="1" x14ac:dyDescent="0.3">
      <c r="B258" s="17"/>
      <c r="C258" s="17"/>
      <c r="D258" s="17" t="s">
        <v>122</v>
      </c>
      <c r="E258" s="17"/>
      <c r="F258" s="44">
        <f>IF(NOT(ISBLANK('Referenz Plattenwerk'!$I25)),'Referenz Plattenwerk'!$I25,'Referenz Plattenwerk'!$F25)*IF(NOT(ISBLANK('Eingabe EF'!$AS13)),'Eingabe EF'!$AS13,'Eingabe EF'!$AQ13)</f>
        <v>0</v>
      </c>
      <c r="G258" s="44">
        <f>IF(NOT(ISBLANK('Referenz Plattenwerk'!$I25)),'Referenz Plattenwerk'!$I25,'Referenz Plattenwerk'!$F25)*IF(NOT(ISBLANK('Eingabe EF'!$AW13)),'Eingabe EF'!$AW13,'Eingabe EF'!$AU13)</f>
        <v>0</v>
      </c>
      <c r="H258" s="44">
        <f>IF(NOT(ISBLANK('Referenz Plattenwerk'!$I25)),'Referenz Plattenwerk'!$I25,'Referenz Plattenwerk'!$F25)*IF(NOT(ISBLANK('Eingabe EF'!$BA13)),'Eingabe EF'!$BA13,'Eingabe EF'!$AY13)</f>
        <v>0</v>
      </c>
      <c r="I258" s="17"/>
      <c r="J258" s="38">
        <f t="shared" si="51"/>
        <v>0</v>
      </c>
      <c r="K258" s="38">
        <f t="shared" si="52"/>
        <v>0</v>
      </c>
      <c r="L258" s="17" t="s">
        <v>198</v>
      </c>
      <c r="N258" s="17"/>
      <c r="O258" s="17"/>
      <c r="P258" s="17"/>
      <c r="Q258" s="30"/>
      <c r="R258" s="17"/>
      <c r="S258" s="17"/>
      <c r="T258" s="17"/>
    </row>
    <row r="259" spans="2:20" ht="15.75" hidden="1" outlineLevel="1" x14ac:dyDescent="0.3">
      <c r="B259" s="17"/>
      <c r="C259" s="17"/>
      <c r="D259" s="17" t="s">
        <v>149</v>
      </c>
      <c r="E259" s="17"/>
      <c r="F259" s="44">
        <f>IF(NOT(ISBLANK('Referenz Plattenwerk'!$I26)),'Referenz Plattenwerk'!$I26,'Referenz Plattenwerk'!$F26)*IF(NOT(ISBLANK('Eingabe EF'!$AS14)),'Eingabe EF'!$AS14,0)</f>
        <v>0</v>
      </c>
      <c r="G259" s="44">
        <f>IF(NOT(ISBLANK('Referenz Plattenwerk'!$I26)),'Referenz Plattenwerk'!$I26,'Referenz Plattenwerk'!$F26)*IF(NOT(ISBLANK('Eingabe EF'!$AW14)),'Eingabe EF'!$AW14,0)</f>
        <v>0</v>
      </c>
      <c r="H259" s="44">
        <f>IF(NOT(ISBLANK('Referenz Plattenwerk'!$I26)),'Referenz Plattenwerk'!$I26,'Referenz Plattenwerk'!$F26)*IF(NOT(ISBLANK('Eingabe EF'!$BA14)),'Eingabe EF'!$BA14,0)</f>
        <v>0</v>
      </c>
      <c r="I259" s="17"/>
      <c r="J259" s="38">
        <f t="shared" si="51"/>
        <v>0</v>
      </c>
      <c r="K259" s="38">
        <f t="shared" si="52"/>
        <v>0</v>
      </c>
      <c r="L259" s="17" t="s">
        <v>198</v>
      </c>
      <c r="N259" s="17"/>
      <c r="O259" s="17" t="s">
        <v>34</v>
      </c>
      <c r="P259" s="17" t="s">
        <v>464</v>
      </c>
      <c r="Q259" s="30"/>
      <c r="R259" s="17"/>
      <c r="S259" s="42">
        <f>IF(NOT(ISBLANK('Referenz Plattenwerk'!$I28)),'Referenz Plattenwerk'!$I28,'Referenz Plattenwerk'!$F28)*IF(NOT(ISBLANK('Eingabe Preise'!$O14)),'Eingabe Preise'!$O14,'Eingabe Preise'!$M14)</f>
        <v>12364.000000000002</v>
      </c>
      <c r="T259" s="20" t="s">
        <v>106</v>
      </c>
    </row>
    <row r="260" spans="2:20" hidden="1" outlineLevel="1" x14ac:dyDescent="0.2">
      <c r="B260" s="17"/>
      <c r="C260" s="17"/>
      <c r="D260" s="17"/>
      <c r="E260" s="17"/>
      <c r="F260" s="17"/>
      <c r="G260" s="17"/>
      <c r="H260" s="17"/>
      <c r="I260" s="17"/>
      <c r="J260" s="17"/>
      <c r="K260" s="17"/>
      <c r="L260" s="17"/>
      <c r="N260" s="17"/>
      <c r="O260" s="17" t="s">
        <v>34</v>
      </c>
      <c r="P260" s="17" t="s">
        <v>75</v>
      </c>
      <c r="Q260" s="30"/>
      <c r="R260" s="17"/>
      <c r="S260" s="42">
        <f>IF(NOT(ISBLANK('Referenz Plattenwerk'!$I29)),'Referenz Plattenwerk'!$I29,'Referenz Plattenwerk'!$F29)*IF(NOT(ISBLANK('Eingabe Preise'!$O14)),'Eingabe Preise'!$O14,'Eingabe Preise'!$M14)</f>
        <v>2810.0000000000005</v>
      </c>
      <c r="T260" s="20" t="s">
        <v>106</v>
      </c>
    </row>
    <row r="261" spans="2:20" ht="15.75" hidden="1" outlineLevel="1" x14ac:dyDescent="0.3">
      <c r="B261" s="17"/>
      <c r="C261" s="17" t="s">
        <v>464</v>
      </c>
      <c r="D261" s="17" t="s">
        <v>34</v>
      </c>
      <c r="E261" s="17"/>
      <c r="F261" s="44">
        <f>IF(NOT(ISBLANK('Referenz Plattenwerk'!$I28)),'Referenz Plattenwerk'!$I28,'Referenz Plattenwerk'!$F28)*IF(NOT(ISBLANK('Eingabe EF'!$AS15)),'Eingabe EF'!$AS15,'Eingabe EF'!$AQ15)</f>
        <v>29.238941159999996</v>
      </c>
      <c r="G261" s="44">
        <f>IF(NOT(ISBLANK('Referenz Plattenwerk'!$I28)),'Referenz Plattenwerk'!$I28,'Referenz Plattenwerk'!$F28)*IF(NOT(ISBLANK('Eingabe EF'!$AW15)),'Eingabe EF'!$AW15,'Eingabe EF'!$AU15)</f>
        <v>0</v>
      </c>
      <c r="H261" s="44">
        <f>IF(NOT(ISBLANK('Referenz Plattenwerk'!$I28)),'Referenz Plattenwerk'!$I28,'Referenz Plattenwerk'!$F28)*IF(NOT(ISBLANK('Eingabe EF'!$BA15)),'Eingabe EF'!$BA15,'Eingabe EF'!$AY15)</f>
        <v>5.1658635600000009</v>
      </c>
      <c r="I261" s="17"/>
      <c r="J261" s="38">
        <f t="shared" ref="J261:J263" si="53">F261+G261</f>
        <v>29.238941159999996</v>
      </c>
      <c r="K261" s="38">
        <f t="shared" ref="K261:K263" si="54">SUM(F261:H261)</f>
        <v>34.404804719999994</v>
      </c>
      <c r="L261" s="17" t="s">
        <v>198</v>
      </c>
      <c r="N261" s="17"/>
      <c r="O261" s="17"/>
      <c r="P261" s="17"/>
      <c r="Q261" s="30"/>
      <c r="R261" s="17"/>
      <c r="S261" s="17"/>
      <c r="T261" s="17"/>
    </row>
    <row r="262" spans="2:20" ht="15.75" hidden="1" outlineLevel="1" x14ac:dyDescent="0.3">
      <c r="B262" s="17"/>
      <c r="C262" s="17" t="s">
        <v>75</v>
      </c>
      <c r="D262" s="17" t="s">
        <v>34</v>
      </c>
      <c r="E262" s="17"/>
      <c r="F262" s="44">
        <f>IF(NOT(ISBLANK('Referenz Plattenwerk'!$I29)),'Referenz Plattenwerk'!$I29,'Referenz Plattenwerk'!$F29)*IF(NOT(ISBLANK('Eingabe EF'!$AS15)),'Eingabe EF'!$AS15,'Eingabe EF'!$AQ15)</f>
        <v>6.645213899999999</v>
      </c>
      <c r="G262" s="44">
        <f>IF(NOT(ISBLANK('Referenz Plattenwerk'!$I29)),'Referenz Plattenwerk'!$I29,'Referenz Plattenwerk'!$F29)*IF(NOT(ISBLANK('Eingabe EF'!$AW15)),'Eingabe EF'!$AW15,'Eingabe EF'!$AU15)</f>
        <v>0</v>
      </c>
      <c r="H262" s="44">
        <f>IF(NOT(ISBLANK('Referenz Plattenwerk'!$I29)),'Referenz Plattenwerk'!$I29,'Referenz Plattenwerk'!$F29)*IF(NOT(ISBLANK('Eingabe EF'!$BA15)),'Eingabe EF'!$BA15,'Eingabe EF'!$AY15)</f>
        <v>1.1740599000000003</v>
      </c>
      <c r="I262" s="17"/>
      <c r="J262" s="38">
        <f t="shared" si="53"/>
        <v>6.645213899999999</v>
      </c>
      <c r="K262" s="38">
        <f t="shared" si="54"/>
        <v>7.8192737999999995</v>
      </c>
      <c r="L262" s="17" t="s">
        <v>198</v>
      </c>
      <c r="N262" s="17"/>
      <c r="O262" s="17"/>
      <c r="P262" s="17"/>
      <c r="Q262" s="30"/>
      <c r="R262" s="17"/>
      <c r="S262" s="17"/>
      <c r="T262" s="17"/>
    </row>
    <row r="263" spans="2:20" ht="14.25" hidden="1" outlineLevel="1" x14ac:dyDescent="0.25">
      <c r="B263" s="70"/>
      <c r="C263" s="70" t="s">
        <v>189</v>
      </c>
      <c r="D263" s="70"/>
      <c r="E263" s="70"/>
      <c r="F263" s="72">
        <f>F264+F265</f>
        <v>0</v>
      </c>
      <c r="G263" s="72">
        <f t="shared" ref="G263:H263" si="55">G264+G265</f>
        <v>0</v>
      </c>
      <c r="H263" s="72">
        <f t="shared" si="55"/>
        <v>469.15642799999995</v>
      </c>
      <c r="I263" s="70"/>
      <c r="J263" s="72">
        <f t="shared" si="53"/>
        <v>0</v>
      </c>
      <c r="K263" s="72">
        <f t="shared" si="54"/>
        <v>469.15642799999995</v>
      </c>
      <c r="L263" s="77" t="s">
        <v>197</v>
      </c>
      <c r="N263" s="17"/>
      <c r="O263" s="17" t="s">
        <v>30</v>
      </c>
      <c r="P263" s="17"/>
      <c r="Q263" s="30"/>
      <c r="R263" s="17"/>
      <c r="S263" s="42">
        <f>S275+S276</f>
        <v>0</v>
      </c>
      <c r="T263" s="20" t="s">
        <v>106</v>
      </c>
    </row>
    <row r="264" spans="2:20" ht="15.75" hidden="1" outlineLevel="1" x14ac:dyDescent="0.3">
      <c r="B264" s="17"/>
      <c r="C264" s="17"/>
      <c r="D264" s="17" t="s">
        <v>45</v>
      </c>
      <c r="E264" s="17"/>
      <c r="F264" s="44">
        <f>IF(NOT(ISBLANK('Referenz Plattenwerk'!$I32)),'Referenz Plattenwerk'!$I32,'Referenz Plattenwerk'!$F32)*IF(NOT(ISBLANK('Eingabe EF'!$AS17)),'Eingabe EF'!$AS17,'Eingabe EF'!$AQ17)</f>
        <v>0</v>
      </c>
      <c r="G264" s="44">
        <f>IF(NOT(ISBLANK('Referenz Plattenwerk'!$I32)),'Referenz Plattenwerk'!$I32,'Referenz Plattenwerk'!$F32)*IF(NOT(ISBLANK('Eingabe EF'!$AW17)),'Eingabe EF'!$AW17,'Eingabe EF'!$AU17)</f>
        <v>0</v>
      </c>
      <c r="H264" s="44">
        <f>IF(NOT(ISBLANK('Referenz Plattenwerk'!$I32)),'Referenz Plattenwerk'!$I32,'Referenz Plattenwerk'!$F32)*IF(NOT(ISBLANK('Eingabe EF'!$BA17)),'Eingabe EF'!$BA17,'Eingabe EF'!$AY17)</f>
        <v>109.4698332</v>
      </c>
      <c r="I264" s="17"/>
      <c r="J264" s="38">
        <f t="shared" si="51"/>
        <v>0</v>
      </c>
      <c r="K264" s="38">
        <f t="shared" si="52"/>
        <v>109.4698332</v>
      </c>
      <c r="L264" s="17" t="s">
        <v>198</v>
      </c>
      <c r="N264" s="17"/>
      <c r="O264" s="45" t="s">
        <v>153</v>
      </c>
      <c r="P264" s="17"/>
      <c r="Q264" s="30"/>
      <c r="R264" s="17"/>
      <c r="S264" s="42">
        <f>IF(NOT(ISBLANK($K$34)),$K$34,$I$34)</f>
        <v>0</v>
      </c>
      <c r="T264" s="20" t="s">
        <v>106</v>
      </c>
    </row>
    <row r="265" spans="2:20" ht="15.75" hidden="1" outlineLevel="1" x14ac:dyDescent="0.3">
      <c r="B265" s="17"/>
      <c r="C265" s="17"/>
      <c r="D265" s="17" t="s">
        <v>46</v>
      </c>
      <c r="E265" s="17"/>
      <c r="F265" s="44">
        <f>IF(NOT(ISBLANK('Referenz Plattenwerk'!$I33)),'Referenz Plattenwerk'!$I33,'Referenz Plattenwerk'!$F33)*IF(NOT(ISBLANK('Eingabe EF'!$AS18)),'Eingabe EF'!$AS18,'Eingabe EF'!$AQ18)</f>
        <v>0</v>
      </c>
      <c r="G265" s="44">
        <f>IF(NOT(ISBLANK('Referenz Plattenwerk'!$I33)),'Referenz Plattenwerk'!$I33,'Referenz Plattenwerk'!$F33)*IF(NOT(ISBLANK('Eingabe EF'!$AW18)),'Eingabe EF'!$AW18,'Eingabe EF'!$AU18)</f>
        <v>0</v>
      </c>
      <c r="H265" s="44">
        <f>IF(NOT(ISBLANK('Referenz Plattenwerk'!$I33)),'Referenz Plattenwerk'!$I33,'Referenz Plattenwerk'!$F33)*IF(NOT(ISBLANK('Eingabe EF'!$BA18)),'Eingabe EF'!$BA18,'Eingabe EF'!$AY18)</f>
        <v>359.68659479999997</v>
      </c>
      <c r="I265" s="17"/>
      <c r="J265" s="38">
        <f t="shared" si="51"/>
        <v>0</v>
      </c>
      <c r="K265" s="38">
        <f t="shared" si="52"/>
        <v>359.68659479999997</v>
      </c>
      <c r="L265" s="17" t="s">
        <v>198</v>
      </c>
      <c r="N265" s="17"/>
      <c r="O265" s="45" t="s">
        <v>160</v>
      </c>
      <c r="P265" s="17"/>
      <c r="Q265" s="30"/>
      <c r="R265" s="17"/>
      <c r="S265" s="42">
        <f>S278+S279</f>
        <v>0</v>
      </c>
      <c r="T265" s="20" t="s">
        <v>106</v>
      </c>
    </row>
    <row r="266" spans="2:20" hidden="1" outlineLevel="1" x14ac:dyDescent="0.2">
      <c r="B266" s="17"/>
      <c r="C266" s="17"/>
      <c r="D266" s="17"/>
      <c r="E266" s="17"/>
      <c r="F266" s="20"/>
      <c r="G266" s="20"/>
      <c r="H266" s="20"/>
      <c r="I266" s="17"/>
      <c r="J266" s="20"/>
      <c r="K266" s="20"/>
      <c r="L266" s="17"/>
      <c r="N266" s="17"/>
      <c r="O266" s="17"/>
      <c r="P266" s="17"/>
      <c r="Q266" s="17"/>
      <c r="R266" s="17"/>
      <c r="S266" s="17"/>
      <c r="T266" s="17"/>
    </row>
    <row r="267" spans="2:20" ht="14.25" hidden="1" outlineLevel="1" x14ac:dyDescent="0.25">
      <c r="B267" s="70"/>
      <c r="C267" s="70" t="s">
        <v>68</v>
      </c>
      <c r="D267" s="71"/>
      <c r="E267" s="71"/>
      <c r="F267" s="72">
        <f>SUM(F268:F271)</f>
        <v>0</v>
      </c>
      <c r="G267" s="72">
        <f t="shared" ref="G267" si="56">SUM(G268:G271)</f>
        <v>0</v>
      </c>
      <c r="H267" s="72">
        <f>SUM(H268:H271)</f>
        <v>4321.1167999999998</v>
      </c>
      <c r="I267" s="71"/>
      <c r="J267" s="72">
        <f t="shared" ref="J267:J271" si="57">F267+G267</f>
        <v>0</v>
      </c>
      <c r="K267" s="72">
        <f t="shared" ref="K267" si="58">SUM(F267:H267)</f>
        <v>4321.1167999999998</v>
      </c>
      <c r="L267" s="77" t="s">
        <v>197</v>
      </c>
      <c r="N267" s="17"/>
      <c r="O267" s="17"/>
      <c r="P267" s="17"/>
      <c r="Q267" s="17"/>
      <c r="R267" s="17"/>
      <c r="S267" s="17"/>
      <c r="T267" s="17"/>
    </row>
    <row r="268" spans="2:20" ht="15.75" hidden="1" outlineLevel="1" x14ac:dyDescent="0.3">
      <c r="B268" s="276"/>
      <c r="C268" s="17"/>
      <c r="D268" s="17" t="s">
        <v>47</v>
      </c>
      <c r="E268" s="17"/>
      <c r="F268" s="38">
        <f>E237*IF(NOT(ISBLANK('Referenz Plattenwerk'!$I36)),'Referenz Plattenwerk'!$I36,'Referenz Plattenwerk'!$F36)*IF(NOT(ISBLANK('Eingabe EF'!$AS21)),'Eingabe EF'!$AS21,'Eingabe EF'!$AQ21)*IF(NOT(ISBLANK('Referenz Plattenwerk'!$I$12)),'Referenz Plattenwerk'!$I$12,'Referenz Plattenwerk'!$F$12)</f>
        <v>0</v>
      </c>
      <c r="G268" s="38">
        <f>E237*IF(NOT(ISBLANK('Referenz Plattenwerk'!$I36)),'Referenz Plattenwerk'!$I36,'Referenz Plattenwerk'!$F36)*IF(NOT(ISBLANK('Eingabe EF'!$AW21)),'Eingabe EF'!$AW21,'Eingabe EF'!$AU21)*IF(NOT(ISBLANK('Referenz Plattenwerk'!$I$12)),'Referenz Plattenwerk'!$I$12,'Referenz Plattenwerk'!$F$12)</f>
        <v>0</v>
      </c>
      <c r="H268" s="38">
        <f>E237*IF(NOT(ISBLANK('Referenz Plattenwerk'!$I36)),'Referenz Plattenwerk'!$I36,'Referenz Plattenwerk'!$F36)*IF(NOT(ISBLANK('Eingabe EF'!$BA21)),'Eingabe EF'!$BA21,'Eingabe EF'!$AY21)*IF(NOT(ISBLANK('Referenz Plattenwerk'!$I$12)),'Referenz Plattenwerk'!$I$12,'Referenz Plattenwerk'!$F$12)</f>
        <v>1149.7850000000001</v>
      </c>
      <c r="I268" s="17"/>
      <c r="J268" s="38">
        <f t="shared" si="57"/>
        <v>0</v>
      </c>
      <c r="K268" s="38">
        <f t="shared" ref="K268:K271" si="59">SUM(F268:H268)</f>
        <v>1149.7850000000001</v>
      </c>
      <c r="L268" s="17" t="s">
        <v>198</v>
      </c>
      <c r="N268" s="17"/>
      <c r="O268" s="17" t="s">
        <v>200</v>
      </c>
      <c r="P268" s="17"/>
      <c r="Q268" s="30"/>
      <c r="R268" s="17"/>
      <c r="S268" s="42">
        <f>F310*IF(NOT(ISBLANK('Eingabe Preise'!$O21)),'Eingabe Preise'!$O21,'Eingabe Preise'!$M21)</f>
        <v>7594.5884048000007</v>
      </c>
      <c r="T268" s="20" t="s">
        <v>106</v>
      </c>
    </row>
    <row r="269" spans="2:20" ht="15.75" hidden="1" outlineLevel="1" x14ac:dyDescent="0.3">
      <c r="B269" s="276"/>
      <c r="C269" s="17"/>
      <c r="D269" s="17" t="s">
        <v>49</v>
      </c>
      <c r="E269" s="17"/>
      <c r="F269" s="38">
        <f>E238*IF(NOT(ISBLANK('Referenz Plattenwerk'!$I37)),'Referenz Plattenwerk'!$I37,'Referenz Plattenwerk'!$F37)*IF(NOT(ISBLANK('Eingabe EF'!$AS22)),'Eingabe EF'!$AS22,'Eingabe EF'!$AQ22)*IF(NOT(ISBLANK('Referenz Plattenwerk'!$I$12)),'Referenz Plattenwerk'!$I$12,'Referenz Plattenwerk'!$F$12)</f>
        <v>0</v>
      </c>
      <c r="G269" s="38">
        <f>E238*IF(NOT(ISBLANK('Referenz Plattenwerk'!$I37)),'Referenz Plattenwerk'!$I37,'Referenz Plattenwerk'!$F37)*IF(NOT(ISBLANK('Eingabe EF'!$AW22)),'Eingabe EF'!$AW22,'Eingabe EF'!$AU22)*IF(NOT(ISBLANK('Referenz Plattenwerk'!$I$12)),'Referenz Plattenwerk'!$I$12,'Referenz Plattenwerk'!$F$12)</f>
        <v>0</v>
      </c>
      <c r="H269" s="38">
        <f>E238*IF(NOT(ISBLANK('Referenz Plattenwerk'!$I37)),'Referenz Plattenwerk'!$I37,'Referenz Plattenwerk'!$F37)*IF(NOT(ISBLANK('Eingabe EF'!$BA22)),'Eingabe EF'!$BA22,'Eingabe EF'!$AY22)*IF(NOT(ISBLANK('Referenz Plattenwerk'!$I$12)),'Referenz Plattenwerk'!$I$12,'Referenz Plattenwerk'!$F$12)</f>
        <v>2294.7287999999999</v>
      </c>
      <c r="I269" s="17"/>
      <c r="J269" s="38">
        <f t="shared" si="57"/>
        <v>0</v>
      </c>
      <c r="K269" s="38">
        <f t="shared" si="59"/>
        <v>2294.7287999999999</v>
      </c>
      <c r="L269" s="17" t="s">
        <v>198</v>
      </c>
      <c r="N269" s="17"/>
      <c r="O269" s="17" t="s">
        <v>201</v>
      </c>
      <c r="P269" s="17"/>
      <c r="Q269" s="30"/>
      <c r="R269" s="17"/>
      <c r="S269" s="42">
        <f>G310*IF(NOT(ISBLANK('Eingabe Preise'!$O22)),'Eingabe Preise'!$O22,'Eingabe Preise'!$M22)</f>
        <v>4924.2043876888438</v>
      </c>
      <c r="T269" s="20" t="s">
        <v>106</v>
      </c>
    </row>
    <row r="270" spans="2:20" ht="15.75" hidden="1" outlineLevel="1" x14ac:dyDescent="0.3">
      <c r="B270" s="276"/>
      <c r="C270" s="17"/>
      <c r="D270" s="17" t="s">
        <v>50</v>
      </c>
      <c r="E270" s="17"/>
      <c r="F270" s="38">
        <f>E239*IF(NOT(ISBLANK('Referenz Plattenwerk'!$I38)),'Referenz Plattenwerk'!$I38,'Referenz Plattenwerk'!$F38)*IF(NOT(ISBLANK('Eingabe EF'!$AS23)),'Eingabe EF'!$AS23,'Eingabe EF'!$AQ23)*IF(NOT(ISBLANK('Referenz Plattenwerk'!$I$12)),'Referenz Plattenwerk'!$I$12,'Referenz Plattenwerk'!$F$12)</f>
        <v>0</v>
      </c>
      <c r="G270" s="38">
        <f>E239*IF(NOT(ISBLANK('Referenz Plattenwerk'!$I38)),'Referenz Plattenwerk'!$I38,'Referenz Plattenwerk'!$F38)*IF(NOT(ISBLANK('Eingabe EF'!$AW23)),'Eingabe EF'!$AW23,'Eingabe EF'!$AU23)*IF(NOT(ISBLANK('Referenz Plattenwerk'!$I$12)),'Referenz Plattenwerk'!$I$12,'Referenz Plattenwerk'!$F$12)</f>
        <v>0</v>
      </c>
      <c r="H270" s="38">
        <f>E239*IF(NOT(ISBLANK('Referenz Plattenwerk'!$I38)),'Referenz Plattenwerk'!$I38,'Referenz Plattenwerk'!$F38)*IF(NOT(ISBLANK('Eingabe EF'!$BA23)),'Eingabe EF'!$BA23,'Eingabe EF'!$AY23)*IF(NOT(ISBLANK('Referenz Plattenwerk'!$I$12)),'Referenz Plattenwerk'!$I$12,'Referenz Plattenwerk'!$F$12)</f>
        <v>876.60299999999984</v>
      </c>
      <c r="I270" s="17"/>
      <c r="J270" s="38">
        <f t="shared" si="57"/>
        <v>0</v>
      </c>
      <c r="K270" s="38">
        <f t="shared" si="59"/>
        <v>876.60299999999984</v>
      </c>
      <c r="L270" s="17" t="s">
        <v>198</v>
      </c>
      <c r="N270" s="17"/>
      <c r="O270" s="17" t="s">
        <v>202</v>
      </c>
      <c r="P270" s="17"/>
      <c r="Q270" s="30"/>
      <c r="R270" s="17"/>
      <c r="S270" s="42">
        <f>H310*IF(NOT(ISBLANK('Eingabe Preise'!$O23)),'Eingabe Preise'!$O23,'Eingabe Preise'!$M23)</f>
        <v>447358.08271929191</v>
      </c>
      <c r="T270" s="20" t="s">
        <v>106</v>
      </c>
    </row>
    <row r="271" spans="2:20" ht="15.75" hidden="1" outlineLevel="1" x14ac:dyDescent="0.3">
      <c r="B271" s="276"/>
      <c r="C271" s="17"/>
      <c r="D271" s="17" t="s">
        <v>161</v>
      </c>
      <c r="E271" s="17"/>
      <c r="F271" s="38">
        <f>E240*IF(NOT(ISBLANK('Referenz Plattenwerk'!$I39)),'Referenz Plattenwerk'!$I39,'Referenz Plattenwerk'!$F39)*IF(NOT(ISBLANK('Eingabe EF'!$AS24)),'Eingabe EF'!$AS24,0)*IF(NOT(ISBLANK('Referenz Plattenwerk'!$I$12)),'Referenz Plattenwerk'!$I$12,'Referenz Plattenwerk'!$F$12)</f>
        <v>0</v>
      </c>
      <c r="G271" s="38">
        <f>E240*IF(NOT(ISBLANK('Referenz Plattenwerk'!$I39)),'Referenz Plattenwerk'!$I39,'Referenz Plattenwerk'!$F39)*IF(NOT(ISBLANK('Eingabe EF'!$AW24)),'Eingabe EF'!$AW24,0)*IF(NOT(ISBLANK('Referenz Plattenwerk'!$I$12)),'Referenz Plattenwerk'!$I$12,'Referenz Plattenwerk'!$F$12)</f>
        <v>0</v>
      </c>
      <c r="H271" s="38">
        <f>E240*IF(NOT(ISBLANK('Referenz Plattenwerk'!$I39)),'Referenz Plattenwerk'!$I39,'Referenz Plattenwerk'!$F39)*IF(NOT(ISBLANK('Eingabe EF'!$BA24)),'Eingabe EF'!$BA24,0)*IF(NOT(ISBLANK('Referenz Plattenwerk'!$I$12)),'Referenz Plattenwerk'!$I$12,'Referenz Plattenwerk'!$F$12)</f>
        <v>0</v>
      </c>
      <c r="I271" s="17"/>
      <c r="J271" s="38">
        <f t="shared" si="57"/>
        <v>0</v>
      </c>
      <c r="K271" s="38">
        <f t="shared" si="59"/>
        <v>0</v>
      </c>
      <c r="L271" s="17" t="s">
        <v>198</v>
      </c>
      <c r="N271" s="17"/>
      <c r="O271" s="17"/>
      <c r="P271" s="17"/>
      <c r="Q271" s="17"/>
      <c r="R271" s="17"/>
      <c r="S271" s="17"/>
      <c r="T271" s="17"/>
    </row>
    <row r="272" spans="2:20" hidden="1" outlineLevel="1" x14ac:dyDescent="0.2">
      <c r="B272" s="17"/>
      <c r="C272" s="17"/>
      <c r="D272" s="17"/>
      <c r="E272" s="17"/>
      <c r="F272" s="17"/>
      <c r="G272" s="17"/>
      <c r="H272" s="17"/>
      <c r="I272" s="17"/>
      <c r="J272" s="20"/>
      <c r="K272" s="20"/>
      <c r="L272" s="17"/>
      <c r="N272" s="17"/>
      <c r="O272" s="17"/>
      <c r="P272" s="17"/>
      <c r="Q272" s="17"/>
      <c r="R272" s="17"/>
      <c r="S272" s="17"/>
      <c r="T272" s="17"/>
    </row>
    <row r="273" spans="2:20" ht="14.25" hidden="1" outlineLevel="1" x14ac:dyDescent="0.25">
      <c r="B273" s="70"/>
      <c r="C273" s="70" t="s">
        <v>177</v>
      </c>
      <c r="D273" s="71"/>
      <c r="E273" s="71"/>
      <c r="F273" s="72">
        <f>SUM(F274:F276)</f>
        <v>0</v>
      </c>
      <c r="G273" s="72">
        <f t="shared" ref="G273:H273" si="60">SUM(G274:G276)</f>
        <v>0</v>
      </c>
      <c r="H273" s="72">
        <f t="shared" si="60"/>
        <v>129.59200000000001</v>
      </c>
      <c r="I273" s="71"/>
      <c r="J273" s="72">
        <f t="shared" ref="J273" si="61">F273+G273</f>
        <v>0</v>
      </c>
      <c r="K273" s="72">
        <f t="shared" ref="K273" si="62">SUM(F273:H273)</f>
        <v>129.59200000000001</v>
      </c>
      <c r="L273" s="77" t="s">
        <v>197</v>
      </c>
      <c r="N273" s="17"/>
      <c r="O273" s="17"/>
      <c r="P273" s="17"/>
      <c r="Q273" s="18"/>
      <c r="R273" s="17"/>
      <c r="S273" s="18"/>
      <c r="T273" s="18"/>
    </row>
    <row r="274" spans="2:20" ht="15.75" hidden="1" outlineLevel="1" x14ac:dyDescent="0.3">
      <c r="B274" s="17"/>
      <c r="C274" s="17"/>
      <c r="D274" s="17" t="s">
        <v>178</v>
      </c>
      <c r="E274" s="17"/>
      <c r="F274" s="38">
        <f>IF(NOT(ISBLANK('Referenz Plattenwerk'!$I42)),'Referenz Plattenwerk'!$I42,'Referenz Plattenwerk'!$F42)*IF(NOT(ISBLANK('Eingabe EF'!$AS27)),'Eingabe EF'!$AS27,'Eingabe EF'!$AQ27)*IF(NOT(ISBLANK('Referenz Plattenwerk'!$I$12)),'Referenz Plattenwerk'!$I$12,'Referenz Plattenwerk'!$F$12)</f>
        <v>0</v>
      </c>
      <c r="G274" s="38">
        <f>IF(NOT(ISBLANK('Referenz Plattenwerk'!$I42)),'Referenz Plattenwerk'!$I42,'Referenz Plattenwerk'!$F42)*IF(NOT(ISBLANK('Eingabe EF'!$AW27)),'Eingabe EF'!$AW27,'Eingabe EF'!$AU27)*IF(NOT(ISBLANK('Referenz Plattenwerk'!$I$12)),'Referenz Plattenwerk'!$I$12,'Referenz Plattenwerk'!$F$12)</f>
        <v>0</v>
      </c>
      <c r="H274" s="38">
        <f>IF(NOT(ISBLANK('Referenz Plattenwerk'!$I42)),'Referenz Plattenwerk'!$I42,'Referenz Plattenwerk'!$F42)*IF(NOT(ISBLANK('Eingabe EF'!$BA27)),'Eingabe EF'!$BA27,'Eingabe EF'!$AY27)*IF(NOT(ISBLANK('Referenz Plattenwerk'!$I$12)),'Referenz Plattenwerk'!$I$12,'Referenz Plattenwerk'!$F$12)</f>
        <v>129.59200000000001</v>
      </c>
      <c r="I274" s="17"/>
      <c r="J274" s="38">
        <f>F274+G274</f>
        <v>0</v>
      </c>
      <c r="K274" s="38">
        <f>SUM(F274:H274)</f>
        <v>129.59200000000001</v>
      </c>
      <c r="L274" s="17" t="s">
        <v>198</v>
      </c>
      <c r="N274" s="21" t="s">
        <v>223</v>
      </c>
      <c r="O274" s="17"/>
      <c r="P274" s="17"/>
      <c r="Q274" s="17"/>
      <c r="R274" s="17"/>
      <c r="S274" s="17"/>
      <c r="T274" s="17"/>
    </row>
    <row r="275" spans="2:20" ht="15.75" hidden="1" outlineLevel="1" x14ac:dyDescent="0.3">
      <c r="B275" s="17"/>
      <c r="C275" s="17"/>
      <c r="D275" s="17" t="s">
        <v>179</v>
      </c>
      <c r="E275" s="17"/>
      <c r="F275" s="38">
        <f>IF(NOT(ISBLANK('Referenz Plattenwerk'!$I43)),'Referenz Plattenwerk'!$I43,'Referenz Plattenwerk'!$F43)*IF(NOT(ISBLANK('Eingabe EF'!$AS28)),'Eingabe EF'!$AS28,0)*IF(NOT(ISBLANK('Referenz Plattenwerk'!$I$12)),'Referenz Plattenwerk'!$I$12,'Referenz Plattenwerk'!$F$12)</f>
        <v>0</v>
      </c>
      <c r="G275" s="38">
        <f>IF(NOT(ISBLANK('Referenz Plattenwerk'!$I43)),'Referenz Plattenwerk'!$I43,'Referenz Plattenwerk'!$F43)*IF(NOT(ISBLANK('Eingabe EF'!$AW28)),'Eingabe EF'!$AW28,0)*IF(NOT(ISBLANK('Referenz Plattenwerk'!$I$12)),'Referenz Plattenwerk'!$I$12,'Referenz Plattenwerk'!$F$12)</f>
        <v>0</v>
      </c>
      <c r="H275" s="38">
        <f>IF(NOT(ISBLANK('Referenz Plattenwerk'!$I43)),'Referenz Plattenwerk'!$I43,'Referenz Plattenwerk'!$F43)*IF(NOT(ISBLANK('Eingabe EF'!$BA28)),'Eingabe EF'!$BA28,0)*IF(NOT(ISBLANK('Referenz Plattenwerk'!$I$12)),'Referenz Plattenwerk'!$I$12,'Referenz Plattenwerk'!$F$12)</f>
        <v>0</v>
      </c>
      <c r="I275" s="17"/>
      <c r="J275" s="38">
        <f>F275+G275</f>
        <v>0</v>
      </c>
      <c r="K275" s="38">
        <f t="shared" ref="K275:K276" si="63">SUM(F275:H275)</f>
        <v>0</v>
      </c>
      <c r="L275" s="17" t="s">
        <v>198</v>
      </c>
      <c r="N275" s="17"/>
      <c r="O275" s="17" t="s">
        <v>224</v>
      </c>
      <c r="P275" s="17"/>
      <c r="Q275" s="18"/>
      <c r="R275" s="17"/>
      <c r="S275" s="42">
        <f>IF(IF(NOT(ISBLANK($G$38)),$G$38,$E$38)&gt;5,S185,0)</f>
        <v>0</v>
      </c>
      <c r="T275" s="20" t="s">
        <v>106</v>
      </c>
    </row>
    <row r="276" spans="2:20" ht="15.75" hidden="1" outlineLevel="1" x14ac:dyDescent="0.3">
      <c r="B276" s="17"/>
      <c r="C276" s="17"/>
      <c r="D276" s="17" t="s">
        <v>180</v>
      </c>
      <c r="E276" s="17"/>
      <c r="F276" s="38">
        <f>IF(NOT(ISBLANK('Referenz Plattenwerk'!$I44)),'Referenz Plattenwerk'!$I44,'Referenz Plattenwerk'!$F44)*IF(NOT(ISBLANK('Eingabe EF'!$AS29)),'Eingabe EF'!$AS29,0)*IF(NOT(ISBLANK('Referenz Plattenwerk'!$I$12)),'Referenz Plattenwerk'!$I$12,'Referenz Plattenwerk'!$F$12)</f>
        <v>0</v>
      </c>
      <c r="G276" s="38">
        <f>IF(NOT(ISBLANK('Referenz Plattenwerk'!$I44)),'Referenz Plattenwerk'!$I44,'Referenz Plattenwerk'!$F44)*IF(NOT(ISBLANK('Eingabe EF'!$AW29)),'Eingabe EF'!$AW29,0)*IF(NOT(ISBLANK('Referenz Plattenwerk'!$I$12)),'Referenz Plattenwerk'!$I$12,'Referenz Plattenwerk'!$F$12)</f>
        <v>0</v>
      </c>
      <c r="H276" s="38">
        <f>IF(NOT(ISBLANK('Referenz Plattenwerk'!$I44)),'Referenz Plattenwerk'!$I44,'Referenz Plattenwerk'!$F44)*IF(NOT(ISBLANK('Eingabe EF'!$BA29)),'Eingabe EF'!$BA29,0)*IF(NOT(ISBLANK('Referenz Plattenwerk'!$I$12)),'Referenz Plattenwerk'!$I$12,'Referenz Plattenwerk'!$F$12)</f>
        <v>0</v>
      </c>
      <c r="I276" s="17"/>
      <c r="J276" s="38">
        <f t="shared" ref="J276" si="64">F276+G276</f>
        <v>0</v>
      </c>
      <c r="K276" s="38">
        <f t="shared" si="63"/>
        <v>0</v>
      </c>
      <c r="L276" s="17" t="s">
        <v>198</v>
      </c>
      <c r="N276" s="17"/>
      <c r="O276" s="17" t="s">
        <v>225</v>
      </c>
      <c r="P276" s="17"/>
      <c r="Q276" s="17"/>
      <c r="R276" s="17"/>
      <c r="S276" s="42">
        <f>IF(NOT(ISBLANK($K$33)),$K$33,$I$33)/IF(NOT(ISBLANK($K$38)),$K$38,$I$38)+IF(NOT(ISBLANK($K$33)),$K$33,$I$33)*(IF(NOT(ISBLANK($K$39)),$K$39,$I$39)/100)</f>
        <v>0</v>
      </c>
      <c r="T276" s="20" t="s">
        <v>106</v>
      </c>
    </row>
    <row r="277" spans="2:20" hidden="1" outlineLevel="1" x14ac:dyDescent="0.2">
      <c r="B277" s="17"/>
      <c r="C277" s="17"/>
      <c r="D277" s="17"/>
      <c r="E277" s="17"/>
      <c r="F277" s="17"/>
      <c r="G277" s="17"/>
      <c r="H277" s="17"/>
      <c r="I277" s="17"/>
      <c r="J277" s="20"/>
      <c r="K277" s="20"/>
      <c r="L277" s="17"/>
      <c r="N277" s="17"/>
      <c r="O277" s="17"/>
      <c r="P277" s="17"/>
      <c r="Q277" s="18"/>
      <c r="R277" s="17"/>
      <c r="S277" s="18"/>
      <c r="T277" s="18"/>
    </row>
    <row r="278" spans="2:20" ht="14.25" hidden="1" outlineLevel="1" x14ac:dyDescent="0.25">
      <c r="B278" s="17"/>
      <c r="C278" s="17"/>
      <c r="D278" s="21" t="s">
        <v>57</v>
      </c>
      <c r="E278" s="21"/>
      <c r="F278" s="75">
        <f>IF(NOT(ISBLANK('Referenz Plattenwerk'!$I46)),'Referenz Plattenwerk'!$I46,'Referenz Plattenwerk'!$F46)*IF(NOT(ISBLANK('Eingabe EF'!$AS31)),'Eingabe EF'!$AS31,'Eingabe EF'!$AQ31)*IF(NOT(ISBLANK('Referenz Plattenwerk'!$I$12)),'Referenz Plattenwerk'!$I$12,'Referenz Plattenwerk'!$F$12)</f>
        <v>0</v>
      </c>
      <c r="G278" s="75">
        <f>IF(NOT(ISBLANK('Referenz Plattenwerk'!$I46)),'Referenz Plattenwerk'!$I46,'Referenz Plattenwerk'!$F46)*IF(NOT(ISBLANK('Eingabe EF'!$AW31)),'Eingabe EF'!$AW31,'Eingabe EF'!$AU31)*IF(NOT(ISBLANK('Referenz Plattenwerk'!$I$12)),'Referenz Plattenwerk'!$I$12,'Referenz Plattenwerk'!$F$12)</f>
        <v>0</v>
      </c>
      <c r="H278" s="75">
        <f>IF(NOT(ISBLANK('Referenz Plattenwerk'!$I46)),'Referenz Plattenwerk'!$I46,'Referenz Plattenwerk'!$F46)*IF(NOT(ISBLANK('Eingabe EF'!$BA31)),'Eingabe EF'!$BA31,'Eingabe EF'!$AY31)*IF(NOT(ISBLANK('Referenz Plattenwerk'!$I$12)),'Referenz Plattenwerk'!$I$12,'Referenz Plattenwerk'!$F$12)</f>
        <v>208</v>
      </c>
      <c r="I278" s="21"/>
      <c r="J278" s="75">
        <f>F278+G278</f>
        <v>0</v>
      </c>
      <c r="K278" s="75">
        <f t="shared" ref="K278" si="65">SUM(F278:H278)</f>
        <v>208</v>
      </c>
      <c r="L278" s="21" t="s">
        <v>197</v>
      </c>
      <c r="N278" s="17"/>
      <c r="O278" s="17" t="s">
        <v>227</v>
      </c>
      <c r="P278" s="17"/>
      <c r="Q278" s="17"/>
      <c r="R278" s="17"/>
      <c r="S278" s="42">
        <f>IF(IF(NOT(ISBLANK($G$38)),$G$38,$E$38)&gt;5,S187,0)</f>
        <v>0</v>
      </c>
      <c r="T278" s="20" t="s">
        <v>106</v>
      </c>
    </row>
    <row r="279" spans="2:20" hidden="1" outlineLevel="1" x14ac:dyDescent="0.2">
      <c r="B279" s="17"/>
      <c r="C279" s="17"/>
      <c r="D279" s="17"/>
      <c r="E279" s="17"/>
      <c r="F279" s="17"/>
      <c r="G279" s="17"/>
      <c r="H279" s="17"/>
      <c r="I279" s="17"/>
      <c r="J279" s="20"/>
      <c r="K279" s="20"/>
      <c r="L279" s="17"/>
      <c r="N279" s="17"/>
      <c r="O279" s="17" t="s">
        <v>228</v>
      </c>
      <c r="P279" s="17"/>
      <c r="Q279" s="18"/>
      <c r="R279" s="17"/>
      <c r="S279" s="42">
        <f>IF(NOT(ISBLANK($K$35)),$K$35,$I$35)/IF(NOT(ISBLANK($K$38)),$K$38,$I$38)+IF(NOT(ISBLANK($K$35)),$K$35,$I$35)*(IF(NOT(ISBLANK($K$39)),$K$39,$I$39)/100)</f>
        <v>0</v>
      </c>
      <c r="T279" s="20" t="s">
        <v>106</v>
      </c>
    </row>
    <row r="280" spans="2:20" ht="14.25" hidden="1" outlineLevel="1" x14ac:dyDescent="0.25">
      <c r="B280" s="70"/>
      <c r="C280" s="70" t="s">
        <v>181</v>
      </c>
      <c r="D280" s="71"/>
      <c r="E280" s="71"/>
      <c r="F280" s="72">
        <f>SUM(F281:F283)</f>
        <v>0</v>
      </c>
      <c r="G280" s="72">
        <f t="shared" ref="G280:H280" si="66">SUM(G281:G283)</f>
        <v>0</v>
      </c>
      <c r="H280" s="72">
        <f t="shared" si="66"/>
        <v>85.054199999999994</v>
      </c>
      <c r="I280" s="71"/>
      <c r="J280" s="72">
        <f t="shared" ref="J280" si="67">F280+G280</f>
        <v>0</v>
      </c>
      <c r="K280" s="72">
        <f t="shared" ref="K280" si="68">SUM(F280:H280)</f>
        <v>85.054199999999994</v>
      </c>
      <c r="L280" s="77" t="s">
        <v>197</v>
      </c>
      <c r="N280" s="17"/>
      <c r="O280" s="17"/>
      <c r="P280" s="17"/>
      <c r="Q280" s="18"/>
      <c r="R280" s="17"/>
      <c r="S280" s="18"/>
      <c r="T280" s="18"/>
    </row>
    <row r="281" spans="2:20" ht="15.75" hidden="1" outlineLevel="1" x14ac:dyDescent="0.3">
      <c r="B281" s="276"/>
      <c r="C281" s="17"/>
      <c r="D281" s="17" t="s">
        <v>59</v>
      </c>
      <c r="E281" s="17"/>
      <c r="F281" s="38">
        <f>IF(NOT(ISBLANK('Referenz Plattenwerk'!$I49)),'Referenz Plattenwerk'!$I49,'Referenz Plattenwerk'!$F49)*IF(NOT(ISBLANK('Eingabe EF'!$AS34)),'Eingabe EF'!$AS34,'Eingabe EF'!$AQ34)*IF(NOT(ISBLANK('Referenz Plattenwerk'!$I$12)),'Referenz Plattenwerk'!$I$12,'Referenz Plattenwerk'!$F$12)</f>
        <v>0</v>
      </c>
      <c r="G281" s="38">
        <f>IF(NOT(ISBLANK('Referenz Plattenwerk'!$I49)),'Referenz Plattenwerk'!$I49,'Referenz Plattenwerk'!$F49)*IF(NOT(ISBLANK('Eingabe EF'!$AW34)),'Eingabe EF'!$AW34,'Eingabe EF'!$AU34)*IF(NOT(ISBLANK('Referenz Plattenwerk'!$I$12)),'Referenz Plattenwerk'!$I$12,'Referenz Plattenwerk'!$F$12)</f>
        <v>0</v>
      </c>
      <c r="H281" s="38">
        <f>$E$242*IF(NOT(ISBLANK('Referenz Plattenwerk'!$I49)),'Referenz Plattenwerk'!$I49,'Referenz Plattenwerk'!$F49)*IF(NOT(ISBLANK('Eingabe EF'!$BA34)),'Eingabe EF'!$BA34,'Eingabe EF'!$AY34)*IF(NOT(ISBLANK('Referenz Plattenwerk'!$I$12)),'Referenz Plattenwerk'!$I$12,'Referenz Plattenwerk'!$F$12)</f>
        <v>0</v>
      </c>
      <c r="I281" s="17"/>
      <c r="J281" s="38">
        <f>F281+G281</f>
        <v>0</v>
      </c>
      <c r="K281" s="38">
        <f>SUM(F281:H281)</f>
        <v>0</v>
      </c>
      <c r="L281" s="17" t="s">
        <v>198</v>
      </c>
      <c r="N281" s="17"/>
      <c r="O281" s="17"/>
      <c r="P281" s="17"/>
      <c r="Q281" s="17"/>
      <c r="R281" s="17"/>
      <c r="S281" s="17"/>
      <c r="T281" s="17"/>
    </row>
    <row r="282" spans="2:20" ht="15.75" hidden="1" outlineLevel="1" x14ac:dyDescent="0.3">
      <c r="B282" s="276"/>
      <c r="C282" s="17"/>
      <c r="D282" s="17" t="s">
        <v>60</v>
      </c>
      <c r="E282" s="17"/>
      <c r="F282" s="38">
        <f>E243*IF(NOT(ISBLANK('Referenz Plattenwerk'!$I50)),'Referenz Plattenwerk'!$I50,'Referenz Plattenwerk'!$F50)*IF(NOT(ISBLANK('Eingabe EF'!$AS35)),'Eingabe EF'!$AS35,'Eingabe EF'!$AQ35)*IF(NOT(ISBLANK('Referenz Plattenwerk'!$I$12)),'Referenz Plattenwerk'!$I$12,'Referenz Plattenwerk'!$F$12)</f>
        <v>0</v>
      </c>
      <c r="G282" s="38">
        <f>E243*IF(NOT(ISBLANK('Referenz Plattenwerk'!$I50)),'Referenz Plattenwerk'!$I50,'Referenz Plattenwerk'!$F50)*IF(NOT(ISBLANK('Eingabe EF'!$AW35)),'Eingabe EF'!$AW35,'Eingabe EF'!$AU35)*IF(NOT(ISBLANK('Referenz Plattenwerk'!$I$12)),'Referenz Plattenwerk'!$I$12,'Referenz Plattenwerk'!$F$12)</f>
        <v>0</v>
      </c>
      <c r="H282" s="38">
        <f>E243*IF(NOT(ISBLANK('Referenz Plattenwerk'!$I50)),'Referenz Plattenwerk'!$I50,'Referenz Plattenwerk'!$F50)*IF(NOT(ISBLANK('Eingabe EF'!$BA35)),'Eingabe EF'!$BA35,'Eingabe EF'!$AY35)*IF(NOT(ISBLANK('Referenz Plattenwerk'!$I$12)),'Referenz Plattenwerk'!$I$12,'Referenz Plattenwerk'!$F$12)</f>
        <v>9.1181999999999999</v>
      </c>
      <c r="I282" s="17"/>
      <c r="J282" s="38">
        <f>F282+G282</f>
        <v>0</v>
      </c>
      <c r="K282" s="38">
        <f>SUM(F282:H282)</f>
        <v>9.1181999999999999</v>
      </c>
      <c r="L282" s="17" t="s">
        <v>198</v>
      </c>
      <c r="N282" s="17"/>
      <c r="O282" s="17"/>
      <c r="P282" s="17"/>
      <c r="Q282" s="18"/>
      <c r="R282" s="17"/>
      <c r="S282" s="18"/>
      <c r="T282" s="18"/>
    </row>
    <row r="283" spans="2:20" ht="15.75" hidden="1" outlineLevel="1" x14ac:dyDescent="0.3">
      <c r="B283" s="276"/>
      <c r="C283" s="17"/>
      <c r="D283" s="17" t="s">
        <v>61</v>
      </c>
      <c r="E283" s="17"/>
      <c r="F283" s="38">
        <f>E244*IF(NOT(ISBLANK('Referenz Plattenwerk'!$I51)),'Referenz Plattenwerk'!$I51,'Referenz Plattenwerk'!$F51)*IF(NOT(ISBLANK('Eingabe EF'!$AS36)),'Eingabe EF'!$AS36,'Eingabe EF'!$AQ36)*IF(NOT(ISBLANK('Referenz Plattenwerk'!$I$12)),'Referenz Plattenwerk'!$I$12,'Referenz Plattenwerk'!$F$12)</f>
        <v>0</v>
      </c>
      <c r="G283" s="38">
        <f>E244*IF(NOT(ISBLANK('Referenz Plattenwerk'!$I51)),'Referenz Plattenwerk'!$I51,'Referenz Plattenwerk'!$F51)*IF(NOT(ISBLANK('Eingabe EF'!$AW36)),'Eingabe EF'!$AW36,'Eingabe EF'!$AU36)*IF(NOT(ISBLANK('Referenz Plattenwerk'!$I$12)),'Referenz Plattenwerk'!$I$12,'Referenz Plattenwerk'!$F$12)</f>
        <v>0</v>
      </c>
      <c r="H283" s="38">
        <f>E244*IF(NOT(ISBLANK('Referenz Plattenwerk'!$I51)),'Referenz Plattenwerk'!$I51,'Referenz Plattenwerk'!$F51)*IF(NOT(ISBLANK('Eingabe EF'!$BA36)),'Eingabe EF'!$BA36,'Eingabe EF'!$AY36)*IF(NOT(ISBLANK('Referenz Plattenwerk'!$I$12)),'Referenz Plattenwerk'!$I$12,'Referenz Plattenwerk'!$F$12)</f>
        <v>75.935999999999993</v>
      </c>
      <c r="I283" s="17"/>
      <c r="J283" s="38">
        <f>F283+G283</f>
        <v>0</v>
      </c>
      <c r="K283" s="38">
        <f>SUM(F283:H283)</f>
        <v>75.935999999999993</v>
      </c>
      <c r="L283" s="17" t="s">
        <v>198</v>
      </c>
    </row>
    <row r="284" spans="2:20" hidden="1" outlineLevel="1" x14ac:dyDescent="0.2">
      <c r="B284" s="17"/>
      <c r="C284" s="17"/>
      <c r="D284" s="17"/>
      <c r="E284" s="17"/>
      <c r="F284" s="17"/>
      <c r="G284" s="17"/>
      <c r="H284" s="17"/>
      <c r="I284" s="17"/>
      <c r="J284" s="17"/>
      <c r="K284" s="20"/>
      <c r="L284" s="20"/>
    </row>
    <row r="285" spans="2:20" ht="14.25" hidden="1" outlineLevel="1" x14ac:dyDescent="0.25">
      <c r="B285" s="70"/>
      <c r="C285" s="70" t="s">
        <v>51</v>
      </c>
      <c r="D285" s="71"/>
      <c r="E285" s="71"/>
      <c r="F285" s="72">
        <f>SUM(F286:F289)</f>
        <v>0</v>
      </c>
      <c r="G285" s="72">
        <f t="shared" ref="G285:H285" si="69">SUM(G286:G289)</f>
        <v>0</v>
      </c>
      <c r="H285" s="72">
        <f t="shared" si="69"/>
        <v>148.44746134951595</v>
      </c>
      <c r="I285" s="71"/>
      <c r="J285" s="72">
        <f t="shared" ref="J285:J289" si="70">F285+G285</f>
        <v>0</v>
      </c>
      <c r="K285" s="72">
        <f t="shared" ref="K285" si="71">SUM(F285:H285)</f>
        <v>148.44746134951595</v>
      </c>
      <c r="L285" s="77" t="s">
        <v>197</v>
      </c>
    </row>
    <row r="286" spans="2:20" ht="15.75" hidden="1" outlineLevel="1" x14ac:dyDescent="0.3">
      <c r="B286" s="17"/>
      <c r="C286" s="17"/>
      <c r="D286" s="17" t="s">
        <v>52</v>
      </c>
      <c r="E286" s="17"/>
      <c r="F286"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86"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86"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86" s="17"/>
      <c r="J286" s="38">
        <f t="shared" si="70"/>
        <v>0</v>
      </c>
      <c r="K286" s="38">
        <f t="shared" ref="K286:K289" si="72">SUM(F286:H286)</f>
        <v>47.997919375812742</v>
      </c>
      <c r="L286" s="17" t="s">
        <v>198</v>
      </c>
    </row>
    <row r="287" spans="2:20" ht="15.75" hidden="1" outlineLevel="1" x14ac:dyDescent="0.3">
      <c r="B287" s="17"/>
      <c r="C287" s="17"/>
      <c r="D287" s="17" t="s">
        <v>54</v>
      </c>
      <c r="E287" s="17"/>
      <c r="F287"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87"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87"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87" s="17"/>
      <c r="J287" s="38">
        <f t="shared" si="70"/>
        <v>0</v>
      </c>
      <c r="K287" s="38">
        <f t="shared" si="72"/>
        <v>5.7797543707556596</v>
      </c>
      <c r="L287" s="17" t="s">
        <v>198</v>
      </c>
    </row>
    <row r="288" spans="2:20" ht="15.75" hidden="1" outlineLevel="1" x14ac:dyDescent="0.3">
      <c r="B288" s="17"/>
      <c r="C288" s="17"/>
      <c r="D288" s="17" t="s">
        <v>55</v>
      </c>
      <c r="E288" s="17"/>
      <c r="F288"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88"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88"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88" s="17"/>
      <c r="J288" s="38">
        <f t="shared" si="70"/>
        <v>0</v>
      </c>
      <c r="K288" s="38">
        <f t="shared" si="72"/>
        <v>1.4217598612917211E-2</v>
      </c>
      <c r="L288" s="17" t="s">
        <v>198</v>
      </c>
    </row>
    <row r="289" spans="2:12" ht="15.75" hidden="1" outlineLevel="1" x14ac:dyDescent="0.3">
      <c r="B289" s="17"/>
      <c r="C289" s="17"/>
      <c r="D289" s="17" t="s">
        <v>56</v>
      </c>
      <c r="E289" s="17"/>
      <c r="F289"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89"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89"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89" s="17"/>
      <c r="J289" s="38">
        <f t="shared" si="70"/>
        <v>0</v>
      </c>
      <c r="K289" s="38">
        <f t="shared" si="72"/>
        <v>94.655570004334635</v>
      </c>
      <c r="L289" s="17" t="s">
        <v>198</v>
      </c>
    </row>
    <row r="290" spans="2:12" hidden="1" outlineLevel="1" x14ac:dyDescent="0.2">
      <c r="B290" s="17"/>
      <c r="C290" s="17"/>
      <c r="D290" s="17"/>
      <c r="E290" s="17"/>
      <c r="F290" s="17"/>
      <c r="G290" s="17"/>
      <c r="H290" s="17"/>
      <c r="I290" s="17"/>
      <c r="J290" s="17"/>
      <c r="K290" s="17"/>
      <c r="L290" s="20"/>
    </row>
    <row r="291" spans="2:12" ht="14.25" hidden="1" outlineLevel="1" x14ac:dyDescent="0.25">
      <c r="B291" s="70"/>
      <c r="C291" s="70" t="s">
        <v>271</v>
      </c>
      <c r="D291" s="71"/>
      <c r="E291" s="71"/>
      <c r="F291" s="72">
        <f>SUM(F292:F293)</f>
        <v>0</v>
      </c>
      <c r="G291" s="72">
        <f t="shared" ref="G291" si="73">SUM(G292:G293)</f>
        <v>0</v>
      </c>
      <c r="H291" s="72">
        <f>SUM(H292:H293)</f>
        <v>0</v>
      </c>
      <c r="I291" s="71"/>
      <c r="J291" s="72">
        <f>F291+G291</f>
        <v>0</v>
      </c>
      <c r="K291" s="72">
        <f t="shared" ref="K291" si="74">SUM(F291:H291)</f>
        <v>0</v>
      </c>
      <c r="L291" s="77" t="s">
        <v>197</v>
      </c>
    </row>
    <row r="292" spans="2:12" ht="15.75" hidden="1" outlineLevel="1" x14ac:dyDescent="0.3">
      <c r="B292" s="276"/>
      <c r="C292" s="17"/>
      <c r="D292" s="17" t="s">
        <v>267</v>
      </c>
      <c r="E292" s="17"/>
      <c r="F292" s="38">
        <v>0</v>
      </c>
      <c r="G292" s="38">
        <v>0</v>
      </c>
      <c r="H292" s="38">
        <f>IF(NOT(ISBLANK(K26)),K26,I26)*IF(NOT(ISBLANK(K29)),K29,0)</f>
        <v>0</v>
      </c>
      <c r="I292" s="17"/>
      <c r="J292" s="38">
        <f t="shared" ref="J292:J293" si="75">F292+G292</f>
        <v>0</v>
      </c>
      <c r="K292" s="38">
        <f t="shared" ref="K292:K293" si="76">SUM(F292:H292)</f>
        <v>0</v>
      </c>
      <c r="L292" s="17" t="s">
        <v>198</v>
      </c>
    </row>
    <row r="293" spans="2:12" ht="15.75" hidden="1" outlineLevel="1" x14ac:dyDescent="0.3">
      <c r="B293" s="276"/>
      <c r="C293" s="17"/>
      <c r="D293" s="17" t="s">
        <v>268</v>
      </c>
      <c r="E293" s="17"/>
      <c r="F293" s="38">
        <v>0</v>
      </c>
      <c r="G293" s="38">
        <v>0</v>
      </c>
      <c r="H293" s="38">
        <f>IF(NOT(ISBLANK(K27)),K27,I27)*IF(NOT(ISBLANK(K30)),K30,0)</f>
        <v>0</v>
      </c>
      <c r="I293" s="17"/>
      <c r="J293" s="38">
        <f t="shared" si="75"/>
        <v>0</v>
      </c>
      <c r="K293" s="38">
        <f t="shared" si="76"/>
        <v>0</v>
      </c>
      <c r="L293" s="17" t="s">
        <v>198</v>
      </c>
    </row>
    <row r="294" spans="2:12" hidden="1" outlineLevel="1" x14ac:dyDescent="0.2">
      <c r="B294" s="17"/>
      <c r="C294" s="17"/>
      <c r="D294" s="17"/>
      <c r="E294" s="17"/>
      <c r="F294" s="17"/>
      <c r="G294" s="17"/>
      <c r="H294" s="17"/>
      <c r="I294" s="17"/>
      <c r="J294" s="17"/>
      <c r="K294" s="17"/>
      <c r="L294" s="20"/>
    </row>
    <row r="295" spans="2:12" ht="14.25" hidden="1" outlineLevel="1" x14ac:dyDescent="0.25">
      <c r="B295" s="17"/>
      <c r="C295" s="17"/>
      <c r="D295" s="21" t="s">
        <v>110</v>
      </c>
      <c r="E295" s="21"/>
      <c r="F295" s="75">
        <f>IF(NOT(ISBLANK('Referenz Plattenwerk'!$I59)),'Referenz Plattenwerk'!$I59,'Referenz Plattenwerk'!$F59)*IF(NOT(ISBLANK('Eingabe EF'!$AS44)),'Eingabe EF'!$AS44,0)*IF(NOT(ISBLANK('Referenz Plattenwerk'!$I$12)),'Referenz Plattenwerk'!$I$12,'Referenz Plattenwerk'!$F$12)</f>
        <v>0</v>
      </c>
      <c r="G295" s="75">
        <f>IF(NOT(ISBLANK('Referenz Plattenwerk'!$I59)),'Referenz Plattenwerk'!$I59,'Referenz Plattenwerk'!$F59)*IF(NOT(ISBLANK('Eingabe EF'!$AW44)),'Eingabe EF'!$AW44,0)*IF(NOT(ISBLANK('Referenz Plattenwerk'!$I$12)),'Referenz Plattenwerk'!$I$12,'Referenz Plattenwerk'!$F$12)</f>
        <v>0</v>
      </c>
      <c r="H295" s="75">
        <f>IF(NOT(ISBLANK('Referenz Plattenwerk'!$I59)),'Referenz Plattenwerk'!$I59,'Referenz Plattenwerk'!$F59)*IF(NOT(ISBLANK('Eingabe EF'!$BA44)),'Eingabe EF'!$BA44,0)*IF(NOT(ISBLANK('Referenz Plattenwerk'!$I$12)),'Referenz Plattenwerk'!$I$12,'Referenz Plattenwerk'!$F$12)</f>
        <v>0</v>
      </c>
      <c r="I295" s="21"/>
      <c r="J295" s="75">
        <f>F295+G295</f>
        <v>0</v>
      </c>
      <c r="K295" s="75">
        <f>SUM(F295:H295)</f>
        <v>0</v>
      </c>
      <c r="L295" s="21" t="s">
        <v>197</v>
      </c>
    </row>
    <row r="296" spans="2:12" ht="14.25" hidden="1" outlineLevel="1" x14ac:dyDescent="0.25">
      <c r="B296" s="17"/>
      <c r="C296" s="17"/>
      <c r="D296" s="21" t="s">
        <v>64</v>
      </c>
      <c r="E296" s="21"/>
      <c r="F296" s="76">
        <f>IF(NOT(ISBLANK('Referenz Plattenwerk'!$I60)),'Referenz Plattenwerk'!$I60,'Referenz Plattenwerk'!$F60)*IF(NOT(ISBLANK('Eingabe EF'!$AS45)),'Eingabe EF'!$AS45,'Eingabe EF'!$AQ45)</f>
        <v>0</v>
      </c>
      <c r="G296" s="76">
        <f>IF(NOT(ISBLANK('Referenz Plattenwerk'!$I60)),'Referenz Plattenwerk'!$I60,'Referenz Plattenwerk'!$F60)*IF(NOT(ISBLANK('Eingabe EF'!$AW45)),'Eingabe EF'!$AW45,'Eingabe EF'!$AU45)</f>
        <v>0</v>
      </c>
      <c r="H296" s="76">
        <f>IF(NOT(ISBLANK('Referenz Plattenwerk'!$I60)),'Referenz Plattenwerk'!$I60,'Referenz Plattenwerk'!$F60)*IF(NOT(ISBLANK('Eingabe EF'!$BA45)),'Eingabe EF'!$BA45,'Eingabe EF'!$AY45)</f>
        <v>0.54400000000000004</v>
      </c>
      <c r="I296" s="21"/>
      <c r="J296" s="75">
        <f>F296+G296</f>
        <v>0</v>
      </c>
      <c r="K296" s="75">
        <f>SUM(F296:H296)</f>
        <v>0.54400000000000004</v>
      </c>
      <c r="L296" s="21" t="s">
        <v>197</v>
      </c>
    </row>
    <row r="297" spans="2:12" hidden="1" outlineLevel="1" x14ac:dyDescent="0.2">
      <c r="B297" s="17"/>
      <c r="C297" s="17"/>
      <c r="D297" s="17"/>
      <c r="E297" s="17"/>
      <c r="F297" s="17"/>
      <c r="G297" s="17"/>
      <c r="H297" s="17"/>
      <c r="I297" s="17"/>
      <c r="J297" s="17"/>
      <c r="K297" s="17"/>
      <c r="L297" s="20"/>
    </row>
    <row r="298" spans="2:12" ht="14.25" hidden="1" outlineLevel="1" x14ac:dyDescent="0.25">
      <c r="B298" s="70"/>
      <c r="C298" s="70" t="s">
        <v>182</v>
      </c>
      <c r="D298" s="71"/>
      <c r="E298" s="71"/>
      <c r="F298" s="72">
        <f>SUM(F299:F301)</f>
        <v>0</v>
      </c>
      <c r="G298" s="72">
        <f t="shared" ref="G298:H298" si="77">SUM(G299:G301)</f>
        <v>0</v>
      </c>
      <c r="H298" s="72">
        <f t="shared" si="77"/>
        <v>80.47999999999999</v>
      </c>
      <c r="I298" s="71"/>
      <c r="J298" s="72">
        <f t="shared" ref="J298" si="78">F298+G298</f>
        <v>0</v>
      </c>
      <c r="K298" s="72">
        <f t="shared" ref="K298" si="79">SUM(F298:H298)</f>
        <v>80.47999999999999</v>
      </c>
      <c r="L298" s="77" t="s">
        <v>197</v>
      </c>
    </row>
    <row r="299" spans="2:12" ht="15.75" hidden="1" outlineLevel="1" x14ac:dyDescent="0.3">
      <c r="B299" s="17"/>
      <c r="C299" s="17"/>
      <c r="D299" s="17" t="s">
        <v>183</v>
      </c>
      <c r="E299" s="17"/>
      <c r="F299" s="38">
        <f>IF(NOT(ISBLANK('Referenz Plattenwerk'!$I63)),'Referenz Plattenwerk'!$I63,'Referenz Plattenwerk'!$F63)*IF(NOT(ISBLANK('Eingabe EF'!$AS48)),'Eingabe EF'!$AS48,0)*IF(NOT(ISBLANK('Referenz Plattenwerk'!$I$12)),'Referenz Plattenwerk'!$I$12,'Referenz Plattenwerk'!$F$12)</f>
        <v>0</v>
      </c>
      <c r="G299" s="38">
        <f>IF(NOT(ISBLANK('Referenz Plattenwerk'!$I63)),'Referenz Plattenwerk'!$I63,'Referenz Plattenwerk'!$F63)*IF(NOT(ISBLANK('Eingabe EF'!$AW48)),'Eingabe EF'!$AW48,0)*IF(NOT(ISBLANK('Referenz Plattenwerk'!$I$12)),'Referenz Plattenwerk'!$I$12,'Referenz Plattenwerk'!$F$12)</f>
        <v>0</v>
      </c>
      <c r="H299" s="38">
        <f>IF(NOT(ISBLANK('Referenz Plattenwerk'!$I63)),'Referenz Plattenwerk'!$I63,'Referenz Plattenwerk'!$F63)*IF(NOT(ISBLANK('Eingabe EF'!$BA48)),'Eingabe EF'!$BA48,0)*IF(NOT(ISBLANK('Referenz Plattenwerk'!$I$12)),'Referenz Plattenwerk'!$I$12,'Referenz Plattenwerk'!$F$12)</f>
        <v>0</v>
      </c>
      <c r="I299" s="17"/>
      <c r="J299" s="38">
        <f>F299+G299</f>
        <v>0</v>
      </c>
      <c r="K299" s="38">
        <f>SUM(F299:H299)</f>
        <v>0</v>
      </c>
      <c r="L299" s="17" t="s">
        <v>198</v>
      </c>
    </row>
    <row r="300" spans="2:12" ht="15.75" hidden="1" outlineLevel="1" x14ac:dyDescent="0.3">
      <c r="B300" s="17"/>
      <c r="C300" s="17"/>
      <c r="D300" s="17" t="s">
        <v>62</v>
      </c>
      <c r="E300" s="17"/>
      <c r="F300" s="38">
        <f>IF(NOT(ISBLANK('Referenz Plattenwerk'!$I64)),'Referenz Plattenwerk'!$I64,'Referenz Plattenwerk'!$F64)*IF(NOT(ISBLANK('Eingabe EF'!$AS49)),'Eingabe EF'!$AS49,'Eingabe EF'!$AQ49)*IF(NOT(ISBLANK('Referenz Plattenwerk'!$I$12)),'Referenz Plattenwerk'!$I$12,'Referenz Plattenwerk'!$F$12)</f>
        <v>0</v>
      </c>
      <c r="G300" s="38">
        <f>IF(NOT(ISBLANK('Referenz Plattenwerk'!$I64)),'Referenz Plattenwerk'!$I64,'Referenz Plattenwerk'!$F64)*IF(NOT(ISBLANK('Eingabe EF'!$AW49)),'Eingabe EF'!$AW49,'Eingabe EF'!$AU49)*IF(NOT(ISBLANK('Referenz Plattenwerk'!$I$12)),'Referenz Plattenwerk'!$I$12,'Referenz Plattenwerk'!$F$12)</f>
        <v>0</v>
      </c>
      <c r="H300" s="38">
        <f>IF(NOT(ISBLANK('Referenz Plattenwerk'!$I64)),'Referenz Plattenwerk'!$I64,'Referenz Plattenwerk'!$F64)*IF(NOT(ISBLANK('Eingabe EF'!$BA49)),'Eingabe EF'!$BA49,'Eingabe EF'!$AY49)*IF(NOT(ISBLANK('Referenz Plattenwerk'!$I$12)),'Referenz Plattenwerk'!$I$12,'Referenz Plattenwerk'!$F$12)</f>
        <v>80.47999999999999</v>
      </c>
      <c r="I300" s="17"/>
      <c r="J300" s="38">
        <f t="shared" ref="J300" si="80">F300+G300</f>
        <v>0</v>
      </c>
      <c r="K300" s="38">
        <f t="shared" ref="K300" si="81">SUM(F300:H300)</f>
        <v>80.47999999999999</v>
      </c>
      <c r="L300" s="17" t="s">
        <v>198</v>
      </c>
    </row>
    <row r="301" spans="2:12" ht="15.75" hidden="1" outlineLevel="1" x14ac:dyDescent="0.3">
      <c r="B301" s="17"/>
      <c r="C301" s="17"/>
      <c r="D301" s="17" t="s">
        <v>184</v>
      </c>
      <c r="E301" s="17"/>
      <c r="F301" s="38">
        <f>IF(NOT(ISBLANK('Referenz Plattenwerk'!$I65)),'Referenz Plattenwerk'!$I65,'Referenz Plattenwerk'!$F65)*IF(NOT(ISBLANK('Eingabe EF'!$AS50)),'Eingabe EF'!$AS50,0)*IF(NOT(ISBLANK('Referenz Plattenwerk'!$I$12)),'Referenz Plattenwerk'!$I$12,'Referenz Plattenwerk'!$F$12)</f>
        <v>0</v>
      </c>
      <c r="G301" s="38">
        <f>IF(NOT(ISBLANK('Referenz Plattenwerk'!$I65)),'Referenz Plattenwerk'!$I65,'Referenz Plattenwerk'!$F65)*IF(NOT(ISBLANK('Eingabe EF'!$AW50)),'Eingabe EF'!$AW50,0)*IF(NOT(ISBLANK('Referenz Plattenwerk'!$I$12)),'Referenz Plattenwerk'!$I$12,'Referenz Plattenwerk'!$F$12)</f>
        <v>0</v>
      </c>
      <c r="H301" s="38">
        <f>IF(NOT(ISBLANK('Referenz Plattenwerk'!$I65)),'Referenz Plattenwerk'!$I65,'Referenz Plattenwerk'!$F65)*IF(NOT(ISBLANK('Eingabe EF'!$BA50)),'Eingabe EF'!$BA50,0)*IF(NOT(ISBLANK('Referenz Plattenwerk'!$I$12)),'Referenz Plattenwerk'!$I$12,'Referenz Plattenwerk'!$F$12)</f>
        <v>0</v>
      </c>
      <c r="I301" s="17"/>
      <c r="J301" s="38">
        <f>F301+G301</f>
        <v>0</v>
      </c>
      <c r="K301" s="38">
        <f>SUM(F301:H301)</f>
        <v>0</v>
      </c>
      <c r="L301" s="17" t="s">
        <v>198</v>
      </c>
    </row>
    <row r="302" spans="2:12" hidden="1" outlineLevel="1" x14ac:dyDescent="0.2">
      <c r="B302" s="17"/>
      <c r="C302" s="17"/>
      <c r="D302" s="17"/>
      <c r="E302" s="17"/>
      <c r="F302" s="17"/>
      <c r="G302" s="17"/>
      <c r="H302" s="17"/>
      <c r="I302" s="17"/>
      <c r="J302" s="17"/>
      <c r="K302" s="17"/>
      <c r="L302" s="20"/>
    </row>
    <row r="303" spans="2:12" ht="14.25" hidden="1" outlineLevel="1" x14ac:dyDescent="0.25">
      <c r="B303" s="70"/>
      <c r="C303" s="70" t="s">
        <v>185</v>
      </c>
      <c r="D303" s="71"/>
      <c r="E303" s="71"/>
      <c r="F303" s="72">
        <f>SUM(F304:F306)</f>
        <v>0</v>
      </c>
      <c r="G303" s="72">
        <f t="shared" ref="G303:H303" si="82">SUM(G304:G306)</f>
        <v>0</v>
      </c>
      <c r="H303" s="72">
        <f t="shared" si="82"/>
        <v>60</v>
      </c>
      <c r="I303" s="71"/>
      <c r="J303" s="72">
        <f t="shared" ref="J303" si="83">F303+G303</f>
        <v>0</v>
      </c>
      <c r="K303" s="72">
        <f t="shared" ref="K303" si="84">SUM(F303:H303)</f>
        <v>60</v>
      </c>
      <c r="L303" s="77" t="s">
        <v>197</v>
      </c>
    </row>
    <row r="304" spans="2:12" ht="15.75" hidden="1" outlineLevel="1" x14ac:dyDescent="0.3">
      <c r="B304" s="17"/>
      <c r="C304" s="17"/>
      <c r="D304" s="17" t="s">
        <v>66</v>
      </c>
      <c r="E304" s="17"/>
      <c r="F304" s="44">
        <f>IF(NOT(ISBLANK('Referenz Plattenwerk'!$I68)),'Referenz Plattenwerk'!$I68,'Referenz Plattenwerk'!$F68)*IF(NOT(ISBLANK('Eingabe EF'!$AS53)),'Eingabe EF'!$AS53,'Eingabe EF'!$AQ53)</f>
        <v>0</v>
      </c>
      <c r="G304" s="44">
        <f>IF(NOT(ISBLANK('Referenz Plattenwerk'!$I68)),'Referenz Plattenwerk'!$I68,'Referenz Plattenwerk'!$F68)*IF(NOT(ISBLANK('Eingabe EF'!$AW53)),'Eingabe EF'!$AW53,'Eingabe EF'!$AU53)</f>
        <v>0</v>
      </c>
      <c r="H304" s="44">
        <f>IF(NOT(ISBLANK('Referenz Plattenwerk'!$I68)),'Referenz Plattenwerk'!$I68,'Referenz Plattenwerk'!$F68)*IF(NOT(ISBLANK('Eingabe EF'!$BA53)),'Eingabe EF'!$BA53,'Eingabe EF'!$AY53)</f>
        <v>60</v>
      </c>
      <c r="I304" s="17"/>
      <c r="J304" s="38">
        <f>F304+G304</f>
        <v>0</v>
      </c>
      <c r="K304" s="38">
        <f>SUM(F304:H304)</f>
        <v>60</v>
      </c>
      <c r="L304" s="17" t="s">
        <v>198</v>
      </c>
    </row>
    <row r="305" spans="2:12" ht="15.75" hidden="1" outlineLevel="1" x14ac:dyDescent="0.3">
      <c r="B305" s="17"/>
      <c r="C305" s="17"/>
      <c r="D305" s="17" t="s">
        <v>187</v>
      </c>
      <c r="E305" s="17"/>
      <c r="F305" s="44">
        <f>IF(NOT(ISBLANK('Referenz Plattenwerk'!$I69)),'Referenz Plattenwerk'!$I69,'Referenz Plattenwerk'!$F69)*IF(NOT(ISBLANK('Eingabe EF'!$AS54)),'Eingabe EF'!$AS54,0)</f>
        <v>0</v>
      </c>
      <c r="G305" s="44">
        <f>IF(NOT(ISBLANK('Referenz Plattenwerk'!$I69)),'Referenz Plattenwerk'!$I69,'Referenz Plattenwerk'!$F69)*IF(NOT(ISBLANK('Eingabe EF'!$AW54)),'Eingabe EF'!$AW54,0)</f>
        <v>0</v>
      </c>
      <c r="H305" s="44">
        <f>IF(NOT(ISBLANK('Referenz Plattenwerk'!$I69)),'Referenz Plattenwerk'!$I69,'Referenz Plattenwerk'!$F69)*IF(NOT(ISBLANK('Eingabe EF'!$BA54)),'Eingabe EF'!$BA54,0)</f>
        <v>0</v>
      </c>
      <c r="I305" s="17"/>
      <c r="J305" s="38">
        <f t="shared" ref="J305:J306" si="85">F305+G305</f>
        <v>0</v>
      </c>
      <c r="K305" s="38">
        <f t="shared" ref="K305:K306" si="86">SUM(F305:H305)</f>
        <v>0</v>
      </c>
      <c r="L305" s="17" t="s">
        <v>198</v>
      </c>
    </row>
    <row r="306" spans="2:12" ht="15.75" hidden="1" outlineLevel="1" x14ac:dyDescent="0.3">
      <c r="B306" s="17"/>
      <c r="C306" s="17"/>
      <c r="D306" s="17" t="s">
        <v>186</v>
      </c>
      <c r="E306" s="17"/>
      <c r="F306" s="44">
        <f>IF(NOT(ISBLANK('Referenz Plattenwerk'!$I70)),'Referenz Plattenwerk'!$I70,'Referenz Plattenwerk'!$F70)*IF(NOT(ISBLANK('Eingabe EF'!$AS55)),'Eingabe EF'!$AS55,0)</f>
        <v>0</v>
      </c>
      <c r="G306" s="44">
        <f>IF(NOT(ISBLANK('Referenz Plattenwerk'!$I70)),'Referenz Plattenwerk'!$I70,'Referenz Plattenwerk'!$F70)*IF(NOT(ISBLANK('Eingabe EF'!$AW55)),'Eingabe EF'!$AW55,0)</f>
        <v>0</v>
      </c>
      <c r="H306" s="44">
        <f>IF(NOT(ISBLANK('Referenz Plattenwerk'!$I70)),'Referenz Plattenwerk'!$I70,'Referenz Plattenwerk'!$F70)*IF(NOT(ISBLANK('Eingabe EF'!$BA55)),'Eingabe EF'!$BA55,0)</f>
        <v>0</v>
      </c>
      <c r="I306" s="17"/>
      <c r="J306" s="38">
        <f t="shared" si="85"/>
        <v>0</v>
      </c>
      <c r="K306" s="38">
        <f t="shared" si="86"/>
        <v>0</v>
      </c>
      <c r="L306" s="17" t="s">
        <v>198</v>
      </c>
    </row>
    <row r="307" spans="2:12" hidden="1" outlineLevel="1" x14ac:dyDescent="0.2">
      <c r="B307" s="17"/>
      <c r="C307" s="17"/>
      <c r="D307" s="17"/>
      <c r="E307" s="17"/>
      <c r="F307" s="17"/>
      <c r="G307" s="17"/>
      <c r="H307" s="17"/>
      <c r="I307" s="17"/>
      <c r="J307" s="17"/>
      <c r="K307" s="17"/>
      <c r="L307" s="20"/>
    </row>
    <row r="308" spans="2:12" ht="14.25" hidden="1" outlineLevel="1" x14ac:dyDescent="0.25">
      <c r="B308" s="17"/>
      <c r="C308" s="17"/>
      <c r="D308" s="21" t="s">
        <v>63</v>
      </c>
      <c r="E308" s="21"/>
      <c r="F308" s="76">
        <f>IF(NOT(ISBLANK('Referenz Plattenwerk'!$I72)),'Referenz Plattenwerk'!$I72,'Referenz Plattenwerk'!$F72)*IF(NOT(ISBLANK('Eingabe EF'!$AS57)),'Eingabe EF'!$AS57,'Eingabe EF'!$AQ57)</f>
        <v>0</v>
      </c>
      <c r="G308" s="76">
        <f>IF(NOT(ISBLANK('Referenz Plattenwerk'!$I72)),'Referenz Plattenwerk'!$I72,'Referenz Plattenwerk'!$F72)*IF(NOT(ISBLANK('Eingabe EF'!$AW57)),'Eingabe EF'!$AW57,'Eingabe EF'!$AU57)</f>
        <v>0</v>
      </c>
      <c r="H308" s="76">
        <f>IF(NOT(ISBLANK('Referenz Plattenwerk'!$I72)),'Referenz Plattenwerk'!$I72,'Referenz Plattenwerk'!$F72)*IF(NOT(ISBLANK('Eingabe EF'!$BA57)),'Eingabe EF'!$BA57,'Eingabe EF'!$AY57)</f>
        <v>64.48</v>
      </c>
      <c r="I308" s="21"/>
      <c r="J308" s="75">
        <f t="shared" ref="J308" si="87">F308+G308</f>
        <v>0</v>
      </c>
      <c r="K308" s="75">
        <f t="shared" ref="K308" si="88">SUM(F308:H308)</f>
        <v>64.48</v>
      </c>
      <c r="L308" s="21" t="s">
        <v>197</v>
      </c>
    </row>
    <row r="309" spans="2:12" hidden="1" outlineLevel="1" x14ac:dyDescent="0.2">
      <c r="B309" s="17"/>
      <c r="C309" s="17"/>
      <c r="D309" s="17"/>
      <c r="E309" s="17"/>
      <c r="F309" s="20"/>
      <c r="G309" s="20"/>
      <c r="H309" s="20"/>
      <c r="I309" s="17"/>
      <c r="J309" s="17"/>
      <c r="K309" s="20"/>
      <c r="L309" s="20"/>
    </row>
    <row r="310" spans="2:12" ht="15" hidden="1" outlineLevel="1" thickBot="1" x14ac:dyDescent="0.3">
      <c r="B310" s="17"/>
      <c r="C310" s="17"/>
      <c r="D310" s="68" t="s">
        <v>69</v>
      </c>
      <c r="E310" s="68"/>
      <c r="F310" s="69">
        <f t="shared" ref="F310:G310" si="89">SUM(F249:F308)-F263-F267-F273-F280-F285-F291-F298-F303</f>
        <v>94.932355060000006</v>
      </c>
      <c r="G310" s="69">
        <f t="shared" si="89"/>
        <v>61.552554846110553</v>
      </c>
      <c r="H310" s="69">
        <f>SUM(H249:H308)-H263-H267-H273-H280-H285-H291-H298-H303</f>
        <v>5591.9760339911491</v>
      </c>
      <c r="I310" s="21"/>
      <c r="J310" s="69">
        <f>SUM(J249:J308)-J263-J267-J273-J280-J285-J291-J298-J303</f>
        <v>156.48490990611054</v>
      </c>
      <c r="K310" s="69">
        <f>SUM(K249:K308)-K263-K267-K273-K280-K285-K291-K298-K303</f>
        <v>5748.4609438972593</v>
      </c>
      <c r="L310" s="69" t="s">
        <v>197</v>
      </c>
    </row>
    <row r="311" spans="2:12" ht="13.5" hidden="1" outlineLevel="1" thickTop="1" x14ac:dyDescent="0.2">
      <c r="B311" s="17"/>
      <c r="C311" s="17"/>
      <c r="D311" s="17"/>
      <c r="E311" s="17"/>
      <c r="F311" s="20"/>
      <c r="G311" s="20"/>
      <c r="H311" s="20"/>
      <c r="I311" s="17"/>
      <c r="J311" s="17"/>
      <c r="K311" s="20"/>
      <c r="L311" s="20"/>
    </row>
    <row r="312" spans="2:12" collapsed="1" x14ac:dyDescent="0.2"/>
  </sheetData>
  <sheetProtection algorithmName="SHA-512" hashValue="77P3nwQ/1TLk57ghGT4rlhlNar6j3HxVaRXw3yb9JZ/uaGJE6OFIPelwuz7yVMHPdmVlyJQHZzEiSnhabJYb2Q==" saltValue="HqfrV3OCHrIosIGyEZh04A==" spinCount="100000" sheet="1" selectLockedCells="1"/>
  <mergeCells count="11">
    <mergeCell ref="C88:C89"/>
    <mergeCell ref="D42:L42"/>
    <mergeCell ref="D43:L43"/>
    <mergeCell ref="D44:L44"/>
    <mergeCell ref="D45:L45"/>
    <mergeCell ref="D46:L46"/>
    <mergeCell ref="D6:L6"/>
    <mergeCell ref="E13:G13"/>
    <mergeCell ref="I13:K13"/>
    <mergeCell ref="K97:K98"/>
    <mergeCell ref="S88:S89"/>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10</xdr:col>
                    <xdr:colOff>523875</xdr:colOff>
                    <xdr:row>98</xdr:row>
                    <xdr:rowOff>28575</xdr:rowOff>
                  </from>
                  <to>
                    <xdr:col>10</xdr:col>
                    <xdr:colOff>704850</xdr:colOff>
                    <xdr:row>98</xdr:row>
                    <xdr:rowOff>190500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10</xdr:col>
                    <xdr:colOff>523875</xdr:colOff>
                    <xdr:row>99</xdr:row>
                    <xdr:rowOff>28575</xdr:rowOff>
                  </from>
                  <to>
                    <xdr:col>10</xdr:col>
                    <xdr:colOff>704850</xdr:colOff>
                    <xdr:row>99</xdr:row>
                    <xdr:rowOff>190500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10</xdr:col>
                    <xdr:colOff>523875</xdr:colOff>
                    <xdr:row>100</xdr:row>
                    <xdr:rowOff>28575</xdr:rowOff>
                  </from>
                  <to>
                    <xdr:col>10</xdr:col>
                    <xdr:colOff>704850</xdr:colOff>
                    <xdr:row>100</xdr:row>
                    <xdr:rowOff>180975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10</xdr:col>
                    <xdr:colOff>523875</xdr:colOff>
                    <xdr:row>101</xdr:row>
                    <xdr:rowOff>19050</xdr:rowOff>
                  </from>
                  <to>
                    <xdr:col>10</xdr:col>
                    <xdr:colOff>704850</xdr:colOff>
                    <xdr:row>101</xdr:row>
                    <xdr:rowOff>190500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10</xdr:col>
                    <xdr:colOff>523875</xdr:colOff>
                    <xdr:row>102</xdr:row>
                    <xdr:rowOff>19050</xdr:rowOff>
                  </from>
                  <to>
                    <xdr:col>10</xdr:col>
                    <xdr:colOff>704850</xdr:colOff>
                    <xdr:row>102</xdr:row>
                    <xdr:rowOff>180975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10</xdr:col>
                    <xdr:colOff>523875</xdr:colOff>
                    <xdr:row>103</xdr:row>
                    <xdr:rowOff>0</xdr:rowOff>
                  </from>
                  <to>
                    <xdr:col>10</xdr:col>
                    <xdr:colOff>704850</xdr:colOff>
                    <xdr:row>103</xdr:row>
                    <xdr:rowOff>180975</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10</xdr:col>
                    <xdr:colOff>523875</xdr:colOff>
                    <xdr:row>104</xdr:row>
                    <xdr:rowOff>9525</xdr:rowOff>
                  </from>
                  <to>
                    <xdr:col>10</xdr:col>
                    <xdr:colOff>704850</xdr:colOff>
                    <xdr:row>104</xdr:row>
                    <xdr:rowOff>190500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18</xdr:col>
                    <xdr:colOff>457200</xdr:colOff>
                    <xdr:row>100</xdr:row>
                    <xdr:rowOff>0</xdr:rowOff>
                  </from>
                  <to>
                    <xdr:col>18</xdr:col>
                    <xdr:colOff>676275</xdr:colOff>
                    <xdr:row>100</xdr:row>
                    <xdr:rowOff>180975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18</xdr:col>
                    <xdr:colOff>571500</xdr:colOff>
                    <xdr:row>101</xdr:row>
                    <xdr:rowOff>19050</xdr:rowOff>
                  </from>
                  <to>
                    <xdr:col>19</xdr:col>
                    <xdr:colOff>0</xdr:colOff>
                    <xdr:row>102</xdr:row>
                    <xdr:rowOff>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18</xdr:col>
                    <xdr:colOff>571500</xdr:colOff>
                    <xdr:row>102</xdr:row>
                    <xdr:rowOff>19050</xdr:rowOff>
                  </from>
                  <to>
                    <xdr:col>19</xdr:col>
                    <xdr:colOff>0</xdr:colOff>
                    <xdr:row>102</xdr:row>
                    <xdr:rowOff>200025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18</xdr:col>
                    <xdr:colOff>571500</xdr:colOff>
                    <xdr:row>103</xdr:row>
                    <xdr:rowOff>9525</xdr:rowOff>
                  </from>
                  <to>
                    <xdr:col>19</xdr:col>
                    <xdr:colOff>0</xdr:colOff>
                    <xdr:row>103</xdr:row>
                    <xdr:rowOff>190500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18</xdr:col>
                    <xdr:colOff>457200</xdr:colOff>
                    <xdr:row>98</xdr:row>
                    <xdr:rowOff>9525</xdr:rowOff>
                  </from>
                  <to>
                    <xdr:col>18</xdr:col>
                    <xdr:colOff>676275</xdr:colOff>
                    <xdr:row>99</xdr:row>
                    <xdr:rowOff>9525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18</xdr:col>
                    <xdr:colOff>457200</xdr:colOff>
                    <xdr:row>97</xdr:row>
                    <xdr:rowOff>0</xdr:rowOff>
                  </from>
                  <to>
                    <xdr:col>18</xdr:col>
                    <xdr:colOff>676275</xdr:colOff>
                    <xdr:row>97</xdr:row>
                    <xdr:rowOff>180975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18</xdr:col>
                    <xdr:colOff>457200</xdr:colOff>
                    <xdr:row>99</xdr:row>
                    <xdr:rowOff>9525</xdr:rowOff>
                  </from>
                  <to>
                    <xdr:col>18</xdr:col>
                    <xdr:colOff>676275</xdr:colOff>
                    <xdr:row>100</xdr:row>
                    <xdr:rowOff>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2</xdr:col>
                    <xdr:colOff>514350</xdr:colOff>
                    <xdr:row>88</xdr:row>
                    <xdr:rowOff>152400</xdr:rowOff>
                  </from>
                  <to>
                    <xdr:col>2</xdr:col>
                    <xdr:colOff>723900</xdr:colOff>
                    <xdr:row>90</xdr:row>
                    <xdr:rowOff>9525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2</xdr:col>
                    <xdr:colOff>514350</xdr:colOff>
                    <xdr:row>89</xdr:row>
                    <xdr:rowOff>190500</xdr:rowOff>
                  </from>
                  <to>
                    <xdr:col>2</xdr:col>
                    <xdr:colOff>723900</xdr:colOff>
                    <xdr:row>91</xdr:row>
                    <xdr:rowOff>9525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2</xdr:col>
                    <xdr:colOff>514350</xdr:colOff>
                    <xdr:row>90</xdr:row>
                    <xdr:rowOff>190500</xdr:rowOff>
                  </from>
                  <to>
                    <xdr:col>2</xdr:col>
                    <xdr:colOff>723900</xdr:colOff>
                    <xdr:row>92</xdr:row>
                    <xdr:rowOff>9525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2</xdr:col>
                    <xdr:colOff>514350</xdr:colOff>
                    <xdr:row>91</xdr:row>
                    <xdr:rowOff>190500</xdr:rowOff>
                  </from>
                  <to>
                    <xdr:col>2</xdr:col>
                    <xdr:colOff>723900</xdr:colOff>
                    <xdr:row>93</xdr:row>
                    <xdr:rowOff>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2</xdr:col>
                    <xdr:colOff>514350</xdr:colOff>
                    <xdr:row>92</xdr:row>
                    <xdr:rowOff>190500</xdr:rowOff>
                  </from>
                  <to>
                    <xdr:col>2</xdr:col>
                    <xdr:colOff>723900</xdr:colOff>
                    <xdr:row>93</xdr:row>
                    <xdr:rowOff>200025</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2</xdr:col>
                    <xdr:colOff>514350</xdr:colOff>
                    <xdr:row>93</xdr:row>
                    <xdr:rowOff>180975</xdr:rowOff>
                  </from>
                  <to>
                    <xdr:col>2</xdr:col>
                    <xdr:colOff>723900</xdr:colOff>
                    <xdr:row>94</xdr:row>
                    <xdr:rowOff>190500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2</xdr:col>
                    <xdr:colOff>514350</xdr:colOff>
                    <xdr:row>94</xdr:row>
                    <xdr:rowOff>171450</xdr:rowOff>
                  </from>
                  <to>
                    <xdr:col>2</xdr:col>
                    <xdr:colOff>723900</xdr:colOff>
                    <xdr:row>96</xdr:row>
                    <xdr:rowOff>0</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2</xdr:col>
                    <xdr:colOff>514350</xdr:colOff>
                    <xdr:row>96</xdr:row>
                    <xdr:rowOff>190500</xdr:rowOff>
                  </from>
                  <to>
                    <xdr:col>2</xdr:col>
                    <xdr:colOff>723900</xdr:colOff>
                    <xdr:row>98</xdr:row>
                    <xdr:rowOff>0</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2</xdr:col>
                    <xdr:colOff>514350</xdr:colOff>
                    <xdr:row>97</xdr:row>
                    <xdr:rowOff>180975</xdr:rowOff>
                  </from>
                  <to>
                    <xdr:col>2</xdr:col>
                    <xdr:colOff>723900</xdr:colOff>
                    <xdr:row>99</xdr:row>
                    <xdr:rowOff>0</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2</xdr:col>
                    <xdr:colOff>514350</xdr:colOff>
                    <xdr:row>98</xdr:row>
                    <xdr:rowOff>180975</xdr:rowOff>
                  </from>
                  <to>
                    <xdr:col>2</xdr:col>
                    <xdr:colOff>723900</xdr:colOff>
                    <xdr:row>100</xdr:row>
                    <xdr:rowOff>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2</xdr:col>
                    <xdr:colOff>514350</xdr:colOff>
                    <xdr:row>99</xdr:row>
                    <xdr:rowOff>180975</xdr:rowOff>
                  </from>
                  <to>
                    <xdr:col>2</xdr:col>
                    <xdr:colOff>723900</xdr:colOff>
                    <xdr:row>101</xdr:row>
                    <xdr:rowOff>9525</xdr:rowOff>
                  </to>
                </anchor>
              </controlPr>
            </control>
          </mc:Choice>
        </mc:AlternateContent>
        <mc:AlternateContent xmlns:mc="http://schemas.openxmlformats.org/markup-compatibility/2006">
          <mc:Choice Requires="x14">
            <control shapeId="75806" r:id="rId29" name="Check Box 30">
              <controlPr defaultSize="0" autoFill="0" autoLine="0" autoPict="0">
                <anchor moveWithCells="1">
                  <from>
                    <xdr:col>2</xdr:col>
                    <xdr:colOff>514350</xdr:colOff>
                    <xdr:row>95</xdr:row>
                    <xdr:rowOff>180975</xdr:rowOff>
                  </from>
                  <to>
                    <xdr:col>2</xdr:col>
                    <xdr:colOff>723900</xdr:colOff>
                    <xdr:row>97</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B010-ADA9-4C53-8314-276D2FB02356}">
  <sheetPr>
    <pageSetUpPr fitToPage="1"/>
  </sheetPr>
  <dimension ref="B2:AA307"/>
  <sheetViews>
    <sheetView zoomScale="90" zoomScaleNormal="90" workbookViewId="0">
      <selection activeCell="G17" sqref="G17"/>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1.625"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90"/>
      <c r="D2" s="90"/>
      <c r="E2" s="90"/>
      <c r="F2" s="90"/>
      <c r="G2" s="90"/>
      <c r="H2" s="90"/>
      <c r="I2" s="90"/>
      <c r="J2" s="90"/>
      <c r="K2" s="90"/>
      <c r="L2" s="90"/>
      <c r="M2" s="3"/>
      <c r="N2" s="3"/>
      <c r="O2" s="3"/>
      <c r="P2" s="3"/>
    </row>
    <row r="3" spans="2:16" ht="18" x14ac:dyDescent="0.25">
      <c r="B3" s="3"/>
      <c r="C3" s="90"/>
      <c r="D3" s="91" t="s">
        <v>285</v>
      </c>
      <c r="E3" s="90"/>
      <c r="F3" s="90"/>
      <c r="G3" s="90"/>
      <c r="H3" s="90"/>
      <c r="I3" s="90"/>
      <c r="J3" s="90"/>
      <c r="K3" s="90"/>
      <c r="L3" s="90"/>
      <c r="M3" s="3"/>
      <c r="N3" s="3"/>
      <c r="O3" s="3"/>
      <c r="P3" s="3"/>
    </row>
    <row r="4" spans="2:16" x14ac:dyDescent="0.2">
      <c r="B4" s="3"/>
      <c r="C4" s="90"/>
      <c r="D4" s="3"/>
      <c r="E4" s="3"/>
      <c r="F4" s="3"/>
      <c r="G4" s="3"/>
      <c r="H4" s="3"/>
      <c r="I4" s="3"/>
      <c r="J4" s="3"/>
      <c r="K4" s="3"/>
      <c r="L4" s="3"/>
      <c r="M4" s="3"/>
      <c r="N4" s="3"/>
      <c r="O4" s="3"/>
      <c r="P4" s="3"/>
    </row>
    <row r="5" spans="2:16" ht="18" customHeight="1" x14ac:dyDescent="0.2">
      <c r="B5" s="3"/>
      <c r="C5" s="90"/>
      <c r="D5" s="109" t="s">
        <v>326</v>
      </c>
      <c r="E5" s="104"/>
      <c r="F5" s="104"/>
      <c r="G5" s="104"/>
      <c r="H5" s="104"/>
      <c r="I5" s="104"/>
      <c r="J5" s="104"/>
      <c r="K5" s="104"/>
      <c r="L5" s="104"/>
      <c r="M5" s="3"/>
      <c r="N5" s="3"/>
      <c r="O5" s="3"/>
      <c r="P5" s="3"/>
    </row>
    <row r="6" spans="2:16" ht="125.25" customHeight="1" x14ac:dyDescent="0.2">
      <c r="B6" s="3"/>
      <c r="C6" s="94"/>
      <c r="D6" s="396" t="s">
        <v>471</v>
      </c>
      <c r="E6" s="396"/>
      <c r="F6" s="396"/>
      <c r="G6" s="396"/>
      <c r="H6" s="396"/>
      <c r="I6" s="396"/>
      <c r="J6" s="396"/>
      <c r="K6" s="396"/>
      <c r="L6" s="396"/>
      <c r="M6" s="3"/>
      <c r="N6" s="3"/>
      <c r="O6" s="3"/>
      <c r="P6" s="3"/>
    </row>
    <row r="7" spans="2:16" x14ac:dyDescent="0.2">
      <c r="B7" s="3"/>
      <c r="C7" s="90"/>
      <c r="D7" s="90"/>
      <c r="E7" s="90"/>
      <c r="F7" s="90"/>
      <c r="G7" s="90"/>
      <c r="H7" s="90"/>
      <c r="I7" s="90"/>
      <c r="J7" s="90"/>
      <c r="K7" s="90"/>
      <c r="L7" s="90"/>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6" t="s">
        <v>286</v>
      </c>
      <c r="E11" s="95"/>
      <c r="F11" s="96"/>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98">
        <v>2025</v>
      </c>
      <c r="F13" s="398"/>
      <c r="G13" s="398"/>
      <c r="H13" s="13"/>
      <c r="I13" s="398">
        <v>2030</v>
      </c>
      <c r="J13" s="398"/>
      <c r="K13" s="398"/>
      <c r="L13" s="8"/>
      <c r="M13" s="3"/>
      <c r="N13" s="3"/>
      <c r="O13" s="3"/>
      <c r="P13" s="3"/>
    </row>
    <row r="14" spans="2:16" x14ac:dyDescent="0.2">
      <c r="B14" s="3"/>
      <c r="C14" s="3"/>
      <c r="D14" s="8"/>
      <c r="E14" s="102" t="s">
        <v>80</v>
      </c>
      <c r="F14" s="102"/>
      <c r="G14" s="102" t="s">
        <v>77</v>
      </c>
      <c r="H14" s="13"/>
      <c r="I14" s="102" t="s">
        <v>80</v>
      </c>
      <c r="J14" s="102"/>
      <c r="K14" s="102" t="s">
        <v>77</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287</v>
      </c>
      <c r="E16" s="3"/>
      <c r="F16" s="3"/>
      <c r="G16" s="3"/>
      <c r="H16" s="3"/>
      <c r="I16" s="3"/>
      <c r="J16" s="3"/>
      <c r="K16" s="3"/>
      <c r="L16" s="3"/>
      <c r="M16" s="3"/>
      <c r="N16" s="3"/>
      <c r="O16" s="3"/>
      <c r="P16" s="3"/>
    </row>
    <row r="17" spans="2:16" x14ac:dyDescent="0.2">
      <c r="B17" s="3"/>
      <c r="C17" s="3"/>
      <c r="D17" s="118" t="s">
        <v>260</v>
      </c>
      <c r="E17" s="80">
        <v>5</v>
      </c>
      <c r="F17" s="15" t="s">
        <v>99</v>
      </c>
      <c r="G17" s="115"/>
      <c r="H17" s="15" t="s">
        <v>99</v>
      </c>
      <c r="I17" s="80">
        <v>10</v>
      </c>
      <c r="J17" s="15" t="s">
        <v>99</v>
      </c>
      <c r="K17" s="115"/>
      <c r="L17" s="15" t="s">
        <v>99</v>
      </c>
      <c r="M17" s="3"/>
      <c r="N17" s="3"/>
      <c r="O17" s="3"/>
      <c r="P17" s="3"/>
    </row>
    <row r="18" spans="2:16" x14ac:dyDescent="0.2">
      <c r="B18" s="3"/>
      <c r="C18" s="3"/>
      <c r="D18" s="118" t="s">
        <v>261</v>
      </c>
      <c r="E18" s="80">
        <v>5</v>
      </c>
      <c r="F18" s="15" t="s">
        <v>99</v>
      </c>
      <c r="G18" s="115"/>
      <c r="H18" s="15" t="s">
        <v>99</v>
      </c>
      <c r="I18" s="80">
        <v>10</v>
      </c>
      <c r="J18" s="15" t="s">
        <v>99</v>
      </c>
      <c r="K18" s="115"/>
      <c r="L18" s="15" t="s">
        <v>99</v>
      </c>
      <c r="M18" s="3"/>
      <c r="N18" s="3"/>
      <c r="O18" s="3"/>
      <c r="P18" s="3"/>
    </row>
    <row r="19" spans="2:16" x14ac:dyDescent="0.2">
      <c r="B19" s="3"/>
      <c r="C19" s="3"/>
      <c r="D19" s="118" t="s">
        <v>50</v>
      </c>
      <c r="E19" s="80">
        <v>5</v>
      </c>
      <c r="F19" s="15" t="s">
        <v>99</v>
      </c>
      <c r="G19" s="115"/>
      <c r="H19" s="15" t="s">
        <v>99</v>
      </c>
      <c r="I19" s="80">
        <v>10</v>
      </c>
      <c r="J19" s="15" t="s">
        <v>99</v>
      </c>
      <c r="K19" s="115"/>
      <c r="L19" s="15" t="s">
        <v>99</v>
      </c>
      <c r="M19" s="3"/>
      <c r="N19" s="3"/>
      <c r="O19" s="3"/>
      <c r="P19" s="3"/>
    </row>
    <row r="20" spans="2:16" ht="14.25" x14ac:dyDescent="0.2">
      <c r="B20" s="3"/>
      <c r="C20" s="3"/>
      <c r="D20" s="118" t="s">
        <v>278</v>
      </c>
      <c r="E20" s="80">
        <v>5</v>
      </c>
      <c r="F20" s="15" t="s">
        <v>99</v>
      </c>
      <c r="G20" s="115"/>
      <c r="H20" s="15" t="s">
        <v>99</v>
      </c>
      <c r="I20" s="80">
        <v>10</v>
      </c>
      <c r="J20" s="15" t="s">
        <v>99</v>
      </c>
      <c r="K20" s="115"/>
      <c r="L20" s="15" t="s">
        <v>99</v>
      </c>
      <c r="M20" s="3"/>
      <c r="N20" s="3"/>
      <c r="O20" s="3"/>
      <c r="P20" s="3"/>
    </row>
    <row r="21" spans="2:16" x14ac:dyDescent="0.2">
      <c r="B21" s="3"/>
      <c r="C21" s="3"/>
      <c r="D21" s="11"/>
      <c r="E21" s="80"/>
      <c r="F21" s="80"/>
      <c r="G21" s="80"/>
      <c r="H21" s="80"/>
      <c r="I21" s="80"/>
      <c r="J21" s="80"/>
      <c r="K21" s="80"/>
      <c r="L21" s="15"/>
      <c r="M21" s="3"/>
      <c r="N21" s="3"/>
      <c r="O21" s="3"/>
      <c r="P21" s="3"/>
    </row>
    <row r="22" spans="2:16" ht="14.25" x14ac:dyDescent="0.2">
      <c r="B22" s="3"/>
      <c r="C22" s="3"/>
      <c r="D22" s="8" t="s">
        <v>331</v>
      </c>
      <c r="E22" s="80"/>
      <c r="F22" s="15"/>
      <c r="G22" s="15"/>
      <c r="H22" s="15"/>
      <c r="I22" s="15"/>
      <c r="J22" s="15"/>
      <c r="K22" s="15"/>
      <c r="L22" s="15"/>
      <c r="M22" s="3"/>
      <c r="N22" s="3"/>
      <c r="O22" s="3"/>
      <c r="P22" s="3"/>
    </row>
    <row r="23" spans="2:16" x14ac:dyDescent="0.2">
      <c r="B23" s="3"/>
      <c r="C23" s="3"/>
      <c r="D23" s="118" t="s">
        <v>282</v>
      </c>
      <c r="E23" s="80">
        <v>0</v>
      </c>
      <c r="F23" s="15" t="s">
        <v>48</v>
      </c>
      <c r="G23" s="274"/>
      <c r="H23" s="15" t="s">
        <v>48</v>
      </c>
      <c r="I23" s="80">
        <v>0</v>
      </c>
      <c r="J23" s="15" t="s">
        <v>48</v>
      </c>
      <c r="K23" s="274"/>
      <c r="L23" s="15" t="s">
        <v>48</v>
      </c>
      <c r="M23" s="3"/>
      <c r="N23" s="3"/>
      <c r="O23" s="3"/>
      <c r="P23" s="3"/>
    </row>
    <row r="24" spans="2:16" x14ac:dyDescent="0.2">
      <c r="B24" s="3"/>
      <c r="C24" s="3"/>
      <c r="D24" s="118" t="s">
        <v>283</v>
      </c>
      <c r="E24" s="80">
        <v>0</v>
      </c>
      <c r="F24" s="15" t="s">
        <v>48</v>
      </c>
      <c r="G24" s="274"/>
      <c r="H24" s="15" t="s">
        <v>48</v>
      </c>
      <c r="I24" s="80">
        <v>0</v>
      </c>
      <c r="J24" s="15" t="s">
        <v>48</v>
      </c>
      <c r="K24" s="274"/>
      <c r="L24" s="15" t="s">
        <v>48</v>
      </c>
      <c r="M24" s="3"/>
      <c r="N24" s="3"/>
      <c r="O24" s="3"/>
      <c r="P24" s="3"/>
    </row>
    <row r="25" spans="2:16" x14ac:dyDescent="0.2">
      <c r="B25" s="3"/>
      <c r="C25" s="3"/>
      <c r="D25" s="3"/>
      <c r="E25" s="3"/>
      <c r="F25" s="3"/>
      <c r="G25" s="3"/>
      <c r="H25" s="3"/>
      <c r="I25" s="3"/>
      <c r="J25" s="3"/>
      <c r="K25" s="3"/>
      <c r="L25" s="3"/>
      <c r="M25" s="3"/>
      <c r="N25" s="3"/>
      <c r="O25" s="3"/>
      <c r="P25" s="3"/>
    </row>
    <row r="26" spans="2:16" ht="15.75" x14ac:dyDescent="0.2">
      <c r="B26" s="3"/>
      <c r="C26" s="3"/>
      <c r="D26" s="118" t="s">
        <v>269</v>
      </c>
      <c r="E26" s="291" t="s">
        <v>118</v>
      </c>
      <c r="F26" s="15"/>
      <c r="G26" s="294"/>
      <c r="H26" s="15" t="s">
        <v>320</v>
      </c>
      <c r="I26" s="291" t="s">
        <v>118</v>
      </c>
      <c r="J26" s="15"/>
      <c r="K26" s="294"/>
      <c r="L26" s="15" t="s">
        <v>320</v>
      </c>
      <c r="M26" s="3"/>
      <c r="N26" s="3"/>
      <c r="O26" s="3"/>
      <c r="P26" s="3"/>
    </row>
    <row r="27" spans="2:16" ht="15.75" x14ac:dyDescent="0.2">
      <c r="B27" s="3"/>
      <c r="C27" s="3"/>
      <c r="D27" s="118" t="s">
        <v>270</v>
      </c>
      <c r="E27" s="291" t="s">
        <v>118</v>
      </c>
      <c r="F27" s="15"/>
      <c r="G27" s="294"/>
      <c r="H27" s="15" t="s">
        <v>320</v>
      </c>
      <c r="I27" s="291" t="s">
        <v>118</v>
      </c>
      <c r="J27" s="15"/>
      <c r="K27" s="294"/>
      <c r="L27" s="15" t="s">
        <v>320</v>
      </c>
      <c r="M27" s="3"/>
      <c r="N27" s="3"/>
      <c r="O27" s="3"/>
      <c r="P27" s="3"/>
    </row>
    <row r="28" spans="2:16" x14ac:dyDescent="0.2">
      <c r="B28" s="3"/>
      <c r="C28" s="3"/>
      <c r="D28" s="11"/>
      <c r="E28" s="80"/>
      <c r="F28" s="80"/>
      <c r="G28" s="80"/>
      <c r="H28" s="80"/>
      <c r="I28" s="80"/>
      <c r="J28" s="80"/>
      <c r="K28" s="80"/>
      <c r="L28" s="15"/>
      <c r="M28" s="3"/>
      <c r="N28" s="3"/>
      <c r="O28" s="3"/>
      <c r="P28" s="3"/>
    </row>
    <row r="29" spans="2:16" x14ac:dyDescent="0.2">
      <c r="B29" s="3"/>
      <c r="C29" s="3"/>
      <c r="D29" s="8"/>
      <c r="E29" s="81"/>
      <c r="F29" s="15"/>
      <c r="G29" s="15"/>
      <c r="H29" s="15"/>
      <c r="I29" s="81"/>
      <c r="J29" s="15"/>
      <c r="K29" s="15"/>
      <c r="L29" s="3"/>
      <c r="M29" s="3"/>
      <c r="N29" s="3"/>
      <c r="O29" s="3"/>
      <c r="P29" s="3"/>
    </row>
    <row r="30" spans="2:16" ht="14.25" x14ac:dyDescent="0.2">
      <c r="B30" s="3"/>
      <c r="C30" s="3"/>
      <c r="D30" s="12" t="s">
        <v>279</v>
      </c>
      <c r="E30" s="295">
        <v>0</v>
      </c>
      <c r="F30" s="15" t="s">
        <v>105</v>
      </c>
      <c r="G30" s="274"/>
      <c r="H30" s="15" t="s">
        <v>105</v>
      </c>
      <c r="I30" s="295">
        <v>0</v>
      </c>
      <c r="J30" s="15" t="s">
        <v>105</v>
      </c>
      <c r="K30" s="274"/>
      <c r="L30" s="3" t="s">
        <v>105</v>
      </c>
      <c r="M30" s="3"/>
      <c r="N30" s="3"/>
      <c r="O30" s="3"/>
      <c r="P30" s="3"/>
    </row>
    <row r="31" spans="2:16" ht="14.25" x14ac:dyDescent="0.2">
      <c r="B31" s="3"/>
      <c r="C31" s="3"/>
      <c r="D31" s="79" t="s">
        <v>280</v>
      </c>
      <c r="E31" s="80">
        <v>0</v>
      </c>
      <c r="F31" s="15" t="s">
        <v>106</v>
      </c>
      <c r="G31" s="274"/>
      <c r="H31" s="15" t="s">
        <v>106</v>
      </c>
      <c r="I31" s="80">
        <v>0</v>
      </c>
      <c r="J31" s="15" t="s">
        <v>106</v>
      </c>
      <c r="K31" s="274"/>
      <c r="L31" s="3" t="s">
        <v>106</v>
      </c>
      <c r="M31" s="3"/>
      <c r="N31" s="3"/>
      <c r="O31" s="3"/>
      <c r="P31" s="3"/>
    </row>
    <row r="32" spans="2:16" ht="14.25" x14ac:dyDescent="0.2">
      <c r="B32" s="3"/>
      <c r="C32" s="3"/>
      <c r="D32" s="79" t="s">
        <v>281</v>
      </c>
      <c r="E32" s="80">
        <v>0</v>
      </c>
      <c r="F32" s="15" t="s">
        <v>105</v>
      </c>
      <c r="G32" s="274"/>
      <c r="H32" s="15" t="s">
        <v>105</v>
      </c>
      <c r="I32" s="80">
        <v>0</v>
      </c>
      <c r="J32" s="15" t="s">
        <v>105</v>
      </c>
      <c r="K32" s="274"/>
      <c r="L32" s="3" t="s">
        <v>105</v>
      </c>
      <c r="M32" s="3"/>
      <c r="N32" s="3"/>
      <c r="O32" s="3"/>
      <c r="P32" s="3"/>
    </row>
    <row r="33" spans="2:27" x14ac:dyDescent="0.2">
      <c r="B33" s="3"/>
      <c r="C33" s="3"/>
      <c r="D33" s="79"/>
      <c r="E33" s="79"/>
      <c r="F33" s="79"/>
      <c r="G33" s="79"/>
      <c r="H33" s="79"/>
      <c r="I33" s="79"/>
      <c r="J33" s="79"/>
      <c r="K33" s="79"/>
      <c r="L33" s="79"/>
      <c r="M33" s="3"/>
      <c r="N33" s="3"/>
      <c r="O33" s="3"/>
      <c r="P33" s="3"/>
    </row>
    <row r="34" spans="2:27" x14ac:dyDescent="0.2">
      <c r="B34" s="3"/>
      <c r="C34" s="3"/>
      <c r="D34" s="79"/>
      <c r="E34" s="15"/>
      <c r="F34" s="15"/>
      <c r="G34" s="15"/>
      <c r="H34" s="15"/>
      <c r="I34" s="15"/>
      <c r="J34" s="15"/>
      <c r="K34" s="15"/>
      <c r="L34" s="15"/>
      <c r="M34" s="3"/>
      <c r="N34" s="3"/>
      <c r="O34" s="3"/>
      <c r="P34" s="3"/>
    </row>
    <row r="35" spans="2:27" x14ac:dyDescent="0.2">
      <c r="B35" s="3"/>
      <c r="C35" s="3"/>
      <c r="D35" s="79" t="s">
        <v>25</v>
      </c>
      <c r="E35" s="80">
        <v>10</v>
      </c>
      <c r="F35" s="15" t="s">
        <v>98</v>
      </c>
      <c r="G35" s="115"/>
      <c r="H35" s="15" t="s">
        <v>98</v>
      </c>
      <c r="I35" s="80">
        <v>10</v>
      </c>
      <c r="J35" s="15" t="s">
        <v>98</v>
      </c>
      <c r="K35" s="115"/>
      <c r="L35" s="15" t="s">
        <v>98</v>
      </c>
      <c r="M35" s="3"/>
      <c r="N35" s="3"/>
      <c r="O35" s="3"/>
      <c r="P35" s="3"/>
    </row>
    <row r="36" spans="2:27" x14ac:dyDescent="0.2">
      <c r="B36" s="3"/>
      <c r="C36" s="3"/>
      <c r="D36" s="79" t="s">
        <v>26</v>
      </c>
      <c r="E36" s="82">
        <v>8</v>
      </c>
      <c r="F36" s="15" t="s">
        <v>99</v>
      </c>
      <c r="G36" s="275"/>
      <c r="H36" s="15" t="s">
        <v>99</v>
      </c>
      <c r="I36" s="82">
        <v>8</v>
      </c>
      <c r="J36" s="15" t="s">
        <v>99</v>
      </c>
      <c r="K36" s="275"/>
      <c r="L36" s="15" t="s">
        <v>99</v>
      </c>
      <c r="M36" s="3"/>
      <c r="N36" s="3"/>
      <c r="O36" s="3"/>
      <c r="P36" s="3"/>
    </row>
    <row r="37" spans="2:27" x14ac:dyDescent="0.2">
      <c r="B37" s="3"/>
      <c r="C37" s="3"/>
      <c r="D37" s="15"/>
      <c r="E37" s="82"/>
      <c r="F37" s="15"/>
      <c r="G37" s="15"/>
      <c r="H37" s="15"/>
      <c r="I37" s="81"/>
      <c r="J37" s="15"/>
      <c r="K37" s="15"/>
      <c r="L37" s="3"/>
      <c r="M37" s="3"/>
      <c r="N37" s="3"/>
      <c r="O37" s="3"/>
      <c r="P37" s="3"/>
    </row>
    <row r="38" spans="2:27" x14ac:dyDescent="0.2">
      <c r="B38" s="3"/>
      <c r="C38" s="3"/>
      <c r="D38" s="15"/>
      <c r="E38" s="82"/>
      <c r="F38" s="15"/>
      <c r="G38" s="15"/>
      <c r="H38" s="15"/>
      <c r="I38" s="81"/>
      <c r="J38" s="15"/>
      <c r="K38" s="15"/>
      <c r="L38" s="3"/>
      <c r="M38" s="3"/>
      <c r="N38" s="3"/>
      <c r="O38" s="3"/>
      <c r="P38" s="3"/>
    </row>
    <row r="39" spans="2:27" x14ac:dyDescent="0.2">
      <c r="B39" s="3"/>
      <c r="C39" s="292" t="s">
        <v>311</v>
      </c>
      <c r="D39" s="400" t="s">
        <v>310</v>
      </c>
      <c r="E39" s="400"/>
      <c r="F39" s="400"/>
      <c r="G39" s="400"/>
      <c r="H39" s="400"/>
      <c r="I39" s="400"/>
      <c r="J39" s="400"/>
      <c r="K39" s="400"/>
      <c r="L39" s="400"/>
      <c r="M39" s="3"/>
      <c r="N39" s="3"/>
      <c r="O39" s="3"/>
      <c r="P39" s="3"/>
    </row>
    <row r="40" spans="2:27" ht="26.25" customHeight="1" x14ac:dyDescent="0.2">
      <c r="B40" s="3"/>
      <c r="C40" s="292" t="s">
        <v>312</v>
      </c>
      <c r="D40" s="401" t="s">
        <v>316</v>
      </c>
      <c r="E40" s="401"/>
      <c r="F40" s="401"/>
      <c r="G40" s="401"/>
      <c r="H40" s="401"/>
      <c r="I40" s="401"/>
      <c r="J40" s="401"/>
      <c r="K40" s="401"/>
      <c r="L40" s="401"/>
      <c r="M40" s="3"/>
      <c r="N40" s="3"/>
      <c r="O40" s="3"/>
      <c r="P40" s="3"/>
    </row>
    <row r="41" spans="2:27" x14ac:dyDescent="0.2">
      <c r="B41" s="3"/>
      <c r="C41" s="292" t="s">
        <v>313</v>
      </c>
      <c r="D41" s="402" t="s">
        <v>319</v>
      </c>
      <c r="E41" s="402"/>
      <c r="F41" s="402"/>
      <c r="G41" s="402"/>
      <c r="H41" s="402"/>
      <c r="I41" s="402"/>
      <c r="J41" s="402"/>
      <c r="K41" s="402"/>
      <c r="L41" s="402"/>
      <c r="M41" s="3"/>
      <c r="N41" s="3"/>
      <c r="O41" s="3"/>
      <c r="P41" s="3"/>
    </row>
    <row r="42" spans="2:27" x14ac:dyDescent="0.2">
      <c r="B42" s="3"/>
      <c r="C42" s="292" t="s">
        <v>314</v>
      </c>
      <c r="D42" s="402" t="s">
        <v>317</v>
      </c>
      <c r="E42" s="402"/>
      <c r="F42" s="402"/>
      <c r="G42" s="402"/>
      <c r="H42" s="402"/>
      <c r="I42" s="402"/>
      <c r="J42" s="402"/>
      <c r="K42" s="402"/>
      <c r="L42" s="402"/>
      <c r="M42" s="3"/>
      <c r="N42" s="3"/>
      <c r="O42" s="3"/>
      <c r="P42" s="3"/>
    </row>
    <row r="43" spans="2:27" x14ac:dyDescent="0.2">
      <c r="B43" s="3"/>
      <c r="C43" s="292" t="s">
        <v>315</v>
      </c>
      <c r="D43" s="402" t="s">
        <v>318</v>
      </c>
      <c r="E43" s="402"/>
      <c r="F43" s="402"/>
      <c r="G43" s="402"/>
      <c r="H43" s="402"/>
      <c r="I43" s="402"/>
      <c r="J43" s="402"/>
      <c r="K43" s="402"/>
      <c r="L43" s="402"/>
      <c r="M43" s="3"/>
      <c r="N43" s="3"/>
      <c r="O43" s="3"/>
      <c r="P43" s="3"/>
    </row>
    <row r="44" spans="2:27" x14ac:dyDescent="0.2">
      <c r="B44" s="3"/>
      <c r="C44" s="3"/>
      <c r="D44" s="15"/>
      <c r="E44" s="10"/>
      <c r="F44" s="3"/>
      <c r="G44" s="3"/>
      <c r="H44" s="3"/>
      <c r="I44" s="16"/>
      <c r="J44" s="3"/>
      <c r="K44" s="3"/>
      <c r="L44" s="3"/>
      <c r="M44" s="3"/>
      <c r="N44" s="3"/>
      <c r="O44" s="3"/>
      <c r="P44" s="3"/>
    </row>
    <row r="46" spans="2:27" x14ac:dyDescent="0.2">
      <c r="B46" s="3"/>
      <c r="C46" s="3"/>
      <c r="D46" s="14"/>
      <c r="E46" s="3"/>
      <c r="F46" s="3"/>
      <c r="G46" s="3"/>
      <c r="H46" s="3"/>
      <c r="I46" s="3"/>
      <c r="J46" s="3"/>
      <c r="K46" s="3"/>
      <c r="L46" s="3"/>
      <c r="M46" s="3"/>
      <c r="N46" s="3"/>
      <c r="O46" s="3"/>
      <c r="P46" s="3"/>
      <c r="Q46" s="3"/>
      <c r="R46" s="3"/>
      <c r="S46" s="3"/>
      <c r="T46" s="3"/>
      <c r="U46" s="3"/>
      <c r="V46" s="3"/>
      <c r="W46" s="3"/>
      <c r="X46" s="3"/>
      <c r="Y46" s="3"/>
      <c r="Z46" s="3"/>
      <c r="AA46" s="3"/>
    </row>
    <row r="47" spans="2:27" ht="18" x14ac:dyDescent="0.25">
      <c r="B47" s="3"/>
      <c r="C47" s="97" t="s">
        <v>291</v>
      </c>
      <c r="D47" s="14"/>
      <c r="E47" s="3"/>
      <c r="F47" s="3"/>
      <c r="G47" s="3"/>
      <c r="H47" s="3"/>
      <c r="I47" s="3"/>
      <c r="J47" s="3"/>
      <c r="K47" s="3"/>
      <c r="L47" s="3"/>
      <c r="M47" s="3"/>
      <c r="N47" s="3"/>
      <c r="O47" s="3"/>
      <c r="P47" s="3"/>
      <c r="Q47" s="3"/>
      <c r="R47" s="3"/>
      <c r="S47" s="3"/>
      <c r="T47" s="3"/>
      <c r="U47" s="3"/>
      <c r="V47" s="3"/>
      <c r="W47" s="3"/>
      <c r="X47" s="3"/>
      <c r="Y47" s="3"/>
      <c r="Z47" s="3"/>
      <c r="AA47" s="3"/>
    </row>
    <row r="48" spans="2:27" x14ac:dyDescent="0.2">
      <c r="B48" s="3"/>
      <c r="C48" s="3"/>
      <c r="D48" s="14"/>
      <c r="E48" s="3"/>
      <c r="F48" s="3"/>
      <c r="G48" s="113"/>
      <c r="H48" s="3"/>
      <c r="I48" s="3"/>
      <c r="J48" s="3"/>
      <c r="K48" s="3"/>
      <c r="L48" s="3"/>
      <c r="M48" s="3"/>
      <c r="N48" s="3"/>
      <c r="O48" s="3"/>
      <c r="P48" s="3"/>
      <c r="Q48" s="3"/>
      <c r="R48" s="3"/>
      <c r="S48" s="3"/>
      <c r="T48" s="3"/>
      <c r="U48" s="3"/>
      <c r="V48" s="3"/>
      <c r="W48" s="3"/>
      <c r="X48" s="3"/>
      <c r="Y48" s="3"/>
      <c r="Z48" s="3"/>
      <c r="AA48" s="3"/>
    </row>
    <row r="49" spans="2:27" ht="15" x14ac:dyDescent="0.25">
      <c r="B49" s="3"/>
      <c r="C49" s="92" t="s">
        <v>262</v>
      </c>
      <c r="D49" s="3"/>
      <c r="E49" s="3"/>
      <c r="F49" s="3"/>
      <c r="G49" s="3"/>
      <c r="H49" s="3"/>
      <c r="I49" s="3"/>
      <c r="J49" s="3"/>
      <c r="K49" s="92" t="s">
        <v>116</v>
      </c>
      <c r="L49" s="3"/>
      <c r="M49" s="3"/>
      <c r="N49" s="3"/>
      <c r="O49" s="3"/>
      <c r="P49" s="3"/>
      <c r="Q49" s="3"/>
      <c r="R49" s="3"/>
      <c r="S49" s="93" t="s">
        <v>84</v>
      </c>
      <c r="T49" s="3"/>
      <c r="U49" s="3"/>
      <c r="V49" s="3"/>
      <c r="W49" s="3"/>
      <c r="X49" s="3"/>
      <c r="Y49" s="3"/>
      <c r="Z49" s="3"/>
      <c r="AA49" s="3"/>
    </row>
    <row r="50" spans="2:27" x14ac:dyDescent="0.2">
      <c r="B50" s="3"/>
      <c r="C50" s="3"/>
      <c r="D50" s="14"/>
      <c r="E50" s="3"/>
      <c r="F50" s="3"/>
      <c r="G50" s="3"/>
      <c r="H50" s="3"/>
      <c r="I50" s="3"/>
      <c r="J50" s="3"/>
      <c r="K50" s="3"/>
      <c r="L50" s="3"/>
      <c r="M50" s="3"/>
      <c r="N50" s="3"/>
      <c r="O50" s="3"/>
      <c r="P50" s="3"/>
      <c r="Q50" s="3"/>
      <c r="R50" s="3"/>
      <c r="S50" s="3"/>
      <c r="T50" s="3"/>
      <c r="U50" s="3"/>
      <c r="V50" s="3"/>
      <c r="W50" s="3"/>
      <c r="X50" s="3"/>
      <c r="Y50" s="3"/>
      <c r="Z50" s="3"/>
      <c r="AA50" s="3"/>
    </row>
    <row r="51" spans="2:27" x14ac:dyDescent="0.2">
      <c r="B51" s="3"/>
      <c r="C51" s="3"/>
      <c r="D51" s="3"/>
      <c r="E51" s="3"/>
      <c r="F51" s="3"/>
      <c r="G51" s="3"/>
      <c r="H51" s="3"/>
      <c r="I51" s="3"/>
      <c r="J51" s="3"/>
      <c r="K51" s="3"/>
      <c r="L51" s="3"/>
      <c r="M51" s="3"/>
      <c r="N51" s="3"/>
      <c r="O51" s="3"/>
      <c r="P51" s="3"/>
      <c r="Q51" s="3"/>
      <c r="R51" s="3"/>
      <c r="S51" s="3"/>
      <c r="T51" s="3"/>
      <c r="U51" s="3"/>
      <c r="V51" s="3"/>
      <c r="W51" s="3"/>
      <c r="X51" s="3"/>
      <c r="Y51" s="3"/>
      <c r="Z51" s="3"/>
      <c r="AA51" s="3"/>
    </row>
    <row r="52" spans="2:27" x14ac:dyDescent="0.2">
      <c r="B52" s="3"/>
      <c r="C52" s="3"/>
      <c r="D52" s="3"/>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ht="15" customHeight="1" x14ac:dyDescent="0.25">
      <c r="B81" s="3"/>
      <c r="C81" s="97"/>
      <c r="D81" s="62"/>
      <c r="E81" s="3"/>
      <c r="F81" s="3"/>
      <c r="G81" s="3"/>
      <c r="H81" s="3"/>
      <c r="I81" s="3"/>
      <c r="J81" s="3"/>
      <c r="K81" s="3"/>
      <c r="L81" s="3"/>
      <c r="M81" s="3"/>
      <c r="N81" s="3"/>
      <c r="O81" s="3"/>
      <c r="P81" s="3"/>
      <c r="Q81" s="3"/>
      <c r="R81" s="3"/>
      <c r="S81" s="3"/>
      <c r="T81" s="3"/>
      <c r="U81" s="3"/>
      <c r="V81" s="3"/>
      <c r="W81" s="3"/>
      <c r="X81" s="3"/>
      <c r="Y81" s="85"/>
      <c r="Z81" s="85"/>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84"/>
      <c r="Z82" s="84"/>
      <c r="AA82" s="3"/>
    </row>
    <row r="83" spans="2:27" x14ac:dyDescent="0.2">
      <c r="B83" s="3"/>
      <c r="C83" s="3"/>
      <c r="D83" s="3"/>
      <c r="E83" s="3"/>
      <c r="F83" s="3"/>
      <c r="G83" s="3"/>
      <c r="H83" s="3"/>
      <c r="I83" s="3"/>
      <c r="J83" s="3"/>
      <c r="K83" s="3"/>
      <c r="L83" s="3"/>
      <c r="M83" s="3"/>
      <c r="N83" s="3"/>
      <c r="O83" s="3"/>
      <c r="P83" s="3"/>
      <c r="Q83" s="3"/>
      <c r="R83" s="3"/>
      <c r="S83" s="3"/>
      <c r="T83" s="3"/>
      <c r="U83" s="3"/>
      <c r="V83" s="3"/>
      <c r="W83" s="3"/>
      <c r="X83" s="3"/>
      <c r="Y83" s="84"/>
      <c r="Z83" s="84"/>
      <c r="AA83" s="3"/>
    </row>
    <row r="84" spans="2:27" ht="15" customHeight="1" x14ac:dyDescent="0.25">
      <c r="B84" s="3"/>
      <c r="C84" s="3"/>
      <c r="D84" s="23" t="s">
        <v>192</v>
      </c>
      <c r="E84" s="24"/>
      <c r="F84" s="24"/>
      <c r="G84" s="24"/>
      <c r="H84" s="24"/>
      <c r="I84" s="3"/>
      <c r="J84" s="3"/>
      <c r="K84" s="3"/>
      <c r="L84" s="23" t="s">
        <v>194</v>
      </c>
      <c r="M84" s="24"/>
      <c r="N84" s="24"/>
      <c r="O84" s="24"/>
      <c r="P84" s="24"/>
      <c r="Q84" s="3"/>
      <c r="R84" s="3"/>
      <c r="S84" s="3"/>
      <c r="T84" s="23" t="s">
        <v>199</v>
      </c>
      <c r="U84" s="24"/>
      <c r="V84" s="24"/>
      <c r="W84" s="24"/>
      <c r="X84" s="3"/>
      <c r="Y84" s="84"/>
      <c r="Z84" s="84"/>
      <c r="AA84" s="3"/>
    </row>
    <row r="85" spans="2:27" ht="15" customHeight="1" x14ac:dyDescent="0.25">
      <c r="B85" s="3"/>
      <c r="C85" s="397" t="s">
        <v>145</v>
      </c>
      <c r="D85" s="34"/>
      <c r="E85" s="46">
        <v>2020</v>
      </c>
      <c r="F85" s="47">
        <v>2025</v>
      </c>
      <c r="G85" s="47">
        <v>2030</v>
      </c>
      <c r="H85" s="34"/>
      <c r="I85" s="3"/>
      <c r="J85" s="3"/>
      <c r="K85" s="3"/>
      <c r="L85" s="34"/>
      <c r="M85" s="46">
        <v>2020</v>
      </c>
      <c r="N85" s="47">
        <v>2025</v>
      </c>
      <c r="O85" s="47">
        <v>2030</v>
      </c>
      <c r="P85" s="34"/>
      <c r="Q85" s="3"/>
      <c r="R85" s="3"/>
      <c r="S85" s="397" t="s">
        <v>145</v>
      </c>
      <c r="T85" s="34"/>
      <c r="U85" s="47">
        <v>2020</v>
      </c>
      <c r="V85" s="47">
        <v>2025</v>
      </c>
      <c r="W85" s="47">
        <v>2030</v>
      </c>
      <c r="X85" s="3"/>
      <c r="Y85" s="84"/>
      <c r="Z85" s="84"/>
      <c r="AA85" s="63"/>
    </row>
    <row r="86" spans="2:27" x14ac:dyDescent="0.2">
      <c r="B86" s="3"/>
      <c r="C86" s="397"/>
      <c r="D86" s="24"/>
      <c r="E86" s="48" t="s">
        <v>89</v>
      </c>
      <c r="F86" s="49"/>
      <c r="G86" s="49"/>
      <c r="H86" s="24"/>
      <c r="I86" s="3"/>
      <c r="J86" s="3"/>
      <c r="K86" s="3"/>
      <c r="L86" s="24"/>
      <c r="M86" s="48" t="s">
        <v>89</v>
      </c>
      <c r="N86" s="49"/>
      <c r="O86" s="49"/>
      <c r="P86" s="24"/>
      <c r="Q86" s="3"/>
      <c r="R86" s="3"/>
      <c r="S86" s="397"/>
      <c r="T86" s="24"/>
      <c r="U86" s="50" t="s">
        <v>89</v>
      </c>
      <c r="V86" s="50"/>
      <c r="W86" s="59"/>
      <c r="X86" s="3"/>
      <c r="Y86" s="84"/>
      <c r="Z86" s="84"/>
      <c r="AA86" s="63"/>
    </row>
    <row r="87" spans="2:27" ht="15.75" x14ac:dyDescent="0.3">
      <c r="B87" s="3"/>
      <c r="C87" s="3"/>
      <c r="D87" s="29" t="str">
        <f>C164</f>
        <v>Energieträger gesamt</v>
      </c>
      <c r="E87" s="26">
        <f>SUM('Referenz Plattenwerk'!S16:S29)</f>
        <v>41.281733459999998</v>
      </c>
      <c r="F87" s="26">
        <f>H164</f>
        <v>34.39057387091087</v>
      </c>
      <c r="G87" s="26">
        <f>H242</f>
        <v>25.105144641628776</v>
      </c>
      <c r="H87" s="25" t="s">
        <v>162</v>
      </c>
      <c r="I87" s="3"/>
      <c r="J87" s="3"/>
      <c r="K87" s="3"/>
      <c r="L87" s="29" t="s">
        <v>115</v>
      </c>
      <c r="M87" s="26">
        <f>'Referenz Plattenwerk'!Q74</f>
        <v>94.932355060000006</v>
      </c>
      <c r="N87" s="26">
        <f>F227</f>
        <v>94.932355060000006</v>
      </c>
      <c r="O87" s="26">
        <f>F305</f>
        <v>94.932355060000006</v>
      </c>
      <c r="P87" s="25" t="s">
        <v>162</v>
      </c>
      <c r="Q87" s="3"/>
      <c r="R87" s="3"/>
      <c r="S87" s="3"/>
      <c r="T87" s="57" t="s">
        <v>158</v>
      </c>
      <c r="U87" s="58">
        <f>SUM(U88:U94)</f>
        <v>109669</v>
      </c>
      <c r="V87" s="58">
        <f t="shared" ref="V87:W87" si="0">SUM(V88:V94)</f>
        <v>109669</v>
      </c>
      <c r="W87" s="58">
        <f t="shared" si="0"/>
        <v>109669</v>
      </c>
      <c r="X87" s="3"/>
      <c r="Y87" s="114"/>
      <c r="Z87" s="114"/>
      <c r="AA87" s="63"/>
    </row>
    <row r="88" spans="2:27" ht="15.75" x14ac:dyDescent="0.3">
      <c r="B88" s="3"/>
      <c r="C88" s="3"/>
      <c r="D88" s="8" t="str">
        <f>C180</f>
        <v>Transport gesamt</v>
      </c>
      <c r="E88" s="9">
        <f>'Referenz Plattenwerk'!S32+'Referenz Plattenwerk'!S33</f>
        <v>469.15642799999995</v>
      </c>
      <c r="F88" s="9">
        <f>H180</f>
        <v>469.15642799999995</v>
      </c>
      <c r="G88" s="9">
        <f>H258</f>
        <v>469.15642799999995</v>
      </c>
      <c r="H88" s="3" t="s">
        <v>162</v>
      </c>
      <c r="I88" s="3"/>
      <c r="J88" s="3"/>
      <c r="K88" s="3"/>
      <c r="L88" s="8" t="s">
        <v>28</v>
      </c>
      <c r="M88" s="9">
        <f>'Referenz Plattenwerk'!R74</f>
        <v>171.9</v>
      </c>
      <c r="N88" s="9">
        <f>G227</f>
        <v>124.8924470887134</v>
      </c>
      <c r="O88" s="9">
        <f>G305</f>
        <v>61.552554846110553</v>
      </c>
      <c r="P88" s="3" t="s">
        <v>162</v>
      </c>
      <c r="Q88" s="3"/>
      <c r="R88" s="3"/>
      <c r="S88" s="3"/>
      <c r="T88" s="31" t="s">
        <v>31</v>
      </c>
      <c r="U88" s="52">
        <f>'Referenz Plattenwerk'!AB16</f>
        <v>14335</v>
      </c>
      <c r="V88" s="52">
        <f>S166+S171</f>
        <v>14335</v>
      </c>
      <c r="W88" s="52">
        <f>S244+S249</f>
        <v>14335</v>
      </c>
      <c r="X88" s="3"/>
      <c r="Y88" s="114"/>
      <c r="Z88" s="114"/>
      <c r="AA88" s="63"/>
    </row>
    <row r="89" spans="2:27" ht="15.75" x14ac:dyDescent="0.3">
      <c r="B89" s="3"/>
      <c r="C89" s="3"/>
      <c r="D89" s="29" t="str">
        <f>C184</f>
        <v>Zement</v>
      </c>
      <c r="E89" s="26">
        <f>'Referenz Plattenwerk'!S35</f>
        <v>4548.5439999999999</v>
      </c>
      <c r="F89" s="26">
        <f>H184</f>
        <v>4321.1167999999998</v>
      </c>
      <c r="G89" s="26">
        <f>H262</f>
        <v>4093.6896000000002</v>
      </c>
      <c r="H89" s="25" t="s">
        <v>162</v>
      </c>
      <c r="I89" s="3"/>
      <c r="J89" s="3"/>
      <c r="K89" s="3"/>
      <c r="L89" s="29" t="s">
        <v>29</v>
      </c>
      <c r="M89" s="26">
        <f>'Referenz Plattenwerk'!S74</f>
        <v>5831.5296228095176</v>
      </c>
      <c r="N89" s="26">
        <f>H227</f>
        <v>5597.2112632204289</v>
      </c>
      <c r="O89" s="26">
        <f>H305</f>
        <v>5360.4986339911493</v>
      </c>
      <c r="P89" s="25" t="s">
        <v>162</v>
      </c>
      <c r="Q89" s="3"/>
      <c r="R89" s="3"/>
      <c r="S89" s="3"/>
      <c r="T89" s="31" t="s">
        <v>32</v>
      </c>
      <c r="U89" s="52">
        <f>'Referenz Plattenwerk'!AB17</f>
        <v>2760</v>
      </c>
      <c r="V89" s="52">
        <f>S167+S172</f>
        <v>2760</v>
      </c>
      <c r="W89" s="52">
        <f>S245+S250</f>
        <v>2760</v>
      </c>
      <c r="X89" s="3"/>
      <c r="Y89" s="114"/>
      <c r="Z89" s="114"/>
      <c r="AA89" s="63"/>
    </row>
    <row r="90" spans="2:27" ht="16.5" thickBot="1" x14ac:dyDescent="0.35">
      <c r="B90" s="3"/>
      <c r="C90" s="3"/>
      <c r="D90" s="8" t="str">
        <f>C190</f>
        <v>Gesteinskörnungen (Zuschlagsstoffe)</v>
      </c>
      <c r="E90" s="9">
        <f>'Referenz Plattenwerk'!S41</f>
        <v>129.59200000000001</v>
      </c>
      <c r="F90" s="9">
        <f>H190</f>
        <v>129.59200000000001</v>
      </c>
      <c r="G90" s="9">
        <f>H268</f>
        <v>129.59200000000001</v>
      </c>
      <c r="H90" s="3" t="s">
        <v>162</v>
      </c>
      <c r="I90" s="3"/>
      <c r="J90" s="3"/>
      <c r="K90" s="3"/>
      <c r="L90" s="27" t="s">
        <v>69</v>
      </c>
      <c r="M90" s="28">
        <f>SUM(M87:M89)</f>
        <v>6098.3619778695174</v>
      </c>
      <c r="N90" s="28">
        <f t="shared" ref="N90:O90" si="1">SUM(N87:N89)</f>
        <v>5817.0360653691423</v>
      </c>
      <c r="O90" s="28">
        <f t="shared" si="1"/>
        <v>5516.9835438972596</v>
      </c>
      <c r="P90" s="27" t="s">
        <v>163</v>
      </c>
      <c r="Q90" s="3"/>
      <c r="R90" s="3"/>
      <c r="S90" s="3"/>
      <c r="T90" s="31" t="s">
        <v>33</v>
      </c>
      <c r="U90" s="52">
        <f>'Referenz Plattenwerk'!AB18</f>
        <v>77400</v>
      </c>
      <c r="V90" s="52">
        <f>S168+S174</f>
        <v>77400</v>
      </c>
      <c r="W90" s="52">
        <f>S246+S252</f>
        <v>77400</v>
      </c>
      <c r="X90" s="3"/>
      <c r="Y90" s="114"/>
      <c r="Z90" s="114"/>
      <c r="AA90" s="63"/>
    </row>
    <row r="91" spans="2:27" ht="16.5" thickTop="1" x14ac:dyDescent="0.3">
      <c r="B91" s="3"/>
      <c r="C91" s="3"/>
      <c r="D91" s="29" t="str">
        <f>D195</f>
        <v>Farben</v>
      </c>
      <c r="E91" s="26">
        <f>'Referenz Plattenwerk'!S46</f>
        <v>208</v>
      </c>
      <c r="F91" s="26">
        <f>H195</f>
        <v>208</v>
      </c>
      <c r="G91" s="26">
        <f>H273</f>
        <v>208</v>
      </c>
      <c r="H91" s="25" t="s">
        <v>162</v>
      </c>
      <c r="I91" s="3"/>
      <c r="J91" s="3"/>
      <c r="K91" s="3"/>
      <c r="L91" s="3"/>
      <c r="M91" s="3"/>
      <c r="N91" s="3"/>
      <c r="O91" s="3"/>
      <c r="P91" s="3"/>
      <c r="Q91" s="3"/>
      <c r="R91" s="3"/>
      <c r="S91" s="3"/>
      <c r="T91" s="31" t="s">
        <v>122</v>
      </c>
      <c r="U91" s="52">
        <f>'Referenz Plattenwerk'!AB19</f>
        <v>0</v>
      </c>
      <c r="V91" s="52">
        <f>S175</f>
        <v>0</v>
      </c>
      <c r="W91" s="52">
        <f>S253</f>
        <v>0</v>
      </c>
      <c r="X91" s="3"/>
      <c r="Y91" s="114"/>
      <c r="Z91" s="114"/>
      <c r="AA91" s="63"/>
    </row>
    <row r="92" spans="2:27" ht="15.75" x14ac:dyDescent="0.3">
      <c r="B92" s="3"/>
      <c r="C92" s="3"/>
      <c r="D92" s="8" t="str">
        <f>C197</f>
        <v>Zusatzstoffe (Füllstoffe)</v>
      </c>
      <c r="E92" s="9">
        <f>'Referenz Plattenwerk'!S48</f>
        <v>81.003999999999991</v>
      </c>
      <c r="F92" s="9">
        <f>H197</f>
        <v>81.003999999999991</v>
      </c>
      <c r="G92" s="9">
        <f>H275</f>
        <v>81.003999999999991</v>
      </c>
      <c r="H92" s="3" t="s">
        <v>162</v>
      </c>
      <c r="I92" s="3"/>
      <c r="J92" s="3"/>
      <c r="K92" s="3"/>
      <c r="L92" s="3"/>
      <c r="M92" s="3"/>
      <c r="N92" s="3"/>
      <c r="O92" s="3"/>
      <c r="P92" s="3"/>
      <c r="Q92" s="3"/>
      <c r="R92" s="3"/>
      <c r="S92" s="3"/>
      <c r="T92" s="31" t="s">
        <v>123</v>
      </c>
      <c r="U92" s="52">
        <f>'Referenz Plattenwerk'!AB20</f>
        <v>0</v>
      </c>
      <c r="V92" s="52">
        <f>S169</f>
        <v>0</v>
      </c>
      <c r="W92" s="52">
        <f>S247</f>
        <v>0</v>
      </c>
      <c r="X92" s="3"/>
      <c r="Y92" s="114"/>
      <c r="Z92" s="114"/>
      <c r="AA92" s="63"/>
    </row>
    <row r="93" spans="2:27" ht="15.75" x14ac:dyDescent="0.3">
      <c r="B93" s="3"/>
      <c r="C93" s="3"/>
      <c r="D93" s="29" t="str">
        <f>C202</f>
        <v>Zusatzmittel</v>
      </c>
      <c r="E93" s="26">
        <f>'Referenz Plattenwerk'!S53</f>
        <v>148.44746134951595</v>
      </c>
      <c r="F93" s="26">
        <f>H202</f>
        <v>148.44746134951595</v>
      </c>
      <c r="G93" s="26">
        <f>H280</f>
        <v>148.44746134951595</v>
      </c>
      <c r="H93" s="25" t="s">
        <v>162</v>
      </c>
      <c r="I93" s="3"/>
      <c r="J93" s="3"/>
      <c r="K93" s="3"/>
      <c r="L93" s="23" t="s">
        <v>263</v>
      </c>
      <c r="M93" s="24"/>
      <c r="N93" s="24"/>
      <c r="O93" s="24"/>
      <c r="P93" s="24"/>
      <c r="Q93" s="3"/>
      <c r="R93" s="3"/>
      <c r="S93" s="3"/>
      <c r="T93" s="31" t="s">
        <v>466</v>
      </c>
      <c r="U93" s="52">
        <f>'Referenz Plattenwerk'!AB21</f>
        <v>0</v>
      </c>
      <c r="V93" s="52">
        <f>S176</f>
        <v>0</v>
      </c>
      <c r="W93" s="52">
        <f>S254</f>
        <v>0</v>
      </c>
      <c r="X93" s="3"/>
      <c r="Y93" s="114"/>
      <c r="Z93" s="114"/>
      <c r="AA93" s="63"/>
    </row>
    <row r="94" spans="2:27" ht="15.75" x14ac:dyDescent="0.3">
      <c r="B94" s="3"/>
      <c r="C94" s="3"/>
      <c r="D94" s="8" t="str">
        <f>C208</f>
        <v>Zusätzliche Ersatzstoffe</v>
      </c>
      <c r="E94" s="9">
        <v>0</v>
      </c>
      <c r="F94" s="9">
        <f>H208</f>
        <v>0</v>
      </c>
      <c r="G94" s="9">
        <f>H286</f>
        <v>0</v>
      </c>
      <c r="H94" s="3" t="s">
        <v>162</v>
      </c>
      <c r="I94" s="3"/>
      <c r="J94" s="3"/>
      <c r="K94" s="397" t="s">
        <v>145</v>
      </c>
      <c r="L94" s="46"/>
      <c r="M94" s="46">
        <v>2020</v>
      </c>
      <c r="N94" s="47">
        <v>2025</v>
      </c>
      <c r="O94" s="47">
        <v>2030</v>
      </c>
      <c r="P94" s="34"/>
      <c r="Q94" s="3"/>
      <c r="R94" s="3"/>
      <c r="S94" s="3"/>
      <c r="T94" s="51" t="s">
        <v>34</v>
      </c>
      <c r="U94" s="53">
        <f>'Referenz Plattenwerk'!AB22</f>
        <v>15174.000000000002</v>
      </c>
      <c r="V94" s="54">
        <f>S178+S179</f>
        <v>15174.000000000002</v>
      </c>
      <c r="W94" s="54">
        <f>S256+S257</f>
        <v>15174.000000000002</v>
      </c>
      <c r="X94" s="3"/>
      <c r="Y94" s="114"/>
      <c r="Z94" s="114"/>
      <c r="AA94" s="63"/>
    </row>
    <row r="95" spans="2:27" ht="15.75" x14ac:dyDescent="0.3">
      <c r="B95" s="3"/>
      <c r="C95" s="3"/>
      <c r="D95" s="29" t="s">
        <v>193</v>
      </c>
      <c r="E95" s="26">
        <f>'Referenz Plattenwerk'!S59+'Referenz Plattenwerk'!S60</f>
        <v>0.54400000000000004</v>
      </c>
      <c r="F95" s="26">
        <f>H212+H213</f>
        <v>0.54400000000000004</v>
      </c>
      <c r="G95" s="26">
        <f>H290+H291</f>
        <v>0.54400000000000004</v>
      </c>
      <c r="H95" s="25" t="s">
        <v>162</v>
      </c>
      <c r="I95" s="3"/>
      <c r="J95" s="3"/>
      <c r="K95" s="397"/>
      <c r="L95" s="24"/>
      <c r="M95" s="48" t="s">
        <v>89</v>
      </c>
      <c r="N95" s="49"/>
      <c r="O95" s="49"/>
      <c r="P95" s="24"/>
      <c r="Q95" s="3"/>
      <c r="R95" s="3"/>
      <c r="S95" s="3"/>
      <c r="T95" s="8" t="s">
        <v>30</v>
      </c>
      <c r="U95" s="55">
        <v>0</v>
      </c>
      <c r="V95" s="55">
        <f>S182</f>
        <v>0</v>
      </c>
      <c r="W95" s="55">
        <f>S260</f>
        <v>0</v>
      </c>
      <c r="X95" s="3"/>
      <c r="Y95" s="114"/>
      <c r="Z95" s="114"/>
      <c r="AA95" s="63"/>
    </row>
    <row r="96" spans="2:27" ht="15.75" x14ac:dyDescent="0.3">
      <c r="B96" s="3"/>
      <c r="C96" s="3"/>
      <c r="D96" s="8" t="str">
        <f>C215</f>
        <v>Oberflächenschutzsysteme</v>
      </c>
      <c r="E96" s="9">
        <f>'Referenz Plattenwerk'!S62</f>
        <v>80.47999999999999</v>
      </c>
      <c r="F96" s="9">
        <f>H215</f>
        <v>80.47999999999999</v>
      </c>
      <c r="G96" s="9">
        <f>H293</f>
        <v>80.47999999999999</v>
      </c>
      <c r="H96" s="3" t="s">
        <v>162</v>
      </c>
      <c r="I96" s="3"/>
      <c r="J96" s="3"/>
      <c r="K96" s="3"/>
      <c r="L96" s="29" t="s">
        <v>31</v>
      </c>
      <c r="M96" s="32">
        <f>'Referenz Plattenwerk'!$U$16+'Referenz Plattenwerk'!U21</f>
        <v>43.0426</v>
      </c>
      <c r="N96" s="32">
        <f>J166+J171</f>
        <v>43.0426</v>
      </c>
      <c r="O96" s="32">
        <f>J244+J249</f>
        <v>43.0426</v>
      </c>
      <c r="P96" s="25" t="s">
        <v>162</v>
      </c>
      <c r="Q96" s="3"/>
      <c r="R96" s="3"/>
      <c r="S96" s="3"/>
      <c r="T96" s="8" t="s">
        <v>153</v>
      </c>
      <c r="U96" s="55">
        <v>0</v>
      </c>
      <c r="V96" s="55">
        <f>S183</f>
        <v>0</v>
      </c>
      <c r="W96" s="55">
        <f>S261</f>
        <v>0</v>
      </c>
      <c r="X96" s="3"/>
      <c r="Y96" s="114"/>
      <c r="Z96" s="114"/>
      <c r="AA96" s="63"/>
    </row>
    <row r="97" spans="2:27" ht="15.75" x14ac:dyDescent="0.3">
      <c r="B97" s="3"/>
      <c r="C97" s="3"/>
      <c r="D97" s="29" t="str">
        <f>C220</f>
        <v>Oberflächenbearbeitung (vor/nach Erhärtung)</v>
      </c>
      <c r="E97" s="26">
        <f>'Referenz Plattenwerk'!S67</f>
        <v>60</v>
      </c>
      <c r="F97" s="26">
        <f>H220</f>
        <v>60</v>
      </c>
      <c r="G97" s="26">
        <f>H298</f>
        <v>60</v>
      </c>
      <c r="H97" s="25" t="s">
        <v>162</v>
      </c>
      <c r="I97" s="3"/>
      <c r="J97" s="3"/>
      <c r="K97" s="3"/>
      <c r="L97" s="8" t="s">
        <v>32</v>
      </c>
      <c r="M97" s="10">
        <f>'Referenz Plattenwerk'!$U$17+'Referenz Plattenwerk'!U22</f>
        <v>16.005600000000001</v>
      </c>
      <c r="N97" s="10">
        <f>J167+J172</f>
        <v>16.005600000000001</v>
      </c>
      <c r="O97" s="10">
        <f>J245+J250</f>
        <v>16.005600000000001</v>
      </c>
      <c r="P97" s="3" t="s">
        <v>162</v>
      </c>
      <c r="Q97" s="3"/>
      <c r="R97" s="3"/>
      <c r="S97" s="3"/>
      <c r="T97" s="59" t="s">
        <v>160</v>
      </c>
      <c r="U97" s="61">
        <v>0</v>
      </c>
      <c r="V97" s="61">
        <f>S184</f>
        <v>0</v>
      </c>
      <c r="W97" s="61">
        <f>S262</f>
        <v>0</v>
      </c>
      <c r="X97" s="3"/>
      <c r="Y97" s="114"/>
      <c r="Z97" s="114"/>
      <c r="AA97" s="63"/>
    </row>
    <row r="98" spans="2:27" ht="15.75" x14ac:dyDescent="0.3">
      <c r="B98" s="3"/>
      <c r="C98" s="3"/>
      <c r="D98" s="8" t="str">
        <f>D225</f>
        <v>Verpackungsmaterial</v>
      </c>
      <c r="E98" s="9">
        <f>'Referenz Plattenwerk'!S72</f>
        <v>64.48</v>
      </c>
      <c r="F98" s="9">
        <f>H225</f>
        <v>64.48</v>
      </c>
      <c r="G98" s="9">
        <f>H303</f>
        <v>64.48</v>
      </c>
      <c r="H98" s="3" t="s">
        <v>162</v>
      </c>
      <c r="I98" s="3"/>
      <c r="J98" s="3"/>
      <c r="K98" s="3"/>
      <c r="L98" s="29" t="s">
        <v>33</v>
      </c>
      <c r="M98" s="32">
        <f>'Referenz Plattenwerk'!$U$18+'Referenz Plattenwerk'!R24</f>
        <v>171.9</v>
      </c>
      <c r="N98" s="32">
        <f>J168+J174</f>
        <v>124.8924470887134</v>
      </c>
      <c r="O98" s="32">
        <f>J246+J252</f>
        <v>61.552554846110553</v>
      </c>
      <c r="P98" s="25" t="s">
        <v>162</v>
      </c>
      <c r="Q98" s="3"/>
      <c r="R98" s="3"/>
      <c r="S98" s="3"/>
      <c r="T98" s="57" t="s">
        <v>154</v>
      </c>
      <c r="U98" s="58">
        <f>SUM(U99:U101)</f>
        <v>152459.04944673795</v>
      </c>
      <c r="V98" s="58">
        <f t="shared" ref="V98:W98" si="2">SUM(V99:V101)</f>
        <v>261766.62294161139</v>
      </c>
      <c r="W98" s="58">
        <f t="shared" si="2"/>
        <v>441358.68351178075</v>
      </c>
      <c r="X98" s="3"/>
      <c r="Y98" s="114"/>
      <c r="Z98" s="114"/>
      <c r="AA98" s="63"/>
    </row>
    <row r="99" spans="2:27" ht="16.5" thickBot="1" x14ac:dyDescent="0.35">
      <c r="B99" s="3"/>
      <c r="C99" s="3"/>
      <c r="D99" s="27" t="s">
        <v>69</v>
      </c>
      <c r="E99" s="28">
        <f>SUM(E87:E98)</f>
        <v>5831.529622809514</v>
      </c>
      <c r="F99" s="28">
        <f>SUM(F87:F98)</f>
        <v>5597.2112632204253</v>
      </c>
      <c r="G99" s="28">
        <f>SUM(G87:G98)</f>
        <v>5360.4986339911429</v>
      </c>
      <c r="H99" s="27" t="s">
        <v>163</v>
      </c>
      <c r="I99" s="3"/>
      <c r="J99" s="3"/>
      <c r="K99" s="3"/>
      <c r="L99" s="8" t="s">
        <v>126</v>
      </c>
      <c r="M99" s="10">
        <f>'Referenz Plattenwerk'!$U$19</f>
        <v>0</v>
      </c>
      <c r="N99" s="10">
        <f>J169</f>
        <v>0</v>
      </c>
      <c r="O99" s="10">
        <f>J247</f>
        <v>0</v>
      </c>
      <c r="P99" s="3" t="s">
        <v>162</v>
      </c>
      <c r="Q99" s="3"/>
      <c r="R99" s="3"/>
      <c r="S99" s="3"/>
      <c r="T99" s="31" t="s">
        <v>155</v>
      </c>
      <c r="U99" s="52">
        <f>'Referenz Plattenwerk'!AB26</f>
        <v>2373.3088765000002</v>
      </c>
      <c r="V99" s="52">
        <f>S187</f>
        <v>4271.9559777000004</v>
      </c>
      <c r="W99" s="52">
        <f>S265</f>
        <v>7594.5884048000007</v>
      </c>
      <c r="X99" s="3"/>
      <c r="Y99" s="114"/>
      <c r="Z99" s="114"/>
      <c r="AA99" s="63"/>
    </row>
    <row r="100" spans="2:27" ht="16.5" thickTop="1" x14ac:dyDescent="0.3">
      <c r="B100" s="3"/>
      <c r="C100" s="3"/>
      <c r="D100" s="3"/>
      <c r="E100" s="3"/>
      <c r="F100" s="3"/>
      <c r="G100" s="3"/>
      <c r="H100" s="3"/>
      <c r="I100" s="3"/>
      <c r="J100" s="3"/>
      <c r="K100" s="3"/>
      <c r="L100" s="29" t="s">
        <v>122</v>
      </c>
      <c r="M100" s="32">
        <f>'Referenz Plattenwerk'!$U$25</f>
        <v>0</v>
      </c>
      <c r="N100" s="32">
        <f>J175</f>
        <v>0</v>
      </c>
      <c r="O100" s="32">
        <f>J253</f>
        <v>0</v>
      </c>
      <c r="P100" s="25" t="s">
        <v>162</v>
      </c>
      <c r="Q100" s="3"/>
      <c r="R100" s="3"/>
      <c r="S100" s="3"/>
      <c r="T100" s="31" t="s">
        <v>156</v>
      </c>
      <c r="U100" s="52">
        <f>'Referenz Plattenwerk'!AB27</f>
        <v>4297.5</v>
      </c>
      <c r="V100" s="52">
        <f>S188</f>
        <v>5620.160118992103</v>
      </c>
      <c r="W100" s="52">
        <f>S266</f>
        <v>4924.2043876888438</v>
      </c>
      <c r="X100" s="3"/>
      <c r="Y100" s="114"/>
      <c r="Z100" s="114"/>
      <c r="AA100" s="63"/>
    </row>
    <row r="101" spans="2:27" ht="15.75" x14ac:dyDescent="0.3">
      <c r="B101" s="3"/>
      <c r="C101" s="3"/>
      <c r="D101" s="3"/>
      <c r="E101" s="3"/>
      <c r="F101" s="3"/>
      <c r="G101" s="3"/>
      <c r="H101" s="3"/>
      <c r="I101" s="3"/>
      <c r="J101" s="3"/>
      <c r="K101" s="3"/>
      <c r="L101" s="8" t="s">
        <v>149</v>
      </c>
      <c r="M101" s="10">
        <f>'Referenz Plattenwerk'!$U$26</f>
        <v>0</v>
      </c>
      <c r="N101" s="10">
        <f>J176</f>
        <v>0</v>
      </c>
      <c r="O101" s="10">
        <f>J254</f>
        <v>0</v>
      </c>
      <c r="P101" s="3" t="s">
        <v>162</v>
      </c>
      <c r="Q101" s="3"/>
      <c r="R101" s="3"/>
      <c r="S101" s="3"/>
      <c r="T101" s="31" t="s">
        <v>157</v>
      </c>
      <c r="U101" s="52">
        <f>'Referenz Plattenwerk'!AB28</f>
        <v>145788.24057023795</v>
      </c>
      <c r="V101" s="52">
        <f>S189</f>
        <v>251874.50684491929</v>
      </c>
      <c r="W101" s="52">
        <f>S267</f>
        <v>428839.89071929193</v>
      </c>
      <c r="X101" s="3"/>
      <c r="Y101" s="114"/>
      <c r="Z101" s="114"/>
      <c r="AA101" s="63"/>
    </row>
    <row r="102" spans="2:27" ht="16.5" thickBot="1" x14ac:dyDescent="0.35">
      <c r="B102" s="3"/>
      <c r="C102" s="3"/>
      <c r="D102" s="3"/>
      <c r="E102" s="3"/>
      <c r="F102" s="3"/>
      <c r="G102" s="3"/>
      <c r="H102" s="3"/>
      <c r="I102" s="3"/>
      <c r="J102" s="3"/>
      <c r="K102" s="3"/>
      <c r="L102" s="29" t="s">
        <v>34</v>
      </c>
      <c r="M102" s="32">
        <f>'Referenz Plattenwerk'!$U$28+'Referenz Plattenwerk'!$U$29</f>
        <v>35.884155059999998</v>
      </c>
      <c r="N102" s="32">
        <f>J178+J179</f>
        <v>35.884155059999998</v>
      </c>
      <c r="O102" s="32">
        <f>J256+J257</f>
        <v>35.884155059999998</v>
      </c>
      <c r="P102" s="25" t="s">
        <v>162</v>
      </c>
      <c r="Q102" s="3"/>
      <c r="R102" s="3"/>
      <c r="S102" s="3"/>
      <c r="T102" s="27" t="s">
        <v>69</v>
      </c>
      <c r="U102" s="56">
        <f>U98+U97+U96+U95+U87</f>
        <v>262128.04944673795</v>
      </c>
      <c r="V102" s="56">
        <f t="shared" ref="V102:W102" si="3">V98+V97+V96+V95+V87</f>
        <v>371435.62294161139</v>
      </c>
      <c r="W102" s="56">
        <f t="shared" si="3"/>
        <v>551027.68351178081</v>
      </c>
      <c r="X102" s="3"/>
      <c r="Y102" s="114"/>
      <c r="Z102" s="114"/>
      <c r="AA102" s="63"/>
    </row>
    <row r="103" spans="2:27" ht="15.75" thickTop="1" thickBot="1" x14ac:dyDescent="0.3">
      <c r="B103" s="3"/>
      <c r="C103" s="3"/>
      <c r="D103" s="3"/>
      <c r="E103" s="3"/>
      <c r="F103" s="3"/>
      <c r="G103" s="3"/>
      <c r="H103" s="3"/>
      <c r="I103" s="3"/>
      <c r="J103" s="3"/>
      <c r="K103" s="3"/>
      <c r="L103" s="27" t="s">
        <v>69</v>
      </c>
      <c r="M103" s="33">
        <f>SUM(M96:M102)</f>
        <v>266.83235506</v>
      </c>
      <c r="N103" s="33">
        <f>SUM(N96:N102)</f>
        <v>219.82480214871339</v>
      </c>
      <c r="O103" s="33">
        <f>SUM(O96:O102)</f>
        <v>156.48490990611054</v>
      </c>
      <c r="P103" s="27" t="s">
        <v>163</v>
      </c>
      <c r="Q103" s="3"/>
      <c r="R103" s="3"/>
      <c r="S103" s="3"/>
      <c r="T103" s="3"/>
      <c r="U103" s="3"/>
      <c r="V103" s="3"/>
      <c r="W103" s="3"/>
      <c r="X103" s="3"/>
      <c r="Y103" s="63"/>
      <c r="Z103" s="63"/>
      <c r="AA103" s="63"/>
    </row>
    <row r="104" spans="2:27" ht="17.25" thickTop="1" thickBot="1" x14ac:dyDescent="0.35">
      <c r="B104" s="3"/>
      <c r="C104" s="3"/>
      <c r="D104" s="3"/>
      <c r="E104" s="3"/>
      <c r="F104" s="3"/>
      <c r="G104" s="3"/>
      <c r="H104" s="3"/>
      <c r="I104" s="3"/>
      <c r="J104" s="3"/>
      <c r="K104" s="3"/>
      <c r="L104" s="3"/>
      <c r="M104" s="3"/>
      <c r="N104" s="3"/>
      <c r="O104" s="3"/>
      <c r="P104" s="3"/>
      <c r="Q104" s="3"/>
      <c r="R104" s="3"/>
      <c r="S104" s="3"/>
      <c r="T104" s="105" t="s">
        <v>210</v>
      </c>
      <c r="U104" s="106">
        <f>U102-U101</f>
        <v>116339.8088765</v>
      </c>
      <c r="V104" s="106">
        <f>V102-V101</f>
        <v>119561.1160966921</v>
      </c>
      <c r="W104" s="106">
        <f>W102-W101</f>
        <v>122187.79279248888</v>
      </c>
      <c r="X104" s="3"/>
      <c r="Y104" s="3"/>
      <c r="Z104" s="3"/>
      <c r="AA104" s="3"/>
    </row>
    <row r="105" spans="2:27" ht="16.5" thickBot="1" x14ac:dyDescent="0.35">
      <c r="B105" s="3"/>
      <c r="C105" s="3"/>
      <c r="D105" s="3"/>
      <c r="E105" s="3"/>
      <c r="F105" s="3"/>
      <c r="G105" s="3"/>
      <c r="H105" s="3"/>
      <c r="I105" s="3"/>
      <c r="J105" s="3"/>
      <c r="K105" s="3"/>
      <c r="L105" s="3"/>
      <c r="M105" s="3"/>
      <c r="N105" s="3"/>
      <c r="O105" s="3"/>
      <c r="P105" s="3"/>
      <c r="Q105" s="3"/>
      <c r="R105" s="3"/>
      <c r="S105" s="3"/>
      <c r="T105" s="107" t="s">
        <v>159</v>
      </c>
      <c r="U105" s="108">
        <f>U102-U98</f>
        <v>109669</v>
      </c>
      <c r="V105" s="108">
        <f>V102-V98</f>
        <v>109669</v>
      </c>
      <c r="W105" s="108">
        <f>W102-W98</f>
        <v>109669.00000000006</v>
      </c>
      <c r="X105" s="3"/>
      <c r="Y105" s="3"/>
      <c r="Z105" s="3"/>
      <c r="AA105" s="3"/>
    </row>
    <row r="106" spans="2:27"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x14ac:dyDescent="0.2">
      <c r="B108" s="3"/>
      <c r="C108" s="3"/>
      <c r="D108" s="3"/>
      <c r="E108" s="3"/>
      <c r="F108" s="3"/>
      <c r="G108" s="3"/>
      <c r="H108" s="3"/>
      <c r="I108" s="3"/>
      <c r="J108" s="3"/>
      <c r="K108" s="3"/>
      <c r="L108" s="8"/>
      <c r="M108" s="83"/>
      <c r="N108" s="83"/>
      <c r="O108" s="83"/>
      <c r="P108" s="8"/>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8"/>
      <c r="M109" s="83"/>
      <c r="N109" s="83"/>
      <c r="O109" s="83"/>
      <c r="P109" s="8"/>
      <c r="Q109" s="3"/>
      <c r="R109" s="3"/>
      <c r="S109" s="3"/>
      <c r="T109" s="3"/>
      <c r="U109" s="3"/>
      <c r="V109" s="3"/>
      <c r="W109" s="3"/>
      <c r="X109" s="3"/>
      <c r="Y109" s="3"/>
      <c r="Z109" s="3"/>
      <c r="AA109" s="3"/>
    </row>
    <row r="110" spans="2:27" ht="15" x14ac:dyDescent="0.25">
      <c r="B110" s="3"/>
      <c r="C110" s="3"/>
      <c r="D110" s="3"/>
      <c r="E110" s="3"/>
      <c r="F110" s="3"/>
      <c r="G110" s="3"/>
      <c r="H110" s="3"/>
      <c r="I110" s="3"/>
      <c r="J110" s="3"/>
      <c r="K110" s="3"/>
      <c r="L110" s="23" t="s">
        <v>208</v>
      </c>
      <c r="M110" s="3"/>
      <c r="N110" s="3"/>
      <c r="O110" s="3"/>
      <c r="P110" s="3"/>
      <c r="Q110" s="3"/>
      <c r="R110" s="3"/>
      <c r="S110" s="3"/>
      <c r="T110" s="3"/>
      <c r="U110" s="3"/>
      <c r="V110" s="3"/>
      <c r="W110" s="3"/>
      <c r="X110" s="3"/>
      <c r="Y110" s="3"/>
      <c r="Z110" s="3"/>
      <c r="AA110" s="3"/>
    </row>
    <row r="111" spans="2:27" ht="15" x14ac:dyDescent="0.25">
      <c r="B111" s="3"/>
      <c r="C111" s="3"/>
      <c r="D111" s="3"/>
      <c r="E111" s="3"/>
      <c r="F111" s="3"/>
      <c r="G111" s="3"/>
      <c r="H111" s="3"/>
      <c r="I111" s="3"/>
      <c r="J111" s="3"/>
      <c r="K111" s="3"/>
      <c r="L111" s="34"/>
      <c r="M111" s="46">
        <v>2020</v>
      </c>
      <c r="N111" s="47">
        <v>2025</v>
      </c>
      <c r="O111" s="47">
        <v>2030</v>
      </c>
      <c r="P111" s="34"/>
      <c r="Q111" s="3"/>
      <c r="R111" s="3"/>
      <c r="S111" s="3"/>
      <c r="T111" s="3"/>
      <c r="U111" s="3"/>
      <c r="V111" s="3"/>
      <c r="W111" s="3"/>
      <c r="X111" s="3"/>
      <c r="Y111" s="3"/>
      <c r="Z111" s="3"/>
      <c r="AA111" s="3"/>
    </row>
    <row r="112" spans="2:27" x14ac:dyDescent="0.2">
      <c r="B112" s="3"/>
      <c r="C112" s="3"/>
      <c r="D112" s="3"/>
      <c r="E112" s="3"/>
      <c r="F112" s="3"/>
      <c r="G112" s="3"/>
      <c r="H112" s="3"/>
      <c r="I112" s="3"/>
      <c r="J112" s="3"/>
      <c r="K112" s="3"/>
      <c r="L112" s="24"/>
      <c r="M112" s="48" t="s">
        <v>89</v>
      </c>
      <c r="N112" s="49"/>
      <c r="O112" s="49"/>
      <c r="P112" s="24"/>
      <c r="Q112" s="3"/>
      <c r="R112" s="3"/>
      <c r="S112" s="3"/>
      <c r="T112" s="3"/>
      <c r="U112" s="3"/>
      <c r="V112" s="3"/>
      <c r="W112" s="3"/>
      <c r="X112" s="3"/>
      <c r="Y112" s="3"/>
      <c r="Z112" s="3"/>
      <c r="AA112" s="3"/>
    </row>
    <row r="113" spans="2:27" ht="15.75" x14ac:dyDescent="0.3">
      <c r="B113" s="3"/>
      <c r="C113" s="3"/>
      <c r="D113" s="3"/>
      <c r="E113" s="3"/>
      <c r="F113" s="3"/>
      <c r="G113" s="3"/>
      <c r="H113" s="3"/>
      <c r="I113" s="3"/>
      <c r="J113" s="3"/>
      <c r="K113" s="3"/>
      <c r="L113" s="29" t="s">
        <v>115</v>
      </c>
      <c r="M113" s="98">
        <f>M87/IF(NOT(ISBLANK('Referenz Plattenwerk'!$I$12)),'Referenz Plattenwerk'!$I$12,'Referenz Plattenwerk'!$F$12)</f>
        <v>2.3733088764999999E-3</v>
      </c>
      <c r="N113" s="98">
        <f>N87/IF(NOT(ISBLANK('Referenz Plattenwerk'!$I$12)),'Referenz Plattenwerk'!$I$12,'Referenz Plattenwerk'!$F$12)</f>
        <v>2.3733088764999999E-3</v>
      </c>
      <c r="O113" s="98">
        <f>O87/IF(NOT(ISBLANK('Referenz Plattenwerk'!$I$12)),'Referenz Plattenwerk'!$I$12,'Referenz Plattenwerk'!$F$12)</f>
        <v>2.3733088764999999E-3</v>
      </c>
      <c r="P113" s="25" t="s">
        <v>207</v>
      </c>
      <c r="Q113" s="3"/>
      <c r="R113" s="3"/>
      <c r="S113" s="3"/>
      <c r="T113" s="3"/>
      <c r="U113" s="3"/>
      <c r="V113" s="3"/>
      <c r="W113" s="3"/>
      <c r="X113" s="3"/>
      <c r="Y113" s="3"/>
      <c r="Z113" s="3"/>
      <c r="AA113" s="3"/>
    </row>
    <row r="114" spans="2:27" ht="15.75" x14ac:dyDescent="0.3">
      <c r="B114" s="3"/>
      <c r="C114" s="3"/>
      <c r="D114" s="3"/>
      <c r="E114" s="3"/>
      <c r="F114" s="3"/>
      <c r="G114" s="3"/>
      <c r="H114" s="3"/>
      <c r="I114" s="3"/>
      <c r="J114" s="3"/>
      <c r="K114" s="3"/>
      <c r="L114" s="8" t="s">
        <v>28</v>
      </c>
      <c r="M114" s="99">
        <f>M88/IF(NOT(ISBLANK('Referenz Plattenwerk'!$I$12)),'Referenz Plattenwerk'!$I$12,'Referenz Plattenwerk'!$F$12)</f>
        <v>4.2975000000000001E-3</v>
      </c>
      <c r="N114" s="99">
        <f>N88/IF(NOT(ISBLANK('Referenz Plattenwerk'!$I$12)),'Referenz Plattenwerk'!$I$12,'Referenz Plattenwerk'!$F$12)</f>
        <v>3.122311177217835E-3</v>
      </c>
      <c r="O114" s="99">
        <f>O88/IF(NOT(ISBLANK('Referenz Plattenwerk'!$I$12)),'Referenz Plattenwerk'!$I$12,'Referenz Plattenwerk'!$F$12)</f>
        <v>1.5388138711527638E-3</v>
      </c>
      <c r="P114" s="3" t="s">
        <v>207</v>
      </c>
      <c r="Q114" s="3"/>
      <c r="R114" s="3"/>
      <c r="S114" s="3"/>
      <c r="T114" s="3"/>
      <c r="U114" s="3"/>
      <c r="V114" s="3"/>
      <c r="W114" s="3"/>
      <c r="X114" s="3"/>
      <c r="Y114" s="3"/>
      <c r="Z114" s="3"/>
      <c r="AA114" s="3"/>
    </row>
    <row r="115" spans="2:27" ht="15.75" x14ac:dyDescent="0.3">
      <c r="B115" s="3"/>
      <c r="C115" s="3"/>
      <c r="D115" s="3"/>
      <c r="E115" s="3"/>
      <c r="F115" s="3"/>
      <c r="G115" s="3"/>
      <c r="H115" s="3"/>
      <c r="I115" s="3"/>
      <c r="J115" s="3"/>
      <c r="K115" s="3"/>
      <c r="L115" s="29" t="s">
        <v>29</v>
      </c>
      <c r="M115" s="98">
        <f>M89/IF(NOT(ISBLANK('Referenz Plattenwerk'!$I$12)),'Referenz Plattenwerk'!$I$12,'Referenz Plattenwerk'!$F$12)</f>
        <v>0.14578824057023795</v>
      </c>
      <c r="N115" s="98">
        <f>N89/IF(NOT(ISBLANK('Referenz Plattenwerk'!$I$12)),'Referenz Plattenwerk'!$I$12,'Referenz Plattenwerk'!$F$12)</f>
        <v>0.13993028158051071</v>
      </c>
      <c r="O115" s="98">
        <f>O89/IF(NOT(ISBLANK('Referenz Plattenwerk'!$I$12)),'Referenz Plattenwerk'!$I$12,'Referenz Plattenwerk'!$F$12)</f>
        <v>0.13401246584977874</v>
      </c>
      <c r="P115" s="25" t="s">
        <v>207</v>
      </c>
      <c r="Q115" s="3"/>
      <c r="R115" s="3"/>
      <c r="S115" s="3"/>
      <c r="T115" s="3"/>
      <c r="U115" s="3"/>
      <c r="V115" s="3"/>
      <c r="W115" s="3"/>
      <c r="X115" s="3"/>
      <c r="Y115" s="3"/>
      <c r="Z115" s="3"/>
      <c r="AA115" s="3"/>
    </row>
    <row r="116" spans="2:27" ht="15" thickBot="1" x14ac:dyDescent="0.3">
      <c r="B116" s="3"/>
      <c r="C116" s="3"/>
      <c r="D116" s="3"/>
      <c r="E116" s="3"/>
      <c r="F116" s="3"/>
      <c r="G116" s="3"/>
      <c r="H116" s="3"/>
      <c r="I116" s="3"/>
      <c r="J116" s="3"/>
      <c r="K116" s="3"/>
      <c r="L116" s="27" t="s">
        <v>69</v>
      </c>
      <c r="M116" s="100">
        <f>M90/IF(NOT(ISBLANK('Referenz Plattenwerk'!$I$12)),'Referenz Plattenwerk'!$I$12,'Referenz Plattenwerk'!$F$12)</f>
        <v>0.15245904944673794</v>
      </c>
      <c r="N116" s="100">
        <f>N90/IF(NOT(ISBLANK('Referenz Plattenwerk'!$I$12)),'Referenz Plattenwerk'!$I$12,'Referenz Plattenwerk'!$F$12)</f>
        <v>0.14542590163422855</v>
      </c>
      <c r="O116" s="100">
        <f>O90/IF(NOT(ISBLANK('Referenz Plattenwerk'!$I$12)),'Referenz Plattenwerk'!$I$12,'Referenz Plattenwerk'!$F$12)</f>
        <v>0.13792458859743148</v>
      </c>
      <c r="P116" s="27" t="s">
        <v>209</v>
      </c>
      <c r="Q116" s="3"/>
      <c r="R116" s="3"/>
      <c r="S116" s="3"/>
      <c r="T116" s="3"/>
      <c r="U116" s="3"/>
      <c r="V116" s="3"/>
      <c r="W116" s="3"/>
      <c r="X116" s="3"/>
      <c r="Y116" s="3"/>
      <c r="Z116" s="3"/>
      <c r="AA116" s="3"/>
    </row>
    <row r="117" spans="2:27" ht="13.5" thickTop="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2" spans="2:27" hidden="1" outlineLevel="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2:27" ht="15.75" hidden="1" outlineLevel="1" x14ac:dyDescent="0.25">
      <c r="B123" s="3"/>
      <c r="C123" s="3"/>
      <c r="D123" s="62" t="s">
        <v>144</v>
      </c>
      <c r="E123" s="3"/>
      <c r="F123" s="3"/>
      <c r="G123" s="3"/>
      <c r="H123" s="3"/>
      <c r="I123" s="3"/>
      <c r="J123" s="3"/>
      <c r="K123" s="3"/>
      <c r="L123" s="62" t="s">
        <v>144</v>
      </c>
      <c r="M123" s="3"/>
      <c r="N123" s="3"/>
      <c r="O123" s="3"/>
      <c r="P123" s="3"/>
      <c r="Q123" s="3"/>
      <c r="R123" s="3"/>
      <c r="S123" s="62" t="s">
        <v>144</v>
      </c>
      <c r="T123" s="24"/>
      <c r="U123" s="24"/>
      <c r="V123" s="24"/>
      <c r="W123" s="24"/>
      <c r="X123" s="3"/>
      <c r="Y123" s="3"/>
    </row>
    <row r="124" spans="2:27" ht="15" hidden="1" outlineLevel="1" x14ac:dyDescent="0.25">
      <c r="B124" s="3"/>
      <c r="C124" s="3"/>
      <c r="D124" s="35" t="s">
        <v>113</v>
      </c>
      <c r="E124" s="35">
        <v>2020</v>
      </c>
      <c r="F124" s="35">
        <v>2025</v>
      </c>
      <c r="G124" s="35">
        <v>2030</v>
      </c>
      <c r="H124" s="34"/>
      <c r="I124" s="3"/>
      <c r="J124" s="3"/>
      <c r="K124" s="3"/>
      <c r="L124" s="35" t="s">
        <v>264</v>
      </c>
      <c r="M124" s="35">
        <v>2020</v>
      </c>
      <c r="N124" s="35">
        <v>2025</v>
      </c>
      <c r="O124" s="35">
        <v>2030</v>
      </c>
      <c r="P124" s="34"/>
      <c r="Q124" s="3"/>
      <c r="R124" s="3"/>
      <c r="S124" s="3"/>
      <c r="T124" s="46" t="s">
        <v>199</v>
      </c>
      <c r="U124" s="47">
        <v>2020</v>
      </c>
      <c r="V124" s="47">
        <v>2025</v>
      </c>
      <c r="W124" s="47">
        <v>2030</v>
      </c>
      <c r="X124" s="3"/>
      <c r="Y124" s="3"/>
    </row>
    <row r="125" spans="2:27" hidden="1" outlineLevel="1" x14ac:dyDescent="0.2">
      <c r="B125" s="3"/>
      <c r="C125" s="3"/>
      <c r="D125" s="24"/>
      <c r="E125" s="60" t="s">
        <v>89</v>
      </c>
      <c r="F125" s="59"/>
      <c r="G125" s="59"/>
      <c r="H125" s="24"/>
      <c r="I125" s="3"/>
      <c r="J125" s="3"/>
      <c r="K125" s="3"/>
      <c r="L125" s="24"/>
      <c r="M125" s="60" t="s">
        <v>89</v>
      </c>
      <c r="N125" s="59"/>
      <c r="O125" s="59"/>
      <c r="P125" s="24"/>
      <c r="Q125" s="3"/>
      <c r="R125" s="3"/>
      <c r="S125" s="3"/>
      <c r="T125" s="24"/>
      <c r="U125" s="50" t="s">
        <v>89</v>
      </c>
      <c r="V125" s="50"/>
      <c r="W125" s="59"/>
      <c r="X125" s="3"/>
      <c r="Y125" s="3"/>
    </row>
    <row r="126" spans="2:27" ht="15.75" hidden="1" outlineLevel="1" x14ac:dyDescent="0.3">
      <c r="B126" s="3"/>
      <c r="C126" s="3"/>
      <c r="D126" s="3" t="str">
        <f t="shared" ref="D126:D132" si="4">IF($I126,L96,"")</f>
        <v>Erdgas</v>
      </c>
      <c r="E126" s="10">
        <f t="shared" ref="E126:G132" si="5">IF($I126,M96,NA())</f>
        <v>43.0426</v>
      </c>
      <c r="F126" s="10">
        <f t="shared" si="5"/>
        <v>43.0426</v>
      </c>
      <c r="G126" s="10">
        <f t="shared" si="5"/>
        <v>43.0426</v>
      </c>
      <c r="H126" s="3" t="s">
        <v>162</v>
      </c>
      <c r="I126" s="3" t="b">
        <v>1</v>
      </c>
      <c r="J126" s="3"/>
      <c r="K126" s="3"/>
      <c r="L126" s="3" t="str">
        <f t="shared" ref="L126:L137" si="6">IF($Q126,D87,"")</f>
        <v>Energieträger gesamt</v>
      </c>
      <c r="M126" s="9">
        <f t="shared" ref="M126:O137" si="7">IF($Q126,E87,NA())</f>
        <v>41.281733459999998</v>
      </c>
      <c r="N126" s="9">
        <f t="shared" si="7"/>
        <v>34.39057387091087</v>
      </c>
      <c r="O126" s="9">
        <f t="shared" si="7"/>
        <v>25.105144641628776</v>
      </c>
      <c r="P126" s="3" t="s">
        <v>162</v>
      </c>
      <c r="Q126" s="381" t="b">
        <v>1</v>
      </c>
      <c r="R126" s="3"/>
      <c r="S126" s="3"/>
      <c r="T126" s="57" t="s">
        <v>158</v>
      </c>
      <c r="U126" s="58">
        <f>SUM(U127:U133)</f>
        <v>109669</v>
      </c>
      <c r="V126" s="58">
        <f t="shared" ref="V126:W126" si="8">SUM(V127:V133)</f>
        <v>109669</v>
      </c>
      <c r="W126" s="58">
        <f t="shared" si="8"/>
        <v>109669</v>
      </c>
      <c r="X126" s="3"/>
      <c r="Y126" s="3"/>
    </row>
    <row r="127" spans="2:27" ht="15.75" hidden="1" outlineLevel="1" x14ac:dyDescent="0.3">
      <c r="B127" s="3"/>
      <c r="C127" s="3"/>
      <c r="D127" s="3" t="str">
        <f t="shared" si="4"/>
        <v>Heizöl</v>
      </c>
      <c r="E127" s="10">
        <f t="shared" si="5"/>
        <v>16.005600000000001</v>
      </c>
      <c r="F127" s="10">
        <f t="shared" si="5"/>
        <v>16.005600000000001</v>
      </c>
      <c r="G127" s="10">
        <f t="shared" si="5"/>
        <v>16.005600000000001</v>
      </c>
      <c r="H127" s="3" t="s">
        <v>162</v>
      </c>
      <c r="I127" s="3" t="b">
        <v>1</v>
      </c>
      <c r="J127" s="3"/>
      <c r="K127" s="3"/>
      <c r="L127" s="3" t="str">
        <f t="shared" si="6"/>
        <v>Transport gesamt</v>
      </c>
      <c r="M127" s="9">
        <f t="shared" si="7"/>
        <v>469.15642799999995</v>
      </c>
      <c r="N127" s="9">
        <f t="shared" si="7"/>
        <v>469.15642799999995</v>
      </c>
      <c r="O127" s="9">
        <f t="shared" si="7"/>
        <v>469.15642799999995</v>
      </c>
      <c r="P127" s="3" t="s">
        <v>162</v>
      </c>
      <c r="Q127" s="381" t="b">
        <v>1</v>
      </c>
      <c r="R127" s="3"/>
      <c r="S127" s="3"/>
      <c r="T127" s="31" t="s">
        <v>31</v>
      </c>
      <c r="U127" s="52">
        <f>U88</f>
        <v>14335</v>
      </c>
      <c r="V127" s="52">
        <f t="shared" ref="V127:W127" si="9">V88</f>
        <v>14335</v>
      </c>
      <c r="W127" s="52">
        <f t="shared" si="9"/>
        <v>14335</v>
      </c>
      <c r="X127" s="3"/>
      <c r="Y127" s="3"/>
    </row>
    <row r="128" spans="2:27" ht="15.75" hidden="1" outlineLevel="1" x14ac:dyDescent="0.3">
      <c r="B128" s="3"/>
      <c r="C128" s="3"/>
      <c r="D128" s="3" t="str">
        <f t="shared" si="4"/>
        <v>Strom</v>
      </c>
      <c r="E128" s="10">
        <f t="shared" si="5"/>
        <v>171.9</v>
      </c>
      <c r="F128" s="10">
        <f t="shared" si="5"/>
        <v>124.8924470887134</v>
      </c>
      <c r="G128" s="10">
        <f t="shared" si="5"/>
        <v>61.552554846110553</v>
      </c>
      <c r="H128" s="3" t="s">
        <v>162</v>
      </c>
      <c r="I128" s="3" t="b">
        <v>1</v>
      </c>
      <c r="J128" s="3"/>
      <c r="K128" s="3"/>
      <c r="L128" s="3" t="str">
        <f t="shared" si="6"/>
        <v>Zement</v>
      </c>
      <c r="M128" s="9">
        <f t="shared" si="7"/>
        <v>4548.5439999999999</v>
      </c>
      <c r="N128" s="9">
        <f t="shared" si="7"/>
        <v>4321.1167999999998</v>
      </c>
      <c r="O128" s="9">
        <f t="shared" si="7"/>
        <v>4093.6896000000002</v>
      </c>
      <c r="P128" s="3" t="s">
        <v>162</v>
      </c>
      <c r="Q128" s="381" t="b">
        <v>1</v>
      </c>
      <c r="R128" s="3"/>
      <c r="S128" s="3"/>
      <c r="T128" s="31" t="s">
        <v>32</v>
      </c>
      <c r="U128" s="52">
        <f t="shared" ref="U128:W133" si="10">U89</f>
        <v>2760</v>
      </c>
      <c r="V128" s="52">
        <f t="shared" si="10"/>
        <v>2760</v>
      </c>
      <c r="W128" s="52">
        <f t="shared" si="10"/>
        <v>2760</v>
      </c>
      <c r="X128" s="3"/>
      <c r="Y128" s="3"/>
    </row>
    <row r="129" spans="2:25" ht="15.75" hidden="1" outlineLevel="1" x14ac:dyDescent="0.3">
      <c r="B129" s="3"/>
      <c r="C129" s="3"/>
      <c r="D129" s="3" t="str">
        <f t="shared" si="4"/>
        <v/>
      </c>
      <c r="E129" s="10" t="e">
        <f t="shared" si="5"/>
        <v>#N/A</v>
      </c>
      <c r="F129" s="10" t="e">
        <f t="shared" si="5"/>
        <v>#N/A</v>
      </c>
      <c r="G129" s="10" t="e">
        <f t="shared" si="5"/>
        <v>#N/A</v>
      </c>
      <c r="H129" s="3" t="s">
        <v>162</v>
      </c>
      <c r="I129" s="3" t="b">
        <v>0</v>
      </c>
      <c r="J129" s="3"/>
      <c r="K129" s="3"/>
      <c r="L129" s="3" t="str">
        <f t="shared" si="6"/>
        <v>Gesteinskörnungen (Zuschlagsstoffe)</v>
      </c>
      <c r="M129" s="9">
        <f t="shared" si="7"/>
        <v>129.59200000000001</v>
      </c>
      <c r="N129" s="9">
        <f t="shared" si="7"/>
        <v>129.59200000000001</v>
      </c>
      <c r="O129" s="9">
        <f t="shared" si="7"/>
        <v>129.59200000000001</v>
      </c>
      <c r="P129" s="3" t="s">
        <v>162</v>
      </c>
      <c r="Q129" s="381" t="b">
        <v>1</v>
      </c>
      <c r="R129" s="3"/>
      <c r="S129" s="3"/>
      <c r="T129" s="31" t="s">
        <v>33</v>
      </c>
      <c r="U129" s="52">
        <f t="shared" si="10"/>
        <v>77400</v>
      </c>
      <c r="V129" s="52">
        <f t="shared" si="10"/>
        <v>77400</v>
      </c>
      <c r="W129" s="52">
        <f t="shared" si="10"/>
        <v>77400</v>
      </c>
      <c r="X129" s="3"/>
      <c r="Y129" s="3"/>
    </row>
    <row r="130" spans="2:25" ht="15.75" hidden="1" outlineLevel="1" x14ac:dyDescent="0.3">
      <c r="B130" s="3"/>
      <c r="C130" s="3"/>
      <c r="D130" s="3" t="str">
        <f t="shared" si="4"/>
        <v/>
      </c>
      <c r="E130" s="10" t="e">
        <f t="shared" si="5"/>
        <v>#N/A</v>
      </c>
      <c r="F130" s="10" t="e">
        <f t="shared" si="5"/>
        <v>#N/A</v>
      </c>
      <c r="G130" s="10" t="e">
        <f t="shared" si="5"/>
        <v>#N/A</v>
      </c>
      <c r="H130" s="3" t="s">
        <v>162</v>
      </c>
      <c r="I130" s="3" t="b">
        <v>0</v>
      </c>
      <c r="J130" s="3"/>
      <c r="K130" s="3"/>
      <c r="L130" s="3" t="str">
        <f t="shared" si="6"/>
        <v>Farben</v>
      </c>
      <c r="M130" s="9">
        <f t="shared" si="7"/>
        <v>208</v>
      </c>
      <c r="N130" s="9">
        <f t="shared" si="7"/>
        <v>208</v>
      </c>
      <c r="O130" s="9">
        <f t="shared" si="7"/>
        <v>208</v>
      </c>
      <c r="P130" s="3" t="s">
        <v>162</v>
      </c>
      <c r="Q130" s="381" t="b">
        <v>1</v>
      </c>
      <c r="R130" s="3"/>
      <c r="S130" s="3"/>
      <c r="T130" s="31" t="s">
        <v>122</v>
      </c>
      <c r="U130" s="52">
        <f t="shared" si="10"/>
        <v>0</v>
      </c>
      <c r="V130" s="52">
        <f t="shared" si="10"/>
        <v>0</v>
      </c>
      <c r="W130" s="52">
        <f t="shared" si="10"/>
        <v>0</v>
      </c>
      <c r="X130" s="3"/>
      <c r="Y130" s="3"/>
    </row>
    <row r="131" spans="2:25" ht="15.75" hidden="1" outlineLevel="1" x14ac:dyDescent="0.3">
      <c r="B131" s="3"/>
      <c r="C131" s="3"/>
      <c r="D131" s="3" t="str">
        <f t="shared" si="4"/>
        <v/>
      </c>
      <c r="E131" s="10" t="e">
        <f t="shared" si="5"/>
        <v>#N/A</v>
      </c>
      <c r="F131" s="10" t="e">
        <f t="shared" si="5"/>
        <v>#N/A</v>
      </c>
      <c r="G131" s="10" t="e">
        <f t="shared" si="5"/>
        <v>#N/A</v>
      </c>
      <c r="H131" s="3" t="s">
        <v>162</v>
      </c>
      <c r="I131" s="3" t="b">
        <v>0</v>
      </c>
      <c r="J131" s="3"/>
      <c r="K131" s="3"/>
      <c r="L131" s="3" t="str">
        <f t="shared" si="6"/>
        <v>Zusatzstoffe (Füllstoffe)</v>
      </c>
      <c r="M131" s="9">
        <f t="shared" si="7"/>
        <v>81.003999999999991</v>
      </c>
      <c r="N131" s="9">
        <f t="shared" si="7"/>
        <v>81.003999999999991</v>
      </c>
      <c r="O131" s="9">
        <f t="shared" si="7"/>
        <v>81.003999999999991</v>
      </c>
      <c r="P131" s="3" t="s">
        <v>162</v>
      </c>
      <c r="Q131" s="381" t="b">
        <v>1</v>
      </c>
      <c r="R131" s="3"/>
      <c r="S131" s="3"/>
      <c r="T131" s="31" t="s">
        <v>123</v>
      </c>
      <c r="U131" s="52">
        <f t="shared" si="10"/>
        <v>0</v>
      </c>
      <c r="V131" s="52">
        <f t="shared" si="10"/>
        <v>0</v>
      </c>
      <c r="W131" s="52">
        <f t="shared" si="10"/>
        <v>0</v>
      </c>
      <c r="X131" s="3"/>
      <c r="Y131" s="3"/>
    </row>
    <row r="132" spans="2:25" ht="15.75" hidden="1" outlineLevel="1" x14ac:dyDescent="0.3">
      <c r="B132" s="3"/>
      <c r="C132" s="3"/>
      <c r="D132" s="3" t="str">
        <f t="shared" si="4"/>
        <v>Diesel</v>
      </c>
      <c r="E132" s="10">
        <f t="shared" si="5"/>
        <v>35.884155059999998</v>
      </c>
      <c r="F132" s="10">
        <f t="shared" si="5"/>
        <v>35.884155059999998</v>
      </c>
      <c r="G132" s="10">
        <f t="shared" si="5"/>
        <v>35.884155059999998</v>
      </c>
      <c r="H132" s="3" t="s">
        <v>162</v>
      </c>
      <c r="I132" s="3" t="b">
        <v>1</v>
      </c>
      <c r="J132" s="3"/>
      <c r="K132" s="3"/>
      <c r="L132" s="3" t="str">
        <f t="shared" si="6"/>
        <v>Zusatzmittel</v>
      </c>
      <c r="M132" s="9">
        <f t="shared" si="7"/>
        <v>148.44746134951595</v>
      </c>
      <c r="N132" s="9">
        <f t="shared" si="7"/>
        <v>148.44746134951595</v>
      </c>
      <c r="O132" s="9">
        <f t="shared" si="7"/>
        <v>148.44746134951595</v>
      </c>
      <c r="P132" s="3" t="s">
        <v>162</v>
      </c>
      <c r="Q132" s="381" t="b">
        <v>1</v>
      </c>
      <c r="R132" s="3"/>
      <c r="S132" s="3"/>
      <c r="T132" s="31" t="s">
        <v>124</v>
      </c>
      <c r="U132" s="52">
        <f t="shared" si="10"/>
        <v>0</v>
      </c>
      <c r="V132" s="52">
        <f t="shared" si="10"/>
        <v>0</v>
      </c>
      <c r="W132" s="52">
        <f t="shared" si="10"/>
        <v>0</v>
      </c>
      <c r="X132" s="3"/>
      <c r="Y132" s="3"/>
    </row>
    <row r="133" spans="2:25" ht="16.5" hidden="1" outlineLevel="1" thickBot="1" x14ac:dyDescent="0.35">
      <c r="B133" s="3"/>
      <c r="C133" s="3"/>
      <c r="D133" s="27" t="s">
        <v>69</v>
      </c>
      <c r="E133" s="33">
        <f>SUMIF($I$126:$I$132,"WAHR",E126:E132)</f>
        <v>266.83235506</v>
      </c>
      <c r="F133" s="33">
        <f>SUMIF($I$126:$I$132,"WAHR",F126:F132)</f>
        <v>219.82480214871339</v>
      </c>
      <c r="G133" s="33">
        <f>SUMIF($I$126:$I$132,"WAHR",G126:G132)</f>
        <v>156.48490990611054</v>
      </c>
      <c r="H133" s="27" t="s">
        <v>163</v>
      </c>
      <c r="I133" s="3"/>
      <c r="J133" s="3"/>
      <c r="K133" s="3"/>
      <c r="L133" s="3" t="str">
        <f t="shared" si="6"/>
        <v/>
      </c>
      <c r="M133" s="9" t="e">
        <f t="shared" si="7"/>
        <v>#N/A</v>
      </c>
      <c r="N133" s="9" t="e">
        <f t="shared" si="7"/>
        <v>#N/A</v>
      </c>
      <c r="O133" s="9" t="e">
        <f t="shared" si="7"/>
        <v>#N/A</v>
      </c>
      <c r="P133" s="3" t="s">
        <v>162</v>
      </c>
      <c r="Q133" s="381" t="b">
        <v>0</v>
      </c>
      <c r="R133" s="3"/>
      <c r="S133" s="3"/>
      <c r="T133" s="51" t="s">
        <v>34</v>
      </c>
      <c r="U133" s="53">
        <f t="shared" si="10"/>
        <v>15174.000000000002</v>
      </c>
      <c r="V133" s="54">
        <f t="shared" si="10"/>
        <v>15174.000000000002</v>
      </c>
      <c r="W133" s="54">
        <f t="shared" si="10"/>
        <v>15174.000000000002</v>
      </c>
      <c r="X133" s="3"/>
      <c r="Y133" s="3"/>
    </row>
    <row r="134" spans="2:25" ht="16.5" hidden="1" outlineLevel="1" thickTop="1" x14ac:dyDescent="0.3">
      <c r="B134" s="3"/>
      <c r="C134" s="3"/>
      <c r="D134" s="3"/>
      <c r="E134" s="3"/>
      <c r="F134" s="3"/>
      <c r="G134" s="3"/>
      <c r="H134" s="3"/>
      <c r="I134" s="3"/>
      <c r="J134" s="3"/>
      <c r="K134" s="3"/>
      <c r="L134" s="3" t="str">
        <f t="shared" si="6"/>
        <v/>
      </c>
      <c r="M134" s="9" t="e">
        <f t="shared" si="7"/>
        <v>#N/A</v>
      </c>
      <c r="N134" s="9" t="e">
        <f t="shared" si="7"/>
        <v>#N/A</v>
      </c>
      <c r="O134" s="9" t="e">
        <f t="shared" si="7"/>
        <v>#N/A</v>
      </c>
      <c r="P134" s="3" t="s">
        <v>162</v>
      </c>
      <c r="Q134" s="381" t="b">
        <v>0</v>
      </c>
      <c r="R134" s="3"/>
      <c r="S134" s="3"/>
      <c r="T134" s="8" t="str">
        <f>IF(X134,"CAPEX","")</f>
        <v>CAPEX</v>
      </c>
      <c r="U134" s="55">
        <f>IF($X134,U95,NA())</f>
        <v>0</v>
      </c>
      <c r="V134" s="55">
        <f t="shared" ref="V134:W136" si="11">IF($X134,V95,NA())</f>
        <v>0</v>
      </c>
      <c r="W134" s="55">
        <f t="shared" si="11"/>
        <v>0</v>
      </c>
      <c r="X134" s="381" t="b">
        <v>1</v>
      </c>
      <c r="Y134" s="3"/>
    </row>
    <row r="135" spans="2:25" ht="15.75" hidden="1" outlineLevel="1" x14ac:dyDescent="0.3">
      <c r="B135" s="3"/>
      <c r="C135" s="3"/>
      <c r="D135" s="3"/>
      <c r="E135" s="3"/>
      <c r="F135" s="3"/>
      <c r="G135" s="3"/>
      <c r="H135" s="3"/>
      <c r="I135" s="3"/>
      <c r="J135" s="3"/>
      <c r="K135" s="3"/>
      <c r="L135" s="3" t="str">
        <f t="shared" si="6"/>
        <v/>
      </c>
      <c r="M135" s="9" t="e">
        <f t="shared" si="7"/>
        <v>#N/A</v>
      </c>
      <c r="N135" s="9" t="e">
        <f t="shared" si="7"/>
        <v>#N/A</v>
      </c>
      <c r="O135" s="9" t="e">
        <f t="shared" si="7"/>
        <v>#N/A</v>
      </c>
      <c r="P135" s="3" t="s">
        <v>162</v>
      </c>
      <c r="Q135" s="381" t="b">
        <v>0</v>
      </c>
      <c r="R135" s="3"/>
      <c r="S135" s="3"/>
      <c r="T135" s="8" t="str">
        <f>IF(X135,"Zusätzliche jährliche Kosten","")</f>
        <v/>
      </c>
      <c r="U135" s="55" t="e">
        <f>IF($X135,U96,NA())</f>
        <v>#N/A</v>
      </c>
      <c r="V135" s="55" t="e">
        <f t="shared" si="11"/>
        <v>#N/A</v>
      </c>
      <c r="W135" s="55" t="e">
        <f t="shared" si="11"/>
        <v>#N/A</v>
      </c>
      <c r="X135" s="381" t="b">
        <v>0</v>
      </c>
      <c r="Y135" s="3"/>
    </row>
    <row r="136" spans="2:25" ht="15.75" hidden="1" outlineLevel="1" x14ac:dyDescent="0.3">
      <c r="B136" s="3"/>
      <c r="C136" s="3"/>
      <c r="D136" s="3"/>
      <c r="E136" s="3"/>
      <c r="F136" s="3"/>
      <c r="G136" s="3"/>
      <c r="H136" s="3"/>
      <c r="I136" s="3"/>
      <c r="J136" s="3"/>
      <c r="K136" s="3"/>
      <c r="L136" s="3" t="str">
        <f t="shared" si="6"/>
        <v/>
      </c>
      <c r="M136" s="9" t="e">
        <f t="shared" si="7"/>
        <v>#N/A</v>
      </c>
      <c r="N136" s="9" t="e">
        <f t="shared" si="7"/>
        <v>#N/A</v>
      </c>
      <c r="O136" s="9" t="e">
        <f t="shared" si="7"/>
        <v>#N/A</v>
      </c>
      <c r="P136" s="3" t="s">
        <v>162</v>
      </c>
      <c r="Q136" s="381" t="b">
        <v>0</v>
      </c>
      <c r="R136" s="3"/>
      <c r="S136" s="3"/>
      <c r="T136" s="59" t="str">
        <f>IF(X136,"Einmalige Kosten","")</f>
        <v/>
      </c>
      <c r="U136" s="55" t="e">
        <f>IF($X136,U97,NA())</f>
        <v>#N/A</v>
      </c>
      <c r="V136" s="55" t="e">
        <f t="shared" si="11"/>
        <v>#N/A</v>
      </c>
      <c r="W136" s="55" t="e">
        <f t="shared" si="11"/>
        <v>#N/A</v>
      </c>
      <c r="X136" s="381" t="b">
        <v>0</v>
      </c>
      <c r="Y136" s="3"/>
    </row>
    <row r="137" spans="2:25" ht="15.75" hidden="1" outlineLevel="1" x14ac:dyDescent="0.3">
      <c r="B137" s="3"/>
      <c r="C137" s="3"/>
      <c r="D137" s="3"/>
      <c r="E137" s="3"/>
      <c r="F137" s="3"/>
      <c r="G137" s="3"/>
      <c r="H137" s="3"/>
      <c r="I137" s="3"/>
      <c r="J137" s="3"/>
      <c r="K137" s="3"/>
      <c r="L137" s="3" t="str">
        <f t="shared" si="6"/>
        <v>Verpackungsmaterial</v>
      </c>
      <c r="M137" s="9">
        <f t="shared" si="7"/>
        <v>64.48</v>
      </c>
      <c r="N137" s="9">
        <f t="shared" si="7"/>
        <v>64.48</v>
      </c>
      <c r="O137" s="9">
        <f t="shared" si="7"/>
        <v>64.48</v>
      </c>
      <c r="P137" s="3" t="s">
        <v>162</v>
      </c>
      <c r="Q137" s="381" t="b">
        <v>1</v>
      </c>
      <c r="R137" s="3"/>
      <c r="S137" s="3"/>
      <c r="T137" s="57" t="str">
        <f>IF(X137,"CO2-Kosten","")</f>
        <v>CO2-Kosten</v>
      </c>
      <c r="U137" s="58">
        <f>IF($X$137,SUMIF($X$138:$X$140,"WAHR",U138:U140),NA())</f>
        <v>152459.04944673795</v>
      </c>
      <c r="V137" s="58">
        <f t="shared" ref="V137:W137" si="12">IF($X$137,SUMIF($X$138:$X$140,"WAHR",V138:V140),NA())</f>
        <v>261766.62294161139</v>
      </c>
      <c r="W137" s="58">
        <f t="shared" si="12"/>
        <v>441358.68351178075</v>
      </c>
      <c r="X137" s="381" t="b">
        <v>1</v>
      </c>
      <c r="Y137" s="3"/>
    </row>
    <row r="138" spans="2:25" ht="16.5" hidden="1" outlineLevel="1" thickBot="1" x14ac:dyDescent="0.35">
      <c r="B138" s="3"/>
      <c r="C138" s="3"/>
      <c r="D138" s="3"/>
      <c r="E138" s="3"/>
      <c r="F138" s="3"/>
      <c r="G138" s="3"/>
      <c r="H138" s="3"/>
      <c r="I138" s="3"/>
      <c r="J138" s="3"/>
      <c r="K138" s="3"/>
      <c r="L138" s="27" t="s">
        <v>69</v>
      </c>
      <c r="M138" s="28">
        <f>SUMIF($Q$126:$Q$137,"WAHR",M126:M137)</f>
        <v>5690.5056228095145</v>
      </c>
      <c r="N138" s="28">
        <f>SUMIF($Q$126:$Q$137,"WAHR",N126:N137)</f>
        <v>5456.1872632204258</v>
      </c>
      <c r="O138" s="28">
        <f>SUMIF($Q$126:$Q$137,"WAHR",O126:O137)</f>
        <v>5219.4746339911435</v>
      </c>
      <c r="P138" s="27" t="s">
        <v>163</v>
      </c>
      <c r="Q138" s="3"/>
      <c r="R138" s="3"/>
      <c r="S138" s="3"/>
      <c r="T138" s="31" t="s">
        <v>155</v>
      </c>
      <c r="U138" s="52">
        <f>IF($X138,U99,NA())</f>
        <v>2373.3088765000002</v>
      </c>
      <c r="V138" s="52">
        <f t="shared" ref="V138:W138" si="13">IF($X138,V99,NA())</f>
        <v>4271.9559777000004</v>
      </c>
      <c r="W138" s="52">
        <f t="shared" si="13"/>
        <v>7594.5884048000007</v>
      </c>
      <c r="X138" s="381" t="b">
        <v>1</v>
      </c>
      <c r="Y138" s="3"/>
    </row>
    <row r="139" spans="2:25" ht="16.5" hidden="1" outlineLevel="1" thickTop="1" x14ac:dyDescent="0.3">
      <c r="B139" s="3"/>
      <c r="C139" s="3"/>
      <c r="D139" s="3"/>
      <c r="E139" s="3"/>
      <c r="F139" s="3"/>
      <c r="G139" s="3"/>
      <c r="H139" s="3"/>
      <c r="I139" s="3"/>
      <c r="J139" s="3"/>
      <c r="K139" s="3"/>
      <c r="L139" s="3"/>
      <c r="M139" s="3"/>
      <c r="N139" s="3"/>
      <c r="O139" s="3"/>
      <c r="P139" s="3"/>
      <c r="Q139" s="3"/>
      <c r="R139" s="3"/>
      <c r="S139" s="3"/>
      <c r="T139" s="31" t="s">
        <v>156</v>
      </c>
      <c r="U139" s="52">
        <f t="shared" ref="U139:W140" si="14">IF($X139,U100,NA())</f>
        <v>4297.5</v>
      </c>
      <c r="V139" s="52">
        <f t="shared" si="14"/>
        <v>5620.160118992103</v>
      </c>
      <c r="W139" s="52">
        <f t="shared" si="14"/>
        <v>4924.2043876888438</v>
      </c>
      <c r="X139" s="381" t="b">
        <v>1</v>
      </c>
      <c r="Y139" s="3"/>
    </row>
    <row r="140" spans="2:25" ht="15.75" hidden="1" outlineLevel="1" x14ac:dyDescent="0.3">
      <c r="B140" s="3"/>
      <c r="C140" s="3"/>
      <c r="D140" s="3"/>
      <c r="E140" s="3"/>
      <c r="F140" s="3"/>
      <c r="G140" s="3"/>
      <c r="H140" s="3"/>
      <c r="I140" s="3"/>
      <c r="J140" s="3"/>
      <c r="K140" s="3"/>
      <c r="L140" s="3"/>
      <c r="M140" s="3"/>
      <c r="N140" s="3"/>
      <c r="O140" s="3"/>
      <c r="P140" s="3"/>
      <c r="Q140" s="3"/>
      <c r="R140" s="3"/>
      <c r="S140" s="3"/>
      <c r="T140" s="31" t="s">
        <v>157</v>
      </c>
      <c r="U140" s="52">
        <f t="shared" si="14"/>
        <v>145788.24057023795</v>
      </c>
      <c r="V140" s="52">
        <f t="shared" si="14"/>
        <v>251874.50684491929</v>
      </c>
      <c r="W140" s="52">
        <f t="shared" si="14"/>
        <v>428839.89071929193</v>
      </c>
      <c r="X140" s="381" t="b">
        <v>1</v>
      </c>
      <c r="Y140" s="3"/>
    </row>
    <row r="141" spans="2:25" ht="13.5" hidden="1" outlineLevel="1" thickBot="1" x14ac:dyDescent="0.25">
      <c r="B141" s="3"/>
      <c r="C141" s="3"/>
      <c r="D141" s="3"/>
      <c r="E141" s="3"/>
      <c r="F141" s="3"/>
      <c r="G141" s="3"/>
      <c r="H141" s="3"/>
      <c r="I141" s="3"/>
      <c r="J141" s="3"/>
      <c r="K141" s="3"/>
      <c r="L141" s="3"/>
      <c r="M141" s="3"/>
      <c r="N141" s="3"/>
      <c r="O141" s="3"/>
      <c r="P141" s="3"/>
      <c r="Q141" s="3"/>
      <c r="R141" s="3"/>
      <c r="S141" s="3"/>
      <c r="T141" s="27" t="s">
        <v>69</v>
      </c>
      <c r="U141" s="56">
        <f>IF($X$137,U137,0)+IF($X$136,U136,0)+IF($X$135,U135,0)+IF($X$134,U134,0)+U126</f>
        <v>262128.04944673795</v>
      </c>
      <c r="V141" s="56">
        <f t="shared" ref="V141:W141" si="15">IF($X$137,V137,0)+IF($X$136,V136,0)+IF($X$135,V135,0)+IF($X$134,V134,0)+V126</f>
        <v>371435.62294161139</v>
      </c>
      <c r="W141" s="56">
        <f t="shared" si="15"/>
        <v>551027.68351178081</v>
      </c>
      <c r="X141" s="3"/>
      <c r="Y141" s="3"/>
    </row>
    <row r="142" spans="2:25" ht="13.5" hidden="1" outlineLevel="1" thickTop="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2:25" hidden="1" outlineLevel="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2:25" hidden="1" outlineLevel="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hidden="1" outlineLevel="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103" t="str">
        <f>IF(OR(G17&gt;0,G18&gt;0,G19&gt;0,G20&gt;0),"Hinweis: Bitte den Handeingabewert 'Reduktion' für 2030 auch anpassen. Dieser muss dem Werte Ihrer Handeingabe 2025 entsprechen, sollte nur eine Maßnahme in 2025 umgesetzt werden.","")</f>
        <v/>
      </c>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collapsed="1" x14ac:dyDescent="0.2"/>
    <row r="152" spans="2:25" ht="15.75" hidden="1" outlineLevel="1" x14ac:dyDescent="0.25">
      <c r="B152" s="22"/>
      <c r="C152" s="22" t="s">
        <v>114</v>
      </c>
      <c r="D152" s="17"/>
      <c r="E152" s="17"/>
      <c r="F152" s="17"/>
      <c r="G152" s="17"/>
      <c r="H152" s="17"/>
      <c r="I152" s="17"/>
      <c r="J152" s="17"/>
      <c r="K152" s="17"/>
      <c r="L152" s="17"/>
      <c r="N152" s="22" t="s">
        <v>117</v>
      </c>
      <c r="O152" s="17"/>
      <c r="P152" s="17"/>
      <c r="Q152" s="17"/>
      <c r="R152" s="17"/>
      <c r="S152" s="17"/>
      <c r="T152" s="17"/>
    </row>
    <row r="153" spans="2:25" ht="15" hidden="1" outlineLevel="1" x14ac:dyDescent="0.25">
      <c r="B153" s="65"/>
      <c r="C153" s="65">
        <v>2025</v>
      </c>
      <c r="D153" s="17" t="s">
        <v>265</v>
      </c>
      <c r="E153" s="17"/>
      <c r="F153" s="17"/>
      <c r="G153" s="17"/>
      <c r="H153" s="17"/>
      <c r="I153" s="17"/>
      <c r="J153" s="17"/>
      <c r="K153" s="17"/>
      <c r="L153" s="17"/>
      <c r="N153" s="65">
        <v>2025</v>
      </c>
      <c r="O153" s="17"/>
      <c r="P153" s="17"/>
      <c r="Q153" s="17"/>
      <c r="R153" s="17"/>
      <c r="S153" s="17"/>
      <c r="T153" s="17"/>
    </row>
    <row r="154" spans="2:25" hidden="1" outlineLevel="1" x14ac:dyDescent="0.2">
      <c r="B154" s="276"/>
      <c r="C154" s="17"/>
      <c r="D154" s="17" t="s">
        <v>260</v>
      </c>
      <c r="E154" s="289">
        <f>(1-(IF(NOT(ISBLANK($G17)),$G17/100,$E17/100)))</f>
        <v>0.95</v>
      </c>
      <c r="F154" s="17"/>
      <c r="G154" s="17"/>
      <c r="H154" s="17"/>
      <c r="I154" s="17"/>
      <c r="J154" s="17"/>
      <c r="K154" s="17"/>
      <c r="L154" s="17"/>
      <c r="N154" s="21"/>
      <c r="O154" s="17"/>
      <c r="P154" s="17"/>
      <c r="Q154" s="17"/>
      <c r="R154" s="17"/>
      <c r="S154" s="17"/>
      <c r="T154" s="17"/>
    </row>
    <row r="155" spans="2:25" hidden="1" outlineLevel="1" x14ac:dyDescent="0.2">
      <c r="B155" s="276"/>
      <c r="C155" s="17"/>
      <c r="D155" s="17" t="s">
        <v>261</v>
      </c>
      <c r="E155" s="289">
        <f>(1-(IF(NOT(ISBLANK($G18)),$G18/100,$E18/100)))</f>
        <v>0.95</v>
      </c>
      <c r="F155" s="17"/>
      <c r="G155" s="17"/>
      <c r="H155" s="17"/>
      <c r="I155" s="17"/>
      <c r="J155" s="17"/>
      <c r="K155" s="17"/>
      <c r="L155" s="17"/>
      <c r="N155" s="21"/>
      <c r="O155" s="17"/>
      <c r="P155" s="17"/>
      <c r="Q155" s="17"/>
      <c r="R155" s="17"/>
      <c r="S155" s="17"/>
      <c r="T155" s="17"/>
    </row>
    <row r="156" spans="2:25" hidden="1" outlineLevel="1" x14ac:dyDescent="0.2">
      <c r="B156" s="276"/>
      <c r="C156" s="17"/>
      <c r="D156" s="17" t="s">
        <v>50</v>
      </c>
      <c r="E156" s="289">
        <f>(1-(IF(NOT(ISBLANK($G19)),$G19/100,$E19/100)))</f>
        <v>0.95</v>
      </c>
      <c r="F156" s="17"/>
      <c r="G156" s="17"/>
      <c r="H156" s="17"/>
      <c r="I156" s="17"/>
      <c r="J156" s="17"/>
      <c r="K156" s="17"/>
      <c r="L156" s="17"/>
      <c r="N156" s="21"/>
      <c r="O156" s="17"/>
      <c r="P156" s="17"/>
      <c r="Q156" s="17"/>
      <c r="R156" s="17"/>
      <c r="S156" s="17"/>
      <c r="T156" s="17"/>
    </row>
    <row r="157" spans="2:25" hidden="1" outlineLevel="1" x14ac:dyDescent="0.2">
      <c r="B157" s="276"/>
      <c r="C157" s="17"/>
      <c r="D157" s="17" t="s">
        <v>161</v>
      </c>
      <c r="E157" s="289">
        <f>(1-(IF(NOT(ISBLANK($G20)),$G20/100,$E20/100)))</f>
        <v>0.95</v>
      </c>
      <c r="F157" s="17"/>
      <c r="G157" s="17"/>
      <c r="H157" s="17"/>
      <c r="I157" s="17"/>
      <c r="J157" s="17"/>
      <c r="K157" s="17"/>
      <c r="L157" s="17"/>
      <c r="N157" s="21"/>
      <c r="O157" s="17"/>
      <c r="P157" s="17"/>
      <c r="Q157" s="17"/>
      <c r="R157" s="17"/>
      <c r="S157" s="17"/>
      <c r="T157" s="17"/>
    </row>
    <row r="158" spans="2:25" hidden="1" outlineLevel="1" x14ac:dyDescent="0.2">
      <c r="B158" s="276"/>
      <c r="C158" s="17"/>
      <c r="D158" s="17"/>
      <c r="E158" s="17"/>
      <c r="F158" s="17"/>
      <c r="G158" s="17"/>
      <c r="H158" s="17"/>
      <c r="I158" s="17"/>
      <c r="J158" s="17"/>
      <c r="K158" s="17"/>
      <c r="L158" s="17"/>
      <c r="N158" s="21"/>
      <c r="O158" s="17"/>
      <c r="P158" s="17"/>
      <c r="Q158" s="17"/>
      <c r="R158" s="17"/>
      <c r="S158" s="17"/>
      <c r="T158" s="17"/>
    </row>
    <row r="159" spans="2:25" hidden="1" outlineLevel="1" x14ac:dyDescent="0.2">
      <c r="B159" s="276"/>
      <c r="C159" s="17"/>
      <c r="D159" s="17"/>
      <c r="E159" s="17"/>
      <c r="F159" s="17"/>
      <c r="G159" s="17"/>
      <c r="H159" s="17"/>
      <c r="I159" s="17"/>
      <c r="J159" s="17"/>
      <c r="K159" s="17"/>
      <c r="L159" s="17"/>
      <c r="N159" s="21"/>
      <c r="O159" s="17"/>
      <c r="P159" s="17"/>
      <c r="Q159" s="17"/>
      <c r="R159" s="17"/>
      <c r="S159" s="17"/>
      <c r="T159" s="17"/>
    </row>
    <row r="160" spans="2:25" hidden="1" outlineLevel="1" x14ac:dyDescent="0.2">
      <c r="B160" s="276"/>
      <c r="C160" s="17"/>
      <c r="D160" s="17"/>
      <c r="E160" s="17"/>
      <c r="F160" s="17"/>
      <c r="G160" s="17"/>
      <c r="H160" s="17"/>
      <c r="I160" s="17"/>
      <c r="J160" s="17"/>
      <c r="K160" s="17"/>
      <c r="L160" s="17"/>
      <c r="N160" s="21"/>
      <c r="O160" s="17"/>
      <c r="P160" s="17"/>
      <c r="Q160" s="17"/>
      <c r="R160" s="17"/>
      <c r="S160" s="17"/>
      <c r="T160" s="17"/>
    </row>
    <row r="161" spans="2:20" hidden="1" outlineLevel="1" x14ac:dyDescent="0.2">
      <c r="B161" s="17"/>
      <c r="C161" s="17"/>
      <c r="D161" s="17"/>
      <c r="E161" s="17"/>
      <c r="F161" s="20"/>
      <c r="G161" s="20"/>
      <c r="H161" s="20"/>
      <c r="I161" s="17"/>
      <c r="J161" s="17"/>
      <c r="K161" s="17"/>
      <c r="L161" s="17"/>
      <c r="N161" s="17"/>
      <c r="O161" s="17"/>
      <c r="P161" s="17"/>
      <c r="Q161" s="17"/>
      <c r="R161" s="17"/>
      <c r="S161" s="17"/>
      <c r="T161" s="17"/>
    </row>
    <row r="162" spans="2:20" hidden="1" outlineLevel="1" x14ac:dyDescent="0.2">
      <c r="B162" s="17"/>
      <c r="C162" s="17"/>
      <c r="D162" s="17"/>
      <c r="E162" s="17"/>
      <c r="F162" s="20"/>
      <c r="G162" s="20"/>
      <c r="H162" s="20"/>
      <c r="I162" s="17"/>
      <c r="J162" s="17"/>
      <c r="K162" s="17"/>
      <c r="L162" s="17"/>
      <c r="N162" s="17"/>
      <c r="O162" s="17"/>
      <c r="P162" s="17"/>
      <c r="Q162" s="17"/>
      <c r="R162" s="17"/>
      <c r="S162" s="17"/>
      <c r="T162" s="17"/>
    </row>
    <row r="163" spans="2:20" ht="25.5" hidden="1" outlineLevel="1" x14ac:dyDescent="0.2">
      <c r="B163" s="17"/>
      <c r="C163" s="17"/>
      <c r="D163" s="17"/>
      <c r="E163" s="17"/>
      <c r="F163" s="36" t="s">
        <v>27</v>
      </c>
      <c r="G163" s="36" t="s">
        <v>82</v>
      </c>
      <c r="H163" s="36" t="s">
        <v>29</v>
      </c>
      <c r="I163" s="17"/>
      <c r="J163" s="40" t="s">
        <v>111</v>
      </c>
      <c r="K163" s="41" t="s">
        <v>39</v>
      </c>
      <c r="L163" s="17"/>
      <c r="N163" s="17"/>
      <c r="O163" s="17"/>
      <c r="P163" s="17"/>
      <c r="Q163" s="18"/>
      <c r="R163" s="18"/>
      <c r="S163" s="18"/>
      <c r="T163" s="18"/>
    </row>
    <row r="164" spans="2:20" ht="14.25" hidden="1" outlineLevel="1" x14ac:dyDescent="0.25">
      <c r="B164" s="77"/>
      <c r="C164" s="77" t="s">
        <v>190</v>
      </c>
      <c r="D164" s="77"/>
      <c r="E164" s="77"/>
      <c r="F164" s="78">
        <f>SUM(F166:F179)</f>
        <v>94.932355060000006</v>
      </c>
      <c r="G164" s="78">
        <f t="shared" ref="G164:H164" si="16">SUM(G166:G179)</f>
        <v>124.8924470887134</v>
      </c>
      <c r="H164" s="78">
        <f t="shared" si="16"/>
        <v>34.39057387091087</v>
      </c>
      <c r="I164" s="77"/>
      <c r="J164" s="78">
        <f>F164+G164</f>
        <v>219.82480214871339</v>
      </c>
      <c r="K164" s="78">
        <f>SUM(F164:H164)</f>
        <v>254.21537601962427</v>
      </c>
      <c r="L164" s="77" t="s">
        <v>197</v>
      </c>
      <c r="N164" s="17"/>
      <c r="O164" s="17"/>
      <c r="P164" s="17"/>
      <c r="Q164" s="18"/>
      <c r="R164" s="18"/>
      <c r="S164" s="18"/>
      <c r="T164" s="18"/>
    </row>
    <row r="165" spans="2:20" hidden="1" outlineLevel="1" x14ac:dyDescent="0.2">
      <c r="B165" s="17"/>
      <c r="C165" s="17" t="s">
        <v>146</v>
      </c>
      <c r="D165" s="17"/>
      <c r="E165" s="17"/>
      <c r="F165" s="17"/>
      <c r="G165" s="17"/>
      <c r="H165" s="17"/>
      <c r="I165" s="17"/>
      <c r="J165" s="17"/>
      <c r="K165" s="17"/>
      <c r="L165" s="17"/>
      <c r="N165" s="17" t="s">
        <v>146</v>
      </c>
      <c r="O165" s="17"/>
      <c r="P165" s="17"/>
      <c r="Q165" s="18"/>
      <c r="R165" s="18"/>
      <c r="S165" s="18"/>
      <c r="T165" s="18"/>
    </row>
    <row r="166" spans="2:20" ht="15.75" hidden="1" outlineLevel="1" x14ac:dyDescent="0.3">
      <c r="B166" s="276"/>
      <c r="C166" s="17"/>
      <c r="D166" s="17" t="s">
        <v>125</v>
      </c>
      <c r="E166" s="17"/>
      <c r="F166" s="38">
        <f>IF(NOT(ISBLANK('Referenz Plattenwerk'!$I16)),'Referenz Plattenwerk'!$I16,'Referenz Plattenwerk'!$F16)*IF(NOT(ISBLANK('Eingabe EF'!$AA9)),'Eingabe EF'!$AA9,'Eingabe EF'!$Y9)</f>
        <v>34.434080000000002</v>
      </c>
      <c r="G166" s="38">
        <f>IF(NOT(ISBLANK('Referenz Plattenwerk'!$I16)),'Referenz Plattenwerk'!$I16,'Referenz Plattenwerk'!$F16)*IF(NOT(ISBLANK('Eingabe EF'!$AE9)),'Eingabe EF'!$AE9,'Eingabe EF'!$AC9)</f>
        <v>0</v>
      </c>
      <c r="H166" s="38">
        <f>IF(NOT(ISBLANK('Referenz Plattenwerk'!$I16)),'Referenz Plattenwerk'!$I16,'Referenz Plattenwerk'!$F16)*IF(NOT(ISBLANK('Eingabe EF'!$AI9)),'Eingabe EF'!$AI9,'Eingabe EF'!$AG9)</f>
        <v>5.8938000000000006</v>
      </c>
      <c r="I166" s="17"/>
      <c r="J166" s="38">
        <f>F166+G166</f>
        <v>34.434080000000002</v>
      </c>
      <c r="K166" s="38">
        <f>SUM(F166:H166)</f>
        <v>40.32788</v>
      </c>
      <c r="L166" s="17" t="s">
        <v>198</v>
      </c>
      <c r="N166" s="276"/>
      <c r="O166" s="17" t="s">
        <v>125</v>
      </c>
      <c r="P166" s="17"/>
      <c r="Q166" s="19"/>
      <c r="R166" s="20"/>
      <c r="S166" s="42">
        <f>IF(NOT(ISBLANK('Referenz Plattenwerk'!$I16)),'Referenz Plattenwerk'!$I16,'Referenz Plattenwerk'!$F16)/1000*IF(NOT(ISBLANK('Eingabe Preise'!$K10)),'Eingabe Preise'!$K10,'Eingabe Preise'!$I10)</f>
        <v>11468</v>
      </c>
      <c r="T166" s="20" t="s">
        <v>106</v>
      </c>
    </row>
    <row r="167" spans="2:20" ht="15.75" hidden="1" outlineLevel="1" x14ac:dyDescent="0.3">
      <c r="B167" s="276"/>
      <c r="C167" s="17"/>
      <c r="D167" s="17" t="s">
        <v>165</v>
      </c>
      <c r="E167" s="17"/>
      <c r="F167" s="38">
        <f>IF(NOT(ISBLANK('Referenz Plattenwerk'!$I17)),'Referenz Plattenwerk'!$I17,'Referenz Plattenwerk'!$F17)*IF(NOT(ISBLANK('Eingabe EF'!$AA10)),'Eingabe EF'!$AA10,'Eingabe EF'!$Y10)</f>
        <v>6.4022399999999999</v>
      </c>
      <c r="G167" s="38">
        <f>IF(NOT(ISBLANK('Referenz Plattenwerk'!$I17)),'Referenz Plattenwerk'!$I17,'Referenz Plattenwerk'!$F17)*IF(NOT(ISBLANK('Eingabe EF'!$AE10)),'Eingabe EF'!$AE10,'Eingabe EF'!$AC10)</f>
        <v>0</v>
      </c>
      <c r="H167" s="38">
        <f>IF(NOT(ISBLANK('Referenz Plattenwerk'!$I17)),'Referenz Plattenwerk'!$I17,'Referenz Plattenwerk'!$F17)*IF(NOT(ISBLANK('Eingabe EF'!$AI10)),'Eingabe EF'!$AI10,'Eingabe EF'!$AG10)</f>
        <v>0.949824</v>
      </c>
      <c r="I167" s="17"/>
      <c r="J167" s="38">
        <f>F167+G167</f>
        <v>6.4022399999999999</v>
      </c>
      <c r="K167" s="38">
        <f>SUM(F167:H167)</f>
        <v>7.3520640000000004</v>
      </c>
      <c r="L167" s="17" t="s">
        <v>198</v>
      </c>
      <c r="N167" s="276"/>
      <c r="O167" s="17" t="s">
        <v>165</v>
      </c>
      <c r="P167" s="17"/>
      <c r="Q167" s="20"/>
      <c r="R167" s="20"/>
      <c r="S167" s="42">
        <f>IF(NOT(ISBLANK('Referenz Plattenwerk'!$I17)),'Referenz Plattenwerk'!$I17,'Referenz Plattenwerk'!$F17)/1000*IF(NOT(ISBLANK('Eingabe Preise'!$K11)),'Eingabe Preise'!$K11,'Eingabe Preise'!$I11)</f>
        <v>1104</v>
      </c>
      <c r="T167" s="20" t="s">
        <v>106</v>
      </c>
    </row>
    <row r="168" spans="2:20" ht="15.75" hidden="1" outlineLevel="1" x14ac:dyDescent="0.3">
      <c r="B168" s="276"/>
      <c r="C168" s="17"/>
      <c r="D168" s="17" t="s">
        <v>166</v>
      </c>
      <c r="E168" s="17"/>
      <c r="F168" s="38">
        <f>IF(NOT(ISBLANK('Referenz Plattenwerk'!$I18)),'Referenz Plattenwerk'!$I18,'Referenz Plattenwerk'!$F18)*IF(NOT(ISBLANK('Eingabe EF'!$AA11)),'Eingabe EF'!$AA11,'Eingabe EF'!$Y11)</f>
        <v>0</v>
      </c>
      <c r="G168" s="38">
        <f>IF(NOT(ISBLANK('Referenz Plattenwerk'!$I18)),'Referenz Plattenwerk'!$I18,'Referenz Plattenwerk'!$F18)*IF(NOT(ISBLANK('Eingabe EF'!$AE11)),'Eingabe EF'!$AE11,'Eingabe EF'!$AC11)</f>
        <v>12.48924470887134</v>
      </c>
      <c r="H168" s="38">
        <f>IF(NOT(ISBLANK('Referenz Plattenwerk'!$I18)),'Referenz Plattenwerk'!$I18,'Referenz Plattenwerk'!$F18)*IF(NOT(ISBLANK('Eingabe EF'!$AI11)),'Eingabe EF'!$AI11,'Eingabe EF'!$AG11)</f>
        <v>1.8308840410910865</v>
      </c>
      <c r="I168" s="17"/>
      <c r="J168" s="38">
        <f>F168+G168</f>
        <v>12.48924470887134</v>
      </c>
      <c r="K168" s="38">
        <f>SUM(F168:H168)</f>
        <v>14.320128749962427</v>
      </c>
      <c r="L168" s="17" t="s">
        <v>198</v>
      </c>
      <c r="N168" s="276"/>
      <c r="O168" s="17" t="s">
        <v>166</v>
      </c>
      <c r="P168" s="17"/>
      <c r="Q168" s="20"/>
      <c r="R168" s="20"/>
      <c r="S168" s="42">
        <f>IF(NOT(ISBLANK('Referenz Plattenwerk'!$I18)),'Referenz Plattenwerk'!$I18,'Referenz Plattenwerk'!$F18)/1000*IF(NOT(ISBLANK('Eingabe Preise'!$K12)),'Eingabe Preise'!$K12,'Eingabe Preise'!$I12)</f>
        <v>7740</v>
      </c>
      <c r="T168" s="20" t="s">
        <v>106</v>
      </c>
    </row>
    <row r="169" spans="2:20" ht="15.75" hidden="1" outlineLevel="1" x14ac:dyDescent="0.3">
      <c r="B169" s="276"/>
      <c r="C169" s="17"/>
      <c r="D169" s="17" t="s">
        <v>126</v>
      </c>
      <c r="E169" s="17"/>
      <c r="F169" s="44">
        <f>IF(NOT(ISBLANK('Referenz Plattenwerk'!$I19)),'Referenz Plattenwerk'!$I19,'Referenz Plattenwerk'!$F19)*IF(NOT(ISBLANK('Eingabe EF'!$AA12)),'Eingabe EF'!$AA12,0)</f>
        <v>0</v>
      </c>
      <c r="G169" s="44">
        <f>IF(NOT(ISBLANK('Referenz Plattenwerk'!$I19)),'Referenz Plattenwerk'!$I19,'Referenz Plattenwerk'!$F19)*IF(NOT(ISBLANK('Eingabe EF'!$AE12)),'Eingabe EF'!$AE12,0)</f>
        <v>0</v>
      </c>
      <c r="H169" s="44">
        <f>IF(NOT(ISBLANK('Referenz Plattenwerk'!$I19)),'Referenz Plattenwerk'!$I19,'Referenz Plattenwerk'!$F19)*IF(NOT(ISBLANK('Eingabe EF'!$AI12)),'Eingabe EF'!$AI12,0)</f>
        <v>0</v>
      </c>
      <c r="I169" s="17"/>
      <c r="J169" s="38">
        <f>F169+G169</f>
        <v>0</v>
      </c>
      <c r="K169" s="38">
        <f>SUM(F169:H169)</f>
        <v>0</v>
      </c>
      <c r="L169" s="17" t="s">
        <v>198</v>
      </c>
      <c r="N169" s="276"/>
      <c r="O169" s="17" t="s">
        <v>126</v>
      </c>
      <c r="P169" s="17"/>
      <c r="Q169" s="20"/>
      <c r="R169" s="20"/>
      <c r="S169" s="42">
        <f>IF(NOT(ISBLANK('Referenz Plattenwerk'!$I19)),'Referenz Plattenwerk'!$I19,'Referenz Plattenwerk'!$F19)/1000*IF(NOT(ISBLANK('Eingabe Preise'!$K16)),'Eingabe Preise'!$K16,0)</f>
        <v>0</v>
      </c>
      <c r="T169" s="20" t="s">
        <v>106</v>
      </c>
    </row>
    <row r="170" spans="2:20" hidden="1" outlineLevel="1" x14ac:dyDescent="0.2">
      <c r="B170" s="17"/>
      <c r="C170" s="17" t="s">
        <v>147</v>
      </c>
      <c r="D170" s="17"/>
      <c r="E170" s="17"/>
      <c r="F170" s="20"/>
      <c r="G170" s="20"/>
      <c r="H170" s="20"/>
      <c r="I170" s="17"/>
      <c r="J170" s="17"/>
      <c r="K170" s="17"/>
      <c r="L170" s="17"/>
      <c r="N170" s="17" t="s">
        <v>147</v>
      </c>
      <c r="O170" s="17"/>
      <c r="P170" s="17"/>
      <c r="Q170" s="20"/>
      <c r="R170" s="20"/>
      <c r="S170" s="20"/>
      <c r="T170" s="20"/>
    </row>
    <row r="171" spans="2:20" ht="15.75" hidden="1" outlineLevel="1" x14ac:dyDescent="0.3">
      <c r="B171" s="17"/>
      <c r="C171" s="17"/>
      <c r="D171" s="17" t="s">
        <v>31</v>
      </c>
      <c r="E171" s="17"/>
      <c r="F171" s="38">
        <f>IF(NOT(ISBLANK('Referenz Plattenwerk'!$I21)),'Referenz Plattenwerk'!$I21,'Referenz Plattenwerk'!$F21)*IF(NOT(ISBLANK('Eingabe EF'!$AA9)),'Eingabe EF'!$AA9,'Eingabe EF'!$Y9)</f>
        <v>8.6085200000000004</v>
      </c>
      <c r="G171" s="38">
        <f>IF(NOT(ISBLANK('Referenz Plattenwerk'!$I21)),'Referenz Plattenwerk'!$I21,'Referenz Plattenwerk'!$F21)*IF(NOT(ISBLANK('Eingabe EF'!$AE9)),'Eingabe EF'!$AE9,'Eingabe EF'!$AC9)</f>
        <v>0</v>
      </c>
      <c r="H171" s="38">
        <f>IF(NOT(ISBLANK('Referenz Plattenwerk'!$I21)),'Referenz Plattenwerk'!$I21,'Referenz Plattenwerk'!$F21)*IF(NOT(ISBLANK('Eingabe EF'!$AG9)),'Eingabe EF'!$AG9,'Eingabe EF'!$AIC9)</f>
        <v>1.4734500000000001</v>
      </c>
      <c r="I171" s="17"/>
      <c r="J171" s="38">
        <f t="shared" ref="J171:J172" si="17">F171+G171</f>
        <v>8.6085200000000004</v>
      </c>
      <c r="K171" s="38">
        <f t="shared" ref="K171:K182" si="18">SUM(F171:H171)</f>
        <v>10.08197</v>
      </c>
      <c r="L171" s="17" t="s">
        <v>198</v>
      </c>
      <c r="M171" s="43"/>
      <c r="N171" s="17"/>
      <c r="O171" s="17" t="s">
        <v>31</v>
      </c>
      <c r="P171" s="17"/>
      <c r="Q171" s="20"/>
      <c r="R171" s="20"/>
      <c r="S171" s="42">
        <f>IF(NOT(ISBLANK('Referenz Plattenwerk'!$I21)),'Referenz Plattenwerk'!$I21,'Referenz Plattenwerk'!$F21)/1000*IF(NOT(ISBLANK('Eingabe Preise'!$K10)),'Eingabe Preise'!$K10,'Eingabe Preise'!$I10)</f>
        <v>2867</v>
      </c>
      <c r="T171" s="20" t="s">
        <v>106</v>
      </c>
    </row>
    <row r="172" spans="2:20" ht="15.75" hidden="1" outlineLevel="1" x14ac:dyDescent="0.3">
      <c r="B172" s="17"/>
      <c r="C172" s="17"/>
      <c r="D172" s="17" t="s">
        <v>32</v>
      </c>
      <c r="E172" s="17"/>
      <c r="F172" s="38">
        <f>IF(NOT(ISBLANK('Referenz Plattenwerk'!$I22)),'Referenz Plattenwerk'!$I22,'Referenz Plattenwerk'!$F22)*IF(NOT(ISBLANK('Eingabe EF'!$AA10)),'Eingabe EF'!$AA10,'Eingabe EF'!$Y10)</f>
        <v>9.6033600000000003</v>
      </c>
      <c r="G172" s="38">
        <f>IF(NOT(ISBLANK('Referenz Plattenwerk'!$I22)),'Referenz Plattenwerk'!$I22,'Referenz Plattenwerk'!$F22)*IF(NOT(ISBLANK('Eingabe EF'!$AE10)),'Eingabe EF'!$AE10,'Eingabe EF'!$AC10)</f>
        <v>0</v>
      </c>
      <c r="H172" s="38">
        <f>IF(NOT(ISBLANK('Referenz Plattenwerk'!$I22)),'Referenz Plattenwerk'!$I22,'Referenz Plattenwerk'!$F22)*IF(NOT(ISBLANK('Eingabe EF'!$AG10)),'Eingabe EF'!$AG10,'Eingabe EF'!$AIC10)</f>
        <v>1.424736</v>
      </c>
      <c r="I172" s="17"/>
      <c r="J172" s="38">
        <f t="shared" si="17"/>
        <v>9.6033600000000003</v>
      </c>
      <c r="K172" s="38">
        <f t="shared" si="18"/>
        <v>11.028096</v>
      </c>
      <c r="L172" s="17" t="s">
        <v>198</v>
      </c>
      <c r="M172" s="43"/>
      <c r="N172" s="17"/>
      <c r="O172" s="17" t="s">
        <v>32</v>
      </c>
      <c r="P172" s="17"/>
      <c r="Q172" s="20"/>
      <c r="R172" s="20"/>
      <c r="S172" s="42">
        <f>IF(NOT(ISBLANK('Referenz Plattenwerk'!$I22)),'Referenz Plattenwerk'!$I22,'Referenz Plattenwerk'!$F22)/1000*IF(NOT(ISBLANK('Eingabe Preise'!$K11)),'Eingabe Preise'!$K11,'Eingabe Preise'!$I11)</f>
        <v>1656</v>
      </c>
      <c r="T172" s="20" t="s">
        <v>106</v>
      </c>
    </row>
    <row r="173" spans="2:20" hidden="1" outlineLevel="1" x14ac:dyDescent="0.2">
      <c r="B173" s="17"/>
      <c r="C173" s="17" t="s">
        <v>148</v>
      </c>
      <c r="D173" s="17"/>
      <c r="E173" s="17"/>
      <c r="F173" s="20"/>
      <c r="G173" s="20"/>
      <c r="H173" s="20"/>
      <c r="I173" s="17"/>
      <c r="J173" s="17"/>
      <c r="K173" s="17"/>
      <c r="L173" s="17"/>
      <c r="N173" s="17" t="s">
        <v>148</v>
      </c>
      <c r="O173" s="17"/>
      <c r="P173" s="17"/>
      <c r="Q173" s="20"/>
      <c r="R173" s="20"/>
      <c r="S173" s="20"/>
      <c r="T173" s="20"/>
    </row>
    <row r="174" spans="2:20" ht="15.75" hidden="1" outlineLevel="1" x14ac:dyDescent="0.3">
      <c r="B174" s="17"/>
      <c r="C174" s="17"/>
      <c r="D174" s="17" t="s">
        <v>150</v>
      </c>
      <c r="E174" s="17"/>
      <c r="F174" s="38">
        <f>IF(NOT(ISBLANK('Referenz Plattenwerk'!$I24)),'Referenz Plattenwerk'!$I24,'Referenz Plattenwerk'!$F24)*IF(NOT(ISBLANK('Eingabe EF'!$AA11)),'Eingabe EF'!$AA11,'Eingabe EF'!$Y11)</f>
        <v>0</v>
      </c>
      <c r="G174" s="38">
        <f>IF(NOT(ISBLANK('Referenz Plattenwerk'!$I24)),'Referenz Plattenwerk'!$I24,'Referenz Plattenwerk'!$F24)*IF(NOT(ISBLANK('Eingabe EF'!$AE11)),'Eingabe EF'!$AE11,'Eingabe EF'!$AC11)</f>
        <v>112.40320237984206</v>
      </c>
      <c r="H174" s="38">
        <f>IF(NOT(ISBLANK('Referenz Plattenwerk'!$I24)),'Referenz Plattenwerk'!$I24,'Referenz Plattenwerk'!$F24)*IF(NOT(ISBLANK('Eingabe EF'!$AI11)),'Eingabe EF'!$AI11,'Eingabe EF'!$AG11)</f>
        <v>16.477956369819779</v>
      </c>
      <c r="I174" s="17"/>
      <c r="J174" s="38">
        <f t="shared" ref="J174:J182" si="19">F174+G174</f>
        <v>112.40320237984206</v>
      </c>
      <c r="K174" s="38">
        <f t="shared" si="18"/>
        <v>128.88115874966184</v>
      </c>
      <c r="L174" s="17" t="s">
        <v>198</v>
      </c>
      <c r="M174" s="43"/>
      <c r="N174" s="17"/>
      <c r="O174" s="17" t="s">
        <v>167</v>
      </c>
      <c r="P174" s="17"/>
      <c r="Q174" s="20"/>
      <c r="R174" s="20"/>
      <c r="S174" s="42">
        <f>IF(NOT(ISBLANK('Referenz Plattenwerk'!$I24)),'Referenz Plattenwerk'!$I24,'Referenz Plattenwerk'!$F24)/1000*IF(NOT(ISBLANK('Eingabe Preise'!$K12)),'Eingabe Preise'!$K12,'Eingabe Preise'!$I12)</f>
        <v>69660</v>
      </c>
      <c r="T174" s="20" t="s">
        <v>106</v>
      </c>
    </row>
    <row r="175" spans="2:20" ht="15.75" hidden="1" outlineLevel="1" x14ac:dyDescent="0.3">
      <c r="B175" s="17"/>
      <c r="C175" s="17"/>
      <c r="D175" s="17" t="s">
        <v>122</v>
      </c>
      <c r="E175" s="17"/>
      <c r="F175" s="38">
        <f>IF(NOT(ISBLANK('Referenz Plattenwerk'!$I25)),'Referenz Plattenwerk'!$I25,'Referenz Plattenwerk'!$F25)*IF(NOT(ISBLANK('Eingabe EF'!$AA13)),'Eingabe EF'!$AA13,'Eingabe EF'!$Y13)</f>
        <v>0</v>
      </c>
      <c r="G175" s="38">
        <f>IF(NOT(ISBLANK('Referenz Plattenwerk'!$I25)),'Referenz Plattenwerk'!$I25,'Referenz Plattenwerk'!$F25)*IF(NOT(ISBLANK('Eingabe EF'!$AE13)),'Eingabe EF'!$AE13,'Eingabe EF'!$AC13)</f>
        <v>0</v>
      </c>
      <c r="H175" s="38">
        <f>IF(NOT(ISBLANK('Referenz Plattenwerk'!$I25)),'Referenz Plattenwerk'!$I25,'Referenz Plattenwerk'!$F25)*IF(NOT(ISBLANK('Eingabe EF'!$AI13)),'Eingabe EF'!$AI13,'Eingabe EF'!$AG13)</f>
        <v>0</v>
      </c>
      <c r="I175" s="17"/>
      <c r="J175" s="38">
        <f t="shared" si="19"/>
        <v>0</v>
      </c>
      <c r="K175" s="38">
        <f t="shared" si="18"/>
        <v>0</v>
      </c>
      <c r="L175" s="17" t="s">
        <v>198</v>
      </c>
      <c r="M175" s="43"/>
      <c r="N175" s="17"/>
      <c r="O175" s="17" t="s">
        <v>122</v>
      </c>
      <c r="P175" s="17"/>
      <c r="Q175" s="20"/>
      <c r="R175" s="20"/>
      <c r="S175" s="42">
        <f>IF(NOT(ISBLANK('Referenz Plattenwerk'!$I25)),'Referenz Plattenwerk'!$I25,'Referenz Plattenwerk'!$F25)/1000*IF(NOT(ISBLANK('Eingabe Preise'!$K13)),'Eingabe Preise'!$K13,'Eingabe Preise'!$I13)</f>
        <v>0</v>
      </c>
      <c r="T175" s="20" t="s">
        <v>106</v>
      </c>
    </row>
    <row r="176" spans="2:20" ht="15.75" hidden="1" outlineLevel="1" x14ac:dyDescent="0.3">
      <c r="B176" s="17"/>
      <c r="C176" s="17"/>
      <c r="D176" s="17" t="s">
        <v>149</v>
      </c>
      <c r="E176" s="17"/>
      <c r="F176" s="38">
        <f>IF(NOT(ISBLANK('Referenz Plattenwerk'!$I26)),'Referenz Plattenwerk'!$I26,'Referenz Plattenwerk'!$F26)*IF(NOT(ISBLANK('Eingabe EF'!$AA14)),'Eingabe EF'!$AA14,0)</f>
        <v>0</v>
      </c>
      <c r="G176" s="38">
        <f>IF(NOT(ISBLANK('Referenz Plattenwerk'!$I26)),'Referenz Plattenwerk'!$I26,'Referenz Plattenwerk'!$F26)*IF(NOT(ISBLANK('Eingabe EF'!$AE14)),'Eingabe EF'!$AE14,0)</f>
        <v>0</v>
      </c>
      <c r="H176" s="38">
        <f>IF(NOT(ISBLANK('Referenz Plattenwerk'!$I26)),'Referenz Plattenwerk'!$I26,'Referenz Plattenwerk'!$F26)*IF(NOT(ISBLANK('Eingabe EF'!$AI14)),'Eingabe EF'!$AI14,0)</f>
        <v>0</v>
      </c>
      <c r="I176" s="17"/>
      <c r="J176" s="38">
        <f t="shared" si="19"/>
        <v>0</v>
      </c>
      <c r="K176" s="38">
        <f t="shared" si="18"/>
        <v>0</v>
      </c>
      <c r="L176" s="17" t="s">
        <v>198</v>
      </c>
      <c r="M176" s="43"/>
      <c r="N176" s="17"/>
      <c r="O176" s="17" t="s">
        <v>149</v>
      </c>
      <c r="P176" s="17"/>
      <c r="Q176" s="30"/>
      <c r="R176" s="17"/>
      <c r="S176" s="42">
        <f>IF(NOT(ISBLANK('Referenz Plattenwerk'!$I26)),'Referenz Plattenwerk'!$I26,'Referenz Plattenwerk'!$F26)/1000*IF(NOT(ISBLANK('Eingabe Preise'!$K17)),'Eingabe Preise'!$K17,0)</f>
        <v>0</v>
      </c>
      <c r="T176" s="20" t="s">
        <v>106</v>
      </c>
    </row>
    <row r="177" spans="2:21" hidden="1" outlineLevel="1" x14ac:dyDescent="0.2">
      <c r="B177" s="17"/>
      <c r="C177" s="17"/>
      <c r="D177" s="17"/>
      <c r="E177" s="17"/>
      <c r="F177" s="20"/>
      <c r="G177" s="20"/>
      <c r="H177" s="20"/>
      <c r="I177" s="17"/>
      <c r="J177" s="17"/>
      <c r="K177" s="17"/>
      <c r="L177" s="17"/>
      <c r="N177" s="17"/>
      <c r="O177" s="17"/>
      <c r="P177" s="17"/>
      <c r="Q177" s="30"/>
      <c r="R177" s="17"/>
      <c r="S177" s="17"/>
      <c r="T177" s="17"/>
    </row>
    <row r="178" spans="2:21" ht="15.75" hidden="1" outlineLevel="1" x14ac:dyDescent="0.3">
      <c r="B178" s="17"/>
      <c r="C178" s="17" t="s">
        <v>464</v>
      </c>
      <c r="D178" s="17" t="s">
        <v>34</v>
      </c>
      <c r="E178" s="17"/>
      <c r="F178" s="38">
        <f>IF(NOT(ISBLANK('Referenz Plattenwerk'!$I28)),'Referenz Plattenwerk'!$I28,'Referenz Plattenwerk'!$F28)*IF(NOT(ISBLANK('Eingabe EF'!$AA15)),'Eingabe EF'!$AA15,'Eingabe EF'!$Y15)</f>
        <v>29.238941159999996</v>
      </c>
      <c r="G178" s="38">
        <f>IF(NOT(ISBLANK('Referenz Plattenwerk'!$I28)),'Referenz Plattenwerk'!$I28,'Referenz Plattenwerk'!$F28)*IF(NOT(ISBLANK('Eingabe EF'!$AE15)),'Eingabe EF'!$AE15,'Eingabe EF'!$AC15)</f>
        <v>0</v>
      </c>
      <c r="H178" s="38">
        <f>IF(NOT(ISBLANK('Referenz Plattenwerk'!$I28)),'Referenz Plattenwerk'!$I28,'Referenz Plattenwerk'!$F28)*IF(NOT(ISBLANK('Eingabe EF'!$AI15)),'Eingabe EF'!$AI15,'Eingabe EF'!$AG15)</f>
        <v>5.1658635600000009</v>
      </c>
      <c r="I178" s="17"/>
      <c r="J178" s="38">
        <f t="shared" si="19"/>
        <v>29.238941159999996</v>
      </c>
      <c r="K178" s="38">
        <f t="shared" si="18"/>
        <v>34.404804719999994</v>
      </c>
      <c r="L178" s="17" t="s">
        <v>198</v>
      </c>
      <c r="M178" s="43"/>
      <c r="N178" s="17"/>
      <c r="O178" s="17" t="s">
        <v>34</v>
      </c>
      <c r="P178" s="17" t="s">
        <v>464</v>
      </c>
      <c r="Q178" s="30"/>
      <c r="R178" s="17"/>
      <c r="S178" s="42">
        <f>IF(NOT(ISBLANK('Referenz Plattenwerk'!$I28)),'Referenz Plattenwerk'!$I28,'Referenz Plattenwerk'!$F28)*IF(NOT(ISBLANK('Eingabe Preise'!$K14)),'Eingabe Preise'!$K14,'Eingabe Preise'!$I14)</f>
        <v>12364.000000000002</v>
      </c>
      <c r="T178" s="20" t="s">
        <v>106</v>
      </c>
    </row>
    <row r="179" spans="2:21" ht="15.75" hidden="1" outlineLevel="1" x14ac:dyDescent="0.3">
      <c r="B179" s="17"/>
      <c r="C179" s="17" t="s">
        <v>75</v>
      </c>
      <c r="D179" s="17" t="s">
        <v>34</v>
      </c>
      <c r="E179" s="17"/>
      <c r="F179" s="38">
        <f>IF(NOT(ISBLANK('Referenz Plattenwerk'!$I29)),'Referenz Plattenwerk'!$I29,'Referenz Plattenwerk'!$F29)*IF(NOT(ISBLANK('Eingabe EF'!$AA15)),'Eingabe EF'!$AA15,'Eingabe EF'!$Y15)</f>
        <v>6.645213899999999</v>
      </c>
      <c r="G179" s="38">
        <f>IF(NOT(ISBLANK('Referenz Plattenwerk'!$I29)),'Referenz Plattenwerk'!$I29,'Referenz Plattenwerk'!$F29)*IF(NOT(ISBLANK('Eingabe EF'!$AE15)),'Eingabe EF'!$AE15,'Eingabe EF'!$AC15)</f>
        <v>0</v>
      </c>
      <c r="H179" s="38">
        <f>IF(NOT(ISBLANK('Referenz Plattenwerk'!$I29)),'Referenz Plattenwerk'!$I29,'Referenz Plattenwerk'!$F29)*IF(NOT(ISBLANK('Eingabe EF'!$AI15)),'Eingabe EF'!$AI15,'Eingabe EF'!$AG15)</f>
        <v>1.1740599000000003</v>
      </c>
      <c r="I179" s="17"/>
      <c r="J179" s="38">
        <f t="shared" si="19"/>
        <v>6.645213899999999</v>
      </c>
      <c r="K179" s="38">
        <f t="shared" si="18"/>
        <v>7.8192737999999995</v>
      </c>
      <c r="L179" s="17" t="s">
        <v>198</v>
      </c>
      <c r="M179" s="43"/>
      <c r="N179" s="17"/>
      <c r="O179" s="17" t="s">
        <v>34</v>
      </c>
      <c r="P179" s="17" t="s">
        <v>75</v>
      </c>
      <c r="Q179" s="30"/>
      <c r="R179" s="17"/>
      <c r="S179" s="42">
        <f>IF(NOT(ISBLANK('Referenz Plattenwerk'!$I29)),'Referenz Plattenwerk'!$I29,'Referenz Plattenwerk'!$F29)*IF(NOT(ISBLANK('Eingabe Preise'!$K14)),'Eingabe Preise'!$K14,'Eingabe Preise'!$I14)</f>
        <v>2810.0000000000005</v>
      </c>
      <c r="T179" s="20" t="s">
        <v>106</v>
      </c>
    </row>
    <row r="180" spans="2:21" s="73" customFormat="1" ht="14.25" hidden="1" outlineLevel="1" x14ac:dyDescent="0.25">
      <c r="B180" s="70"/>
      <c r="C180" s="70" t="s">
        <v>189</v>
      </c>
      <c r="D180" s="70"/>
      <c r="E180" s="70"/>
      <c r="F180" s="72">
        <f>F181+F182</f>
        <v>0</v>
      </c>
      <c r="G180" s="72">
        <f t="shared" ref="G180:H180" si="20">G181+G182</f>
        <v>0</v>
      </c>
      <c r="H180" s="72">
        <f t="shared" si="20"/>
        <v>469.15642799999995</v>
      </c>
      <c r="I180" s="70"/>
      <c r="J180" s="72">
        <f t="shared" si="19"/>
        <v>0</v>
      </c>
      <c r="K180" s="72">
        <f t="shared" si="18"/>
        <v>469.15642799999995</v>
      </c>
      <c r="L180" s="77" t="s">
        <v>197</v>
      </c>
      <c r="N180" s="21"/>
      <c r="O180" s="21"/>
      <c r="P180" s="21"/>
      <c r="Q180" s="74"/>
      <c r="R180" s="21"/>
      <c r="S180" s="21"/>
      <c r="T180" s="21"/>
      <c r="U180" s="6"/>
    </row>
    <row r="181" spans="2:21" ht="15.75" hidden="1" outlineLevel="1" x14ac:dyDescent="0.3">
      <c r="B181" s="17"/>
      <c r="C181" s="17"/>
      <c r="D181" s="17" t="s">
        <v>45</v>
      </c>
      <c r="E181" s="17"/>
      <c r="F181" s="38">
        <f>IF(NOT(ISBLANK('Referenz Plattenwerk'!$I32)),'Referenz Plattenwerk'!$I32,'Referenz Plattenwerk'!$F32)*IF(NOT(ISBLANK('Eingabe EF'!$AA17)),'Eingabe EF'!$AA17,'Eingabe EF'!$Y17)</f>
        <v>0</v>
      </c>
      <c r="G181" s="38">
        <f>IF(NOT(ISBLANK('Referenz Plattenwerk'!$I32)),'Referenz Plattenwerk'!$I32,'Referenz Plattenwerk'!$F32)*IF(NOT(ISBLANK('Eingabe EF'!$AE17)),'Eingabe EF'!$AE17,'Eingabe EF'!$AC17)</f>
        <v>0</v>
      </c>
      <c r="H181" s="38">
        <f>IF(NOT(ISBLANK('Referenz Plattenwerk'!$I32)),'Referenz Plattenwerk'!$I32,'Referenz Plattenwerk'!$F32)*IF(NOT(ISBLANK('Eingabe EF'!$AI17)),'Eingabe EF'!$AI17,'Eingabe EF'!$AG17)</f>
        <v>109.4698332</v>
      </c>
      <c r="I181" s="17"/>
      <c r="J181" s="38">
        <f t="shared" si="19"/>
        <v>0</v>
      </c>
      <c r="K181" s="38">
        <f t="shared" si="18"/>
        <v>109.4698332</v>
      </c>
      <c r="L181" s="17" t="s">
        <v>198</v>
      </c>
      <c r="M181" s="43"/>
      <c r="N181" s="17"/>
      <c r="O181" s="17"/>
      <c r="P181" s="17"/>
      <c r="Q181" s="30"/>
      <c r="R181" s="17"/>
      <c r="S181" s="17"/>
      <c r="T181" s="17"/>
    </row>
    <row r="182" spans="2:21" ht="15.75" hidden="1" outlineLevel="1" x14ac:dyDescent="0.3">
      <c r="B182" s="17"/>
      <c r="C182" s="17"/>
      <c r="D182" s="17" t="s">
        <v>46</v>
      </c>
      <c r="E182" s="17"/>
      <c r="F182" s="38">
        <f>IF(NOT(ISBLANK('Referenz Plattenwerk'!$I33)),'Referenz Plattenwerk'!$I33,'Referenz Plattenwerk'!$F33)*IF(NOT(ISBLANK('Eingabe EF'!$AA18)),'Eingabe EF'!$AA18,'Eingabe EF'!$Y18)</f>
        <v>0</v>
      </c>
      <c r="G182" s="38">
        <f>IF(NOT(ISBLANK('Referenz Plattenwerk'!$I33)),'Referenz Plattenwerk'!$I33,'Referenz Plattenwerk'!$F33)*IF(NOT(ISBLANK('Eingabe EF'!$AE18)),'Eingabe EF'!$AE18,'Eingabe EF'!$AC18)</f>
        <v>0</v>
      </c>
      <c r="H182" s="38">
        <f>IF(NOT(ISBLANK('Referenz Plattenwerk'!$I33)),'Referenz Plattenwerk'!$I33,'Referenz Plattenwerk'!$F33)*IF(NOT(ISBLANK('Eingabe EF'!$AI18)),'Eingabe EF'!$AI18,'Eingabe EF'!$AG18)</f>
        <v>359.68659479999997</v>
      </c>
      <c r="I182" s="17"/>
      <c r="J182" s="38">
        <f t="shared" si="19"/>
        <v>0</v>
      </c>
      <c r="K182" s="38">
        <f t="shared" si="18"/>
        <v>359.68659479999997</v>
      </c>
      <c r="L182" s="17" t="s">
        <v>198</v>
      </c>
      <c r="M182" s="43"/>
      <c r="N182" s="17"/>
      <c r="O182" s="17" t="s">
        <v>30</v>
      </c>
      <c r="P182" s="17"/>
      <c r="Q182" s="30"/>
      <c r="R182" s="17"/>
      <c r="S182" s="42">
        <f>IF(NOT(ISBLANK($G$30)),$G$30,$E$30)/IF(NOT(ISBLANK($G$35)),$G$35,$E$35)+IF(NOT(ISBLANK($G$30)),$G$30,$E$30)*(IF(NOT(ISBLANK($G$36)),$G$36,$E$36)/100)</f>
        <v>0</v>
      </c>
      <c r="T182" s="20" t="s">
        <v>106</v>
      </c>
    </row>
    <row r="183" spans="2:21" hidden="1" outlineLevel="1" x14ac:dyDescent="0.2">
      <c r="B183" s="17"/>
      <c r="C183" s="17"/>
      <c r="D183" s="17"/>
      <c r="E183" s="17"/>
      <c r="F183" s="20"/>
      <c r="G183" s="20"/>
      <c r="H183" s="20"/>
      <c r="I183" s="17"/>
      <c r="J183" s="20"/>
      <c r="K183" s="20"/>
      <c r="L183" s="17"/>
      <c r="N183" s="17"/>
      <c r="O183" s="45" t="s">
        <v>153</v>
      </c>
      <c r="P183" s="17"/>
      <c r="Q183" s="30"/>
      <c r="R183" s="17"/>
      <c r="S183" s="42">
        <f>IF(NOT(ISBLANK($G$31)),$G$31,$E$31)</f>
        <v>0</v>
      </c>
      <c r="T183" s="20" t="s">
        <v>106</v>
      </c>
    </row>
    <row r="184" spans="2:21" ht="14.25" hidden="1" outlineLevel="1" x14ac:dyDescent="0.25">
      <c r="B184" s="70"/>
      <c r="C184" s="70" t="s">
        <v>68</v>
      </c>
      <c r="D184" s="71"/>
      <c r="E184" s="71"/>
      <c r="F184" s="72">
        <f>SUM(F185:F188)</f>
        <v>0</v>
      </c>
      <c r="G184" s="72">
        <f>SUM(G185:G188)</f>
        <v>0</v>
      </c>
      <c r="H184" s="72">
        <f>SUM(H185:H188)</f>
        <v>4321.1167999999998</v>
      </c>
      <c r="I184" s="71"/>
      <c r="J184" s="72">
        <f t="shared" ref="J184:J188" si="21">F184+G184</f>
        <v>0</v>
      </c>
      <c r="K184" s="72">
        <f t="shared" ref="K184:K187" si="22">SUM(F184:H184)</f>
        <v>4321.1167999999998</v>
      </c>
      <c r="L184" s="77" t="s">
        <v>197</v>
      </c>
      <c r="N184" s="17"/>
      <c r="O184" s="45" t="s">
        <v>160</v>
      </c>
      <c r="P184" s="17"/>
      <c r="Q184" s="30"/>
      <c r="R184" s="17"/>
      <c r="S184" s="42">
        <f>IF(NOT(ISBLANK($G$32)),$G$32,$E$32)/IF(NOT(ISBLANK($G$35)),$G$35,$E$35)+IF(NOT(ISBLANK($G$32)),$G$32,$E$32)*(IF(NOT(ISBLANK($G$36)),$G$36,$E$36)/100)</f>
        <v>0</v>
      </c>
      <c r="T184" s="20" t="s">
        <v>106</v>
      </c>
    </row>
    <row r="185" spans="2:21" ht="15.75" hidden="1" outlineLevel="1" x14ac:dyDescent="0.3">
      <c r="B185" s="276"/>
      <c r="C185" s="17"/>
      <c r="D185" s="17" t="s">
        <v>47</v>
      </c>
      <c r="E185" s="17"/>
      <c r="F185" s="38">
        <f>$E$154*IF(NOT(ISBLANK('Referenz Plattenwerk'!$I36)),'Referenz Plattenwerk'!$I36,'Referenz Plattenwerk'!$F36)*IF(NOT(ISBLANK('Eingabe EF'!$AA21)),'Eingabe EF'!$AA21,'Eingabe EF'!$Y21)*IF(NOT(ISBLANK('Referenz Plattenwerk'!$I$12)),'Referenz Plattenwerk'!$I$12,'Referenz Plattenwerk'!$F$12)</f>
        <v>0</v>
      </c>
      <c r="G185" s="38">
        <f>$E$154*IF(NOT(ISBLANK('Referenz Plattenwerk'!$I36)),'Referenz Plattenwerk'!$I36,'Referenz Plattenwerk'!$F36)*IF(NOT(ISBLANK('Eingabe EF'!$AE21)),'Eingabe EF'!$AE21,'Eingabe EF'!$AC21)*IF(NOT(ISBLANK('Referenz Plattenwerk'!$I$12)),'Referenz Plattenwerk'!$I$12,'Referenz Plattenwerk'!$F$12)</f>
        <v>0</v>
      </c>
      <c r="H185" s="38">
        <f>$E$154*IF(NOT(ISBLANK('Referenz Plattenwerk'!$I36)),'Referenz Plattenwerk'!$I36,'Referenz Plattenwerk'!$F36)*IF(NOT(ISBLANK('Eingabe EF'!$AI21)),'Eingabe EF'!$AI21,'Eingabe EF'!$AG21)*IF(NOT(ISBLANK('Referenz Plattenwerk'!$I$12)),'Referenz Plattenwerk'!$I$12,'Referenz Plattenwerk'!$F$12)</f>
        <v>1149.7850000000001</v>
      </c>
      <c r="I185" s="17"/>
      <c r="J185" s="38">
        <f t="shared" si="21"/>
        <v>0</v>
      </c>
      <c r="K185" s="38">
        <f t="shared" si="22"/>
        <v>1149.7850000000001</v>
      </c>
      <c r="L185" s="17" t="s">
        <v>198</v>
      </c>
      <c r="M185" s="43"/>
      <c r="N185" s="17"/>
      <c r="O185" s="17"/>
      <c r="P185" s="17"/>
      <c r="Q185" s="17"/>
      <c r="R185" s="17"/>
      <c r="S185" s="17"/>
      <c r="T185" s="17"/>
    </row>
    <row r="186" spans="2:21" ht="15.75" hidden="1" outlineLevel="1" x14ac:dyDescent="0.3">
      <c r="B186" s="276"/>
      <c r="C186" s="17"/>
      <c r="D186" s="17" t="s">
        <v>49</v>
      </c>
      <c r="E186" s="17"/>
      <c r="F186" s="38">
        <f>$E$155*IF(NOT(ISBLANK('Referenz Plattenwerk'!$I37)),'Referenz Plattenwerk'!$I37,'Referenz Plattenwerk'!$F37)*IF(NOT(ISBLANK('Eingabe EF'!$AA22)),'Eingabe EF'!$AA22,'Eingabe EF'!$Y22)*IF(NOT(ISBLANK('Referenz Plattenwerk'!$I$12)),'Referenz Plattenwerk'!$I$12,'Referenz Plattenwerk'!$F$12)</f>
        <v>0</v>
      </c>
      <c r="G186" s="38">
        <f>$E$155*IF(NOT(ISBLANK('Referenz Plattenwerk'!$I37)),'Referenz Plattenwerk'!$I37,'Referenz Plattenwerk'!$F37)*IF(NOT(ISBLANK('Eingabe EF'!$AE22)),'Eingabe EF'!$AE22,'Eingabe EF'!$AC22)*IF(NOT(ISBLANK('Referenz Plattenwerk'!$I$12)),'Referenz Plattenwerk'!$I$12,'Referenz Plattenwerk'!$F$12)</f>
        <v>0</v>
      </c>
      <c r="H186" s="38">
        <f>$E$155*IF(NOT(ISBLANK('Referenz Plattenwerk'!$I37)),'Referenz Plattenwerk'!$I37,'Referenz Plattenwerk'!$F37)*IF(NOT(ISBLANK('Eingabe EF'!$AI22)),'Eingabe EF'!$AI22,'Eingabe EF'!$AG22)*IF(NOT(ISBLANK('Referenz Plattenwerk'!$I$12)),'Referenz Plattenwerk'!$I$12,'Referenz Plattenwerk'!$F$12)</f>
        <v>2294.7287999999999</v>
      </c>
      <c r="I186" s="17"/>
      <c r="J186" s="38">
        <f t="shared" si="21"/>
        <v>0</v>
      </c>
      <c r="K186" s="38">
        <f t="shared" si="22"/>
        <v>2294.7287999999999</v>
      </c>
      <c r="L186" s="17" t="s">
        <v>198</v>
      </c>
      <c r="M186" s="43"/>
      <c r="N186" s="17"/>
      <c r="O186" s="17"/>
      <c r="P186" s="17"/>
      <c r="Q186" s="17"/>
      <c r="R186" s="17"/>
      <c r="S186" s="17"/>
      <c r="T186" s="17"/>
    </row>
    <row r="187" spans="2:21" ht="15.75" hidden="1" outlineLevel="1" x14ac:dyDescent="0.3">
      <c r="B187" s="276"/>
      <c r="C187" s="17"/>
      <c r="D187" s="17" t="s">
        <v>50</v>
      </c>
      <c r="E187" s="17"/>
      <c r="F187" s="38">
        <f>$E$156*IF(NOT(ISBLANK('Referenz Plattenwerk'!$I38)),'Referenz Plattenwerk'!$I38,'Referenz Plattenwerk'!$F38)*IF(NOT(ISBLANK('Eingabe EF'!$AA23)),'Eingabe EF'!$AA23,'Eingabe EF'!$Y23)*IF(NOT(ISBLANK('Referenz Plattenwerk'!$I$12)),'Referenz Plattenwerk'!$I$12,'Referenz Plattenwerk'!$F$12)</f>
        <v>0</v>
      </c>
      <c r="G187" s="38">
        <f>$E$156*IF(NOT(ISBLANK('Referenz Plattenwerk'!$I38)),'Referenz Plattenwerk'!$I38,'Referenz Plattenwerk'!$F38)*IF(NOT(ISBLANK('Eingabe EF'!$AE23)),'Eingabe EF'!$AE23,'Eingabe EF'!$AC23)*IF(NOT(ISBLANK('Referenz Plattenwerk'!$I$12)),'Referenz Plattenwerk'!$I$12,'Referenz Plattenwerk'!$F$12)</f>
        <v>0</v>
      </c>
      <c r="H187" s="38">
        <f>$E$156*IF(NOT(ISBLANK('Referenz Plattenwerk'!$I38)),'Referenz Plattenwerk'!$I38,'Referenz Plattenwerk'!$F38)*IF(NOT(ISBLANK('Eingabe EF'!$AI23)),'Eingabe EF'!$AI23,'Eingabe EF'!$AG23)*IF(NOT(ISBLANK('Referenz Plattenwerk'!$I$12)),'Referenz Plattenwerk'!$I$12,'Referenz Plattenwerk'!$F$12)</f>
        <v>876.60299999999984</v>
      </c>
      <c r="I187" s="17"/>
      <c r="J187" s="38">
        <f t="shared" si="21"/>
        <v>0</v>
      </c>
      <c r="K187" s="38">
        <f t="shared" si="22"/>
        <v>876.60299999999984</v>
      </c>
      <c r="L187" s="17" t="s">
        <v>198</v>
      </c>
      <c r="M187" s="43"/>
      <c r="N187" s="17"/>
      <c r="O187" s="17" t="s">
        <v>200</v>
      </c>
      <c r="P187" s="17"/>
      <c r="Q187" s="30"/>
      <c r="R187" s="17"/>
      <c r="S187" s="42">
        <f>F227*IF(NOT(ISBLANK('Eingabe Preise'!$K21)),'Eingabe Preise'!$K21,'Eingabe Preise'!$I21)</f>
        <v>4271.9559777000004</v>
      </c>
      <c r="T187" s="20" t="s">
        <v>106</v>
      </c>
    </row>
    <row r="188" spans="2:21" ht="15.75" hidden="1" outlineLevel="1" x14ac:dyDescent="0.3">
      <c r="B188" s="276"/>
      <c r="C188" s="17"/>
      <c r="D188" s="17" t="s">
        <v>161</v>
      </c>
      <c r="E188" s="17"/>
      <c r="F188" s="38">
        <f>$E$157*IF(NOT(ISBLANK('Referenz Plattenwerk'!$I39)),'Referenz Plattenwerk'!$I39,'Referenz Plattenwerk'!$F39)*IF(NOT(ISBLANK('Eingabe EF'!$AA24)),'Eingabe EF'!$AA24,0)*IF(NOT(ISBLANK('Referenz Plattenwerk'!$I$12)),'Referenz Plattenwerk'!$I$12,'Referenz Plattenwerk'!$F$12)</f>
        <v>0</v>
      </c>
      <c r="G188" s="38">
        <f>$E$157*IF(NOT(ISBLANK('Referenz Plattenwerk'!$I39)),'Referenz Plattenwerk'!$I39,'Referenz Plattenwerk'!$F39)*IF(NOT(ISBLANK('Eingabe EF'!$AE24)),'Eingabe EF'!$AE24,0)*IF(NOT(ISBLANK('Referenz Plattenwerk'!$I$12)),'Referenz Plattenwerk'!$I$12,'Referenz Plattenwerk'!$F$12)</f>
        <v>0</v>
      </c>
      <c r="H188" s="38">
        <f>$E$157*IF(NOT(ISBLANK('Referenz Plattenwerk'!$I39)),'Referenz Plattenwerk'!$I39,'Referenz Plattenwerk'!$F39)*IF(NOT(ISBLANK('Eingabe EF'!$AI24)),'Eingabe EF'!$AI24,0)*IF(NOT(ISBLANK('Referenz Plattenwerk'!$I$12)),'Referenz Plattenwerk'!$I$12,'Referenz Plattenwerk'!$F$12)</f>
        <v>0</v>
      </c>
      <c r="I188" s="17"/>
      <c r="J188" s="38">
        <f t="shared" si="21"/>
        <v>0</v>
      </c>
      <c r="K188" s="38">
        <f t="shared" ref="K188" si="23">SUM(F188:H188)</f>
        <v>0</v>
      </c>
      <c r="L188" s="17" t="s">
        <v>198</v>
      </c>
      <c r="M188" s="43"/>
      <c r="N188" s="17"/>
      <c r="O188" s="17" t="s">
        <v>201</v>
      </c>
      <c r="P188" s="17"/>
      <c r="Q188" s="30"/>
      <c r="R188" s="17"/>
      <c r="S188" s="42">
        <f>G227*IF(NOT(ISBLANK('Eingabe Preise'!$K22)),'Eingabe Preise'!$K22,'Eingabe Preise'!$I22)</f>
        <v>5620.160118992103</v>
      </c>
      <c r="T188" s="20" t="s">
        <v>106</v>
      </c>
    </row>
    <row r="189" spans="2:21" ht="15.75" hidden="1" outlineLevel="1" x14ac:dyDescent="0.3">
      <c r="B189" s="17"/>
      <c r="C189" s="17"/>
      <c r="D189" s="17"/>
      <c r="E189" s="17"/>
      <c r="F189" s="20"/>
      <c r="G189" s="20"/>
      <c r="H189" s="20"/>
      <c r="I189" s="17"/>
      <c r="J189" s="17"/>
      <c r="K189" s="20"/>
      <c r="L189" s="20"/>
      <c r="M189" s="43"/>
      <c r="N189" s="17"/>
      <c r="O189" s="17" t="s">
        <v>202</v>
      </c>
      <c r="P189" s="17"/>
      <c r="Q189" s="30"/>
      <c r="R189" s="17"/>
      <c r="S189" s="42">
        <f>H227*IF(NOT(ISBLANK('Eingabe Preise'!$K23)),'Eingabe Preise'!$K23,'Eingabe Preise'!$I23)</f>
        <v>251874.50684491929</v>
      </c>
      <c r="T189" s="20" t="s">
        <v>106</v>
      </c>
    </row>
    <row r="190" spans="2:21" ht="14.25" hidden="1" outlineLevel="1" x14ac:dyDescent="0.25">
      <c r="B190" s="70"/>
      <c r="C190" s="70" t="s">
        <v>177</v>
      </c>
      <c r="D190" s="71"/>
      <c r="E190" s="71"/>
      <c r="F190" s="72">
        <f>SUM(F191:F193)</f>
        <v>0</v>
      </c>
      <c r="G190" s="72">
        <f>SUM(G191:G193)</f>
        <v>0</v>
      </c>
      <c r="H190" s="72">
        <f>SUM(H191:H193)</f>
        <v>129.59200000000001</v>
      </c>
      <c r="I190" s="71"/>
      <c r="J190" s="72">
        <f t="shared" ref="J190" si="24">F190+G190</f>
        <v>0</v>
      </c>
      <c r="K190" s="72">
        <f t="shared" ref="K190" si="25">SUM(F190:H190)</f>
        <v>129.59200000000001</v>
      </c>
      <c r="L190" s="77" t="s">
        <v>197</v>
      </c>
      <c r="M190" s="43"/>
      <c r="N190" s="17"/>
      <c r="O190" s="17"/>
      <c r="P190" s="17"/>
      <c r="Q190" s="30"/>
      <c r="R190" s="17"/>
      <c r="S190" s="67"/>
      <c r="T190" s="17"/>
    </row>
    <row r="191" spans="2:21" ht="15.75" hidden="1" outlineLevel="1" x14ac:dyDescent="0.3">
      <c r="B191" s="17"/>
      <c r="C191" s="17"/>
      <c r="D191" s="17" t="s">
        <v>178</v>
      </c>
      <c r="E191" s="17"/>
      <c r="F191" s="38">
        <f>IF(NOT(ISBLANK('Referenz Plattenwerk'!$I42)),'Referenz Plattenwerk'!$I42,'Referenz Plattenwerk'!$F42)*IF(NOT(ISBLANK('Eingabe EF'!$AA27)),'Eingabe EF'!$AA27,'Eingabe EF'!$Y27)*IF(NOT(ISBLANK('Referenz Plattenwerk'!$I$12)),'Referenz Plattenwerk'!$I$12,'Referenz Plattenwerk'!$F$12)</f>
        <v>0</v>
      </c>
      <c r="G191" s="38">
        <f>IF(NOT(ISBLANK('Referenz Plattenwerk'!$I42)),'Referenz Plattenwerk'!$I42,'Referenz Plattenwerk'!$F42)*IF(NOT(ISBLANK('Eingabe EF'!$AE27)),'Eingabe EF'!$AE27,'Eingabe EF'!$AC27)*IF(NOT(ISBLANK('Referenz Plattenwerk'!$I$12)),'Referenz Plattenwerk'!$I$12,'Referenz Plattenwerk'!$F$12)</f>
        <v>0</v>
      </c>
      <c r="H191" s="38">
        <f>IF(NOT(ISBLANK('Referenz Plattenwerk'!$I42)),'Referenz Plattenwerk'!$I42,'Referenz Plattenwerk'!$F42)*IF(NOT(ISBLANK('Eingabe EF'!$AI27)),'Eingabe EF'!$AI27,'Eingabe EF'!$AG27)*IF(NOT(ISBLANK('Referenz Plattenwerk'!$I$12)),'Referenz Plattenwerk'!$I$12,'Referenz Plattenwerk'!$F$12)</f>
        <v>129.59200000000001</v>
      </c>
      <c r="I191" s="17"/>
      <c r="J191" s="38">
        <f>F191+G191</f>
        <v>0</v>
      </c>
      <c r="K191" s="38">
        <f>SUM(F191:H191)</f>
        <v>129.59200000000001</v>
      </c>
      <c r="L191" s="17" t="s">
        <v>198</v>
      </c>
      <c r="M191" s="43"/>
      <c r="N191" s="17"/>
      <c r="O191" s="17"/>
      <c r="P191" s="17"/>
      <c r="Q191" s="30"/>
      <c r="R191" s="17"/>
      <c r="S191" s="17"/>
      <c r="T191" s="17"/>
    </row>
    <row r="192" spans="2:21" ht="15.75" hidden="1" outlineLevel="1" x14ac:dyDescent="0.3">
      <c r="B192" s="17"/>
      <c r="C192" s="17"/>
      <c r="D192" s="17" t="s">
        <v>179</v>
      </c>
      <c r="E192" s="17"/>
      <c r="F192" s="38">
        <f>IF(NOT(ISBLANK('Referenz Plattenwerk'!$I43)),'Referenz Plattenwerk'!$I43,'Referenz Plattenwerk'!$F43)*IF(NOT(ISBLANK('Eingabe EF'!$AA28)),'Eingabe EF'!$AA28,0)*IF(NOT(ISBLANK('Referenz Plattenwerk'!$I$12)),'Referenz Plattenwerk'!$I$12,'Referenz Plattenwerk'!$F$12)</f>
        <v>0</v>
      </c>
      <c r="G192" s="38">
        <f>IF(NOT(ISBLANK('Referenz Plattenwerk'!$I43)),'Referenz Plattenwerk'!$I43,'Referenz Plattenwerk'!$F43)*IF(NOT(ISBLANK('Eingabe EF'!$AE28)),'Eingabe EF'!$AE28,0)*IF(NOT(ISBLANK('Referenz Plattenwerk'!$I$12)),'Referenz Plattenwerk'!$I$12,'Referenz Plattenwerk'!$F$12)</f>
        <v>0</v>
      </c>
      <c r="H192" s="38">
        <f>IF(NOT(ISBLANK('Referenz Plattenwerk'!$I43)),'Referenz Plattenwerk'!$I43,'Referenz Plattenwerk'!$F43)*IF(NOT(ISBLANK('Eingabe EF'!$AI28)),'Eingabe EF'!$AI28,0)*IF(NOT(ISBLANK('Referenz Plattenwerk'!$I$12)),'Referenz Plattenwerk'!$I$12,'Referenz Plattenwerk'!$F$12)</f>
        <v>0</v>
      </c>
      <c r="I192" s="17"/>
      <c r="J192" s="38">
        <f t="shared" ref="J192:J193" si="26">F192+G192</f>
        <v>0</v>
      </c>
      <c r="K192" s="38">
        <f t="shared" ref="K192:K193" si="27">SUM(F192:H192)</f>
        <v>0</v>
      </c>
      <c r="L192" s="17" t="s">
        <v>198</v>
      </c>
      <c r="M192" s="43"/>
      <c r="N192" s="17"/>
      <c r="O192" s="17"/>
      <c r="P192" s="17"/>
      <c r="Q192" s="30"/>
      <c r="R192" s="17"/>
      <c r="S192" s="67"/>
      <c r="T192" s="17"/>
    </row>
    <row r="193" spans="2:19" ht="15.75" hidden="1" outlineLevel="1" x14ac:dyDescent="0.3">
      <c r="B193" s="17"/>
      <c r="C193" s="17"/>
      <c r="D193" s="17" t="s">
        <v>180</v>
      </c>
      <c r="E193" s="17"/>
      <c r="F193" s="38">
        <f>IF(NOT(ISBLANK('Referenz Plattenwerk'!$I44)),'Referenz Plattenwerk'!$I44,'Referenz Plattenwerk'!$F44)*IF(NOT(ISBLANK('Eingabe EF'!$AA29)),'Eingabe EF'!$AA29,0)*IF(NOT(ISBLANK('Referenz Plattenwerk'!$I$12)),'Referenz Plattenwerk'!$I$12,'Referenz Plattenwerk'!$F$12)</f>
        <v>0</v>
      </c>
      <c r="G193" s="38">
        <f>IF(NOT(ISBLANK('Referenz Plattenwerk'!$I44)),'Referenz Plattenwerk'!$I44,'Referenz Plattenwerk'!$F44)*IF(NOT(ISBLANK('Eingabe EF'!$AE29)),'Eingabe EF'!$AE29,0)*IF(NOT(ISBLANK('Referenz Plattenwerk'!$I$12)),'Referenz Plattenwerk'!$I$12,'Referenz Plattenwerk'!$F$12)</f>
        <v>0</v>
      </c>
      <c r="H193" s="38">
        <f>IF(NOT(ISBLANK('Referenz Plattenwerk'!$I44)),'Referenz Plattenwerk'!$I44,'Referenz Plattenwerk'!$F44)*IF(NOT(ISBLANK('Eingabe EF'!$AI29)),'Eingabe EF'!$AI29,0)*IF(NOT(ISBLANK('Referenz Plattenwerk'!$I$12)),'Referenz Plattenwerk'!$I$12,'Referenz Plattenwerk'!$F$12)</f>
        <v>0</v>
      </c>
      <c r="I193" s="17"/>
      <c r="J193" s="38">
        <f t="shared" si="26"/>
        <v>0</v>
      </c>
      <c r="K193" s="38">
        <f t="shared" si="27"/>
        <v>0</v>
      </c>
      <c r="L193" s="17" t="s">
        <v>198</v>
      </c>
      <c r="M193" s="43"/>
      <c r="N193" s="43"/>
      <c r="O193" s="43"/>
      <c r="P193" s="43"/>
      <c r="Q193" s="43"/>
      <c r="R193" s="43"/>
      <c r="S193" s="43"/>
    </row>
    <row r="194" spans="2:19" hidden="1" outlineLevel="1" x14ac:dyDescent="0.2">
      <c r="B194" s="17"/>
      <c r="C194" s="17"/>
      <c r="D194" s="17"/>
      <c r="E194" s="17"/>
      <c r="F194" s="20"/>
      <c r="G194" s="20"/>
      <c r="H194" s="20"/>
      <c r="I194" s="17"/>
      <c r="J194" s="17"/>
      <c r="K194" s="20"/>
      <c r="L194" s="20"/>
      <c r="M194" s="43"/>
      <c r="N194" s="43"/>
      <c r="O194" s="43"/>
      <c r="P194" s="43"/>
      <c r="Q194" s="43"/>
      <c r="R194" s="43"/>
      <c r="S194" s="43"/>
    </row>
    <row r="195" spans="2:19" ht="14.25" hidden="1" outlineLevel="1" x14ac:dyDescent="0.25">
      <c r="B195" s="17"/>
      <c r="C195" s="17"/>
      <c r="D195" s="21" t="s">
        <v>57</v>
      </c>
      <c r="E195" s="21"/>
      <c r="F195" s="75">
        <f>IF(NOT(ISBLANK('Referenz Plattenwerk'!$I46)),'Referenz Plattenwerk'!$I46,'Referenz Plattenwerk'!$F46)*IF(NOT(ISBLANK('Eingabe EF'!$AA31)),'Eingabe EF'!$AA31,'Eingabe EF'!$Y31)*IF(NOT(ISBLANK('Referenz Plattenwerk'!$I$12)),'Referenz Plattenwerk'!$I$12,'Referenz Plattenwerk'!$F$12)</f>
        <v>0</v>
      </c>
      <c r="G195" s="75">
        <f>IF(NOT(ISBLANK('Referenz Plattenwerk'!$I46)),'Referenz Plattenwerk'!$I46,'Referenz Plattenwerk'!$F46)*IF(NOT(ISBLANK('Eingabe EF'!$AE31)),'Eingabe EF'!$AE31,'Eingabe EF'!$AC31)*IF(NOT(ISBLANK('Referenz Plattenwerk'!$I$12)),'Referenz Plattenwerk'!$I$12,'Referenz Plattenwerk'!$F$12)</f>
        <v>0</v>
      </c>
      <c r="H195" s="75">
        <f>IF(NOT(ISBLANK('Referenz Plattenwerk'!$I46)),'Referenz Plattenwerk'!$I46,'Referenz Plattenwerk'!$F46)*IF(NOT(ISBLANK('Eingabe EF'!$AI31)),'Eingabe EF'!$AI31,'Eingabe EF'!$AG31)*IF(NOT(ISBLANK('Referenz Plattenwerk'!$I$12)),'Referenz Plattenwerk'!$I$12,'Referenz Plattenwerk'!$F$12)</f>
        <v>208</v>
      </c>
      <c r="I195" s="21"/>
      <c r="J195" s="75">
        <f>F195+G195</f>
        <v>0</v>
      </c>
      <c r="K195" s="75">
        <f t="shared" ref="K195" si="28">SUM(F195:H195)</f>
        <v>208</v>
      </c>
      <c r="L195" s="21" t="s">
        <v>197</v>
      </c>
      <c r="M195" s="43"/>
      <c r="N195" s="43"/>
      <c r="O195" s="43"/>
      <c r="P195" s="43"/>
      <c r="Q195" s="43"/>
      <c r="R195" s="43"/>
      <c r="S195" s="43"/>
    </row>
    <row r="196" spans="2:19" hidden="1" outlineLevel="1" x14ac:dyDescent="0.2">
      <c r="B196" s="17"/>
      <c r="C196" s="17"/>
      <c r="D196" s="17"/>
      <c r="E196" s="17"/>
      <c r="F196" s="20"/>
      <c r="G196" s="20"/>
      <c r="H196" s="20"/>
      <c r="I196" s="17"/>
      <c r="J196" s="17"/>
      <c r="K196" s="20"/>
      <c r="L196" s="20"/>
      <c r="M196" s="43"/>
      <c r="N196" s="43"/>
      <c r="O196" s="43"/>
      <c r="P196" s="43"/>
      <c r="Q196" s="43"/>
      <c r="R196" s="43"/>
      <c r="S196" s="43"/>
    </row>
    <row r="197" spans="2:19" ht="14.25" hidden="1" outlineLevel="1" x14ac:dyDescent="0.25">
      <c r="B197" s="70"/>
      <c r="C197" s="70" t="s">
        <v>181</v>
      </c>
      <c r="D197" s="71"/>
      <c r="E197" s="71"/>
      <c r="F197" s="72">
        <f>SUM(F198:F200)</f>
        <v>0</v>
      </c>
      <c r="G197" s="72">
        <f>SUM(G198:G200)</f>
        <v>0</v>
      </c>
      <c r="H197" s="72">
        <f>SUM(H198:H200)</f>
        <v>81.003999999999991</v>
      </c>
      <c r="I197" s="71"/>
      <c r="J197" s="72">
        <f t="shared" ref="J197" si="29">F197+G197</f>
        <v>0</v>
      </c>
      <c r="K197" s="72">
        <f t="shared" ref="K197" si="30">SUM(F197:H197)</f>
        <v>81.003999999999991</v>
      </c>
      <c r="L197" s="77" t="s">
        <v>197</v>
      </c>
      <c r="M197" s="43"/>
      <c r="N197" s="43"/>
      <c r="O197" s="43"/>
      <c r="P197" s="43"/>
      <c r="Q197" s="43"/>
      <c r="R197" s="43"/>
      <c r="S197" s="43"/>
    </row>
    <row r="198" spans="2:19" ht="15.75" hidden="1" outlineLevel="1" x14ac:dyDescent="0.3">
      <c r="B198" s="17"/>
      <c r="C198" s="17"/>
      <c r="D198" s="17" t="s">
        <v>59</v>
      </c>
      <c r="E198" s="17"/>
      <c r="F198" s="38">
        <f>IF(NOT(ISBLANK('Referenz Plattenwerk'!$I49)),'Referenz Plattenwerk'!$I49,'Referenz Plattenwerk'!$F49)*IF(NOT(ISBLANK('Eingabe EF'!$AA34)),'Eingabe EF'!$AA34,'Eingabe EF'!$Y34)*IF(NOT(ISBLANK('Referenz Plattenwerk'!$I$12)),'Referenz Plattenwerk'!$I$12,'Referenz Plattenwerk'!$F$12)</f>
        <v>0</v>
      </c>
      <c r="G198" s="38">
        <f>IF(NOT(ISBLANK('Referenz Plattenwerk'!$I49)),'Referenz Plattenwerk'!$I49,'Referenz Plattenwerk'!$F49)*IF(NOT(ISBLANK('Eingabe EF'!$AE34)),'Eingabe EF'!$AE34,'Eingabe EF'!$AC34)*IF(NOT(ISBLANK('Referenz Plattenwerk'!$I$12)),'Referenz Plattenwerk'!$I$12,'Referenz Plattenwerk'!$F$12)</f>
        <v>0</v>
      </c>
      <c r="H198" s="38">
        <f>IF(NOT(ISBLANK('Referenz Plattenwerk'!$I49)),'Referenz Plattenwerk'!$I49,'Referenz Plattenwerk'!$F49)*IF(NOT(ISBLANK('Eingabe EF'!$AI34)),'Eingabe EF'!$AI34,'Eingabe EF'!$AG34)*IF(NOT(ISBLANK('Referenz Plattenwerk'!$I$12)),'Referenz Plattenwerk'!$I$12,'Referenz Plattenwerk'!$F$12)</f>
        <v>0</v>
      </c>
      <c r="I198" s="17"/>
      <c r="J198" s="38">
        <f>F198+G198</f>
        <v>0</v>
      </c>
      <c r="K198" s="38">
        <f>SUM(F198:H198)</f>
        <v>0</v>
      </c>
      <c r="L198" s="17" t="s">
        <v>198</v>
      </c>
      <c r="M198" s="43"/>
      <c r="N198" s="43"/>
      <c r="O198" s="43"/>
      <c r="P198" s="43"/>
      <c r="Q198" s="43"/>
      <c r="R198" s="43"/>
      <c r="S198" s="43"/>
    </row>
    <row r="199" spans="2:19" ht="15.75" hidden="1" outlineLevel="1" x14ac:dyDescent="0.3">
      <c r="B199" s="276"/>
      <c r="C199" s="17"/>
      <c r="D199" s="17" t="s">
        <v>60</v>
      </c>
      <c r="E199" s="17"/>
      <c r="F199" s="38">
        <f>IF(NOT(ISBLANK('Referenz Plattenwerk'!$I50)),'Referenz Plattenwerk'!$I50,'Referenz Plattenwerk'!$F50)*IF(NOT(ISBLANK('Eingabe EF'!$AA35)),'Eingabe EF'!$AA35,'Eingabe EF'!$Y35)*IF(NOT(ISBLANK('Referenz Plattenwerk'!$I$12)),'Referenz Plattenwerk'!$I$12,'Referenz Plattenwerk'!$F$12)</f>
        <v>0</v>
      </c>
      <c r="G199" s="38">
        <f>IF(NOT(ISBLANK('Referenz Plattenwerk'!$I50)),'Referenz Plattenwerk'!$I50,'Referenz Plattenwerk'!$F50)*IF(NOT(ISBLANK('Eingabe EF'!$AE35)),'Eingabe EF'!$AE35,'Eingabe EF'!$AC35)*IF(NOT(ISBLANK('Referenz Plattenwerk'!$I$12)),'Referenz Plattenwerk'!$I$12,'Referenz Plattenwerk'!$F$12)</f>
        <v>0</v>
      </c>
      <c r="H199" s="38">
        <f>IF(NOT(ISBLANK('Referenz Plattenwerk'!$I50)),'Referenz Plattenwerk'!$I50,'Referenz Plattenwerk'!$F50)*IF(NOT(ISBLANK('Eingabe EF'!$AI35)),'Eingabe EF'!$AI35,'Eingabe EF'!$AG35)*IF(NOT(ISBLANK('Referenz Plattenwerk'!$I$12)),'Referenz Plattenwerk'!$I$12,'Referenz Plattenwerk'!$F$12)</f>
        <v>8.6840000000000011</v>
      </c>
      <c r="I199" s="17"/>
      <c r="J199" s="38">
        <f>F199+G199</f>
        <v>0</v>
      </c>
      <c r="K199" s="38">
        <f>SUM(F199:H199)</f>
        <v>8.6840000000000011</v>
      </c>
      <c r="L199" s="17" t="s">
        <v>198</v>
      </c>
      <c r="M199" s="43"/>
      <c r="N199" s="43"/>
      <c r="O199" s="43"/>
      <c r="P199" s="43"/>
      <c r="Q199" s="43"/>
      <c r="R199" s="43"/>
      <c r="S199" s="43"/>
    </row>
    <row r="200" spans="2:19" ht="15.75" hidden="1" outlineLevel="1" x14ac:dyDescent="0.3">
      <c r="B200" s="276"/>
      <c r="C200" s="17"/>
      <c r="D200" s="17" t="s">
        <v>61</v>
      </c>
      <c r="E200" s="17"/>
      <c r="F200" s="38">
        <f>IF(NOT(ISBLANK('Referenz Plattenwerk'!$I51)),'Referenz Plattenwerk'!$I51,'Referenz Plattenwerk'!$F51)*IF(NOT(ISBLANK('Eingabe EF'!$AA36)),'Eingabe EF'!$AA36,'Eingabe EF'!$Y36)*IF(NOT(ISBLANK('Referenz Plattenwerk'!$I$12)),'Referenz Plattenwerk'!$I$12,'Referenz Plattenwerk'!$F$12)</f>
        <v>0</v>
      </c>
      <c r="G200" s="38">
        <f>IF(NOT(ISBLANK('Referenz Plattenwerk'!$I51)),'Referenz Plattenwerk'!$I51,'Referenz Plattenwerk'!$F51)*IF(NOT(ISBLANK('Eingabe EF'!$AE36)),'Eingabe EF'!$AE36,'Eingabe EF'!$AC36)*IF(NOT(ISBLANK('Referenz Plattenwerk'!$I$12)),'Referenz Plattenwerk'!$I$12,'Referenz Plattenwerk'!$F$12)</f>
        <v>0</v>
      </c>
      <c r="H200" s="38">
        <f>IF(NOT(ISBLANK('Referenz Plattenwerk'!$I51)),'Referenz Plattenwerk'!$I51,'Referenz Plattenwerk'!$F51)*IF(NOT(ISBLANK('Eingabe EF'!$AI36)),'Eingabe EF'!$AI36,'Eingabe EF'!$AG36)*IF(NOT(ISBLANK('Referenz Plattenwerk'!$I$12)),'Referenz Plattenwerk'!$I$12,'Referenz Plattenwerk'!$F$12)</f>
        <v>72.319999999999993</v>
      </c>
      <c r="I200" s="17"/>
      <c r="J200" s="38">
        <f>F200+G200</f>
        <v>0</v>
      </c>
      <c r="K200" s="38">
        <f>SUM(F200:H200)</f>
        <v>72.319999999999993</v>
      </c>
      <c r="L200" s="17" t="s">
        <v>198</v>
      </c>
      <c r="M200" s="43"/>
      <c r="N200" s="43"/>
      <c r="O200" s="43"/>
      <c r="P200" s="43"/>
      <c r="Q200" s="43"/>
      <c r="R200" s="43"/>
      <c r="S200" s="43"/>
    </row>
    <row r="201" spans="2:19" hidden="1" outlineLevel="1" x14ac:dyDescent="0.2">
      <c r="B201" s="17"/>
      <c r="C201" s="17"/>
      <c r="D201" s="17"/>
      <c r="E201" s="17"/>
      <c r="F201" s="20"/>
      <c r="G201" s="20"/>
      <c r="H201" s="20"/>
      <c r="I201" s="17"/>
      <c r="J201" s="17"/>
      <c r="K201" s="20"/>
      <c r="L201" s="20"/>
      <c r="M201" s="43"/>
      <c r="N201" s="43"/>
      <c r="O201" s="43"/>
      <c r="P201" s="43"/>
      <c r="Q201" s="43"/>
      <c r="R201" s="43"/>
      <c r="S201" s="43"/>
    </row>
    <row r="202" spans="2:19" ht="14.25" hidden="1" outlineLevel="1" x14ac:dyDescent="0.25">
      <c r="B202" s="70"/>
      <c r="C202" s="70" t="s">
        <v>51</v>
      </c>
      <c r="D202" s="71"/>
      <c r="E202" s="71"/>
      <c r="F202" s="72">
        <f>SUM(F203:F206)</f>
        <v>0</v>
      </c>
      <c r="G202" s="72">
        <f>SUM(G203:G206)</f>
        <v>0</v>
      </c>
      <c r="H202" s="72">
        <f>SUM(H203:H206)</f>
        <v>148.44746134951595</v>
      </c>
      <c r="I202" s="71"/>
      <c r="J202" s="72">
        <f t="shared" ref="J202:J206" si="31">F202+G202</f>
        <v>0</v>
      </c>
      <c r="K202" s="72">
        <f t="shared" ref="K202" si="32">SUM(F202:H202)</f>
        <v>148.44746134951595</v>
      </c>
      <c r="L202" s="77" t="s">
        <v>197</v>
      </c>
      <c r="M202" s="43"/>
      <c r="N202" s="43"/>
      <c r="O202" s="43"/>
      <c r="P202" s="43"/>
      <c r="Q202" s="43"/>
      <c r="R202" s="43"/>
      <c r="S202" s="43"/>
    </row>
    <row r="203" spans="2:19" ht="15.75" hidden="1" outlineLevel="1" x14ac:dyDescent="0.3">
      <c r="B203" s="17"/>
      <c r="C203" s="17"/>
      <c r="D203" s="17" t="s">
        <v>52</v>
      </c>
      <c r="E203" s="17"/>
      <c r="F203"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203"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203"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203" s="17"/>
      <c r="J203" s="38">
        <f t="shared" si="31"/>
        <v>0</v>
      </c>
      <c r="K203" s="38">
        <f t="shared" ref="K203:K206" si="33">SUM(F203:H203)</f>
        <v>47.997919375812742</v>
      </c>
      <c r="L203" s="17" t="s">
        <v>198</v>
      </c>
      <c r="M203" s="43"/>
      <c r="N203" s="43"/>
      <c r="O203" s="43"/>
      <c r="P203" s="43"/>
      <c r="Q203" s="43"/>
      <c r="R203" s="43"/>
      <c r="S203" s="43"/>
    </row>
    <row r="204" spans="2:19" ht="15.75" hidden="1" outlineLevel="1" x14ac:dyDescent="0.3">
      <c r="B204" s="17"/>
      <c r="C204" s="17"/>
      <c r="D204" s="17" t="s">
        <v>54</v>
      </c>
      <c r="E204" s="17"/>
      <c r="F204"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204"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204"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204" s="17"/>
      <c r="J204" s="38">
        <f t="shared" si="31"/>
        <v>0</v>
      </c>
      <c r="K204" s="38">
        <f t="shared" si="33"/>
        <v>5.7797543707556596</v>
      </c>
      <c r="L204" s="17" t="s">
        <v>198</v>
      </c>
      <c r="M204" s="43"/>
      <c r="N204" s="43"/>
      <c r="O204" s="43"/>
      <c r="P204" s="43"/>
      <c r="Q204" s="43"/>
      <c r="R204" s="43"/>
      <c r="S204" s="43"/>
    </row>
    <row r="205" spans="2:19" ht="15.75" hidden="1" outlineLevel="1" x14ac:dyDescent="0.3">
      <c r="B205" s="17"/>
      <c r="C205" s="17"/>
      <c r="D205" s="17" t="s">
        <v>55</v>
      </c>
      <c r="E205" s="17"/>
      <c r="F205"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205"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205"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205" s="17"/>
      <c r="J205" s="38">
        <f t="shared" si="31"/>
        <v>0</v>
      </c>
      <c r="K205" s="38">
        <f t="shared" si="33"/>
        <v>1.4217598612917211E-2</v>
      </c>
      <c r="L205" s="17" t="s">
        <v>198</v>
      </c>
      <c r="M205" s="43"/>
      <c r="N205" s="43"/>
      <c r="O205" s="43"/>
      <c r="P205" s="43"/>
      <c r="Q205" s="43"/>
      <c r="R205" s="43"/>
      <c r="S205" s="43"/>
    </row>
    <row r="206" spans="2:19" ht="15.75" hidden="1" outlineLevel="1" x14ac:dyDescent="0.3">
      <c r="B206" s="17"/>
      <c r="C206" s="17"/>
      <c r="D206" s="17" t="s">
        <v>56</v>
      </c>
      <c r="E206" s="17"/>
      <c r="F206"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206"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206"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206" s="17"/>
      <c r="J206" s="38">
        <f t="shared" si="31"/>
        <v>0</v>
      </c>
      <c r="K206" s="38">
        <f t="shared" si="33"/>
        <v>94.655570004334635</v>
      </c>
      <c r="L206" s="17" t="s">
        <v>198</v>
      </c>
      <c r="M206" s="43"/>
      <c r="N206" s="43"/>
      <c r="O206" s="43"/>
      <c r="P206" s="43"/>
      <c r="Q206" s="43"/>
      <c r="R206" s="43"/>
      <c r="S206" s="43"/>
    </row>
    <row r="207" spans="2:19" hidden="1" outlineLevel="1" x14ac:dyDescent="0.2">
      <c r="B207" s="17"/>
      <c r="C207" s="17"/>
      <c r="D207" s="17"/>
      <c r="E207" s="17"/>
      <c r="F207" s="20"/>
      <c r="G207" s="20"/>
      <c r="H207" s="20"/>
      <c r="I207" s="17"/>
      <c r="J207" s="20"/>
      <c r="K207" s="20"/>
      <c r="L207" s="17"/>
      <c r="M207" s="43"/>
      <c r="N207" s="43"/>
      <c r="O207" s="43"/>
      <c r="P207" s="43"/>
      <c r="Q207" s="43"/>
      <c r="R207" s="43"/>
      <c r="S207" s="43"/>
    </row>
    <row r="208" spans="2:19" ht="14.25" hidden="1" outlineLevel="1" x14ac:dyDescent="0.25">
      <c r="B208" s="70"/>
      <c r="C208" s="70" t="s">
        <v>271</v>
      </c>
      <c r="D208" s="71"/>
      <c r="E208" s="71"/>
      <c r="F208" s="72">
        <f>SUM(F209:F210)</f>
        <v>0</v>
      </c>
      <c r="G208" s="72">
        <f t="shared" ref="G208" si="34">SUM(G209:G210)</f>
        <v>0</v>
      </c>
      <c r="H208" s="72">
        <f>SUM(H209:H210)</f>
        <v>0</v>
      </c>
      <c r="I208" s="71"/>
      <c r="J208" s="72">
        <f>F208+G208</f>
        <v>0</v>
      </c>
      <c r="K208" s="72">
        <f t="shared" ref="K208" si="35">SUM(F208:H208)</f>
        <v>0</v>
      </c>
      <c r="L208" s="77" t="s">
        <v>197</v>
      </c>
      <c r="M208" s="43"/>
      <c r="N208" s="43"/>
      <c r="O208" s="43"/>
      <c r="P208" s="43"/>
      <c r="Q208" s="43"/>
      <c r="R208" s="43"/>
      <c r="S208" s="43"/>
    </row>
    <row r="209" spans="2:19" ht="15.75" hidden="1" outlineLevel="1" x14ac:dyDescent="0.3">
      <c r="B209" s="276"/>
      <c r="C209" s="17"/>
      <c r="D209" s="17" t="s">
        <v>267</v>
      </c>
      <c r="E209" s="17"/>
      <c r="F209" s="38">
        <v>0</v>
      </c>
      <c r="G209" s="38">
        <v>0</v>
      </c>
      <c r="H209" s="38">
        <f>IF(NOT(ISBLANK(G23)),G23,E23)*IF(NOT(ISBLANK(G26)),G26,0)</f>
        <v>0</v>
      </c>
      <c r="I209" s="17"/>
      <c r="J209" s="38">
        <f t="shared" ref="J209:J210" si="36">F209+G209</f>
        <v>0</v>
      </c>
      <c r="K209" s="38">
        <f t="shared" ref="K209:K210" si="37">SUM(F209:H209)</f>
        <v>0</v>
      </c>
      <c r="L209" s="17" t="s">
        <v>198</v>
      </c>
      <c r="M209" s="43"/>
      <c r="N209" s="43"/>
      <c r="O209" s="43"/>
      <c r="P209" s="43"/>
      <c r="Q209" s="43"/>
      <c r="R209" s="43"/>
      <c r="S209" s="43"/>
    </row>
    <row r="210" spans="2:19" ht="15.75" hidden="1" outlineLevel="1" x14ac:dyDescent="0.3">
      <c r="B210" s="276"/>
      <c r="C210" s="17"/>
      <c r="D210" s="17" t="s">
        <v>268</v>
      </c>
      <c r="E210" s="17"/>
      <c r="F210" s="38">
        <v>0</v>
      </c>
      <c r="G210" s="38">
        <v>0</v>
      </c>
      <c r="H210" s="38">
        <f>IF(NOT(ISBLANK(G24)),G24,E24)*IF(NOT(ISBLANK(G27)),G27,0)</f>
        <v>0</v>
      </c>
      <c r="I210" s="17"/>
      <c r="J210" s="38">
        <f t="shared" si="36"/>
        <v>0</v>
      </c>
      <c r="K210" s="38">
        <f t="shared" si="37"/>
        <v>0</v>
      </c>
      <c r="L210" s="17" t="s">
        <v>198</v>
      </c>
      <c r="M210" s="43"/>
      <c r="N210" s="43"/>
      <c r="O210" s="43"/>
      <c r="P210" s="43"/>
      <c r="Q210" s="43"/>
      <c r="R210" s="43"/>
      <c r="S210" s="43"/>
    </row>
    <row r="211" spans="2:19" hidden="1" outlineLevel="1" x14ac:dyDescent="0.2">
      <c r="B211" s="17"/>
      <c r="C211" s="17"/>
      <c r="D211" s="17"/>
      <c r="E211" s="17"/>
      <c r="F211" s="20"/>
      <c r="G211" s="20"/>
      <c r="H211" s="20"/>
      <c r="I211" s="17"/>
      <c r="J211" s="20"/>
      <c r="K211" s="20"/>
      <c r="L211" s="17"/>
      <c r="M211" s="43"/>
      <c r="N211" s="43"/>
      <c r="O211" s="43"/>
      <c r="P211" s="43"/>
      <c r="Q211" s="43"/>
      <c r="R211" s="43"/>
      <c r="S211" s="43"/>
    </row>
    <row r="212" spans="2:19" ht="14.25" hidden="1" outlineLevel="1" x14ac:dyDescent="0.25">
      <c r="B212" s="17"/>
      <c r="C212" s="17"/>
      <c r="D212" s="21" t="s">
        <v>110</v>
      </c>
      <c r="E212" s="21"/>
      <c r="F212" s="75">
        <f>IF(NOT(ISBLANK('Referenz Plattenwerk'!$I59)),'Referenz Plattenwerk'!$I59,'Referenz Plattenwerk'!$F59)*IF(NOT(ISBLANK('Eingabe EF'!$AA44)),'Eingabe EF'!$AA44,0)*IF(NOT(ISBLANK('Referenz Plattenwerk'!$I$12)),'Referenz Plattenwerk'!$I$12,'Referenz Plattenwerk'!$F$12)</f>
        <v>0</v>
      </c>
      <c r="G212" s="75">
        <f>IF(NOT(ISBLANK('Referenz Plattenwerk'!$I59)),'Referenz Plattenwerk'!$I59,'Referenz Plattenwerk'!$F59)*IF(NOT(ISBLANK('Eingabe EF'!$AE44)),'Eingabe EF'!$AE44,0)*IF(NOT(ISBLANK('Referenz Plattenwerk'!$I$12)),'Referenz Plattenwerk'!$I$12,'Referenz Plattenwerk'!$F$12)</f>
        <v>0</v>
      </c>
      <c r="H212" s="75">
        <f>IF(NOT(ISBLANK('Referenz Plattenwerk'!$I59)),'Referenz Plattenwerk'!$I59,'Referenz Plattenwerk'!$F59)*IF(NOT(ISBLANK('Eingabe EF'!$AI44)),'Eingabe EF'!$AI44,0)*IF(NOT(ISBLANK('Referenz Plattenwerk'!$I$12)),'Referenz Plattenwerk'!$I$12,'Referenz Plattenwerk'!$F$12)</f>
        <v>0</v>
      </c>
      <c r="I212" s="21"/>
      <c r="J212" s="75">
        <f>F212+G212</f>
        <v>0</v>
      </c>
      <c r="K212" s="75">
        <f>SUM(F212:H212)</f>
        <v>0</v>
      </c>
      <c r="L212" s="21" t="s">
        <v>197</v>
      </c>
      <c r="M212" s="43"/>
      <c r="N212" s="43"/>
      <c r="O212" s="43"/>
      <c r="P212" s="43"/>
      <c r="Q212" s="43"/>
      <c r="R212" s="43"/>
      <c r="S212" s="43"/>
    </row>
    <row r="213" spans="2:19" ht="14.25" hidden="1" outlineLevel="1" x14ac:dyDescent="0.25">
      <c r="B213" s="17"/>
      <c r="C213" s="17"/>
      <c r="D213" s="21" t="s">
        <v>64</v>
      </c>
      <c r="E213" s="21"/>
      <c r="F213" s="75">
        <f>IF(NOT(ISBLANK('Referenz Plattenwerk'!$I60)),'Referenz Plattenwerk'!$I60,'Referenz Plattenwerk'!$F60)*IF(NOT(ISBLANK('Eingabe EF'!$AA45)),'Eingabe EF'!$AA45,'Eingabe EF'!$Y45)</f>
        <v>0</v>
      </c>
      <c r="G213" s="75">
        <f>IF(NOT(ISBLANK('Referenz Plattenwerk'!$I60)),'Referenz Plattenwerk'!$I60,'Referenz Plattenwerk'!$F60)*IF(NOT(ISBLANK('Eingabe EF'!$AE45)),'Eingabe EF'!$AE45,'Eingabe EF'!$AC45)</f>
        <v>0</v>
      </c>
      <c r="H213" s="75">
        <f>IF(NOT(ISBLANK('Referenz Plattenwerk'!$I60)),'Referenz Plattenwerk'!$I60,'Referenz Plattenwerk'!$F60)*IF(NOT(ISBLANK('Eingabe EF'!$AI45)),'Eingabe EF'!$AI45,'Eingabe EF'!$AG45)</f>
        <v>0.54400000000000004</v>
      </c>
      <c r="I213" s="21"/>
      <c r="J213" s="75">
        <f>F213+G213</f>
        <v>0</v>
      </c>
      <c r="K213" s="75">
        <f>SUM(F213:H213)</f>
        <v>0.54400000000000004</v>
      </c>
      <c r="L213" s="21" t="s">
        <v>197</v>
      </c>
      <c r="M213" s="43"/>
      <c r="N213" s="43"/>
      <c r="O213" s="43"/>
      <c r="P213" s="43"/>
      <c r="Q213" s="43"/>
      <c r="R213" s="43"/>
      <c r="S213" s="43"/>
    </row>
    <row r="214" spans="2:19" hidden="1" outlineLevel="1" x14ac:dyDescent="0.2">
      <c r="B214" s="17"/>
      <c r="C214" s="17"/>
      <c r="D214" s="17"/>
      <c r="E214" s="17"/>
      <c r="F214" s="20"/>
      <c r="G214" s="20"/>
      <c r="H214" s="20"/>
      <c r="I214" s="17"/>
      <c r="J214" s="20"/>
      <c r="K214" s="20"/>
      <c r="L214" s="17"/>
      <c r="M214" s="43"/>
      <c r="N214" s="43"/>
      <c r="O214" s="43"/>
      <c r="P214" s="43"/>
      <c r="Q214" s="43"/>
      <c r="R214" s="43"/>
      <c r="S214" s="43"/>
    </row>
    <row r="215" spans="2:19" ht="14.25" hidden="1" outlineLevel="1" x14ac:dyDescent="0.25">
      <c r="B215" s="70"/>
      <c r="C215" s="70" t="s">
        <v>182</v>
      </c>
      <c r="D215" s="71"/>
      <c r="E215" s="71"/>
      <c r="F215" s="72">
        <f>SUM(F216:F218)</f>
        <v>0</v>
      </c>
      <c r="G215" s="72">
        <f>SUM(G216:G218)</f>
        <v>0</v>
      </c>
      <c r="H215" s="72">
        <f>SUM(H216:H218)</f>
        <v>80.47999999999999</v>
      </c>
      <c r="I215" s="71"/>
      <c r="J215" s="72">
        <f t="shared" ref="J215:J218" si="38">F215+G215</f>
        <v>0</v>
      </c>
      <c r="K215" s="72">
        <f t="shared" ref="K215" si="39">SUM(F215:H215)</f>
        <v>80.47999999999999</v>
      </c>
      <c r="L215" s="77" t="s">
        <v>197</v>
      </c>
      <c r="M215" s="43"/>
      <c r="N215" s="43"/>
      <c r="O215" s="43"/>
      <c r="P215" s="43"/>
      <c r="Q215" s="43"/>
      <c r="R215" s="43"/>
      <c r="S215" s="43"/>
    </row>
    <row r="216" spans="2:19" ht="15.75" hidden="1" outlineLevel="1" x14ac:dyDescent="0.3">
      <c r="B216" s="17"/>
      <c r="C216" s="17"/>
      <c r="D216" s="17" t="s">
        <v>183</v>
      </c>
      <c r="E216" s="17"/>
      <c r="F216" s="38">
        <f>IF(NOT(ISBLANK('Referenz Plattenwerk'!$I63)),'Referenz Plattenwerk'!$I63,'Referenz Plattenwerk'!$F63)*IF(NOT(ISBLANK('Eingabe EF'!$AA48)),'Eingabe EF'!$AA48,0)*IF(NOT(ISBLANK('Referenz Plattenwerk'!$I$12)),'Referenz Plattenwerk'!$I$12,'Referenz Plattenwerk'!$F$12)</f>
        <v>0</v>
      </c>
      <c r="G216" s="38">
        <f>IF(NOT(ISBLANK('Referenz Plattenwerk'!$I63)),'Referenz Plattenwerk'!$I63,'Referenz Plattenwerk'!$F63)*IF(NOT(ISBLANK('Eingabe EF'!$AE48)),'Eingabe EF'!$AE48,0)*IF(NOT(ISBLANK('Referenz Plattenwerk'!$I$12)),'Referenz Plattenwerk'!$I$12,'Referenz Plattenwerk'!$F$12)</f>
        <v>0</v>
      </c>
      <c r="H216" s="38">
        <f>IF(NOT(ISBLANK('Referenz Plattenwerk'!$I63)),'Referenz Plattenwerk'!$I63,'Referenz Plattenwerk'!$F63)*IF(NOT(ISBLANK('Eingabe EF'!$AI48)),'Eingabe EF'!$AI48,0)*IF(NOT(ISBLANK('Referenz Plattenwerk'!$I$12)),'Referenz Plattenwerk'!$I$12,'Referenz Plattenwerk'!$F$12)</f>
        <v>0</v>
      </c>
      <c r="I216" s="17"/>
      <c r="J216" s="38">
        <f t="shared" si="38"/>
        <v>0</v>
      </c>
      <c r="K216" s="38">
        <f t="shared" ref="K216:K218" si="40">SUM(F216:H216)</f>
        <v>0</v>
      </c>
      <c r="L216" s="17" t="s">
        <v>198</v>
      </c>
      <c r="M216" s="43"/>
      <c r="N216" s="43"/>
      <c r="O216" s="43"/>
      <c r="P216" s="43"/>
      <c r="Q216" s="43"/>
      <c r="R216" s="43"/>
      <c r="S216" s="43"/>
    </row>
    <row r="217" spans="2:19" ht="15.75" hidden="1" outlineLevel="1" x14ac:dyDescent="0.3">
      <c r="B217" s="17"/>
      <c r="C217" s="17"/>
      <c r="D217" s="17" t="s">
        <v>62</v>
      </c>
      <c r="E217" s="17"/>
      <c r="F217" s="38">
        <f>IF(NOT(ISBLANK('Referenz Plattenwerk'!$I64)),'Referenz Plattenwerk'!$I64,'Referenz Plattenwerk'!$F64)*IF(NOT(ISBLANK('Eingabe EF'!$AA49)),'Eingabe EF'!$AA49,'Eingabe EF'!$Y49)*IF(NOT(ISBLANK('Referenz Plattenwerk'!$I$12)),'Referenz Plattenwerk'!$I$12,'Referenz Plattenwerk'!$F$12)</f>
        <v>0</v>
      </c>
      <c r="G217" s="38">
        <f>IF(NOT(ISBLANK('Referenz Plattenwerk'!$I64)),'Referenz Plattenwerk'!$I64,'Referenz Plattenwerk'!$F64)*IF(NOT(ISBLANK('Eingabe EF'!$AE49)),'Eingabe EF'!$AE49,'Eingabe EF'!$AC49)*IF(NOT(ISBLANK('Referenz Plattenwerk'!$I$12)),'Referenz Plattenwerk'!$I$12,'Referenz Plattenwerk'!$F$12)</f>
        <v>0</v>
      </c>
      <c r="H217" s="38">
        <f>IF(NOT(ISBLANK('Referenz Plattenwerk'!$I64)),'Referenz Plattenwerk'!$I64,'Referenz Plattenwerk'!$F64)*IF(NOT(ISBLANK('Eingabe EF'!$AI49)),'Eingabe EF'!$AI49,'Eingabe EF'!$AG49)*IF(NOT(ISBLANK('Referenz Plattenwerk'!$I$12)),'Referenz Plattenwerk'!$I$12,'Referenz Plattenwerk'!$F$12)</f>
        <v>80.47999999999999</v>
      </c>
      <c r="I217" s="17"/>
      <c r="J217" s="38">
        <f t="shared" si="38"/>
        <v>0</v>
      </c>
      <c r="K217" s="38">
        <f t="shared" si="40"/>
        <v>80.47999999999999</v>
      </c>
      <c r="L217" s="17" t="s">
        <v>198</v>
      </c>
      <c r="M217" s="43"/>
      <c r="N217" s="43"/>
      <c r="O217" s="43"/>
      <c r="P217" s="43"/>
      <c r="Q217" s="43"/>
      <c r="R217" s="43"/>
      <c r="S217" s="43"/>
    </row>
    <row r="218" spans="2:19" ht="15.75" hidden="1" outlineLevel="1" x14ac:dyDescent="0.3">
      <c r="B218" s="17"/>
      <c r="C218" s="17"/>
      <c r="D218" s="17" t="s">
        <v>184</v>
      </c>
      <c r="E218" s="17"/>
      <c r="F218" s="38">
        <f>IF(NOT(ISBLANK('Referenz Plattenwerk'!$I65)),'Referenz Plattenwerk'!$I65,'Referenz Plattenwerk'!$F65)*IF(NOT(ISBLANK('Eingabe EF'!$AA50)),'Eingabe EF'!$AA50,0)*IF(NOT(ISBLANK('Referenz Plattenwerk'!$I$12)),'Referenz Plattenwerk'!$I$12,'Referenz Plattenwerk'!$F$12)</f>
        <v>0</v>
      </c>
      <c r="G218" s="38">
        <f>IF(NOT(ISBLANK('Referenz Plattenwerk'!$I65)),'Referenz Plattenwerk'!$I65,'Referenz Plattenwerk'!$F65)*IF(NOT(ISBLANK('Eingabe EF'!$AE50)),'Eingabe EF'!$AE50,0)*IF(NOT(ISBLANK('Referenz Plattenwerk'!$I$12)),'Referenz Plattenwerk'!$I$12,'Referenz Plattenwerk'!$F$12)</f>
        <v>0</v>
      </c>
      <c r="H218" s="38">
        <f>IF(NOT(ISBLANK('Referenz Plattenwerk'!$I65)),'Referenz Plattenwerk'!$I65,'Referenz Plattenwerk'!$F65)*IF(NOT(ISBLANK('Eingabe EF'!$AI50)),'Eingabe EF'!$AI50,0)*IF(NOT(ISBLANK('Referenz Plattenwerk'!$I$12)),'Referenz Plattenwerk'!$I$12,'Referenz Plattenwerk'!$F$12)</f>
        <v>0</v>
      </c>
      <c r="I218" s="17"/>
      <c r="J218" s="38">
        <f t="shared" si="38"/>
        <v>0</v>
      </c>
      <c r="K218" s="38">
        <f t="shared" si="40"/>
        <v>0</v>
      </c>
      <c r="L218" s="17" t="s">
        <v>198</v>
      </c>
      <c r="M218" s="43"/>
      <c r="N218" s="43"/>
      <c r="O218" s="43"/>
      <c r="P218" s="43"/>
      <c r="Q218" s="43"/>
      <c r="R218" s="43"/>
      <c r="S218" s="43"/>
    </row>
    <row r="219" spans="2:19" hidden="1" outlineLevel="1" x14ac:dyDescent="0.2">
      <c r="B219" s="17"/>
      <c r="C219" s="17"/>
      <c r="D219" s="17"/>
      <c r="E219" s="17"/>
      <c r="F219" s="20"/>
      <c r="G219" s="20"/>
      <c r="H219" s="20"/>
      <c r="I219" s="17"/>
      <c r="J219" s="17"/>
      <c r="K219" s="17"/>
      <c r="L219" s="20"/>
      <c r="M219" s="43"/>
      <c r="N219" s="43"/>
      <c r="O219" s="43"/>
      <c r="P219" s="43"/>
      <c r="Q219" s="43"/>
      <c r="R219" s="43"/>
      <c r="S219" s="43"/>
    </row>
    <row r="220" spans="2:19" ht="14.25" hidden="1" outlineLevel="1" x14ac:dyDescent="0.25">
      <c r="B220" s="70"/>
      <c r="C220" s="70" t="s">
        <v>185</v>
      </c>
      <c r="D220" s="71"/>
      <c r="E220" s="71"/>
      <c r="F220" s="72">
        <f>SUM(F221:F223)</f>
        <v>0</v>
      </c>
      <c r="G220" s="72">
        <f>SUM(G221:G223)</f>
        <v>0</v>
      </c>
      <c r="H220" s="72">
        <f>SUM(H221:H223)</f>
        <v>60</v>
      </c>
      <c r="I220" s="71"/>
      <c r="J220" s="72">
        <f>F220+G220</f>
        <v>0</v>
      </c>
      <c r="K220" s="72">
        <f t="shared" ref="K220" si="41">SUM(F220:H220)</f>
        <v>60</v>
      </c>
      <c r="L220" s="77" t="s">
        <v>197</v>
      </c>
      <c r="M220" s="43"/>
      <c r="N220" s="43"/>
      <c r="O220" s="43"/>
      <c r="P220" s="43"/>
      <c r="Q220" s="43"/>
      <c r="R220" s="43"/>
      <c r="S220" s="43"/>
    </row>
    <row r="221" spans="2:19" ht="15.75" hidden="1" outlineLevel="1" x14ac:dyDescent="0.3">
      <c r="B221" s="17"/>
      <c r="C221" s="17"/>
      <c r="D221" s="17" t="s">
        <v>66</v>
      </c>
      <c r="E221" s="17"/>
      <c r="F221" s="38">
        <f>IF(NOT(ISBLANK('Referenz Plattenwerk'!$I68)),'Referenz Plattenwerk'!$I68,'Referenz Plattenwerk'!$F68)*IF(NOT(ISBLANK('Eingabe EF'!$AA53)),'Eingabe EF'!$AA53,'Eingabe EF'!$Y53)</f>
        <v>0</v>
      </c>
      <c r="G221" s="38">
        <f>IF(NOT(ISBLANK('Referenz Plattenwerk'!$I68)),'Referenz Plattenwerk'!$I68,'Referenz Plattenwerk'!$F68)*IF(NOT(ISBLANK('Eingabe EF'!$AE53)),'Eingabe EF'!$AE53,'Eingabe EF'!$AC53)</f>
        <v>0</v>
      </c>
      <c r="H221" s="38">
        <f>IF(NOT(ISBLANK('Referenz Plattenwerk'!$I68)),'Referenz Plattenwerk'!$I68,'Referenz Plattenwerk'!$F68)*IF(NOT(ISBLANK('Eingabe EF'!$AI53)),'Eingabe EF'!$AI53,'Eingabe EF'!$AG53)</f>
        <v>60</v>
      </c>
      <c r="I221" s="17"/>
      <c r="J221" s="38">
        <f>F221+G221</f>
        <v>0</v>
      </c>
      <c r="K221" s="38">
        <f>SUM(F221:H221)</f>
        <v>60</v>
      </c>
      <c r="L221" s="17" t="s">
        <v>198</v>
      </c>
      <c r="M221" s="43"/>
      <c r="N221" s="43"/>
      <c r="O221" s="43"/>
      <c r="P221" s="43"/>
      <c r="Q221" s="43"/>
      <c r="R221" s="43"/>
      <c r="S221" s="43"/>
    </row>
    <row r="222" spans="2:19" ht="15.75" hidden="1" outlineLevel="1" x14ac:dyDescent="0.3">
      <c r="B222" s="17"/>
      <c r="C222" s="17"/>
      <c r="D222" s="17" t="s">
        <v>187</v>
      </c>
      <c r="E222" s="17"/>
      <c r="F222" s="38">
        <f>IF(NOT(ISBLANK('Referenz Plattenwerk'!$I69)),'Referenz Plattenwerk'!$I69,'Referenz Plattenwerk'!$F69)*IF(NOT(ISBLANK('Eingabe EF'!$AA54)),'Eingabe EF'!$AA54,0)</f>
        <v>0</v>
      </c>
      <c r="G222" s="38">
        <f>IF(NOT(ISBLANK('Referenz Plattenwerk'!$I69)),'Referenz Plattenwerk'!$I69,'Referenz Plattenwerk'!$F69)*IF(NOT(ISBLANK('Eingabe EF'!$AE54)),'Eingabe EF'!$AE54,0)</f>
        <v>0</v>
      </c>
      <c r="H222" s="38">
        <f>IF(NOT(ISBLANK('Referenz Plattenwerk'!$I69)),'Referenz Plattenwerk'!$I69,'Referenz Plattenwerk'!$F69)*IF(NOT(ISBLANK('Eingabe EF'!$AI54)),'Eingabe EF'!$AI54,0)</f>
        <v>0</v>
      </c>
      <c r="I222" s="17"/>
      <c r="J222" s="38">
        <f t="shared" ref="J222:J223" si="42">F222+G222</f>
        <v>0</v>
      </c>
      <c r="K222" s="38">
        <f t="shared" ref="K222:K223" si="43">SUM(F222:H222)</f>
        <v>0</v>
      </c>
      <c r="L222" s="17" t="s">
        <v>198</v>
      </c>
      <c r="M222" s="43"/>
      <c r="N222" s="43"/>
      <c r="O222" s="43"/>
      <c r="P222" s="43"/>
      <c r="Q222" s="43"/>
      <c r="R222" s="43"/>
      <c r="S222" s="43"/>
    </row>
    <row r="223" spans="2:19" ht="15.75" hidden="1" outlineLevel="1" x14ac:dyDescent="0.3">
      <c r="B223" s="17"/>
      <c r="C223" s="17"/>
      <c r="D223" s="17" t="s">
        <v>186</v>
      </c>
      <c r="E223" s="17"/>
      <c r="F223" s="38">
        <f>IF(NOT(ISBLANK('Referenz Plattenwerk'!$I70)),'Referenz Plattenwerk'!$I70,'Referenz Plattenwerk'!$F70)*IF(NOT(ISBLANK('Eingabe EF'!$AA55)),'Eingabe EF'!$AA55,0)</f>
        <v>0</v>
      </c>
      <c r="G223" s="38">
        <f>IF(NOT(ISBLANK('Referenz Plattenwerk'!$I70)),'Referenz Plattenwerk'!$I70,'Referenz Plattenwerk'!$F70)*IF(NOT(ISBLANK('Eingabe EF'!$AE55)),'Eingabe EF'!$AE55,0)</f>
        <v>0</v>
      </c>
      <c r="H223" s="38">
        <f>IF(NOT(ISBLANK('Referenz Plattenwerk'!$I70)),'Referenz Plattenwerk'!$I70,'Referenz Plattenwerk'!$F70)*IF(NOT(ISBLANK('Eingabe EF'!$AI55)),'Eingabe EF'!$AI55,0)</f>
        <v>0</v>
      </c>
      <c r="I223" s="17"/>
      <c r="J223" s="38">
        <f t="shared" si="42"/>
        <v>0</v>
      </c>
      <c r="K223" s="38">
        <f t="shared" si="43"/>
        <v>0</v>
      </c>
      <c r="L223" s="17" t="s">
        <v>198</v>
      </c>
      <c r="M223" s="43"/>
      <c r="N223" s="43"/>
      <c r="O223" s="43"/>
      <c r="P223" s="43"/>
      <c r="Q223" s="43"/>
      <c r="R223" s="43"/>
      <c r="S223" s="43"/>
    </row>
    <row r="224" spans="2:19" hidden="1" outlineLevel="1" x14ac:dyDescent="0.2">
      <c r="B224" s="17"/>
      <c r="C224" s="17"/>
      <c r="D224" s="17"/>
      <c r="E224" s="17"/>
      <c r="F224" s="20"/>
      <c r="G224" s="20"/>
      <c r="H224" s="20"/>
      <c r="I224" s="17"/>
      <c r="J224" s="17"/>
      <c r="K224" s="17"/>
      <c r="L224" s="20"/>
      <c r="M224" s="43"/>
      <c r="N224" s="43"/>
      <c r="O224" s="43"/>
      <c r="P224" s="43"/>
      <c r="Q224" s="43"/>
      <c r="R224" s="43"/>
      <c r="S224" s="43"/>
    </row>
    <row r="225" spans="2:20" ht="14.25" hidden="1" outlineLevel="1" x14ac:dyDescent="0.25">
      <c r="B225" s="17"/>
      <c r="C225" s="17"/>
      <c r="D225" s="21" t="s">
        <v>63</v>
      </c>
      <c r="E225" s="21"/>
      <c r="F225" s="75">
        <f>IF(NOT(ISBLANK('Referenz Plattenwerk'!$I72)),'Referenz Plattenwerk'!$I72,'Referenz Plattenwerk'!$F72)*IF(NOT(ISBLANK('Eingabe EF'!$AA57)),'Eingabe EF'!$AA57,'Eingabe EF'!$Y57)</f>
        <v>0</v>
      </c>
      <c r="G225" s="75">
        <f>IF(NOT(ISBLANK('Referenz Plattenwerk'!$I72)),'Referenz Plattenwerk'!$I72,'Referenz Plattenwerk'!$F72)*IF(NOT(ISBLANK('Eingabe EF'!$AE57)),'Eingabe EF'!$AE57,'Eingabe EF'!$AC57)</f>
        <v>0</v>
      </c>
      <c r="H225" s="75">
        <f>IF(NOT(ISBLANK('Referenz Plattenwerk'!$I72)),'Referenz Plattenwerk'!$I72,'Referenz Plattenwerk'!$F72)*IF(NOT(ISBLANK('Eingabe EF'!$AI57)),'Eingabe EF'!$AI57,'Eingabe EF'!$AG57)</f>
        <v>64.48</v>
      </c>
      <c r="I225" s="21"/>
      <c r="J225" s="75">
        <f t="shared" ref="J225" si="44">F225+G225</f>
        <v>0</v>
      </c>
      <c r="K225" s="75">
        <f t="shared" ref="K225" si="45">SUM(F225:H225)</f>
        <v>64.48</v>
      </c>
      <c r="L225" s="21" t="s">
        <v>197</v>
      </c>
      <c r="M225" s="43"/>
      <c r="N225" s="43"/>
      <c r="O225" s="43"/>
      <c r="P225" s="43"/>
      <c r="Q225" s="43"/>
      <c r="R225" s="43"/>
      <c r="S225" s="43"/>
    </row>
    <row r="226" spans="2:20" hidden="1" outlineLevel="1" x14ac:dyDescent="0.2">
      <c r="B226" s="17"/>
      <c r="C226" s="17"/>
      <c r="D226" s="17"/>
      <c r="E226" s="17"/>
      <c r="F226" s="20"/>
      <c r="G226" s="20"/>
      <c r="H226" s="20"/>
      <c r="I226" s="17"/>
      <c r="J226" s="17"/>
      <c r="K226" s="17"/>
      <c r="L226" s="20"/>
      <c r="M226" s="43"/>
      <c r="N226" s="43"/>
      <c r="O226" s="43"/>
      <c r="P226" s="43"/>
      <c r="Q226" s="43"/>
      <c r="R226" s="43"/>
      <c r="S226" s="43"/>
    </row>
    <row r="227" spans="2:20" ht="15" hidden="1" outlineLevel="1" thickBot="1" x14ac:dyDescent="0.3">
      <c r="B227" s="17"/>
      <c r="C227" s="17"/>
      <c r="D227" s="68" t="s">
        <v>69</v>
      </c>
      <c r="E227" s="68"/>
      <c r="F227" s="69">
        <f>SUM(F166:F225)-F180-F184-F190-F197-F202-F215-F220-F208</f>
        <v>94.932355060000006</v>
      </c>
      <c r="G227" s="69">
        <f t="shared" ref="G227:H227" si="46">SUM(G166:G225)-G180-G184-G190-G197-G202-G215-G220-G208</f>
        <v>124.8924470887134</v>
      </c>
      <c r="H227" s="69">
        <f t="shared" si="46"/>
        <v>5597.2112632204289</v>
      </c>
      <c r="I227" s="21"/>
      <c r="J227" s="69">
        <f>SUM(J166:J225)-J180-J184-J190-J197-J202-J215-J220-J208</f>
        <v>219.82480214871336</v>
      </c>
      <c r="K227" s="69">
        <f>SUM(K166:K225)-K180-K184-K190-K197-K202-K215-K220-K208</f>
        <v>5817.0360653691432</v>
      </c>
      <c r="L227" s="69" t="s">
        <v>197</v>
      </c>
      <c r="M227" s="43"/>
      <c r="N227" s="43"/>
      <c r="O227" s="43"/>
      <c r="P227" s="43"/>
      <c r="Q227" s="43"/>
      <c r="R227" s="43"/>
      <c r="S227" s="43"/>
    </row>
    <row r="228" spans="2:20" ht="13.5" hidden="1" outlineLevel="1" thickTop="1" x14ac:dyDescent="0.2">
      <c r="B228" s="17"/>
      <c r="C228" s="17"/>
      <c r="D228" s="17"/>
      <c r="E228" s="17"/>
      <c r="F228" s="20"/>
      <c r="G228" s="20"/>
      <c r="H228" s="20"/>
      <c r="I228" s="17"/>
      <c r="J228" s="17"/>
      <c r="K228" s="17"/>
      <c r="L228" s="20"/>
      <c r="M228" s="43"/>
      <c r="N228" s="43"/>
      <c r="O228" s="43"/>
      <c r="P228" s="43"/>
      <c r="Q228" s="43"/>
      <c r="R228" s="43"/>
      <c r="S228" s="43"/>
    </row>
    <row r="229" spans="2:20" collapsed="1" x14ac:dyDescent="0.2"/>
    <row r="231" spans="2:20" ht="15.75" hidden="1" outlineLevel="1" x14ac:dyDescent="0.25">
      <c r="B231" s="22"/>
      <c r="C231" s="22" t="s">
        <v>114</v>
      </c>
      <c r="D231" s="17"/>
      <c r="E231" s="17"/>
      <c r="F231" s="17"/>
      <c r="G231" s="17"/>
      <c r="H231" s="17"/>
      <c r="I231" s="17"/>
      <c r="J231" s="17"/>
      <c r="K231" s="17"/>
      <c r="L231" s="17"/>
      <c r="N231" s="22" t="s">
        <v>117</v>
      </c>
      <c r="O231" s="17"/>
      <c r="P231" s="17"/>
      <c r="Q231" s="17"/>
      <c r="R231" s="17"/>
      <c r="S231" s="17"/>
      <c r="T231" s="17"/>
    </row>
    <row r="232" spans="2:20" ht="15" hidden="1" outlineLevel="1" x14ac:dyDescent="0.25">
      <c r="B232" s="65"/>
      <c r="C232" s="65">
        <v>2030</v>
      </c>
      <c r="D232" s="17" t="s">
        <v>206</v>
      </c>
      <c r="E232" s="25"/>
      <c r="F232" s="25"/>
      <c r="G232" s="25"/>
      <c r="H232" s="25"/>
      <c r="I232" s="25"/>
      <c r="J232" s="25"/>
      <c r="K232" s="25"/>
      <c r="L232" s="25"/>
      <c r="N232" s="65">
        <v>2030</v>
      </c>
      <c r="O232" s="17"/>
      <c r="P232" s="17"/>
      <c r="Q232" s="17"/>
      <c r="R232" s="17"/>
      <c r="S232" s="17"/>
      <c r="T232" s="17"/>
    </row>
    <row r="233" spans="2:20" hidden="1" outlineLevel="1" x14ac:dyDescent="0.2">
      <c r="B233" s="276"/>
      <c r="C233" s="17"/>
      <c r="D233" s="17" t="s">
        <v>260</v>
      </c>
      <c r="E233" s="289">
        <f>(1-(IF(NOT(ISBLANK($K17)),$K17/100,$I17/100)))</f>
        <v>0.9</v>
      </c>
      <c r="F233" s="17"/>
      <c r="G233" s="17"/>
      <c r="H233" s="17"/>
      <c r="I233" s="17"/>
      <c r="J233" s="17"/>
      <c r="K233" s="17"/>
      <c r="L233" s="17"/>
      <c r="N233" s="17"/>
      <c r="O233" s="17"/>
      <c r="P233" s="17"/>
      <c r="Q233" s="17"/>
      <c r="R233" s="17"/>
      <c r="S233" s="17"/>
      <c r="T233" s="17"/>
    </row>
    <row r="234" spans="2:20" hidden="1" outlineLevel="1" x14ac:dyDescent="0.2">
      <c r="B234" s="276"/>
      <c r="C234" s="17"/>
      <c r="D234" s="17" t="s">
        <v>261</v>
      </c>
      <c r="E234" s="289">
        <f>(1-(IF(NOT(ISBLANK($K18)),$K18/100,$I18/100)))</f>
        <v>0.9</v>
      </c>
      <c r="F234" s="17"/>
      <c r="G234" s="17"/>
      <c r="H234" s="17"/>
      <c r="I234" s="17"/>
      <c r="J234" s="17"/>
      <c r="K234" s="17"/>
      <c r="L234" s="17"/>
      <c r="N234" s="17"/>
      <c r="O234" s="17"/>
      <c r="P234" s="17"/>
      <c r="Q234" s="17"/>
      <c r="R234" s="17"/>
      <c r="S234" s="17"/>
      <c r="T234" s="17"/>
    </row>
    <row r="235" spans="2:20" hidden="1" outlineLevel="1" x14ac:dyDescent="0.2">
      <c r="B235" s="276"/>
      <c r="C235" s="17"/>
      <c r="D235" s="17" t="s">
        <v>50</v>
      </c>
      <c r="E235" s="289">
        <f>(1-(IF(NOT(ISBLANK($K19)),$K19/100,$I19/100)))</f>
        <v>0.9</v>
      </c>
      <c r="F235" s="17"/>
      <c r="G235" s="17"/>
      <c r="H235" s="17"/>
      <c r="I235" s="17"/>
      <c r="J235" s="17"/>
      <c r="K235" s="17"/>
      <c r="L235" s="17"/>
      <c r="N235" s="17"/>
      <c r="O235" s="17"/>
      <c r="P235" s="17"/>
      <c r="Q235" s="17"/>
      <c r="R235" s="17"/>
      <c r="S235" s="17"/>
      <c r="T235" s="17"/>
    </row>
    <row r="236" spans="2:20" hidden="1" outlineLevel="1" x14ac:dyDescent="0.2">
      <c r="B236" s="276"/>
      <c r="C236" s="17"/>
      <c r="D236" s="17" t="s">
        <v>161</v>
      </c>
      <c r="E236" s="289">
        <f>(1-(IF(NOT(ISBLANK($K20)),$K20/100,$I20/100)))</f>
        <v>0.9</v>
      </c>
      <c r="F236" s="17"/>
      <c r="G236" s="17"/>
      <c r="H236" s="17"/>
      <c r="I236" s="17"/>
      <c r="J236" s="17"/>
      <c r="K236" s="17"/>
      <c r="L236" s="17"/>
      <c r="N236" s="17"/>
      <c r="O236" s="17"/>
      <c r="P236" s="17"/>
      <c r="Q236" s="17"/>
      <c r="R236" s="17"/>
      <c r="S236" s="17"/>
      <c r="T236" s="17"/>
    </row>
    <row r="237" spans="2:20" hidden="1" outlineLevel="1" x14ac:dyDescent="0.2">
      <c r="B237" s="276"/>
      <c r="C237" s="17"/>
      <c r="D237" s="17"/>
      <c r="E237" s="17"/>
      <c r="F237" s="17"/>
      <c r="G237" s="17"/>
      <c r="H237" s="17"/>
      <c r="I237" s="17"/>
      <c r="J237" s="17"/>
      <c r="K237" s="17"/>
      <c r="L237" s="17"/>
      <c r="N237" s="17"/>
      <c r="O237" s="17"/>
      <c r="P237" s="17"/>
      <c r="Q237" s="17"/>
      <c r="R237" s="17"/>
      <c r="S237" s="17"/>
      <c r="T237" s="17"/>
    </row>
    <row r="238" spans="2:20" hidden="1" outlineLevel="1" x14ac:dyDescent="0.2">
      <c r="B238" s="276"/>
      <c r="C238" s="17"/>
      <c r="D238" s="17"/>
      <c r="E238" s="17"/>
      <c r="F238" s="17"/>
      <c r="G238" s="17"/>
      <c r="H238" s="17"/>
      <c r="I238" s="17"/>
      <c r="J238" s="17"/>
      <c r="K238" s="17"/>
      <c r="L238" s="17"/>
      <c r="N238" s="17"/>
      <c r="O238" s="17"/>
      <c r="P238" s="17"/>
      <c r="Q238" s="17"/>
      <c r="R238" s="17"/>
      <c r="S238" s="17"/>
      <c r="T238" s="17"/>
    </row>
    <row r="239" spans="2:20" hidden="1" outlineLevel="1" x14ac:dyDescent="0.2">
      <c r="B239" s="276"/>
      <c r="C239" s="17"/>
      <c r="D239" s="17"/>
      <c r="E239" s="17"/>
      <c r="F239" s="17"/>
      <c r="G239" s="17"/>
      <c r="H239" s="17"/>
      <c r="I239" s="17"/>
      <c r="J239" s="17"/>
      <c r="K239" s="17"/>
      <c r="L239" s="17"/>
      <c r="N239" s="17"/>
      <c r="O239" s="17"/>
      <c r="P239" s="17"/>
      <c r="Q239" s="17"/>
      <c r="R239" s="17"/>
      <c r="S239" s="17"/>
      <c r="T239" s="17"/>
    </row>
    <row r="240" spans="2:20" hidden="1" outlineLevel="1" x14ac:dyDescent="0.2">
      <c r="B240" s="17"/>
      <c r="C240" s="17"/>
      <c r="D240" s="17"/>
      <c r="E240" s="17"/>
      <c r="F240" s="17"/>
      <c r="G240" s="17"/>
      <c r="H240" s="17"/>
      <c r="I240" s="17"/>
      <c r="J240" s="17"/>
      <c r="K240" s="17"/>
      <c r="L240" s="17"/>
      <c r="N240" s="17"/>
      <c r="O240" s="17"/>
      <c r="P240" s="17"/>
      <c r="Q240" s="17"/>
      <c r="R240" s="17"/>
      <c r="S240" s="17"/>
      <c r="T240" s="17"/>
    </row>
    <row r="241" spans="2:20" ht="25.5" hidden="1" outlineLevel="1" x14ac:dyDescent="0.2">
      <c r="B241" s="17"/>
      <c r="C241" s="17"/>
      <c r="D241" s="17"/>
      <c r="E241" s="17"/>
      <c r="F241" s="36" t="s">
        <v>27</v>
      </c>
      <c r="G241" s="36" t="s">
        <v>82</v>
      </c>
      <c r="H241" s="36" t="s">
        <v>29</v>
      </c>
      <c r="I241" s="17"/>
      <c r="J241" s="40" t="s">
        <v>111</v>
      </c>
      <c r="K241" s="41" t="s">
        <v>39</v>
      </c>
      <c r="L241" s="17"/>
      <c r="N241" s="17"/>
      <c r="O241" s="17"/>
      <c r="P241" s="17"/>
      <c r="Q241" s="18"/>
      <c r="R241" s="17"/>
      <c r="S241" s="18"/>
      <c r="T241" s="18"/>
    </row>
    <row r="242" spans="2:20" ht="14.25" hidden="1" outlineLevel="1" x14ac:dyDescent="0.25">
      <c r="B242" s="77"/>
      <c r="C242" s="77" t="s">
        <v>190</v>
      </c>
      <c r="D242" s="77"/>
      <c r="E242" s="77"/>
      <c r="F242" s="78">
        <f>SUM(F244:F257)</f>
        <v>94.932355060000006</v>
      </c>
      <c r="G242" s="78">
        <f>SUM(G244:G257)</f>
        <v>61.552554846110553</v>
      </c>
      <c r="H242" s="78">
        <f>SUM(H244:H257)</f>
        <v>25.105144641628776</v>
      </c>
      <c r="I242" s="77"/>
      <c r="J242" s="78">
        <f>F242+G242</f>
        <v>156.48490990611054</v>
      </c>
      <c r="K242" s="78">
        <f>SUM(F242:H242)</f>
        <v>181.59005454773933</v>
      </c>
      <c r="L242" s="77" t="s">
        <v>197</v>
      </c>
      <c r="N242" s="17"/>
      <c r="O242" s="17"/>
      <c r="P242" s="17"/>
      <c r="Q242" s="18"/>
      <c r="R242" s="17"/>
      <c r="S242" s="18"/>
      <c r="T242" s="18"/>
    </row>
    <row r="243" spans="2:20" hidden="1" outlineLevel="1" x14ac:dyDescent="0.2">
      <c r="B243" s="17"/>
      <c r="C243" s="17" t="s">
        <v>146</v>
      </c>
      <c r="D243" s="17"/>
      <c r="E243" s="17"/>
      <c r="F243" s="17"/>
      <c r="G243" s="17"/>
      <c r="H243" s="17"/>
      <c r="I243" s="17"/>
      <c r="J243" s="17"/>
      <c r="K243" s="17"/>
      <c r="L243" s="17"/>
      <c r="N243" s="17" t="s">
        <v>146</v>
      </c>
      <c r="O243" s="17"/>
      <c r="P243" s="17"/>
      <c r="Q243" s="18"/>
      <c r="R243" s="17"/>
      <c r="S243" s="18"/>
      <c r="T243" s="18"/>
    </row>
    <row r="244" spans="2:20" ht="15.75" hidden="1" outlineLevel="1" x14ac:dyDescent="0.3">
      <c r="B244" s="276"/>
      <c r="C244" s="17"/>
      <c r="D244" s="17" t="s">
        <v>125</v>
      </c>
      <c r="E244" s="17"/>
      <c r="F244" s="38">
        <f>IF(NOT(ISBLANK('Referenz Plattenwerk'!$I16)),'Referenz Plattenwerk'!$I16,'Referenz Plattenwerk'!$F16)*IF(NOT(ISBLANK('Eingabe EF'!$AS9)),'Eingabe EF'!$AS9,'Eingabe EF'!$AQ9)</f>
        <v>34.434080000000002</v>
      </c>
      <c r="G244" s="38">
        <f>IF(NOT(ISBLANK('Referenz Plattenwerk'!$I16)),'Referenz Plattenwerk'!$I16,'Referenz Plattenwerk'!$F16)*IF(NOT(ISBLANK('Eingabe EF'!$AW9)),'Eingabe EF'!$AW9,'Eingabe EF'!$AU9)</f>
        <v>0</v>
      </c>
      <c r="H244" s="38">
        <f>IF(NOT(ISBLANK('Referenz Plattenwerk'!$I16)),'Referenz Plattenwerk'!$I16,'Referenz Plattenwerk'!$F16)*IF(NOT(ISBLANK('Eingabe EF'!$BA9)),'Eingabe EF'!$BA9,'Eingabe EF'!$AY9)</f>
        <v>5.8938000000000006</v>
      </c>
      <c r="I244" s="17"/>
      <c r="J244" s="38">
        <f>F244+G244</f>
        <v>34.434080000000002</v>
      </c>
      <c r="K244" s="38">
        <f>SUM(F244:H244)</f>
        <v>40.32788</v>
      </c>
      <c r="L244" s="17" t="s">
        <v>198</v>
      </c>
      <c r="N244" s="276"/>
      <c r="O244" s="17" t="s">
        <v>125</v>
      </c>
      <c r="P244" s="17"/>
      <c r="Q244" s="19"/>
      <c r="R244" s="17"/>
      <c r="S244" s="42">
        <f>IF(NOT(ISBLANK('Referenz Plattenwerk'!$I16)),'Referenz Plattenwerk'!$I16,'Referenz Plattenwerk'!$F16)/1000*IF(NOT(ISBLANK('Eingabe Preise'!$O10)),'Eingabe Preise'!$O10,'Eingabe Preise'!$M10)</f>
        <v>11468</v>
      </c>
      <c r="T244" s="20" t="s">
        <v>106</v>
      </c>
    </row>
    <row r="245" spans="2:20" ht="15.75" hidden="1" outlineLevel="1" x14ac:dyDescent="0.3">
      <c r="B245" s="276"/>
      <c r="C245" s="17"/>
      <c r="D245" s="17" t="s">
        <v>165</v>
      </c>
      <c r="E245" s="17"/>
      <c r="F245" s="38">
        <f>IF(NOT(ISBLANK('Referenz Plattenwerk'!$I17)),'Referenz Plattenwerk'!$I17,'Referenz Plattenwerk'!$F17)*IF(NOT(ISBLANK('Eingabe EF'!$AS10)),'Eingabe EF'!$AS10,'Eingabe EF'!$AQ10)</f>
        <v>6.4022399999999999</v>
      </c>
      <c r="G245" s="38">
        <f>IF(NOT(ISBLANK('Referenz Plattenwerk'!$I17)),'Referenz Plattenwerk'!$I17,'Referenz Plattenwerk'!$F17)*IF(NOT(ISBLANK('Eingabe EF'!$AW10)),'Eingabe EF'!$AW10,'Eingabe EF'!$AU10)</f>
        <v>0</v>
      </c>
      <c r="H245" s="38">
        <f>IF(NOT(ISBLANK('Referenz Plattenwerk'!$I17)),'Referenz Plattenwerk'!$I17,'Referenz Plattenwerk'!$F17)*IF(NOT(ISBLANK('Eingabe EF'!$BA10)),'Eingabe EF'!$BA10,'Eingabe EF'!$AY10)</f>
        <v>0.949824</v>
      </c>
      <c r="I245" s="17"/>
      <c r="J245" s="38">
        <f>F245+G245</f>
        <v>6.4022399999999999</v>
      </c>
      <c r="K245" s="38">
        <f>SUM(F245:H245)</f>
        <v>7.3520640000000004</v>
      </c>
      <c r="L245" s="17" t="s">
        <v>198</v>
      </c>
      <c r="N245" s="276"/>
      <c r="O245" s="17" t="s">
        <v>165</v>
      </c>
      <c r="P245" s="17"/>
      <c r="Q245" s="20"/>
      <c r="R245" s="17"/>
      <c r="S245" s="42">
        <f>IF(NOT(ISBLANK('Referenz Plattenwerk'!$I17)),'Referenz Plattenwerk'!$I17,'Referenz Plattenwerk'!$F17)/1000*IF(NOT(ISBLANK('Eingabe Preise'!$O11)),'Eingabe Preise'!$O11,'Eingabe Preise'!$M11)</f>
        <v>1104</v>
      </c>
      <c r="T245" s="20" t="s">
        <v>106</v>
      </c>
    </row>
    <row r="246" spans="2:20" ht="15.75" hidden="1" outlineLevel="1" x14ac:dyDescent="0.3">
      <c r="B246" s="276"/>
      <c r="C246" s="17"/>
      <c r="D246" s="17" t="s">
        <v>152</v>
      </c>
      <c r="E246" s="17"/>
      <c r="F246" s="38">
        <f>IF(NOT(ISBLANK('Referenz Plattenwerk'!$I18)),'Referenz Plattenwerk'!$I18,'Referenz Plattenwerk'!$F18)*IF(NOT(ISBLANK('Eingabe EF'!$AS11)),'Eingabe EF'!$AS11,'Eingabe EF'!$AQ11)</f>
        <v>0</v>
      </c>
      <c r="G246" s="38">
        <f>IF(NOT(ISBLANK('Referenz Plattenwerk'!$I18)),'Referenz Plattenwerk'!$I18,'Referenz Plattenwerk'!$F18)*IF(NOT(ISBLANK('Eingabe EF'!$AW11)),'Eingabe EF'!$AW11,'Eingabe EF'!$AU11)</f>
        <v>6.1552554846110556</v>
      </c>
      <c r="H246" s="38">
        <f>IF(NOT(ISBLANK('Referenz Plattenwerk'!$I18)),'Referenz Plattenwerk'!$I18,'Referenz Plattenwerk'!$F18)*IF(NOT(ISBLANK('Eingabe EF'!$BA11)),'Eingabe EF'!$BA11,'Eingabe EF'!$AY11)</f>
        <v>0.90234111816287721</v>
      </c>
      <c r="I246" s="17"/>
      <c r="J246" s="38">
        <f>F246+G246</f>
        <v>6.1552554846110556</v>
      </c>
      <c r="K246" s="38">
        <f>SUM(F246:H246)</f>
        <v>7.0575966027739332</v>
      </c>
      <c r="L246" s="17" t="s">
        <v>198</v>
      </c>
      <c r="N246" s="276"/>
      <c r="O246" s="17" t="s">
        <v>152</v>
      </c>
      <c r="P246" s="17"/>
      <c r="Q246" s="20"/>
      <c r="R246" s="17"/>
      <c r="S246" s="42">
        <f>IF(NOT(ISBLANK('Referenz Plattenwerk'!$I18)),'Referenz Plattenwerk'!$I18,'Referenz Plattenwerk'!$F18)/1000*IF(NOT(ISBLANK('Eingabe Preise'!$O12)),'Eingabe Preise'!$O12,'Eingabe Preise'!$M12)</f>
        <v>7740</v>
      </c>
      <c r="T246" s="20" t="s">
        <v>106</v>
      </c>
    </row>
    <row r="247" spans="2:20" ht="15.75" hidden="1" outlineLevel="1" x14ac:dyDescent="0.3">
      <c r="B247" s="276"/>
      <c r="C247" s="17"/>
      <c r="D247" s="17" t="s">
        <v>126</v>
      </c>
      <c r="E247" s="17"/>
      <c r="F247" s="44">
        <f>IF(NOT(ISBLANK('Referenz Plattenwerk'!$I19)),'Referenz Plattenwerk'!$I19,'Referenz Plattenwerk'!$F19)*IF(NOT(ISBLANK('Eingabe EF'!$AS12)),'Eingabe EF'!$AS12,0)</f>
        <v>0</v>
      </c>
      <c r="G247" s="44">
        <f>IF(NOT(ISBLANK('Referenz Plattenwerk'!$I19)),'Referenz Plattenwerk'!$I19,'Referenz Plattenwerk'!$F19)*IF(NOT(ISBLANK('Eingabe EF'!$AW12)),'Eingabe EF'!$AW12,0)</f>
        <v>0</v>
      </c>
      <c r="H247" s="44">
        <f>IF(NOT(ISBLANK('Referenz Plattenwerk'!$I19)),'Referenz Plattenwerk'!$I19,'Referenz Plattenwerk'!$F19)*IF(NOT(ISBLANK('Eingabe EF'!$BA12)),'Eingabe EF'!$BA12,0)</f>
        <v>0</v>
      </c>
      <c r="I247" s="17"/>
      <c r="J247" s="38">
        <f>F247+G247</f>
        <v>0</v>
      </c>
      <c r="K247" s="38">
        <f>SUM(F247:H247)</f>
        <v>0</v>
      </c>
      <c r="L247" s="17" t="s">
        <v>198</v>
      </c>
      <c r="N247" s="276"/>
      <c r="O247" s="17" t="s">
        <v>126</v>
      </c>
      <c r="P247" s="17"/>
      <c r="Q247" s="20"/>
      <c r="R247" s="17"/>
      <c r="S247" s="42">
        <f>IF(NOT(ISBLANK('Referenz Plattenwerk'!$I19)),'Referenz Plattenwerk'!$I19,'Referenz Plattenwerk'!$F19)/1000*IF(NOT(ISBLANK('Eingabe Preise'!$O16)),'Eingabe Preise'!$O16,0)</f>
        <v>0</v>
      </c>
      <c r="T247" s="20" t="s">
        <v>106</v>
      </c>
    </row>
    <row r="248" spans="2:20" hidden="1" outlineLevel="1" x14ac:dyDescent="0.2">
      <c r="B248" s="17"/>
      <c r="C248" s="17" t="s">
        <v>147</v>
      </c>
      <c r="D248" s="17"/>
      <c r="E248" s="17"/>
      <c r="F248" s="17"/>
      <c r="G248" s="17"/>
      <c r="H248" s="17"/>
      <c r="I248" s="17"/>
      <c r="J248" s="17"/>
      <c r="K248" s="17"/>
      <c r="L248" s="17"/>
      <c r="N248" s="17" t="s">
        <v>147</v>
      </c>
      <c r="O248" s="17"/>
      <c r="P248" s="17"/>
      <c r="Q248" s="20"/>
      <c r="R248" s="17"/>
      <c r="S248" s="20"/>
      <c r="T248" s="20"/>
    </row>
    <row r="249" spans="2:20" ht="15.75" hidden="1" outlineLevel="1" x14ac:dyDescent="0.3">
      <c r="B249" s="17"/>
      <c r="C249" s="17"/>
      <c r="D249" s="17" t="s">
        <v>31</v>
      </c>
      <c r="E249" s="17"/>
      <c r="F249" s="44">
        <f>IF(NOT(ISBLANK('Referenz Plattenwerk'!$I21)),'Referenz Plattenwerk'!$I21,'Referenz Plattenwerk'!$F21)*IF(NOT(ISBLANK('Eingabe EF'!$AS9)),'Eingabe EF'!$AS9,'Eingabe EF'!$AQ9)</f>
        <v>8.6085200000000004</v>
      </c>
      <c r="G249" s="44">
        <f>IF(NOT(ISBLANK('Referenz Plattenwerk'!$I21)),'Referenz Plattenwerk'!$I21,'Referenz Plattenwerk'!$F21)*IF(NOT(ISBLANK('Eingabe EF'!$AW9)),'Eingabe EF'!$AW9,'Eingabe EF'!$AU9)</f>
        <v>0</v>
      </c>
      <c r="H249" s="44">
        <f>IF(NOT(ISBLANK('Referenz Plattenwerk'!$I21)),'Referenz Plattenwerk'!$I21,'Referenz Plattenwerk'!$F21)*IF(NOT(ISBLANK('Eingabe EF'!$BA9)),'Eingabe EF'!$BA9,'Eingabe EF'!$AY9)</f>
        <v>1.4734500000000001</v>
      </c>
      <c r="I249" s="17"/>
      <c r="J249" s="38">
        <f t="shared" ref="J249:J250" si="47">F249+G249</f>
        <v>8.6085200000000004</v>
      </c>
      <c r="K249" s="38">
        <f t="shared" ref="K249:K250" si="48">SUM(F249:H249)</f>
        <v>10.08197</v>
      </c>
      <c r="L249" s="17" t="s">
        <v>198</v>
      </c>
      <c r="N249" s="17"/>
      <c r="O249" s="17" t="s">
        <v>31</v>
      </c>
      <c r="P249" s="17"/>
      <c r="Q249" s="20"/>
      <c r="R249" s="17"/>
      <c r="S249" s="42">
        <f>IF(NOT(ISBLANK('Referenz Plattenwerk'!$I21)),'Referenz Plattenwerk'!$I21,'Referenz Plattenwerk'!$F21)/1000*IF(NOT(ISBLANK('Eingabe Preise'!$O10)),'Eingabe Preise'!$O10,'Eingabe Preise'!$M10)</f>
        <v>2867</v>
      </c>
      <c r="T249" s="20" t="s">
        <v>106</v>
      </c>
    </row>
    <row r="250" spans="2:20" ht="15.75" hidden="1" outlineLevel="1" x14ac:dyDescent="0.3">
      <c r="B250" s="17"/>
      <c r="C250" s="17"/>
      <c r="D250" s="17" t="s">
        <v>32</v>
      </c>
      <c r="E250" s="17"/>
      <c r="F250" s="44">
        <f>IF(NOT(ISBLANK('Referenz Plattenwerk'!$I22)),'Referenz Plattenwerk'!$I22,'Referenz Plattenwerk'!$F22)*IF(NOT(ISBLANK('Eingabe EF'!$AS10)),'Eingabe EF'!$AS10,'Eingabe EF'!$AQ10)</f>
        <v>9.6033600000000003</v>
      </c>
      <c r="G250" s="44">
        <f>IF(NOT(ISBLANK('Referenz Plattenwerk'!$I22)),'Referenz Plattenwerk'!$I22,'Referenz Plattenwerk'!$F22)*IF(NOT(ISBLANK('Eingabe EF'!$AW10)),'Eingabe EF'!$AW10,'Eingabe EF'!$AU10)</f>
        <v>0</v>
      </c>
      <c r="H250" s="44">
        <f>IF(NOT(ISBLANK('Referenz Plattenwerk'!$I22)),'Referenz Plattenwerk'!$I22,'Referenz Plattenwerk'!$F22)*IF(NOT(ISBLANK('Eingabe EF'!$BA10)),'Eingabe EF'!$BA10,'Eingabe EF'!$AY10)</f>
        <v>1.424736</v>
      </c>
      <c r="I250" s="17"/>
      <c r="J250" s="38">
        <f t="shared" si="47"/>
        <v>9.6033600000000003</v>
      </c>
      <c r="K250" s="38">
        <f t="shared" si="48"/>
        <v>11.028096</v>
      </c>
      <c r="L250" s="17" t="s">
        <v>198</v>
      </c>
      <c r="N250" s="17"/>
      <c r="O250" s="17" t="s">
        <v>32</v>
      </c>
      <c r="P250" s="17"/>
      <c r="Q250" s="20"/>
      <c r="R250" s="17"/>
      <c r="S250" s="42">
        <f>IF(NOT(ISBLANK('Referenz Plattenwerk'!$I22)),'Referenz Plattenwerk'!$I22,'Referenz Plattenwerk'!$F22)/1000*IF(NOT(ISBLANK('Eingabe Preise'!$O11)),'Eingabe Preise'!$O11,'Eingabe Preise'!$M11)</f>
        <v>1656</v>
      </c>
      <c r="T250" s="20" t="s">
        <v>106</v>
      </c>
    </row>
    <row r="251" spans="2:20" hidden="1" outlineLevel="1" x14ac:dyDescent="0.2">
      <c r="B251" s="17"/>
      <c r="C251" s="17" t="s">
        <v>148</v>
      </c>
      <c r="D251" s="17"/>
      <c r="E251" s="17"/>
      <c r="F251" s="17"/>
      <c r="G251" s="17"/>
      <c r="H251" s="17"/>
      <c r="I251" s="17"/>
      <c r="J251" s="17"/>
      <c r="K251" s="17"/>
      <c r="L251" s="17"/>
      <c r="N251" s="17" t="s">
        <v>148</v>
      </c>
      <c r="O251" s="17"/>
      <c r="P251" s="17"/>
      <c r="Q251" s="20"/>
      <c r="R251" s="17"/>
      <c r="S251" s="20"/>
      <c r="T251" s="20"/>
    </row>
    <row r="252" spans="2:20" ht="15.75" hidden="1" outlineLevel="1" x14ac:dyDescent="0.3">
      <c r="B252" s="17"/>
      <c r="C252" s="17"/>
      <c r="D252" s="17" t="s">
        <v>150</v>
      </c>
      <c r="E252" s="17"/>
      <c r="F252" s="44">
        <f>IF(NOT(ISBLANK('Referenz Plattenwerk'!$I24)),'Referenz Plattenwerk'!$I24,'Referenz Plattenwerk'!$F24)*IF(NOT(ISBLANK('Eingabe EF'!$AS11)),'Eingabe EF'!$AS11,'Eingabe EF'!$AQ11)</f>
        <v>0</v>
      </c>
      <c r="G252" s="44">
        <f>IF(NOT(ISBLANK('Referenz Plattenwerk'!$I24)),'Referenz Plattenwerk'!$I24,'Referenz Plattenwerk'!$F24)*IF(NOT(ISBLANK('Eingabe EF'!$AW11)),'Eingabe EF'!$AW11,'Eingabe EF'!$AU11)</f>
        <v>55.397299361499499</v>
      </c>
      <c r="H252" s="44">
        <f>IF(NOT(ISBLANK('Referenz Plattenwerk'!$I24)),'Referenz Plattenwerk'!$I24,'Referenz Plattenwerk'!$F24)*IF(NOT(ISBLANK('Eingabe EF'!$BA11)),'Eingabe EF'!$BA11,'Eingabe EF'!$AY11)</f>
        <v>8.1210700634658952</v>
      </c>
      <c r="I252" s="17"/>
      <c r="J252" s="38">
        <f t="shared" ref="J252:J260" si="49">F252+G252</f>
        <v>55.397299361499499</v>
      </c>
      <c r="K252" s="38">
        <f t="shared" ref="K252:K260" si="50">SUM(F252:H252)</f>
        <v>63.518369424965393</v>
      </c>
      <c r="L252" s="17" t="s">
        <v>198</v>
      </c>
      <c r="N252" s="17"/>
      <c r="O252" s="17" t="s">
        <v>150</v>
      </c>
      <c r="P252" s="17"/>
      <c r="Q252" s="20"/>
      <c r="R252" s="17"/>
      <c r="S252" s="42">
        <f>IF(NOT(ISBLANK('Referenz Plattenwerk'!$I24)),'Referenz Plattenwerk'!$I24,'Referenz Plattenwerk'!$F24)/1000*IF(NOT(ISBLANK('Eingabe Preise'!$O12)),'Eingabe Preise'!$O12,'Eingabe Preise'!$M12)</f>
        <v>69660</v>
      </c>
      <c r="T252" s="20" t="s">
        <v>106</v>
      </c>
    </row>
    <row r="253" spans="2:20" ht="15.75" hidden="1" outlineLevel="1" x14ac:dyDescent="0.3">
      <c r="B253" s="17"/>
      <c r="C253" s="17"/>
      <c r="D253" s="17" t="s">
        <v>122</v>
      </c>
      <c r="E253" s="17"/>
      <c r="F253" s="44">
        <f>IF(NOT(ISBLANK('Referenz Plattenwerk'!$I25)),'Referenz Plattenwerk'!$I25,'Referenz Plattenwerk'!$F25)*IF(NOT(ISBLANK('Eingabe EF'!$AS13)),'Eingabe EF'!$AS13,'Eingabe EF'!$AQ13)</f>
        <v>0</v>
      </c>
      <c r="G253" s="44">
        <f>IF(NOT(ISBLANK('Referenz Plattenwerk'!$I25)),'Referenz Plattenwerk'!$I25,'Referenz Plattenwerk'!$F25)*IF(NOT(ISBLANK('Eingabe EF'!$AW13)),'Eingabe EF'!$AW13,'Eingabe EF'!$AU13)</f>
        <v>0</v>
      </c>
      <c r="H253" s="44">
        <f>IF(NOT(ISBLANK('Referenz Plattenwerk'!$I25)),'Referenz Plattenwerk'!$I25,'Referenz Plattenwerk'!$F25)*IF(NOT(ISBLANK('Eingabe EF'!$BA13)),'Eingabe EF'!$BA13,'Eingabe EF'!$AY13)</f>
        <v>0</v>
      </c>
      <c r="I253" s="17"/>
      <c r="J253" s="38">
        <f t="shared" si="49"/>
        <v>0</v>
      </c>
      <c r="K253" s="38">
        <f t="shared" si="50"/>
        <v>0</v>
      </c>
      <c r="L253" s="17" t="s">
        <v>198</v>
      </c>
      <c r="N253" s="17"/>
      <c r="O253" s="17" t="s">
        <v>122</v>
      </c>
      <c r="P253" s="17"/>
      <c r="Q253" s="20"/>
      <c r="R253" s="17"/>
      <c r="S253" s="42">
        <f>IF(NOT(ISBLANK('Referenz Plattenwerk'!$I25)),'Referenz Plattenwerk'!$I25,'Referenz Plattenwerk'!$F25)/1000*IF(NOT(ISBLANK('Eingabe Preise'!$O13)),'Eingabe Preise'!$O13,'Eingabe Preise'!$M13)</f>
        <v>0</v>
      </c>
      <c r="T253" s="20" t="s">
        <v>106</v>
      </c>
    </row>
    <row r="254" spans="2:20" ht="15.75" hidden="1" outlineLevel="1" x14ac:dyDescent="0.3">
      <c r="B254" s="17"/>
      <c r="C254" s="17"/>
      <c r="D254" s="17" t="s">
        <v>149</v>
      </c>
      <c r="E254" s="17"/>
      <c r="F254" s="44">
        <f>IF(NOT(ISBLANK('Referenz Plattenwerk'!$I26)),'Referenz Plattenwerk'!$I26,'Referenz Plattenwerk'!$F26)*IF(NOT(ISBLANK('Eingabe EF'!$AS14)),'Eingabe EF'!$AS14,0)</f>
        <v>0</v>
      </c>
      <c r="G254" s="44">
        <f>IF(NOT(ISBLANK('Referenz Plattenwerk'!$I26)),'Referenz Plattenwerk'!$I26,'Referenz Plattenwerk'!$F26)*IF(NOT(ISBLANK('Eingabe EF'!$AW14)),'Eingabe EF'!$AW14,0)</f>
        <v>0</v>
      </c>
      <c r="H254" s="44">
        <f>IF(NOT(ISBLANK('Referenz Plattenwerk'!$I26)),'Referenz Plattenwerk'!$I26,'Referenz Plattenwerk'!$F26)*IF(NOT(ISBLANK('Eingabe EF'!$BA14)),'Eingabe EF'!$BA14,0)</f>
        <v>0</v>
      </c>
      <c r="I254" s="17"/>
      <c r="J254" s="38">
        <f t="shared" si="49"/>
        <v>0</v>
      </c>
      <c r="K254" s="38">
        <f t="shared" si="50"/>
        <v>0</v>
      </c>
      <c r="L254" s="17" t="s">
        <v>198</v>
      </c>
      <c r="N254" s="17"/>
      <c r="O254" s="17" t="s">
        <v>149</v>
      </c>
      <c r="P254" s="17"/>
      <c r="Q254" s="30"/>
      <c r="R254" s="17"/>
      <c r="S254" s="42">
        <f>IF(NOT(ISBLANK('Referenz Plattenwerk'!$I26)),'Referenz Plattenwerk'!$I26,'Referenz Plattenwerk'!$F26)/1000*IF(NOT(ISBLANK('Eingabe Preise'!$O17)),'Eingabe Preise'!$O17,0)</f>
        <v>0</v>
      </c>
      <c r="T254" s="20" t="s">
        <v>106</v>
      </c>
    </row>
    <row r="255" spans="2:20" hidden="1" outlineLevel="1" x14ac:dyDescent="0.2">
      <c r="B255" s="17"/>
      <c r="C255" s="17"/>
      <c r="D255" s="17"/>
      <c r="E255" s="17"/>
      <c r="F255" s="17"/>
      <c r="G255" s="17"/>
      <c r="H255" s="17"/>
      <c r="I255" s="17"/>
      <c r="J255" s="17"/>
      <c r="K255" s="17"/>
      <c r="L255" s="17"/>
      <c r="N255" s="17"/>
      <c r="O255" s="17"/>
      <c r="P255" s="17"/>
      <c r="Q255" s="30"/>
      <c r="R255" s="17"/>
      <c r="S255" s="17"/>
      <c r="T255" s="17"/>
    </row>
    <row r="256" spans="2:20" ht="15.75" hidden="1" outlineLevel="1" x14ac:dyDescent="0.3">
      <c r="B256" s="17"/>
      <c r="C256" s="17" t="s">
        <v>464</v>
      </c>
      <c r="D256" s="17" t="s">
        <v>34</v>
      </c>
      <c r="E256" s="17"/>
      <c r="F256" s="44">
        <f>IF(NOT(ISBLANK('Referenz Plattenwerk'!$I28)),'Referenz Plattenwerk'!$I28,'Referenz Plattenwerk'!$F28)*IF(NOT(ISBLANK('Eingabe EF'!$AS15)),'Eingabe EF'!$AS15,'Eingabe EF'!$AQ15)</f>
        <v>29.238941159999996</v>
      </c>
      <c r="G256" s="44">
        <f>IF(NOT(ISBLANK('Referenz Plattenwerk'!$I28)),'Referenz Plattenwerk'!$I28,'Referenz Plattenwerk'!$F28)*IF(NOT(ISBLANK('Eingabe EF'!$AW15)),'Eingabe EF'!$AW15,'Eingabe EF'!$AU15)</f>
        <v>0</v>
      </c>
      <c r="H256" s="44">
        <f>IF(NOT(ISBLANK('Referenz Plattenwerk'!$I28)),'Referenz Plattenwerk'!$I28,'Referenz Plattenwerk'!$F28)*IF(NOT(ISBLANK('Eingabe EF'!$BA15)),'Eingabe EF'!$BA15,'Eingabe EF'!$AY15)</f>
        <v>5.1658635600000009</v>
      </c>
      <c r="I256" s="17"/>
      <c r="J256" s="38">
        <f t="shared" ref="J256:J258" si="51">F256+G256</f>
        <v>29.238941159999996</v>
      </c>
      <c r="K256" s="38">
        <f t="shared" ref="K256:K258" si="52">SUM(F256:H256)</f>
        <v>34.404804719999994</v>
      </c>
      <c r="L256" s="17" t="s">
        <v>198</v>
      </c>
      <c r="N256" s="17"/>
      <c r="O256" s="17" t="s">
        <v>34</v>
      </c>
      <c r="P256" s="17" t="s">
        <v>464</v>
      </c>
      <c r="Q256" s="30"/>
      <c r="R256" s="17"/>
      <c r="S256" s="42">
        <f>IF(NOT(ISBLANK('Referenz Plattenwerk'!$I28)),'Referenz Plattenwerk'!$I28,'Referenz Plattenwerk'!$F28)*IF(NOT(ISBLANK('Eingabe Preise'!$O14)),'Eingabe Preise'!$O14,'Eingabe Preise'!$M14)</f>
        <v>12364.000000000002</v>
      </c>
      <c r="T256" s="20" t="s">
        <v>106</v>
      </c>
    </row>
    <row r="257" spans="2:20" ht="15.75" hidden="1" outlineLevel="1" x14ac:dyDescent="0.3">
      <c r="B257" s="17"/>
      <c r="C257" s="17" t="s">
        <v>75</v>
      </c>
      <c r="D257" s="17" t="s">
        <v>34</v>
      </c>
      <c r="E257" s="17"/>
      <c r="F257" s="44">
        <f>IF(NOT(ISBLANK('Referenz Plattenwerk'!$I29)),'Referenz Plattenwerk'!$I29,'Referenz Plattenwerk'!$F29)*IF(NOT(ISBLANK('Eingabe EF'!$AS15)),'Eingabe EF'!$AS15,'Eingabe EF'!$AQ15)</f>
        <v>6.645213899999999</v>
      </c>
      <c r="G257" s="44">
        <f>IF(NOT(ISBLANK('Referenz Plattenwerk'!$I29)),'Referenz Plattenwerk'!$I29,'Referenz Plattenwerk'!$F29)*IF(NOT(ISBLANK('Eingabe EF'!$AW15)),'Eingabe EF'!$AW15,'Eingabe EF'!$AU15)</f>
        <v>0</v>
      </c>
      <c r="H257" s="44">
        <f>IF(NOT(ISBLANK('Referenz Plattenwerk'!$I29)),'Referenz Plattenwerk'!$I29,'Referenz Plattenwerk'!$F29)*IF(NOT(ISBLANK('Eingabe EF'!$BA15)),'Eingabe EF'!$BA15,'Eingabe EF'!$AY15)</f>
        <v>1.1740599000000003</v>
      </c>
      <c r="I257" s="17"/>
      <c r="J257" s="38">
        <f t="shared" si="51"/>
        <v>6.645213899999999</v>
      </c>
      <c r="K257" s="38">
        <f t="shared" si="52"/>
        <v>7.8192737999999995</v>
      </c>
      <c r="L257" s="17" t="s">
        <v>198</v>
      </c>
      <c r="N257" s="17"/>
      <c r="O257" s="17" t="s">
        <v>34</v>
      </c>
      <c r="P257" s="17" t="s">
        <v>75</v>
      </c>
      <c r="Q257" s="30"/>
      <c r="R257" s="17"/>
      <c r="S257" s="42">
        <f>IF(NOT(ISBLANK('Referenz Plattenwerk'!$I29)),'Referenz Plattenwerk'!$I29,'Referenz Plattenwerk'!$F29)*IF(NOT(ISBLANK('Eingabe Preise'!$O14)),'Eingabe Preise'!$O14,'Eingabe Preise'!$M14)</f>
        <v>2810.0000000000005</v>
      </c>
      <c r="T257" s="20" t="s">
        <v>106</v>
      </c>
    </row>
    <row r="258" spans="2:20" ht="14.25" hidden="1" outlineLevel="1" x14ac:dyDescent="0.25">
      <c r="B258" s="70"/>
      <c r="C258" s="70" t="s">
        <v>189</v>
      </c>
      <c r="D258" s="70"/>
      <c r="E258" s="70"/>
      <c r="F258" s="72">
        <f>F259+F260</f>
        <v>0</v>
      </c>
      <c r="G258" s="72">
        <f t="shared" ref="G258:H258" si="53">G259+G260</f>
        <v>0</v>
      </c>
      <c r="H258" s="72">
        <f t="shared" si="53"/>
        <v>469.15642799999995</v>
      </c>
      <c r="I258" s="70"/>
      <c r="J258" s="72">
        <f t="shared" si="51"/>
        <v>0</v>
      </c>
      <c r="K258" s="72">
        <f t="shared" si="52"/>
        <v>469.15642799999995</v>
      </c>
      <c r="L258" s="77" t="s">
        <v>197</v>
      </c>
      <c r="N258" s="17"/>
      <c r="O258" s="17"/>
      <c r="P258" s="17"/>
      <c r="Q258" s="30"/>
      <c r="R258" s="17"/>
      <c r="S258" s="17"/>
      <c r="T258" s="17"/>
    </row>
    <row r="259" spans="2:20" ht="15.75" hidden="1" outlineLevel="1" x14ac:dyDescent="0.3">
      <c r="B259" s="17"/>
      <c r="C259" s="17"/>
      <c r="D259" s="17" t="s">
        <v>45</v>
      </c>
      <c r="E259" s="17"/>
      <c r="F259" s="44">
        <f>IF(NOT(ISBLANK('Referenz Plattenwerk'!$I32)),'Referenz Plattenwerk'!$I32,'Referenz Plattenwerk'!$F32)*IF(NOT(ISBLANK('Eingabe EF'!$AS17)),'Eingabe EF'!$AS17,'Eingabe EF'!$AQ17)</f>
        <v>0</v>
      </c>
      <c r="G259" s="44">
        <f>IF(NOT(ISBLANK('Referenz Plattenwerk'!$I32)),'Referenz Plattenwerk'!$I32,'Referenz Plattenwerk'!$F32)*IF(NOT(ISBLANK('Eingabe EF'!$AW17)),'Eingabe EF'!$AW17,'Eingabe EF'!$AU17)</f>
        <v>0</v>
      </c>
      <c r="H259" s="44">
        <f>IF(NOT(ISBLANK('Referenz Plattenwerk'!$I32)),'Referenz Plattenwerk'!$I32,'Referenz Plattenwerk'!$F32)*IF(NOT(ISBLANK('Eingabe EF'!$BA17)),'Eingabe EF'!$BA17,'Eingabe EF'!$AY17)</f>
        <v>109.4698332</v>
      </c>
      <c r="I259" s="17"/>
      <c r="J259" s="38">
        <f t="shared" si="49"/>
        <v>0</v>
      </c>
      <c r="K259" s="38">
        <f t="shared" si="50"/>
        <v>109.4698332</v>
      </c>
      <c r="L259" s="17" t="s">
        <v>198</v>
      </c>
      <c r="N259" s="17"/>
      <c r="O259" s="17"/>
      <c r="P259" s="17"/>
      <c r="Q259" s="30"/>
      <c r="R259" s="17"/>
      <c r="S259" s="17"/>
      <c r="T259" s="17"/>
    </row>
    <row r="260" spans="2:20" ht="15.75" hidden="1" outlineLevel="1" x14ac:dyDescent="0.3">
      <c r="B260" s="17"/>
      <c r="C260" s="17"/>
      <c r="D260" s="17" t="s">
        <v>46</v>
      </c>
      <c r="E260" s="17"/>
      <c r="F260" s="44">
        <f>IF(NOT(ISBLANK('Referenz Plattenwerk'!$I33)),'Referenz Plattenwerk'!$I33,'Referenz Plattenwerk'!$F33)*IF(NOT(ISBLANK('Eingabe EF'!$AS18)),'Eingabe EF'!$AS18,'Eingabe EF'!$AQ18)</f>
        <v>0</v>
      </c>
      <c r="G260" s="44">
        <f>IF(NOT(ISBLANK('Referenz Plattenwerk'!$I33)),'Referenz Plattenwerk'!$I33,'Referenz Plattenwerk'!$F33)*IF(NOT(ISBLANK('Eingabe EF'!$AW18)),'Eingabe EF'!$AW18,'Eingabe EF'!$AU18)</f>
        <v>0</v>
      </c>
      <c r="H260" s="44">
        <f>IF(NOT(ISBLANK('Referenz Plattenwerk'!$I33)),'Referenz Plattenwerk'!$I33,'Referenz Plattenwerk'!$F33)*IF(NOT(ISBLANK('Eingabe EF'!$BA18)),'Eingabe EF'!$BA18,'Eingabe EF'!$AY18)</f>
        <v>359.68659479999997</v>
      </c>
      <c r="I260" s="17"/>
      <c r="J260" s="38">
        <f t="shared" si="49"/>
        <v>0</v>
      </c>
      <c r="K260" s="38">
        <f t="shared" si="50"/>
        <v>359.68659479999997</v>
      </c>
      <c r="L260" s="17" t="s">
        <v>198</v>
      </c>
      <c r="N260" s="17"/>
      <c r="O260" s="17" t="s">
        <v>30</v>
      </c>
      <c r="P260" s="17"/>
      <c r="Q260" s="30"/>
      <c r="R260" s="17"/>
      <c r="S260" s="42">
        <f>S272+S273</f>
        <v>0</v>
      </c>
      <c r="T260" s="20" t="s">
        <v>106</v>
      </c>
    </row>
    <row r="261" spans="2:20" hidden="1" outlineLevel="1" x14ac:dyDescent="0.2">
      <c r="B261" s="17"/>
      <c r="C261" s="17"/>
      <c r="D261" s="17"/>
      <c r="E261" s="17"/>
      <c r="F261" s="20"/>
      <c r="G261" s="20"/>
      <c r="H261" s="20"/>
      <c r="I261" s="17"/>
      <c r="J261" s="20"/>
      <c r="K261" s="20"/>
      <c r="L261" s="17"/>
      <c r="N261" s="17"/>
      <c r="O261" s="45" t="s">
        <v>153</v>
      </c>
      <c r="P261" s="17"/>
      <c r="Q261" s="30"/>
      <c r="R261" s="17"/>
      <c r="S261" s="42">
        <f>IF(NOT(ISBLANK($K$31)),$K$31,$I$31)</f>
        <v>0</v>
      </c>
      <c r="T261" s="20" t="s">
        <v>106</v>
      </c>
    </row>
    <row r="262" spans="2:20" ht="14.25" hidden="1" outlineLevel="1" x14ac:dyDescent="0.25">
      <c r="B262" s="70"/>
      <c r="C262" s="70" t="s">
        <v>68</v>
      </c>
      <c r="D262" s="71"/>
      <c r="E262" s="71"/>
      <c r="F262" s="72">
        <f>SUM(F263:F266)</f>
        <v>0</v>
      </c>
      <c r="G262" s="72">
        <f t="shared" ref="G262" si="54">SUM(G263:G266)</f>
        <v>0</v>
      </c>
      <c r="H262" s="72">
        <f>SUM(H263:H266)</f>
        <v>4093.6896000000002</v>
      </c>
      <c r="I262" s="71"/>
      <c r="J262" s="72">
        <f t="shared" ref="J262:J266" si="55">F262+G262</f>
        <v>0</v>
      </c>
      <c r="K262" s="72">
        <f t="shared" ref="K262" si="56">SUM(F262:H262)</f>
        <v>4093.6896000000002</v>
      </c>
      <c r="L262" s="77" t="s">
        <v>197</v>
      </c>
      <c r="N262" s="17"/>
      <c r="O262" s="45" t="s">
        <v>160</v>
      </c>
      <c r="P262" s="17"/>
      <c r="Q262" s="30"/>
      <c r="R262" s="17"/>
      <c r="S262" s="42">
        <f>S275+S276</f>
        <v>0</v>
      </c>
      <c r="T262" s="20" t="s">
        <v>106</v>
      </c>
    </row>
    <row r="263" spans="2:20" ht="15.75" hidden="1" outlineLevel="1" x14ac:dyDescent="0.3">
      <c r="B263" s="276"/>
      <c r="C263" s="17"/>
      <c r="D263" s="17" t="s">
        <v>47</v>
      </c>
      <c r="E263" s="17"/>
      <c r="F263" s="38">
        <f>E233*IF(NOT(ISBLANK('Referenz Plattenwerk'!$I36)),'Referenz Plattenwerk'!$I36,'Referenz Plattenwerk'!$F36)*IF(NOT(ISBLANK('Eingabe EF'!$AS21)),'Eingabe EF'!$AS21,'Eingabe EF'!$AQ21)*IF(NOT(ISBLANK('Referenz Plattenwerk'!$I$12)),'Referenz Plattenwerk'!$I$12,'Referenz Plattenwerk'!$F$12)</f>
        <v>0</v>
      </c>
      <c r="G263" s="38">
        <f>E233*IF(NOT(ISBLANK('Referenz Plattenwerk'!$I36)),'Referenz Plattenwerk'!$I36,'Referenz Plattenwerk'!$F36)*IF(NOT(ISBLANK('Eingabe EF'!$AW21)),'Eingabe EF'!$AW21,'Eingabe EF'!$AU21)*IF(NOT(ISBLANK('Referenz Plattenwerk'!$I$12)),'Referenz Plattenwerk'!$I$12,'Referenz Plattenwerk'!$F$12)</f>
        <v>0</v>
      </c>
      <c r="H263" s="38">
        <f>E233*IF(NOT(ISBLANK('Referenz Plattenwerk'!$I36)),'Referenz Plattenwerk'!$I36,'Referenz Plattenwerk'!$F36)*IF(NOT(ISBLANK('Eingabe EF'!$BA21)),'Eingabe EF'!$BA21,'Eingabe EF'!$AY21)*IF(NOT(ISBLANK('Referenz Plattenwerk'!$I$12)),'Referenz Plattenwerk'!$I$12,'Referenz Plattenwerk'!$F$12)</f>
        <v>1089.2700000000002</v>
      </c>
      <c r="I263" s="17"/>
      <c r="J263" s="38">
        <f t="shared" si="55"/>
        <v>0</v>
      </c>
      <c r="K263" s="38">
        <f t="shared" ref="K263:K266" si="57">SUM(F263:H263)</f>
        <v>1089.2700000000002</v>
      </c>
      <c r="L263" s="17" t="s">
        <v>198</v>
      </c>
      <c r="N263" s="17"/>
      <c r="O263" s="17"/>
      <c r="P263" s="17"/>
      <c r="Q263" s="17"/>
      <c r="R263" s="17"/>
      <c r="S263" s="17"/>
      <c r="T263" s="17"/>
    </row>
    <row r="264" spans="2:20" ht="15.75" hidden="1" outlineLevel="1" x14ac:dyDescent="0.3">
      <c r="B264" s="276"/>
      <c r="C264" s="17"/>
      <c r="D264" s="17" t="s">
        <v>49</v>
      </c>
      <c r="E264" s="17"/>
      <c r="F264" s="38">
        <f>E234*IF(NOT(ISBLANK('Referenz Plattenwerk'!$I37)),'Referenz Plattenwerk'!$I37,'Referenz Plattenwerk'!$F37)*IF(NOT(ISBLANK('Eingabe EF'!$AS22)),'Eingabe EF'!$AS22,'Eingabe EF'!$AQ22)*IF(NOT(ISBLANK('Referenz Plattenwerk'!$I$12)),'Referenz Plattenwerk'!$I$12,'Referenz Plattenwerk'!$F$12)</f>
        <v>0</v>
      </c>
      <c r="G264" s="38">
        <f>E234*IF(NOT(ISBLANK('Referenz Plattenwerk'!$I37)),'Referenz Plattenwerk'!$I37,'Referenz Plattenwerk'!$F37)*IF(NOT(ISBLANK('Eingabe EF'!$AW22)),'Eingabe EF'!$AW22,'Eingabe EF'!$AU22)*IF(NOT(ISBLANK('Referenz Plattenwerk'!$I$12)),'Referenz Plattenwerk'!$I$12,'Referenz Plattenwerk'!$F$12)</f>
        <v>0</v>
      </c>
      <c r="H264" s="38">
        <f>E234*IF(NOT(ISBLANK('Referenz Plattenwerk'!$I37)),'Referenz Plattenwerk'!$I37,'Referenz Plattenwerk'!$F37)*IF(NOT(ISBLANK('Eingabe EF'!$BA22)),'Eingabe EF'!$BA22,'Eingabe EF'!$AY22)*IF(NOT(ISBLANK('Referenz Plattenwerk'!$I$12)),'Referenz Plattenwerk'!$I$12,'Referenz Plattenwerk'!$F$12)</f>
        <v>2173.9536000000003</v>
      </c>
      <c r="I264" s="17"/>
      <c r="J264" s="38">
        <f t="shared" si="55"/>
        <v>0</v>
      </c>
      <c r="K264" s="38">
        <f t="shared" si="57"/>
        <v>2173.9536000000003</v>
      </c>
      <c r="L264" s="17" t="s">
        <v>198</v>
      </c>
      <c r="N264" s="17"/>
      <c r="O264" s="17"/>
      <c r="P264" s="17"/>
      <c r="Q264" s="17"/>
      <c r="R264" s="17"/>
      <c r="S264" s="17"/>
      <c r="T264" s="17"/>
    </row>
    <row r="265" spans="2:20" ht="15.75" hidden="1" outlineLevel="1" x14ac:dyDescent="0.3">
      <c r="B265" s="276"/>
      <c r="C265" s="17"/>
      <c r="D265" s="17" t="s">
        <v>50</v>
      </c>
      <c r="E265" s="17"/>
      <c r="F265" s="38">
        <f>E235*IF(NOT(ISBLANK('Referenz Plattenwerk'!$I38)),'Referenz Plattenwerk'!$I38,'Referenz Plattenwerk'!$F38)*IF(NOT(ISBLANK('Eingabe EF'!$AS23)),'Eingabe EF'!$AS23,'Eingabe EF'!$AQ23)*IF(NOT(ISBLANK('Referenz Plattenwerk'!$I$12)),'Referenz Plattenwerk'!$I$12,'Referenz Plattenwerk'!$F$12)</f>
        <v>0</v>
      </c>
      <c r="G265" s="38">
        <f>E235*IF(NOT(ISBLANK('Referenz Plattenwerk'!$I38)),'Referenz Plattenwerk'!$I38,'Referenz Plattenwerk'!$F38)*IF(NOT(ISBLANK('Eingabe EF'!$AW23)),'Eingabe EF'!$AW23,'Eingabe EF'!$AU23)*IF(NOT(ISBLANK('Referenz Plattenwerk'!$I$12)),'Referenz Plattenwerk'!$I$12,'Referenz Plattenwerk'!$F$12)</f>
        <v>0</v>
      </c>
      <c r="H265" s="38">
        <f>E235*IF(NOT(ISBLANK('Referenz Plattenwerk'!$I38)),'Referenz Plattenwerk'!$I38,'Referenz Plattenwerk'!$F38)*IF(NOT(ISBLANK('Eingabe EF'!$BA23)),'Eingabe EF'!$BA23,'Eingabe EF'!$AY23)*IF(NOT(ISBLANK('Referenz Plattenwerk'!$I$12)),'Referenz Plattenwerk'!$I$12,'Referenz Plattenwerk'!$F$12)</f>
        <v>830.46599999999989</v>
      </c>
      <c r="I265" s="17"/>
      <c r="J265" s="38">
        <f t="shared" si="55"/>
        <v>0</v>
      </c>
      <c r="K265" s="38">
        <f t="shared" si="57"/>
        <v>830.46599999999989</v>
      </c>
      <c r="L265" s="17" t="s">
        <v>198</v>
      </c>
      <c r="N265" s="17"/>
      <c r="O265" s="17" t="s">
        <v>200</v>
      </c>
      <c r="P265" s="17"/>
      <c r="Q265" s="30"/>
      <c r="R265" s="17"/>
      <c r="S265" s="42">
        <f>F305*IF(NOT(ISBLANK('Eingabe Preise'!$O21)),'Eingabe Preise'!$O21,'Eingabe Preise'!$M21)</f>
        <v>7594.5884048000007</v>
      </c>
      <c r="T265" s="20" t="s">
        <v>106</v>
      </c>
    </row>
    <row r="266" spans="2:20" ht="15.75" hidden="1" outlineLevel="1" x14ac:dyDescent="0.3">
      <c r="B266" s="276"/>
      <c r="C266" s="17"/>
      <c r="D266" s="17" t="s">
        <v>161</v>
      </c>
      <c r="E266" s="17"/>
      <c r="F266" s="38">
        <f>E236*IF(NOT(ISBLANK('Referenz Plattenwerk'!$I39)),'Referenz Plattenwerk'!$I39,'Referenz Plattenwerk'!$F39)*IF(NOT(ISBLANK('Eingabe EF'!$AS24)),'Eingabe EF'!$AS24,0)*IF(NOT(ISBLANK('Referenz Plattenwerk'!$I$12)),'Referenz Plattenwerk'!$I$12,'Referenz Plattenwerk'!$F$12)</f>
        <v>0</v>
      </c>
      <c r="G266" s="38">
        <f>E236*IF(NOT(ISBLANK('Referenz Plattenwerk'!$I39)),'Referenz Plattenwerk'!$I39,'Referenz Plattenwerk'!$F39)*IF(NOT(ISBLANK('Eingabe EF'!$AW24)),'Eingabe EF'!$AW24,0)*IF(NOT(ISBLANK('Referenz Plattenwerk'!$I$12)),'Referenz Plattenwerk'!$I$12,'Referenz Plattenwerk'!$F$12)</f>
        <v>0</v>
      </c>
      <c r="H266" s="38">
        <f>E236*IF(NOT(ISBLANK('Referenz Plattenwerk'!$I39)),'Referenz Plattenwerk'!$I39,'Referenz Plattenwerk'!$F39)*IF(NOT(ISBLANK('Eingabe EF'!$BA24)),'Eingabe EF'!$BA24,0)*IF(NOT(ISBLANK('Referenz Plattenwerk'!$I$12)),'Referenz Plattenwerk'!$I$12,'Referenz Plattenwerk'!$F$12)</f>
        <v>0</v>
      </c>
      <c r="I266" s="17"/>
      <c r="J266" s="38">
        <f t="shared" si="55"/>
        <v>0</v>
      </c>
      <c r="K266" s="38">
        <f t="shared" si="57"/>
        <v>0</v>
      </c>
      <c r="L266" s="17" t="s">
        <v>198</v>
      </c>
      <c r="N266" s="17"/>
      <c r="O266" s="17" t="s">
        <v>201</v>
      </c>
      <c r="P266" s="17"/>
      <c r="Q266" s="30"/>
      <c r="R266" s="17"/>
      <c r="S266" s="42">
        <f>G305*IF(NOT(ISBLANK('Eingabe Preise'!$O22)),'Eingabe Preise'!$O22,'Eingabe Preise'!$M22)</f>
        <v>4924.2043876888438</v>
      </c>
      <c r="T266" s="20" t="s">
        <v>106</v>
      </c>
    </row>
    <row r="267" spans="2:20" ht="15.75" hidden="1" outlineLevel="1" x14ac:dyDescent="0.3">
      <c r="B267" s="17"/>
      <c r="C267" s="17"/>
      <c r="D267" s="17"/>
      <c r="E267" s="17"/>
      <c r="F267" s="17"/>
      <c r="G267" s="17"/>
      <c r="H267" s="17"/>
      <c r="I267" s="17"/>
      <c r="J267" s="20"/>
      <c r="K267" s="20"/>
      <c r="L267" s="17"/>
      <c r="N267" s="17"/>
      <c r="O267" s="17" t="s">
        <v>202</v>
      </c>
      <c r="P267" s="17"/>
      <c r="Q267" s="30"/>
      <c r="R267" s="17"/>
      <c r="S267" s="42">
        <f>H305*IF(NOT(ISBLANK('Eingabe Preise'!$O23)),'Eingabe Preise'!$O23,'Eingabe Preise'!$M23)</f>
        <v>428839.89071929193</v>
      </c>
      <c r="T267" s="20" t="s">
        <v>106</v>
      </c>
    </row>
    <row r="268" spans="2:20" ht="14.25" hidden="1" outlineLevel="1" x14ac:dyDescent="0.25">
      <c r="B268" s="70"/>
      <c r="C268" s="70" t="s">
        <v>177</v>
      </c>
      <c r="D268" s="71"/>
      <c r="E268" s="71"/>
      <c r="F268" s="72">
        <f>SUM(F269:F271)</f>
        <v>0</v>
      </c>
      <c r="G268" s="72">
        <f t="shared" ref="G268:H268" si="58">SUM(G269:G271)</f>
        <v>0</v>
      </c>
      <c r="H268" s="72">
        <f t="shared" si="58"/>
        <v>129.59200000000001</v>
      </c>
      <c r="I268" s="71"/>
      <c r="J268" s="72">
        <f t="shared" ref="J268" si="59">F268+G268</f>
        <v>0</v>
      </c>
      <c r="K268" s="72">
        <f t="shared" ref="K268" si="60">SUM(F268:H268)</f>
        <v>129.59200000000001</v>
      </c>
      <c r="L268" s="77" t="s">
        <v>197</v>
      </c>
      <c r="N268" s="17"/>
      <c r="O268" s="17"/>
      <c r="P268" s="17"/>
      <c r="Q268" s="17"/>
      <c r="R268" s="17"/>
      <c r="S268" s="17"/>
      <c r="T268" s="17"/>
    </row>
    <row r="269" spans="2:20" ht="15.75" hidden="1" outlineLevel="1" x14ac:dyDescent="0.3">
      <c r="B269" s="17"/>
      <c r="C269" s="17"/>
      <c r="D269" s="17" t="s">
        <v>178</v>
      </c>
      <c r="E269" s="17"/>
      <c r="F269" s="38">
        <f>IF(NOT(ISBLANK('Referenz Plattenwerk'!$I42)),'Referenz Plattenwerk'!$I42,'Referenz Plattenwerk'!$F42)*IF(NOT(ISBLANK('Eingabe EF'!$AS27)),'Eingabe EF'!$AS27,'Eingabe EF'!$AQ27)*IF(NOT(ISBLANK('Referenz Plattenwerk'!$I$12)),'Referenz Plattenwerk'!$I$12,'Referenz Plattenwerk'!$F$12)</f>
        <v>0</v>
      </c>
      <c r="G269" s="38">
        <f>IF(NOT(ISBLANK('Referenz Plattenwerk'!$I42)),'Referenz Plattenwerk'!$I42,'Referenz Plattenwerk'!$F42)*IF(NOT(ISBLANK('Eingabe EF'!$AW27)),'Eingabe EF'!$AW27,'Eingabe EF'!$AU27)*IF(NOT(ISBLANK('Referenz Plattenwerk'!$I$12)),'Referenz Plattenwerk'!$I$12,'Referenz Plattenwerk'!$F$12)</f>
        <v>0</v>
      </c>
      <c r="H269" s="38">
        <f>IF(NOT(ISBLANK('Referenz Plattenwerk'!$I42)),'Referenz Plattenwerk'!$I42,'Referenz Plattenwerk'!$F42)*IF(NOT(ISBLANK('Eingabe EF'!$BA27)),'Eingabe EF'!$BA27,'Eingabe EF'!$AY27)*IF(NOT(ISBLANK('Referenz Plattenwerk'!$I$12)),'Referenz Plattenwerk'!$I$12,'Referenz Plattenwerk'!$F$12)</f>
        <v>129.59200000000001</v>
      </c>
      <c r="I269" s="17"/>
      <c r="J269" s="38">
        <f>F269+G269</f>
        <v>0</v>
      </c>
      <c r="K269" s="38">
        <f>SUM(F269:H269)</f>
        <v>129.59200000000001</v>
      </c>
      <c r="L269" s="17" t="s">
        <v>198</v>
      </c>
      <c r="N269" s="17"/>
      <c r="O269" s="17"/>
      <c r="P269" s="17"/>
      <c r="Q269" s="17"/>
      <c r="R269" s="17"/>
      <c r="S269" s="17"/>
      <c r="T269" s="17"/>
    </row>
    <row r="270" spans="2:20" ht="15.75" hidden="1" outlineLevel="1" x14ac:dyDescent="0.3">
      <c r="B270" s="17"/>
      <c r="C270" s="17"/>
      <c r="D270" s="17" t="s">
        <v>179</v>
      </c>
      <c r="E270" s="17"/>
      <c r="F270" s="38">
        <f>IF(NOT(ISBLANK('Referenz Plattenwerk'!$I43)),'Referenz Plattenwerk'!$I43,'Referenz Plattenwerk'!$F43)*IF(NOT(ISBLANK('Eingabe EF'!$AS28)),'Eingabe EF'!$AS28,0)*IF(NOT(ISBLANK('Referenz Plattenwerk'!$I$12)),'Referenz Plattenwerk'!$I$12,'Referenz Plattenwerk'!$F$12)</f>
        <v>0</v>
      </c>
      <c r="G270" s="38">
        <f>IF(NOT(ISBLANK('Referenz Plattenwerk'!$I43)),'Referenz Plattenwerk'!$I43,'Referenz Plattenwerk'!$F43)*IF(NOT(ISBLANK('Eingabe EF'!$AW28)),'Eingabe EF'!$AW28,0)*IF(NOT(ISBLANK('Referenz Plattenwerk'!$I$12)),'Referenz Plattenwerk'!$I$12,'Referenz Plattenwerk'!$F$12)</f>
        <v>0</v>
      </c>
      <c r="H270" s="38">
        <f>IF(NOT(ISBLANK('Referenz Plattenwerk'!$I43)),'Referenz Plattenwerk'!$I43,'Referenz Plattenwerk'!$F43)*IF(NOT(ISBLANK('Eingabe EF'!$BA28)),'Eingabe EF'!$BA28,0)*IF(NOT(ISBLANK('Referenz Plattenwerk'!$I$12)),'Referenz Plattenwerk'!$I$12,'Referenz Plattenwerk'!$F$12)</f>
        <v>0</v>
      </c>
      <c r="I270" s="17"/>
      <c r="J270" s="38">
        <f>F270+G270</f>
        <v>0</v>
      </c>
      <c r="K270" s="38">
        <f t="shared" ref="K270:K271" si="61">SUM(F270:H270)</f>
        <v>0</v>
      </c>
      <c r="L270" s="17" t="s">
        <v>198</v>
      </c>
      <c r="N270" s="17"/>
      <c r="O270" s="17"/>
      <c r="P270" s="17"/>
      <c r="Q270" s="18"/>
      <c r="R270" s="17"/>
      <c r="S270" s="18"/>
      <c r="T270" s="18"/>
    </row>
    <row r="271" spans="2:20" ht="15.75" hidden="1" outlineLevel="1" x14ac:dyDescent="0.3">
      <c r="B271" s="17"/>
      <c r="C271" s="17"/>
      <c r="D271" s="17" t="s">
        <v>180</v>
      </c>
      <c r="E271" s="17"/>
      <c r="F271" s="38">
        <f>IF(NOT(ISBLANK('Referenz Plattenwerk'!$I44)),'Referenz Plattenwerk'!$I44,'Referenz Plattenwerk'!$F44)*IF(NOT(ISBLANK('Eingabe EF'!$AS29)),'Eingabe EF'!$AS29,0)*IF(NOT(ISBLANK('Referenz Plattenwerk'!$I$12)),'Referenz Plattenwerk'!$I$12,'Referenz Plattenwerk'!$F$12)</f>
        <v>0</v>
      </c>
      <c r="G271" s="38">
        <f>IF(NOT(ISBLANK('Referenz Plattenwerk'!$I44)),'Referenz Plattenwerk'!$I44,'Referenz Plattenwerk'!$F44)*IF(NOT(ISBLANK('Eingabe EF'!$AW29)),'Eingabe EF'!$AW29,0)*IF(NOT(ISBLANK('Referenz Plattenwerk'!$I$12)),'Referenz Plattenwerk'!$I$12,'Referenz Plattenwerk'!$F$12)</f>
        <v>0</v>
      </c>
      <c r="H271" s="38">
        <f>IF(NOT(ISBLANK('Referenz Plattenwerk'!$I44)),'Referenz Plattenwerk'!$I44,'Referenz Plattenwerk'!$F44)*IF(NOT(ISBLANK('Eingabe EF'!$BA29)),'Eingabe EF'!$BA29,0)*IF(NOT(ISBLANK('Referenz Plattenwerk'!$I$12)),'Referenz Plattenwerk'!$I$12,'Referenz Plattenwerk'!$F$12)</f>
        <v>0</v>
      </c>
      <c r="I271" s="17"/>
      <c r="J271" s="38">
        <f t="shared" ref="J271" si="62">F271+G271</f>
        <v>0</v>
      </c>
      <c r="K271" s="38">
        <f t="shared" si="61"/>
        <v>0</v>
      </c>
      <c r="L271" s="17" t="s">
        <v>198</v>
      </c>
      <c r="N271" s="21" t="s">
        <v>223</v>
      </c>
      <c r="O271" s="17"/>
      <c r="P271" s="17"/>
      <c r="Q271" s="17"/>
      <c r="R271" s="17"/>
      <c r="S271" s="17"/>
      <c r="T271" s="17"/>
    </row>
    <row r="272" spans="2:20" hidden="1" outlineLevel="1" x14ac:dyDescent="0.2">
      <c r="B272" s="17"/>
      <c r="C272" s="17"/>
      <c r="D272" s="17"/>
      <c r="E272" s="17"/>
      <c r="F272" s="17"/>
      <c r="G272" s="17"/>
      <c r="H272" s="17"/>
      <c r="I272" s="17"/>
      <c r="J272" s="20"/>
      <c r="K272" s="20"/>
      <c r="L272" s="17"/>
      <c r="N272" s="17"/>
      <c r="O272" s="17" t="s">
        <v>224</v>
      </c>
      <c r="P272" s="17"/>
      <c r="Q272" s="18"/>
      <c r="R272" s="17"/>
      <c r="S272" s="42">
        <f>IF(IF(NOT(ISBLANK($G$35)),$G$35,$E$35)&gt;5,S182,0)</f>
        <v>0</v>
      </c>
      <c r="T272" s="20" t="s">
        <v>106</v>
      </c>
    </row>
    <row r="273" spans="2:20" ht="14.25" hidden="1" outlineLevel="1" x14ac:dyDescent="0.25">
      <c r="B273" s="17"/>
      <c r="C273" s="17"/>
      <c r="D273" s="21" t="s">
        <v>57</v>
      </c>
      <c r="E273" s="21"/>
      <c r="F273" s="75">
        <f>IF(NOT(ISBLANK('Referenz Plattenwerk'!$I46)),'Referenz Plattenwerk'!$I46,'Referenz Plattenwerk'!$F46)*IF(NOT(ISBLANK('Eingabe EF'!$AS31)),'Eingabe EF'!$AS31,'Eingabe EF'!$AQ31)*IF(NOT(ISBLANK('Referenz Plattenwerk'!$I$12)),'Referenz Plattenwerk'!$I$12,'Referenz Plattenwerk'!$F$12)</f>
        <v>0</v>
      </c>
      <c r="G273" s="75">
        <f>IF(NOT(ISBLANK('Referenz Plattenwerk'!$I46)),'Referenz Plattenwerk'!$I46,'Referenz Plattenwerk'!$F46)*IF(NOT(ISBLANK('Eingabe EF'!$AW31)),'Eingabe EF'!$AW31,'Eingabe EF'!$AU31)*IF(NOT(ISBLANK('Referenz Plattenwerk'!$I$12)),'Referenz Plattenwerk'!$I$12,'Referenz Plattenwerk'!$F$12)</f>
        <v>0</v>
      </c>
      <c r="H273" s="75">
        <f>IF(NOT(ISBLANK('Referenz Plattenwerk'!$I46)),'Referenz Plattenwerk'!$I46,'Referenz Plattenwerk'!$F46)*IF(NOT(ISBLANK('Eingabe EF'!$BA31)),'Eingabe EF'!$BA31,'Eingabe EF'!$AY31)*IF(NOT(ISBLANK('Referenz Plattenwerk'!$I$12)),'Referenz Plattenwerk'!$I$12,'Referenz Plattenwerk'!$F$12)</f>
        <v>208</v>
      </c>
      <c r="I273" s="21"/>
      <c r="J273" s="75">
        <f>F273+G273</f>
        <v>0</v>
      </c>
      <c r="K273" s="75">
        <f t="shared" ref="K273" si="63">SUM(F273:H273)</f>
        <v>208</v>
      </c>
      <c r="L273" s="21" t="s">
        <v>197</v>
      </c>
      <c r="N273" s="17"/>
      <c r="O273" s="17" t="s">
        <v>225</v>
      </c>
      <c r="P273" s="17"/>
      <c r="Q273" s="17"/>
      <c r="R273" s="17"/>
      <c r="S273" s="42">
        <f>IF(NOT(ISBLANK($K$30)),$K$30,$I$30)/IF(NOT(ISBLANK($K$35)),$K$35,$I$35)+IF(NOT(ISBLANK($K$30)),$K$30,$I$30)*(IF(NOT(ISBLANK($K$36)),$K$36,$I$36)/100)</f>
        <v>0</v>
      </c>
      <c r="T273" s="20" t="s">
        <v>106</v>
      </c>
    </row>
    <row r="274" spans="2:20" hidden="1" outlineLevel="1" x14ac:dyDescent="0.2">
      <c r="B274" s="17"/>
      <c r="C274" s="17"/>
      <c r="D274" s="17"/>
      <c r="E274" s="17"/>
      <c r="F274" s="17"/>
      <c r="G274" s="17"/>
      <c r="H274" s="17"/>
      <c r="I274" s="17"/>
      <c r="J274" s="20"/>
      <c r="K274" s="20"/>
      <c r="L274" s="17"/>
      <c r="N274" s="17"/>
      <c r="O274" s="17"/>
      <c r="P274" s="17"/>
      <c r="Q274" s="18"/>
      <c r="R274" s="17"/>
      <c r="S274" s="18"/>
      <c r="T274" s="18"/>
    </row>
    <row r="275" spans="2:20" ht="14.25" hidden="1" outlineLevel="1" x14ac:dyDescent="0.25">
      <c r="B275" s="70"/>
      <c r="C275" s="70" t="s">
        <v>181</v>
      </c>
      <c r="D275" s="71"/>
      <c r="E275" s="71"/>
      <c r="F275" s="72">
        <f>SUM(F276:F278)</f>
        <v>0</v>
      </c>
      <c r="G275" s="72">
        <f t="shared" ref="G275:H275" si="64">SUM(G276:G278)</f>
        <v>0</v>
      </c>
      <c r="H275" s="72">
        <f t="shared" si="64"/>
        <v>81.003999999999991</v>
      </c>
      <c r="I275" s="71"/>
      <c r="J275" s="72">
        <f t="shared" ref="J275" si="65">F275+G275</f>
        <v>0</v>
      </c>
      <c r="K275" s="72">
        <f t="shared" ref="K275" si="66">SUM(F275:H275)</f>
        <v>81.003999999999991</v>
      </c>
      <c r="L275" s="77" t="s">
        <v>197</v>
      </c>
      <c r="N275" s="17"/>
      <c r="O275" s="17" t="s">
        <v>227</v>
      </c>
      <c r="P275" s="17"/>
      <c r="Q275" s="17"/>
      <c r="R275" s="17"/>
      <c r="S275" s="42">
        <f>IF(IF(NOT(ISBLANK($G$35)),$G$35,$E$35)&gt;5,S184,0)</f>
        <v>0</v>
      </c>
      <c r="T275" s="20" t="s">
        <v>106</v>
      </c>
    </row>
    <row r="276" spans="2:20" ht="15.75" hidden="1" outlineLevel="1" x14ac:dyDescent="0.3">
      <c r="B276" s="17"/>
      <c r="C276" s="17"/>
      <c r="D276" s="17" t="s">
        <v>59</v>
      </c>
      <c r="E276" s="17"/>
      <c r="F276" s="38">
        <f>IF(NOT(ISBLANK('Referenz Plattenwerk'!$I49)),'Referenz Plattenwerk'!$I49,'Referenz Plattenwerk'!$F49)*IF(NOT(ISBLANK('Eingabe EF'!$AS34)),'Eingabe EF'!$AS34,'Eingabe EF'!$AQ34)*IF(NOT(ISBLANK('Referenz Plattenwerk'!$I$12)),'Referenz Plattenwerk'!$I$12,'Referenz Plattenwerk'!$F$12)</f>
        <v>0</v>
      </c>
      <c r="G276" s="38">
        <f>IF(NOT(ISBLANK('Referenz Plattenwerk'!$I49)),'Referenz Plattenwerk'!$I49,'Referenz Plattenwerk'!$F49)*IF(NOT(ISBLANK('Eingabe EF'!$AW34)),'Eingabe EF'!$AW34,'Eingabe EF'!$AU34)*IF(NOT(ISBLANK('Referenz Plattenwerk'!$I$12)),'Referenz Plattenwerk'!$I$12,'Referenz Plattenwerk'!$F$12)</f>
        <v>0</v>
      </c>
      <c r="H276" s="38">
        <f>IF(NOT(ISBLANK('Referenz Plattenwerk'!$I49)),'Referenz Plattenwerk'!$I49,'Referenz Plattenwerk'!$F49)*IF(NOT(ISBLANK('Eingabe EF'!$BA34)),'Eingabe EF'!$BA34,'Eingabe EF'!$AY34)*IF(NOT(ISBLANK('Referenz Plattenwerk'!$I$12)),'Referenz Plattenwerk'!$I$12,'Referenz Plattenwerk'!$F$12)</f>
        <v>0</v>
      </c>
      <c r="I276" s="17"/>
      <c r="J276" s="38">
        <f>F276+G276</f>
        <v>0</v>
      </c>
      <c r="K276" s="38">
        <f>SUM(F276:H276)</f>
        <v>0</v>
      </c>
      <c r="L276" s="17" t="s">
        <v>198</v>
      </c>
      <c r="N276" s="17"/>
      <c r="O276" s="17" t="s">
        <v>228</v>
      </c>
      <c r="P276" s="17"/>
      <c r="Q276" s="18"/>
      <c r="R276" s="17"/>
      <c r="S276" s="42">
        <f>IF(NOT(ISBLANK($K$32)),$K$32,$I$32)/IF(NOT(ISBLANK($K$35)),$K$35,$I$35)+IF(NOT(ISBLANK($K$32)),$K$32,$I$32)*(IF(NOT(ISBLANK($K$36)),$K$36,$I$36)/100)</f>
        <v>0</v>
      </c>
      <c r="T276" s="20" t="s">
        <v>106</v>
      </c>
    </row>
    <row r="277" spans="2:20" ht="15.75" hidden="1" outlineLevel="1" x14ac:dyDescent="0.3">
      <c r="B277" s="276"/>
      <c r="C277" s="17"/>
      <c r="D277" s="17" t="s">
        <v>60</v>
      </c>
      <c r="E277" s="17"/>
      <c r="F277" s="38">
        <f>IF(NOT(ISBLANK('Referenz Plattenwerk'!$I50)),'Referenz Plattenwerk'!$I50,'Referenz Plattenwerk'!$F50)*IF(NOT(ISBLANK('Eingabe EF'!$AS35)),'Eingabe EF'!$AS35,'Eingabe EF'!$AQ35)*IF(NOT(ISBLANK('Referenz Plattenwerk'!$I$12)),'Referenz Plattenwerk'!$I$12,'Referenz Plattenwerk'!$F$12)</f>
        <v>0</v>
      </c>
      <c r="G277" s="38">
        <f>IF(NOT(ISBLANK('Referenz Plattenwerk'!$I50)),'Referenz Plattenwerk'!$I50,'Referenz Plattenwerk'!$F50)*IF(NOT(ISBLANK('Eingabe EF'!$AW35)),'Eingabe EF'!$AW35,'Eingabe EF'!$AU35)*IF(NOT(ISBLANK('Referenz Plattenwerk'!$I$12)),'Referenz Plattenwerk'!$I$12,'Referenz Plattenwerk'!$F$12)</f>
        <v>0</v>
      </c>
      <c r="H277" s="38">
        <f>IF(NOT(ISBLANK('Referenz Plattenwerk'!$I50)),'Referenz Plattenwerk'!$I50,'Referenz Plattenwerk'!$F50)*IF(NOT(ISBLANK('Eingabe EF'!$BA35)),'Eingabe EF'!$BA35,'Eingabe EF'!$AY35)*IF(NOT(ISBLANK('Referenz Plattenwerk'!$I$12)),'Referenz Plattenwerk'!$I$12,'Referenz Plattenwerk'!$F$12)</f>
        <v>8.6840000000000011</v>
      </c>
      <c r="I277" s="17"/>
      <c r="J277" s="38">
        <f>F277+G277</f>
        <v>0</v>
      </c>
      <c r="K277" s="38">
        <f>SUM(F277:H277)</f>
        <v>8.6840000000000011</v>
      </c>
      <c r="L277" s="17" t="s">
        <v>198</v>
      </c>
      <c r="N277" s="17"/>
      <c r="O277" s="17"/>
      <c r="P277" s="17"/>
      <c r="Q277" s="18"/>
      <c r="R277" s="17"/>
      <c r="S277" s="18"/>
      <c r="T277" s="18"/>
    </row>
    <row r="278" spans="2:20" ht="15.75" hidden="1" outlineLevel="1" x14ac:dyDescent="0.3">
      <c r="B278" s="276"/>
      <c r="C278" s="17"/>
      <c r="D278" s="17" t="s">
        <v>61</v>
      </c>
      <c r="E278" s="17"/>
      <c r="F278" s="38">
        <f>IF(NOT(ISBLANK('Referenz Plattenwerk'!$I51)),'Referenz Plattenwerk'!$I51,'Referenz Plattenwerk'!$F51)*IF(NOT(ISBLANK('Eingabe EF'!$AS36)),'Eingabe EF'!$AS36,'Eingabe EF'!$AQ36)*IF(NOT(ISBLANK('Referenz Plattenwerk'!$I$12)),'Referenz Plattenwerk'!$I$12,'Referenz Plattenwerk'!$F$12)</f>
        <v>0</v>
      </c>
      <c r="G278" s="38">
        <f>IF(NOT(ISBLANK('Referenz Plattenwerk'!$I51)),'Referenz Plattenwerk'!$I51,'Referenz Plattenwerk'!$F51)*IF(NOT(ISBLANK('Eingabe EF'!$AW36)),'Eingabe EF'!$AW36,'Eingabe EF'!$AU36)*IF(NOT(ISBLANK('Referenz Plattenwerk'!$I$12)),'Referenz Plattenwerk'!$I$12,'Referenz Plattenwerk'!$F$12)</f>
        <v>0</v>
      </c>
      <c r="H278" s="38">
        <f>IF(NOT(ISBLANK('Referenz Plattenwerk'!$I51)),'Referenz Plattenwerk'!$I51,'Referenz Plattenwerk'!$F51)*IF(NOT(ISBLANK('Eingabe EF'!$BA36)),'Eingabe EF'!$BA36,'Eingabe EF'!$AY36)*IF(NOT(ISBLANK('Referenz Plattenwerk'!$I$12)),'Referenz Plattenwerk'!$I$12,'Referenz Plattenwerk'!$F$12)</f>
        <v>72.319999999999993</v>
      </c>
      <c r="I278" s="17"/>
      <c r="J278" s="38">
        <f>F278+G278</f>
        <v>0</v>
      </c>
      <c r="K278" s="38">
        <f>SUM(F278:H278)</f>
        <v>72.319999999999993</v>
      </c>
      <c r="L278" s="17" t="s">
        <v>198</v>
      </c>
      <c r="N278" s="17"/>
      <c r="O278" s="17"/>
      <c r="P278" s="17"/>
      <c r="Q278" s="17"/>
      <c r="R278" s="17"/>
      <c r="S278" s="17"/>
      <c r="T278" s="17"/>
    </row>
    <row r="279" spans="2:20" hidden="1" outlineLevel="1" x14ac:dyDescent="0.2">
      <c r="B279" s="17"/>
      <c r="C279" s="17"/>
      <c r="D279" s="17"/>
      <c r="E279" s="17"/>
      <c r="F279" s="17"/>
      <c r="G279" s="17"/>
      <c r="H279" s="17"/>
      <c r="I279" s="17"/>
      <c r="J279" s="17"/>
      <c r="K279" s="20"/>
      <c r="L279" s="20"/>
      <c r="N279" s="17"/>
      <c r="O279" s="17"/>
      <c r="P279" s="17"/>
      <c r="Q279" s="18"/>
      <c r="R279" s="17"/>
      <c r="S279" s="18"/>
      <c r="T279" s="18"/>
    </row>
    <row r="280" spans="2:20" ht="14.25" hidden="1" outlineLevel="1" x14ac:dyDescent="0.25">
      <c r="B280" s="70"/>
      <c r="C280" s="70" t="s">
        <v>51</v>
      </c>
      <c r="D280" s="71"/>
      <c r="E280" s="71"/>
      <c r="F280" s="72">
        <f>SUM(F281:F284)</f>
        <v>0</v>
      </c>
      <c r="G280" s="72">
        <f t="shared" ref="G280:H280" si="67">SUM(G281:G284)</f>
        <v>0</v>
      </c>
      <c r="H280" s="72">
        <f t="shared" si="67"/>
        <v>148.44746134951595</v>
      </c>
      <c r="I280" s="71"/>
      <c r="J280" s="72">
        <f t="shared" ref="J280:J284" si="68">F280+G280</f>
        <v>0</v>
      </c>
      <c r="K280" s="72">
        <f t="shared" ref="K280" si="69">SUM(F280:H280)</f>
        <v>148.44746134951595</v>
      </c>
      <c r="L280" s="77" t="s">
        <v>197</v>
      </c>
    </row>
    <row r="281" spans="2:20" ht="15.75" hidden="1" outlineLevel="1" x14ac:dyDescent="0.3">
      <c r="B281" s="17"/>
      <c r="C281" s="17"/>
      <c r="D281" s="17" t="s">
        <v>52</v>
      </c>
      <c r="E281" s="17"/>
      <c r="F281"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81"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81"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81" s="17"/>
      <c r="J281" s="38">
        <f t="shared" si="68"/>
        <v>0</v>
      </c>
      <c r="K281" s="38">
        <f t="shared" ref="K281:K284" si="70">SUM(F281:H281)</f>
        <v>47.997919375812742</v>
      </c>
      <c r="L281" s="17" t="s">
        <v>198</v>
      </c>
    </row>
    <row r="282" spans="2:20" ht="15.75" hidden="1" outlineLevel="1" x14ac:dyDescent="0.3">
      <c r="B282" s="17"/>
      <c r="C282" s="17"/>
      <c r="D282" s="17" t="s">
        <v>54</v>
      </c>
      <c r="E282" s="17"/>
      <c r="F282"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82"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82"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82" s="17"/>
      <c r="J282" s="38">
        <f t="shared" si="68"/>
        <v>0</v>
      </c>
      <c r="K282" s="38">
        <f t="shared" si="70"/>
        <v>5.7797543707556596</v>
      </c>
      <c r="L282" s="17" t="s">
        <v>198</v>
      </c>
    </row>
    <row r="283" spans="2:20" ht="15.75" hidden="1" outlineLevel="1" x14ac:dyDescent="0.3">
      <c r="B283" s="17"/>
      <c r="C283" s="17"/>
      <c r="D283" s="17" t="s">
        <v>55</v>
      </c>
      <c r="E283" s="17"/>
      <c r="F283"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83"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83"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83" s="17"/>
      <c r="J283" s="38">
        <f t="shared" si="68"/>
        <v>0</v>
      </c>
      <c r="K283" s="38">
        <f t="shared" si="70"/>
        <v>1.4217598612917211E-2</v>
      </c>
      <c r="L283" s="17" t="s">
        <v>198</v>
      </c>
    </row>
    <row r="284" spans="2:20" ht="15.75" hidden="1" outlineLevel="1" x14ac:dyDescent="0.3">
      <c r="B284" s="17"/>
      <c r="C284" s="17"/>
      <c r="D284" s="17" t="s">
        <v>56</v>
      </c>
      <c r="E284" s="17"/>
      <c r="F284"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84"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84"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84" s="17"/>
      <c r="J284" s="38">
        <f t="shared" si="68"/>
        <v>0</v>
      </c>
      <c r="K284" s="38">
        <f t="shared" si="70"/>
        <v>94.655570004334635</v>
      </c>
      <c r="L284" s="17" t="s">
        <v>198</v>
      </c>
    </row>
    <row r="285" spans="2:20" hidden="1" outlineLevel="1" x14ac:dyDescent="0.2">
      <c r="B285" s="17"/>
      <c r="C285" s="17"/>
      <c r="D285" s="17"/>
      <c r="E285" s="17"/>
      <c r="F285" s="17"/>
      <c r="G285" s="17"/>
      <c r="H285" s="17"/>
      <c r="I285" s="17"/>
      <c r="J285" s="17"/>
      <c r="K285" s="17"/>
      <c r="L285" s="20"/>
    </row>
    <row r="286" spans="2:20" ht="14.25" hidden="1" outlineLevel="1" x14ac:dyDescent="0.25">
      <c r="B286" s="70"/>
      <c r="C286" s="70" t="s">
        <v>271</v>
      </c>
      <c r="D286" s="71"/>
      <c r="E286" s="71"/>
      <c r="F286" s="72">
        <f>SUM(F287:F288)</f>
        <v>0</v>
      </c>
      <c r="G286" s="72">
        <f t="shared" ref="G286" si="71">SUM(G287:G288)</f>
        <v>0</v>
      </c>
      <c r="H286" s="72">
        <f>SUM(H287:H288)</f>
        <v>0</v>
      </c>
      <c r="I286" s="71"/>
      <c r="J286" s="72">
        <f>F286+G286</f>
        <v>0</v>
      </c>
      <c r="K286" s="72">
        <f t="shared" ref="K286" si="72">SUM(F286:H286)</f>
        <v>0</v>
      </c>
      <c r="L286" s="77" t="s">
        <v>197</v>
      </c>
    </row>
    <row r="287" spans="2:20" ht="15.75" hidden="1" outlineLevel="1" x14ac:dyDescent="0.3">
      <c r="B287" s="276"/>
      <c r="C287" s="17"/>
      <c r="D287" s="17" t="s">
        <v>267</v>
      </c>
      <c r="E287" s="17"/>
      <c r="F287" s="38">
        <v>0</v>
      </c>
      <c r="G287" s="38">
        <v>0</v>
      </c>
      <c r="H287" s="38">
        <f>IF(NOT(ISBLANK(K23)),K23,I23)*IF(NOT(ISBLANK(K26)),K26,0)</f>
        <v>0</v>
      </c>
      <c r="I287" s="17"/>
      <c r="J287" s="38">
        <f t="shared" ref="J287:J288" si="73">F287+G287</f>
        <v>0</v>
      </c>
      <c r="K287" s="38">
        <f t="shared" ref="K287:K288" si="74">SUM(F287:H287)</f>
        <v>0</v>
      </c>
      <c r="L287" s="17" t="s">
        <v>198</v>
      </c>
    </row>
    <row r="288" spans="2:20" ht="15.75" hidden="1" outlineLevel="1" x14ac:dyDescent="0.3">
      <c r="B288" s="276"/>
      <c r="C288" s="17"/>
      <c r="D288" s="17" t="s">
        <v>268</v>
      </c>
      <c r="E288" s="17"/>
      <c r="F288" s="38">
        <v>0</v>
      </c>
      <c r="G288" s="38">
        <v>0</v>
      </c>
      <c r="H288" s="38">
        <f>IF(NOT(ISBLANK(K24)),K24,I24)*IF(NOT(ISBLANK(K27)),K27,0)</f>
        <v>0</v>
      </c>
      <c r="I288" s="17"/>
      <c r="J288" s="38">
        <f t="shared" si="73"/>
        <v>0</v>
      </c>
      <c r="K288" s="38">
        <f t="shared" si="74"/>
        <v>0</v>
      </c>
      <c r="L288" s="17" t="s">
        <v>198</v>
      </c>
    </row>
    <row r="289" spans="2:12" hidden="1" outlineLevel="1" x14ac:dyDescent="0.2">
      <c r="B289" s="17"/>
      <c r="C289" s="17"/>
      <c r="D289" s="17"/>
      <c r="E289" s="17"/>
      <c r="F289" s="17"/>
      <c r="G289" s="17"/>
      <c r="H289" s="17"/>
      <c r="I289" s="17"/>
      <c r="J289" s="17"/>
      <c r="K289" s="17"/>
      <c r="L289" s="20"/>
    </row>
    <row r="290" spans="2:12" ht="14.25" hidden="1" outlineLevel="1" x14ac:dyDescent="0.25">
      <c r="B290" s="17"/>
      <c r="C290" s="17"/>
      <c r="D290" s="21" t="s">
        <v>110</v>
      </c>
      <c r="E290" s="21"/>
      <c r="F290" s="75">
        <f>IF(NOT(ISBLANK('Referenz Plattenwerk'!$I59)),'Referenz Plattenwerk'!$I59,'Referenz Plattenwerk'!$F59)*IF(NOT(ISBLANK('Eingabe EF'!$AS44)),'Eingabe EF'!$AS44,0)*IF(NOT(ISBLANK('Referenz Plattenwerk'!$I$12)),'Referenz Plattenwerk'!$I$12,'Referenz Plattenwerk'!$F$12)</f>
        <v>0</v>
      </c>
      <c r="G290" s="75">
        <f>IF(NOT(ISBLANK('Referenz Plattenwerk'!$I59)),'Referenz Plattenwerk'!$I59,'Referenz Plattenwerk'!$F59)*IF(NOT(ISBLANK('Eingabe EF'!$AW44)),'Eingabe EF'!$AW44,0)*IF(NOT(ISBLANK('Referenz Plattenwerk'!$I$12)),'Referenz Plattenwerk'!$I$12,'Referenz Plattenwerk'!$F$12)</f>
        <v>0</v>
      </c>
      <c r="H290" s="75">
        <f>IF(NOT(ISBLANK('Referenz Plattenwerk'!$I59)),'Referenz Plattenwerk'!$I59,'Referenz Plattenwerk'!$F59)*IF(NOT(ISBLANK('Eingabe EF'!$BA44)),'Eingabe EF'!$BA44,0)*IF(NOT(ISBLANK('Referenz Plattenwerk'!$I$12)),'Referenz Plattenwerk'!$I$12,'Referenz Plattenwerk'!$F$12)</f>
        <v>0</v>
      </c>
      <c r="I290" s="21"/>
      <c r="J290" s="75">
        <f>F290+G290</f>
        <v>0</v>
      </c>
      <c r="K290" s="75">
        <f>SUM(F290:H290)</f>
        <v>0</v>
      </c>
      <c r="L290" s="21" t="s">
        <v>197</v>
      </c>
    </row>
    <row r="291" spans="2:12" ht="14.25" hidden="1" outlineLevel="1" x14ac:dyDescent="0.25">
      <c r="B291" s="17"/>
      <c r="C291" s="17"/>
      <c r="D291" s="21" t="s">
        <v>64</v>
      </c>
      <c r="E291" s="21"/>
      <c r="F291" s="76">
        <f>IF(NOT(ISBLANK('Referenz Plattenwerk'!$I60)),'Referenz Plattenwerk'!$I60,'Referenz Plattenwerk'!$F60)*IF(NOT(ISBLANK('Eingabe EF'!$AS45)),'Eingabe EF'!$AS45,'Eingabe EF'!$AQ45)</f>
        <v>0</v>
      </c>
      <c r="G291" s="76">
        <f>IF(NOT(ISBLANK('Referenz Plattenwerk'!$I60)),'Referenz Plattenwerk'!$I60,'Referenz Plattenwerk'!$F60)*IF(NOT(ISBLANK('Eingabe EF'!$AW45)),'Eingabe EF'!$AW45,'Eingabe EF'!$AU45)</f>
        <v>0</v>
      </c>
      <c r="H291" s="76">
        <f>IF(NOT(ISBLANK('Referenz Plattenwerk'!$I60)),'Referenz Plattenwerk'!$I60,'Referenz Plattenwerk'!$F60)*IF(NOT(ISBLANK('Eingabe EF'!$BA45)),'Eingabe EF'!$BA45,'Eingabe EF'!$AY45)</f>
        <v>0.54400000000000004</v>
      </c>
      <c r="I291" s="21"/>
      <c r="J291" s="75">
        <f>F291+G291</f>
        <v>0</v>
      </c>
      <c r="K291" s="75">
        <f>SUM(F291:H291)</f>
        <v>0.54400000000000004</v>
      </c>
      <c r="L291" s="21" t="s">
        <v>197</v>
      </c>
    </row>
    <row r="292" spans="2:12" hidden="1" outlineLevel="1" x14ac:dyDescent="0.2">
      <c r="B292" s="17"/>
      <c r="C292" s="17"/>
      <c r="D292" s="17"/>
      <c r="E292" s="17"/>
      <c r="F292" s="17"/>
      <c r="G292" s="17"/>
      <c r="H292" s="17"/>
      <c r="I292" s="17"/>
      <c r="J292" s="17"/>
      <c r="K292" s="17"/>
      <c r="L292" s="20"/>
    </row>
    <row r="293" spans="2:12" ht="14.25" hidden="1" outlineLevel="1" x14ac:dyDescent="0.25">
      <c r="B293" s="70"/>
      <c r="C293" s="70" t="s">
        <v>182</v>
      </c>
      <c r="D293" s="71"/>
      <c r="E293" s="71"/>
      <c r="F293" s="72">
        <f>SUM(F294:F296)</f>
        <v>0</v>
      </c>
      <c r="G293" s="72">
        <f t="shared" ref="G293:H293" si="75">SUM(G294:G296)</f>
        <v>0</v>
      </c>
      <c r="H293" s="72">
        <f t="shared" si="75"/>
        <v>80.47999999999999</v>
      </c>
      <c r="I293" s="71"/>
      <c r="J293" s="72">
        <f t="shared" ref="J293" si="76">F293+G293</f>
        <v>0</v>
      </c>
      <c r="K293" s="72">
        <f t="shared" ref="K293" si="77">SUM(F293:H293)</f>
        <v>80.47999999999999</v>
      </c>
      <c r="L293" s="77" t="s">
        <v>197</v>
      </c>
    </row>
    <row r="294" spans="2:12" ht="15.75" hidden="1" outlineLevel="1" x14ac:dyDescent="0.3">
      <c r="B294" s="17"/>
      <c r="C294" s="17"/>
      <c r="D294" s="17" t="s">
        <v>183</v>
      </c>
      <c r="E294" s="17"/>
      <c r="F294" s="38">
        <f>IF(NOT(ISBLANK('Referenz Plattenwerk'!$I63)),'Referenz Plattenwerk'!$I63,'Referenz Plattenwerk'!$F63)*IF(NOT(ISBLANK('Eingabe EF'!$AS48)),'Eingabe EF'!$AS48,0)*IF(NOT(ISBLANK('Referenz Plattenwerk'!$I$12)),'Referenz Plattenwerk'!$I$12,'Referenz Plattenwerk'!$F$12)</f>
        <v>0</v>
      </c>
      <c r="G294" s="38">
        <f>IF(NOT(ISBLANK('Referenz Plattenwerk'!$I63)),'Referenz Plattenwerk'!$I63,'Referenz Plattenwerk'!$F63)*IF(NOT(ISBLANK('Eingabe EF'!$AW48)),'Eingabe EF'!$AW48,0)*IF(NOT(ISBLANK('Referenz Plattenwerk'!$I$12)),'Referenz Plattenwerk'!$I$12,'Referenz Plattenwerk'!$F$12)</f>
        <v>0</v>
      </c>
      <c r="H294" s="38">
        <f>IF(NOT(ISBLANK('Referenz Plattenwerk'!$I63)),'Referenz Plattenwerk'!$I63,'Referenz Plattenwerk'!$F63)*IF(NOT(ISBLANK('Eingabe EF'!$BA48)),'Eingabe EF'!$BA48,0)*IF(NOT(ISBLANK('Referenz Plattenwerk'!$I$12)),'Referenz Plattenwerk'!$I$12,'Referenz Plattenwerk'!$F$12)</f>
        <v>0</v>
      </c>
      <c r="I294" s="17"/>
      <c r="J294" s="38">
        <f>F294+G294</f>
        <v>0</v>
      </c>
      <c r="K294" s="38">
        <f>SUM(F294:H294)</f>
        <v>0</v>
      </c>
      <c r="L294" s="17" t="s">
        <v>198</v>
      </c>
    </row>
    <row r="295" spans="2:12" ht="15.75" hidden="1" outlineLevel="1" x14ac:dyDescent="0.3">
      <c r="B295" s="17"/>
      <c r="C295" s="17"/>
      <c r="D295" s="17" t="s">
        <v>62</v>
      </c>
      <c r="E295" s="17"/>
      <c r="F295" s="38">
        <f>IF(NOT(ISBLANK('Referenz Plattenwerk'!$I64)),'Referenz Plattenwerk'!$I64,'Referenz Plattenwerk'!$F64)*IF(NOT(ISBLANK('Eingabe EF'!$AS49)),'Eingabe EF'!$AS49,'Eingabe EF'!$AQ49)*IF(NOT(ISBLANK('Referenz Plattenwerk'!$I$12)),'Referenz Plattenwerk'!$I$12,'Referenz Plattenwerk'!$F$12)</f>
        <v>0</v>
      </c>
      <c r="G295" s="38">
        <f>IF(NOT(ISBLANK('Referenz Plattenwerk'!$I64)),'Referenz Plattenwerk'!$I64,'Referenz Plattenwerk'!$F64)*IF(NOT(ISBLANK('Eingabe EF'!$AW49)),'Eingabe EF'!$AW49,'Eingabe EF'!$AU49)*IF(NOT(ISBLANK('Referenz Plattenwerk'!$I$12)),'Referenz Plattenwerk'!$I$12,'Referenz Plattenwerk'!$F$12)</f>
        <v>0</v>
      </c>
      <c r="H295" s="38">
        <f>IF(NOT(ISBLANK('Referenz Plattenwerk'!$I64)),'Referenz Plattenwerk'!$I64,'Referenz Plattenwerk'!$F64)*IF(NOT(ISBLANK('Eingabe EF'!$BA49)),'Eingabe EF'!$BA49,'Eingabe EF'!$AY49)*IF(NOT(ISBLANK('Referenz Plattenwerk'!$I$12)),'Referenz Plattenwerk'!$I$12,'Referenz Plattenwerk'!$F$12)</f>
        <v>80.47999999999999</v>
      </c>
      <c r="I295" s="17"/>
      <c r="J295" s="38">
        <f t="shared" ref="J295" si="78">F295+G295</f>
        <v>0</v>
      </c>
      <c r="K295" s="38">
        <f t="shared" ref="K295" si="79">SUM(F295:H295)</f>
        <v>80.47999999999999</v>
      </c>
      <c r="L295" s="17" t="s">
        <v>198</v>
      </c>
    </row>
    <row r="296" spans="2:12" ht="15.75" hidden="1" outlineLevel="1" x14ac:dyDescent="0.3">
      <c r="B296" s="17"/>
      <c r="C296" s="17"/>
      <c r="D296" s="17" t="s">
        <v>184</v>
      </c>
      <c r="E296" s="17"/>
      <c r="F296" s="38">
        <f>IF(NOT(ISBLANK('Referenz Plattenwerk'!$I65)),'Referenz Plattenwerk'!$I65,'Referenz Plattenwerk'!$F65)*IF(NOT(ISBLANK('Eingabe EF'!$AS50)),'Eingabe EF'!$AS50,0)*IF(NOT(ISBLANK('Referenz Plattenwerk'!$I$12)),'Referenz Plattenwerk'!$I$12,'Referenz Plattenwerk'!$F$12)</f>
        <v>0</v>
      </c>
      <c r="G296" s="38">
        <f>IF(NOT(ISBLANK('Referenz Plattenwerk'!$I65)),'Referenz Plattenwerk'!$I65,'Referenz Plattenwerk'!$F65)*IF(NOT(ISBLANK('Eingabe EF'!$AW50)),'Eingabe EF'!$AW50,0)*IF(NOT(ISBLANK('Referenz Plattenwerk'!$I$12)),'Referenz Plattenwerk'!$I$12,'Referenz Plattenwerk'!$F$12)</f>
        <v>0</v>
      </c>
      <c r="H296" s="38">
        <f>IF(NOT(ISBLANK('Referenz Plattenwerk'!$I65)),'Referenz Plattenwerk'!$I65,'Referenz Plattenwerk'!$F65)*IF(NOT(ISBLANK('Eingabe EF'!$BA50)),'Eingabe EF'!$BA50,0)*IF(NOT(ISBLANK('Referenz Plattenwerk'!$I$12)),'Referenz Plattenwerk'!$I$12,'Referenz Plattenwerk'!$F$12)</f>
        <v>0</v>
      </c>
      <c r="I296" s="17"/>
      <c r="J296" s="38">
        <f>F296+G296</f>
        <v>0</v>
      </c>
      <c r="K296" s="38">
        <f>SUM(F296:H296)</f>
        <v>0</v>
      </c>
      <c r="L296" s="17" t="s">
        <v>198</v>
      </c>
    </row>
    <row r="297" spans="2:12" hidden="1" outlineLevel="1" x14ac:dyDescent="0.2">
      <c r="B297" s="17"/>
      <c r="C297" s="17"/>
      <c r="D297" s="17"/>
      <c r="E297" s="17"/>
      <c r="F297" s="17"/>
      <c r="G297" s="17"/>
      <c r="H297" s="17"/>
      <c r="I297" s="17"/>
      <c r="J297" s="17"/>
      <c r="K297" s="17"/>
      <c r="L297" s="20"/>
    </row>
    <row r="298" spans="2:12" ht="14.25" hidden="1" outlineLevel="1" x14ac:dyDescent="0.25">
      <c r="B298" s="70"/>
      <c r="C298" s="70" t="s">
        <v>185</v>
      </c>
      <c r="D298" s="71"/>
      <c r="E298" s="71"/>
      <c r="F298" s="72">
        <f>SUM(F299:F301)</f>
        <v>0</v>
      </c>
      <c r="G298" s="72">
        <f t="shared" ref="G298:H298" si="80">SUM(G299:G301)</f>
        <v>0</v>
      </c>
      <c r="H298" s="72">
        <f t="shared" si="80"/>
        <v>60</v>
      </c>
      <c r="I298" s="71"/>
      <c r="J298" s="72">
        <f t="shared" ref="J298" si="81">F298+G298</f>
        <v>0</v>
      </c>
      <c r="K298" s="72">
        <f t="shared" ref="K298" si="82">SUM(F298:H298)</f>
        <v>60</v>
      </c>
      <c r="L298" s="77" t="s">
        <v>197</v>
      </c>
    </row>
    <row r="299" spans="2:12" ht="15.75" hidden="1" outlineLevel="1" x14ac:dyDescent="0.3">
      <c r="B299" s="17"/>
      <c r="C299" s="17"/>
      <c r="D299" s="17" t="s">
        <v>66</v>
      </c>
      <c r="E299" s="17"/>
      <c r="F299" s="44">
        <f>IF(NOT(ISBLANK('Referenz Plattenwerk'!$I68)),'Referenz Plattenwerk'!$I68,'Referenz Plattenwerk'!$F68)*IF(NOT(ISBLANK('Eingabe EF'!$AS53)),'Eingabe EF'!$AS53,'Eingabe EF'!$AQ53)</f>
        <v>0</v>
      </c>
      <c r="G299" s="44">
        <f>IF(NOT(ISBLANK('Referenz Plattenwerk'!$I68)),'Referenz Plattenwerk'!$I68,'Referenz Plattenwerk'!$F68)*IF(NOT(ISBLANK('Eingabe EF'!$AW53)),'Eingabe EF'!$AW53,'Eingabe EF'!$AU53)</f>
        <v>0</v>
      </c>
      <c r="H299" s="44">
        <f>IF(NOT(ISBLANK('Referenz Plattenwerk'!$I68)),'Referenz Plattenwerk'!$I68,'Referenz Plattenwerk'!$F68)*IF(NOT(ISBLANK('Eingabe EF'!$BA53)),'Eingabe EF'!$BA53,'Eingabe EF'!$AY53)</f>
        <v>60</v>
      </c>
      <c r="I299" s="17"/>
      <c r="J299" s="38">
        <f>F299+G299</f>
        <v>0</v>
      </c>
      <c r="K299" s="38">
        <f>SUM(F299:H299)</f>
        <v>60</v>
      </c>
      <c r="L299" s="17" t="s">
        <v>198</v>
      </c>
    </row>
    <row r="300" spans="2:12" ht="15.75" hidden="1" outlineLevel="1" x14ac:dyDescent="0.3">
      <c r="B300" s="17"/>
      <c r="C300" s="17"/>
      <c r="D300" s="17" t="s">
        <v>187</v>
      </c>
      <c r="E300" s="17"/>
      <c r="F300" s="44">
        <f>IF(NOT(ISBLANK('Referenz Plattenwerk'!$I69)),'Referenz Plattenwerk'!$I69,'Referenz Plattenwerk'!$F69)*IF(NOT(ISBLANK('Eingabe EF'!$AS54)),'Eingabe EF'!$AS54,0)</f>
        <v>0</v>
      </c>
      <c r="G300" s="44">
        <f>IF(NOT(ISBLANK('Referenz Plattenwerk'!$I69)),'Referenz Plattenwerk'!$I69,'Referenz Plattenwerk'!$F69)*IF(NOT(ISBLANK('Eingabe EF'!$AW54)),'Eingabe EF'!$AW54,0)</f>
        <v>0</v>
      </c>
      <c r="H300" s="44">
        <f>IF(NOT(ISBLANK('Referenz Plattenwerk'!$I69)),'Referenz Plattenwerk'!$I69,'Referenz Plattenwerk'!$F69)*IF(NOT(ISBLANK('Eingabe EF'!$BA54)),'Eingabe EF'!$BA54,0)</f>
        <v>0</v>
      </c>
      <c r="I300" s="17"/>
      <c r="J300" s="38">
        <f t="shared" ref="J300:J301" si="83">F300+G300</f>
        <v>0</v>
      </c>
      <c r="K300" s="38">
        <f t="shared" ref="K300:K301" si="84">SUM(F300:H300)</f>
        <v>0</v>
      </c>
      <c r="L300" s="17" t="s">
        <v>198</v>
      </c>
    </row>
    <row r="301" spans="2:12" ht="15.75" hidden="1" outlineLevel="1" x14ac:dyDescent="0.3">
      <c r="B301" s="17"/>
      <c r="C301" s="17"/>
      <c r="D301" s="17" t="s">
        <v>186</v>
      </c>
      <c r="E301" s="17"/>
      <c r="F301" s="44">
        <f>IF(NOT(ISBLANK('Referenz Plattenwerk'!$I70)),'Referenz Plattenwerk'!$I70,'Referenz Plattenwerk'!$F70)*IF(NOT(ISBLANK('Eingabe EF'!$AS55)),'Eingabe EF'!$AS55,0)</f>
        <v>0</v>
      </c>
      <c r="G301" s="44">
        <f>IF(NOT(ISBLANK('Referenz Plattenwerk'!$I70)),'Referenz Plattenwerk'!$I70,'Referenz Plattenwerk'!$F70)*IF(NOT(ISBLANK('Eingabe EF'!$AW55)),'Eingabe EF'!$AW55,0)</f>
        <v>0</v>
      </c>
      <c r="H301" s="44">
        <f>IF(NOT(ISBLANK('Referenz Plattenwerk'!$I70)),'Referenz Plattenwerk'!$I70,'Referenz Plattenwerk'!$F70)*IF(NOT(ISBLANK('Eingabe EF'!$BA55)),'Eingabe EF'!$BA55,0)</f>
        <v>0</v>
      </c>
      <c r="I301" s="17"/>
      <c r="J301" s="38">
        <f t="shared" si="83"/>
        <v>0</v>
      </c>
      <c r="K301" s="38">
        <f t="shared" si="84"/>
        <v>0</v>
      </c>
      <c r="L301" s="17" t="s">
        <v>198</v>
      </c>
    </row>
    <row r="302" spans="2:12" hidden="1" outlineLevel="1" x14ac:dyDescent="0.2">
      <c r="B302" s="17"/>
      <c r="C302" s="17"/>
      <c r="D302" s="17"/>
      <c r="E302" s="17"/>
      <c r="F302" s="17"/>
      <c r="G302" s="17"/>
      <c r="H302" s="17"/>
      <c r="I302" s="17"/>
      <c r="J302" s="17"/>
      <c r="K302" s="17"/>
      <c r="L302" s="20"/>
    </row>
    <row r="303" spans="2:12" ht="14.25" hidden="1" outlineLevel="1" x14ac:dyDescent="0.25">
      <c r="B303" s="17"/>
      <c r="C303" s="17"/>
      <c r="D303" s="21" t="s">
        <v>63</v>
      </c>
      <c r="E303" s="21"/>
      <c r="F303" s="76">
        <f>IF(NOT(ISBLANK('Referenz Plattenwerk'!$I72)),'Referenz Plattenwerk'!$I72,'Referenz Plattenwerk'!$F72)*IF(NOT(ISBLANK('Eingabe EF'!$AS57)),'Eingabe EF'!$AS57,'Eingabe EF'!$AQ57)</f>
        <v>0</v>
      </c>
      <c r="G303" s="76">
        <f>IF(NOT(ISBLANK('Referenz Plattenwerk'!$I72)),'Referenz Plattenwerk'!$I72,'Referenz Plattenwerk'!$F72)*IF(NOT(ISBLANK('Eingabe EF'!$AW57)),'Eingabe EF'!$AW57,'Eingabe EF'!$AU57)</f>
        <v>0</v>
      </c>
      <c r="H303" s="76">
        <f>IF(NOT(ISBLANK('Referenz Plattenwerk'!$I72)),'Referenz Plattenwerk'!$I72,'Referenz Plattenwerk'!$F72)*IF(NOT(ISBLANK('Eingabe EF'!$BA57)),'Eingabe EF'!$BA57,'Eingabe EF'!$AY57)</f>
        <v>64.48</v>
      </c>
      <c r="I303" s="21"/>
      <c r="J303" s="75">
        <f t="shared" ref="J303" si="85">F303+G303</f>
        <v>0</v>
      </c>
      <c r="K303" s="75">
        <f t="shared" ref="K303" si="86">SUM(F303:H303)</f>
        <v>64.48</v>
      </c>
      <c r="L303" s="21" t="s">
        <v>197</v>
      </c>
    </row>
    <row r="304" spans="2:12" hidden="1" outlineLevel="1" x14ac:dyDescent="0.2">
      <c r="B304" s="17"/>
      <c r="C304" s="17"/>
      <c r="D304" s="17"/>
      <c r="E304" s="17"/>
      <c r="F304" s="20"/>
      <c r="G304" s="20"/>
      <c r="H304" s="20"/>
      <c r="I304" s="17"/>
      <c r="J304" s="17"/>
      <c r="K304" s="20"/>
      <c r="L304" s="20"/>
    </row>
    <row r="305" spans="2:12" ht="15" hidden="1" outlineLevel="1" thickBot="1" x14ac:dyDescent="0.3">
      <c r="B305" s="17"/>
      <c r="C305" s="17"/>
      <c r="D305" s="68" t="s">
        <v>69</v>
      </c>
      <c r="E305" s="68"/>
      <c r="F305" s="69">
        <f t="shared" ref="F305:G305" si="87">SUM(F244:F303)-F258-F262-F268-F275-F280-F286-F293-F298</f>
        <v>94.932355060000006</v>
      </c>
      <c r="G305" s="69">
        <f t="shared" si="87"/>
        <v>61.552554846110553</v>
      </c>
      <c r="H305" s="69">
        <f>SUM(H244:H303)-H258-H262-H268-H275-H280-H286-H293-H298</f>
        <v>5360.4986339911493</v>
      </c>
      <c r="I305" s="21"/>
      <c r="J305" s="69">
        <f>SUM(J244:J303)-J258-J262-J268-J275-J280-J286-J293-J298</f>
        <v>156.48490990611054</v>
      </c>
      <c r="K305" s="69">
        <f>SUM(K244:K303)-K258-K262-K268-K275-K280-K286-K293-K298</f>
        <v>5516.9835438972614</v>
      </c>
      <c r="L305" s="69" t="s">
        <v>197</v>
      </c>
    </row>
    <row r="306" spans="2:12" ht="13.5" hidden="1" outlineLevel="1" thickTop="1" x14ac:dyDescent="0.2">
      <c r="B306" s="17"/>
      <c r="C306" s="17"/>
      <c r="D306" s="17"/>
      <c r="E306" s="17"/>
      <c r="F306" s="20"/>
      <c r="G306" s="20"/>
      <c r="H306" s="20"/>
      <c r="I306" s="17"/>
      <c r="J306" s="17"/>
      <c r="K306" s="20"/>
      <c r="L306" s="20"/>
    </row>
    <row r="307" spans="2:12" collapsed="1" x14ac:dyDescent="0.2"/>
  </sheetData>
  <sheetProtection algorithmName="SHA-512" hashValue="TmFBTTl5kvlTuj2ESRmdrQxNis06tBJPs/K0NEwF42qwOGfCJVVvo/l23NO/l+dQ6odYaCfTknV4hewrewpZlQ==" saltValue="NojQZBlXPxJaEljIufeaTg==" spinCount="100000" sheet="1" selectLockedCells="1"/>
  <mergeCells count="11">
    <mergeCell ref="K94:K95"/>
    <mergeCell ref="D39:L39"/>
    <mergeCell ref="D40:L40"/>
    <mergeCell ref="D41:L41"/>
    <mergeCell ref="D42:L42"/>
    <mergeCell ref="D43:L43"/>
    <mergeCell ref="D6:L6"/>
    <mergeCell ref="I13:K13"/>
    <mergeCell ref="E13:G13"/>
    <mergeCell ref="C85:C86"/>
    <mergeCell ref="S85:S86"/>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10</xdr:col>
                    <xdr:colOff>523875</xdr:colOff>
                    <xdr:row>95</xdr:row>
                    <xdr:rowOff>28575</xdr:rowOff>
                  </from>
                  <to>
                    <xdr:col>10</xdr:col>
                    <xdr:colOff>704850</xdr:colOff>
                    <xdr:row>95</xdr:row>
                    <xdr:rowOff>190500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523875</xdr:colOff>
                    <xdr:row>96</xdr:row>
                    <xdr:rowOff>28575</xdr:rowOff>
                  </from>
                  <to>
                    <xdr:col>10</xdr:col>
                    <xdr:colOff>704850</xdr:colOff>
                    <xdr:row>96</xdr:row>
                    <xdr:rowOff>190500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10</xdr:col>
                    <xdr:colOff>523875</xdr:colOff>
                    <xdr:row>97</xdr:row>
                    <xdr:rowOff>28575</xdr:rowOff>
                  </from>
                  <to>
                    <xdr:col>10</xdr:col>
                    <xdr:colOff>704850</xdr:colOff>
                    <xdr:row>97</xdr:row>
                    <xdr:rowOff>180975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10</xdr:col>
                    <xdr:colOff>523875</xdr:colOff>
                    <xdr:row>98</xdr:row>
                    <xdr:rowOff>19050</xdr:rowOff>
                  </from>
                  <to>
                    <xdr:col>10</xdr:col>
                    <xdr:colOff>704850</xdr:colOff>
                    <xdr:row>98</xdr:row>
                    <xdr:rowOff>190500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10</xdr:col>
                    <xdr:colOff>523875</xdr:colOff>
                    <xdr:row>99</xdr:row>
                    <xdr:rowOff>19050</xdr:rowOff>
                  </from>
                  <to>
                    <xdr:col>10</xdr:col>
                    <xdr:colOff>704850</xdr:colOff>
                    <xdr:row>99</xdr:row>
                    <xdr:rowOff>180975</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10</xdr:col>
                    <xdr:colOff>523875</xdr:colOff>
                    <xdr:row>100</xdr:row>
                    <xdr:rowOff>0</xdr:rowOff>
                  </from>
                  <to>
                    <xdr:col>10</xdr:col>
                    <xdr:colOff>704850</xdr:colOff>
                    <xdr:row>100</xdr:row>
                    <xdr:rowOff>180975</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10</xdr:col>
                    <xdr:colOff>523875</xdr:colOff>
                    <xdr:row>101</xdr:row>
                    <xdr:rowOff>9525</xdr:rowOff>
                  </from>
                  <to>
                    <xdr:col>10</xdr:col>
                    <xdr:colOff>704850</xdr:colOff>
                    <xdr:row>101</xdr:row>
                    <xdr:rowOff>190500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18</xdr:col>
                    <xdr:colOff>457200</xdr:colOff>
                    <xdr:row>97</xdr:row>
                    <xdr:rowOff>0</xdr:rowOff>
                  </from>
                  <to>
                    <xdr:col>18</xdr:col>
                    <xdr:colOff>676275</xdr:colOff>
                    <xdr:row>97</xdr:row>
                    <xdr:rowOff>180975</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18</xdr:col>
                    <xdr:colOff>571500</xdr:colOff>
                    <xdr:row>98</xdr:row>
                    <xdr:rowOff>19050</xdr:rowOff>
                  </from>
                  <to>
                    <xdr:col>19</xdr:col>
                    <xdr:colOff>0</xdr:colOff>
                    <xdr:row>98</xdr:row>
                    <xdr:rowOff>200025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18</xdr:col>
                    <xdr:colOff>571500</xdr:colOff>
                    <xdr:row>99</xdr:row>
                    <xdr:rowOff>19050</xdr:rowOff>
                  </from>
                  <to>
                    <xdr:col>19</xdr:col>
                    <xdr:colOff>0</xdr:colOff>
                    <xdr:row>99</xdr:row>
                    <xdr:rowOff>200025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18</xdr:col>
                    <xdr:colOff>571500</xdr:colOff>
                    <xdr:row>100</xdr:row>
                    <xdr:rowOff>9525</xdr:rowOff>
                  </from>
                  <to>
                    <xdr:col>19</xdr:col>
                    <xdr:colOff>0</xdr:colOff>
                    <xdr:row>100</xdr:row>
                    <xdr:rowOff>190500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18</xdr:col>
                    <xdr:colOff>457200</xdr:colOff>
                    <xdr:row>95</xdr:row>
                    <xdr:rowOff>9525</xdr:rowOff>
                  </from>
                  <to>
                    <xdr:col>18</xdr:col>
                    <xdr:colOff>676275</xdr:colOff>
                    <xdr:row>96</xdr:row>
                    <xdr:rowOff>9525</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18</xdr:col>
                    <xdr:colOff>457200</xdr:colOff>
                    <xdr:row>94</xdr:row>
                    <xdr:rowOff>0</xdr:rowOff>
                  </from>
                  <to>
                    <xdr:col>18</xdr:col>
                    <xdr:colOff>676275</xdr:colOff>
                    <xdr:row>94</xdr:row>
                    <xdr:rowOff>180975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18</xdr:col>
                    <xdr:colOff>457200</xdr:colOff>
                    <xdr:row>96</xdr:row>
                    <xdr:rowOff>9525</xdr:rowOff>
                  </from>
                  <to>
                    <xdr:col>18</xdr:col>
                    <xdr:colOff>676275</xdr:colOff>
                    <xdr:row>97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2</xdr:col>
                    <xdr:colOff>514350</xdr:colOff>
                    <xdr:row>85</xdr:row>
                    <xdr:rowOff>152400</xdr:rowOff>
                  </from>
                  <to>
                    <xdr:col>2</xdr:col>
                    <xdr:colOff>723900</xdr:colOff>
                    <xdr:row>87</xdr:row>
                    <xdr:rowOff>9525</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2</xdr:col>
                    <xdr:colOff>514350</xdr:colOff>
                    <xdr:row>86</xdr:row>
                    <xdr:rowOff>190500</xdr:rowOff>
                  </from>
                  <to>
                    <xdr:col>2</xdr:col>
                    <xdr:colOff>723900</xdr:colOff>
                    <xdr:row>88</xdr:row>
                    <xdr:rowOff>9525</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xdr:col>
                    <xdr:colOff>514350</xdr:colOff>
                    <xdr:row>87</xdr:row>
                    <xdr:rowOff>190500</xdr:rowOff>
                  </from>
                  <to>
                    <xdr:col>2</xdr:col>
                    <xdr:colOff>723900</xdr:colOff>
                    <xdr:row>89</xdr:row>
                    <xdr:rowOff>9525</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2</xdr:col>
                    <xdr:colOff>514350</xdr:colOff>
                    <xdr:row>88</xdr:row>
                    <xdr:rowOff>190500</xdr:rowOff>
                  </from>
                  <to>
                    <xdr:col>2</xdr:col>
                    <xdr:colOff>723900</xdr:colOff>
                    <xdr:row>90</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2</xdr:col>
                    <xdr:colOff>514350</xdr:colOff>
                    <xdr:row>89</xdr:row>
                    <xdr:rowOff>190500</xdr:rowOff>
                  </from>
                  <to>
                    <xdr:col>2</xdr:col>
                    <xdr:colOff>723900</xdr:colOff>
                    <xdr:row>90</xdr:row>
                    <xdr:rowOff>200025</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2</xdr:col>
                    <xdr:colOff>514350</xdr:colOff>
                    <xdr:row>90</xdr:row>
                    <xdr:rowOff>180975</xdr:rowOff>
                  </from>
                  <to>
                    <xdr:col>2</xdr:col>
                    <xdr:colOff>723900</xdr:colOff>
                    <xdr:row>91</xdr:row>
                    <xdr:rowOff>190500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2</xdr:col>
                    <xdr:colOff>514350</xdr:colOff>
                    <xdr:row>91</xdr:row>
                    <xdr:rowOff>171450</xdr:rowOff>
                  </from>
                  <to>
                    <xdr:col>2</xdr:col>
                    <xdr:colOff>723900</xdr:colOff>
                    <xdr:row>93</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2</xdr:col>
                    <xdr:colOff>514350</xdr:colOff>
                    <xdr:row>93</xdr:row>
                    <xdr:rowOff>190500</xdr:rowOff>
                  </from>
                  <to>
                    <xdr:col>2</xdr:col>
                    <xdr:colOff>723900</xdr:colOff>
                    <xdr:row>95</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2</xdr:col>
                    <xdr:colOff>514350</xdr:colOff>
                    <xdr:row>94</xdr:row>
                    <xdr:rowOff>180975</xdr:rowOff>
                  </from>
                  <to>
                    <xdr:col>2</xdr:col>
                    <xdr:colOff>723900</xdr:colOff>
                    <xdr:row>96</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2</xdr:col>
                    <xdr:colOff>514350</xdr:colOff>
                    <xdr:row>95</xdr:row>
                    <xdr:rowOff>180975</xdr:rowOff>
                  </from>
                  <to>
                    <xdr:col>2</xdr:col>
                    <xdr:colOff>723900</xdr:colOff>
                    <xdr:row>97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2</xdr:col>
                    <xdr:colOff>514350</xdr:colOff>
                    <xdr:row>96</xdr:row>
                    <xdr:rowOff>180975</xdr:rowOff>
                  </from>
                  <to>
                    <xdr:col>2</xdr:col>
                    <xdr:colOff>723900</xdr:colOff>
                    <xdr:row>98</xdr:row>
                    <xdr:rowOff>9525</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2</xdr:col>
                    <xdr:colOff>514350</xdr:colOff>
                    <xdr:row>92</xdr:row>
                    <xdr:rowOff>180975</xdr:rowOff>
                  </from>
                  <to>
                    <xdr:col>2</xdr:col>
                    <xdr:colOff>723900</xdr:colOff>
                    <xdr:row>94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F74C-1953-4BB1-A051-16399B5D692B}">
  <sheetPr>
    <pageSetUpPr fitToPage="1"/>
  </sheetPr>
  <dimension ref="B2:AA311"/>
  <sheetViews>
    <sheetView zoomScale="90" zoomScaleNormal="90" workbookViewId="0">
      <selection activeCell="G17" sqref="G17"/>
    </sheetView>
  </sheetViews>
  <sheetFormatPr baseColWidth="10" defaultColWidth="9" defaultRowHeight="12.75" outlineLevelRow="1" x14ac:dyDescent="0.2"/>
  <cols>
    <col min="1" max="1" width="4.75" style="6" customWidth="1"/>
    <col min="2" max="2" width="2.25" style="6" customWidth="1"/>
    <col min="3" max="3" width="9.875" style="6" customWidth="1"/>
    <col min="4" max="4" width="39.5" style="6" customWidth="1"/>
    <col min="5" max="5" width="9" style="6"/>
    <col min="6" max="6" width="10.375" style="6" customWidth="1"/>
    <col min="7" max="7" width="10.125" style="6" customWidth="1"/>
    <col min="8" max="8" width="11.5" style="6" customWidth="1"/>
    <col min="9" max="9" width="9" style="6"/>
    <col min="10" max="10" width="10.75" style="6" customWidth="1"/>
    <col min="11" max="11" width="10.5" style="6" customWidth="1"/>
    <col min="12" max="12" width="43" style="6" bestFit="1" customWidth="1"/>
    <col min="13" max="15" width="9" style="6"/>
    <col min="16" max="16" width="12" style="6" customWidth="1"/>
    <col min="17" max="17" width="9" style="6"/>
    <col min="18" max="18" width="9.875" style="6" bestFit="1" customWidth="1"/>
    <col min="19" max="19" width="10.375" style="6" customWidth="1"/>
    <col min="20" max="20" width="31.5" style="6" bestFit="1" customWidth="1"/>
    <col min="21" max="21" width="9" style="6"/>
    <col min="22" max="22" width="11.75" style="6" bestFit="1" customWidth="1"/>
    <col min="23" max="23" width="10" style="6" bestFit="1" customWidth="1"/>
    <col min="24" max="24" width="9" style="6"/>
    <col min="25" max="25" width="9" style="6" customWidth="1"/>
    <col min="26" max="16384" width="9" style="6"/>
  </cols>
  <sheetData>
    <row r="2" spans="2:16" x14ac:dyDescent="0.2">
      <c r="B2" s="3"/>
      <c r="C2" s="90"/>
      <c r="D2" s="90"/>
      <c r="E2" s="90"/>
      <c r="F2" s="90"/>
      <c r="G2" s="90"/>
      <c r="H2" s="90"/>
      <c r="I2" s="90"/>
      <c r="J2" s="90"/>
      <c r="K2" s="90"/>
      <c r="L2" s="90"/>
      <c r="M2" s="3"/>
      <c r="N2" s="3"/>
      <c r="O2" s="3"/>
      <c r="P2" s="3"/>
    </row>
    <row r="3" spans="2:16" ht="18" x14ac:dyDescent="0.25">
      <c r="B3" s="3"/>
      <c r="C3" s="90"/>
      <c r="D3" s="91" t="s">
        <v>288</v>
      </c>
      <c r="E3" s="90"/>
      <c r="F3" s="90"/>
      <c r="G3" s="90"/>
      <c r="H3" s="90"/>
      <c r="I3" s="90"/>
      <c r="J3" s="90"/>
      <c r="K3" s="90"/>
      <c r="L3" s="90"/>
      <c r="M3" s="3"/>
      <c r="N3" s="3"/>
      <c r="O3" s="3"/>
      <c r="P3" s="3"/>
    </row>
    <row r="4" spans="2:16" x14ac:dyDescent="0.2">
      <c r="B4" s="3"/>
      <c r="C4" s="90"/>
      <c r="D4" s="3"/>
      <c r="E4" s="3"/>
      <c r="F4" s="3"/>
      <c r="G4" s="3"/>
      <c r="H4" s="3"/>
      <c r="I4" s="3"/>
      <c r="J4" s="3"/>
      <c r="K4" s="3"/>
      <c r="L4" s="3"/>
      <c r="M4" s="3"/>
      <c r="N4" s="3"/>
      <c r="O4" s="3"/>
      <c r="P4" s="3"/>
    </row>
    <row r="5" spans="2:16" ht="12.75" customHeight="1" x14ac:dyDescent="0.2">
      <c r="B5" s="3"/>
      <c r="C5" s="90"/>
      <c r="D5" s="104" t="s">
        <v>327</v>
      </c>
      <c r="E5" s="104"/>
      <c r="F5" s="104"/>
      <c r="G5" s="104"/>
      <c r="H5" s="104"/>
      <c r="I5" s="104"/>
      <c r="J5" s="104"/>
      <c r="K5" s="104"/>
      <c r="L5" s="104"/>
      <c r="M5" s="3"/>
      <c r="N5" s="3"/>
      <c r="O5" s="3"/>
      <c r="P5" s="3"/>
    </row>
    <row r="6" spans="2:16" ht="114.75" customHeight="1" x14ac:dyDescent="0.2">
      <c r="B6" s="3"/>
      <c r="C6" s="94"/>
      <c r="D6" s="396" t="s">
        <v>483</v>
      </c>
      <c r="E6" s="396"/>
      <c r="F6" s="396"/>
      <c r="G6" s="396"/>
      <c r="H6" s="396"/>
      <c r="I6" s="396"/>
      <c r="J6" s="396"/>
      <c r="K6" s="396"/>
      <c r="L6" s="396"/>
      <c r="M6" s="3"/>
      <c r="N6" s="3"/>
      <c r="O6" s="3"/>
      <c r="P6" s="3"/>
    </row>
    <row r="7" spans="2:16" x14ac:dyDescent="0.2">
      <c r="B7" s="3"/>
      <c r="C7" s="90"/>
      <c r="D7" s="90"/>
      <c r="E7" s="90"/>
      <c r="F7" s="90"/>
      <c r="G7" s="90"/>
      <c r="H7" s="90"/>
      <c r="I7" s="90"/>
      <c r="J7" s="90"/>
      <c r="K7" s="90"/>
      <c r="L7" s="90"/>
      <c r="M7" s="3"/>
      <c r="N7" s="3"/>
      <c r="O7" s="3"/>
      <c r="P7" s="3"/>
    </row>
    <row r="9" spans="2:16" x14ac:dyDescent="0.2">
      <c r="B9" s="3"/>
      <c r="C9" s="3"/>
      <c r="D9" s="3"/>
      <c r="E9" s="3"/>
      <c r="F9" s="3"/>
      <c r="G9" s="3"/>
      <c r="H9" s="3"/>
      <c r="I9" s="3"/>
      <c r="J9" s="3"/>
      <c r="K9" s="3"/>
      <c r="L9" s="3"/>
      <c r="M9" s="3"/>
      <c r="N9" s="3"/>
      <c r="O9" s="3"/>
      <c r="P9" s="3"/>
    </row>
    <row r="10" spans="2:16" x14ac:dyDescent="0.2">
      <c r="B10" s="3"/>
      <c r="C10" s="3"/>
      <c r="D10" s="3"/>
      <c r="E10" s="3"/>
      <c r="F10" s="3"/>
      <c r="G10" s="3"/>
      <c r="H10" s="3"/>
      <c r="I10" s="3"/>
      <c r="J10" s="3"/>
      <c r="K10" s="3"/>
      <c r="L10" s="3"/>
      <c r="M10" s="3"/>
      <c r="N10" s="3"/>
      <c r="O10" s="3"/>
      <c r="P10" s="3"/>
    </row>
    <row r="11" spans="2:16" ht="18" x14ac:dyDescent="0.25">
      <c r="B11" s="3"/>
      <c r="C11" s="3"/>
      <c r="D11" s="86" t="s">
        <v>289</v>
      </c>
      <c r="E11" s="95"/>
      <c r="F11" s="96"/>
      <c r="G11" s="7"/>
      <c r="H11" s="7"/>
      <c r="I11" s="7"/>
      <c r="J11" s="7"/>
      <c r="K11" s="7"/>
      <c r="L11" s="3"/>
      <c r="M11" s="3"/>
      <c r="N11" s="3"/>
      <c r="O11" s="3"/>
      <c r="P11" s="3"/>
    </row>
    <row r="12" spans="2:16" ht="14.25" x14ac:dyDescent="0.2">
      <c r="B12" s="3"/>
      <c r="C12" s="3"/>
      <c r="D12" s="3"/>
      <c r="E12" s="3"/>
      <c r="F12" s="3"/>
      <c r="G12" s="3"/>
      <c r="H12" s="7"/>
      <c r="I12" s="7"/>
      <c r="J12" s="7"/>
      <c r="K12" s="7"/>
      <c r="L12" s="3"/>
      <c r="M12" s="3"/>
      <c r="N12" s="3"/>
      <c r="O12" s="3"/>
      <c r="P12" s="3"/>
    </row>
    <row r="13" spans="2:16" ht="14.25" customHeight="1" x14ac:dyDescent="0.2">
      <c r="B13" s="3"/>
      <c r="C13" s="3"/>
      <c r="D13" s="8"/>
      <c r="E13" s="398">
        <v>2025</v>
      </c>
      <c r="F13" s="398"/>
      <c r="G13" s="398"/>
      <c r="H13" s="13"/>
      <c r="I13" s="398">
        <v>2030</v>
      </c>
      <c r="J13" s="398"/>
      <c r="K13" s="398"/>
      <c r="L13" s="8"/>
      <c r="M13" s="3"/>
      <c r="N13" s="3"/>
      <c r="O13" s="3"/>
      <c r="P13" s="3"/>
    </row>
    <row r="14" spans="2:16" x14ac:dyDescent="0.2">
      <c r="B14" s="3"/>
      <c r="C14" s="3"/>
      <c r="D14" s="8"/>
      <c r="E14" s="102" t="s">
        <v>80</v>
      </c>
      <c r="F14" s="102"/>
      <c r="G14" s="102" t="s">
        <v>77</v>
      </c>
      <c r="H14" s="13"/>
      <c r="I14" s="102" t="s">
        <v>80</v>
      </c>
      <c r="J14" s="102"/>
      <c r="K14" s="102" t="s">
        <v>77</v>
      </c>
      <c r="L14" s="8"/>
      <c r="M14" s="3"/>
      <c r="N14" s="3"/>
      <c r="O14" s="3"/>
      <c r="P14" s="3"/>
    </row>
    <row r="15" spans="2:16" x14ac:dyDescent="0.2">
      <c r="B15" s="3"/>
      <c r="C15" s="3"/>
      <c r="D15" s="3"/>
      <c r="E15" s="3"/>
      <c r="F15" s="3"/>
      <c r="G15" s="3"/>
      <c r="H15" s="3"/>
      <c r="I15" s="3"/>
      <c r="J15" s="3"/>
      <c r="K15" s="3"/>
      <c r="L15" s="3"/>
      <c r="M15" s="3"/>
      <c r="N15" s="3"/>
      <c r="O15" s="3"/>
      <c r="P15" s="3"/>
    </row>
    <row r="16" spans="2:16" x14ac:dyDescent="0.2">
      <c r="B16" s="3"/>
      <c r="C16" s="3"/>
      <c r="D16" s="8" t="s">
        <v>482</v>
      </c>
      <c r="E16" s="3"/>
      <c r="F16" s="3"/>
      <c r="G16" s="3"/>
      <c r="H16" s="3"/>
      <c r="I16" s="3"/>
      <c r="J16" s="3"/>
      <c r="K16" s="3"/>
      <c r="L16" s="3"/>
      <c r="M16" s="3"/>
      <c r="N16" s="3"/>
      <c r="O16" s="3"/>
      <c r="P16" s="3"/>
    </row>
    <row r="17" spans="2:16" x14ac:dyDescent="0.2">
      <c r="B17" s="3"/>
      <c r="C17" s="3"/>
      <c r="D17" s="118" t="s">
        <v>178</v>
      </c>
      <c r="E17" s="80">
        <v>0</v>
      </c>
      <c r="F17" s="15" t="s">
        <v>99</v>
      </c>
      <c r="G17" s="115"/>
      <c r="H17" s="15" t="s">
        <v>99</v>
      </c>
      <c r="I17" s="80">
        <v>0</v>
      </c>
      <c r="J17" s="15" t="s">
        <v>99</v>
      </c>
      <c r="K17" s="115"/>
      <c r="L17" s="15" t="s">
        <v>99</v>
      </c>
      <c r="M17" s="3"/>
      <c r="N17" s="3"/>
      <c r="O17" s="3"/>
      <c r="P17" s="3"/>
    </row>
    <row r="18" spans="2:16" x14ac:dyDescent="0.2">
      <c r="B18" s="3"/>
      <c r="C18" s="3"/>
      <c r="D18" s="118" t="s">
        <v>179</v>
      </c>
      <c r="E18" s="80">
        <v>0</v>
      </c>
      <c r="F18" s="15" t="s">
        <v>99</v>
      </c>
      <c r="G18" s="115"/>
      <c r="H18" s="15" t="s">
        <v>99</v>
      </c>
      <c r="I18" s="80">
        <v>5</v>
      </c>
      <c r="J18" s="15" t="s">
        <v>99</v>
      </c>
      <c r="K18" s="115"/>
      <c r="L18" s="15" t="s">
        <v>99</v>
      </c>
      <c r="M18" s="3"/>
      <c r="N18" s="3"/>
      <c r="O18" s="3"/>
      <c r="P18" s="3"/>
    </row>
    <row r="19" spans="2:16" x14ac:dyDescent="0.2">
      <c r="B19" s="3"/>
      <c r="C19" s="3"/>
      <c r="D19" s="118" t="s">
        <v>180</v>
      </c>
      <c r="E19" s="80">
        <v>0</v>
      </c>
      <c r="F19" s="15" t="s">
        <v>99</v>
      </c>
      <c r="G19" s="115"/>
      <c r="H19" s="15" t="s">
        <v>99</v>
      </c>
      <c r="I19" s="80">
        <v>0</v>
      </c>
      <c r="J19" s="15" t="s">
        <v>99</v>
      </c>
      <c r="K19" s="115"/>
      <c r="L19" s="15" t="s">
        <v>99</v>
      </c>
      <c r="M19" s="3"/>
      <c r="N19" s="3"/>
      <c r="O19" s="3"/>
      <c r="P19" s="3"/>
    </row>
    <row r="20" spans="2:16" x14ac:dyDescent="0.2">
      <c r="B20" s="3"/>
      <c r="C20" s="3"/>
      <c r="D20" s="118"/>
      <c r="E20" s="80"/>
      <c r="F20" s="80"/>
      <c r="G20" s="80"/>
      <c r="H20" s="80"/>
      <c r="I20" s="80"/>
      <c r="J20" s="80"/>
      <c r="K20" s="80"/>
      <c r="L20" s="15"/>
      <c r="M20" s="3"/>
      <c r="N20" s="3"/>
      <c r="O20" s="3"/>
      <c r="P20" s="3"/>
    </row>
    <row r="21" spans="2:16" ht="14.25" x14ac:dyDescent="0.2">
      <c r="B21" s="3"/>
      <c r="C21" s="3"/>
      <c r="D21" s="8" t="s">
        <v>478</v>
      </c>
      <c r="E21" s="80"/>
      <c r="F21" s="15"/>
      <c r="G21" s="15"/>
      <c r="H21" s="15"/>
      <c r="I21" s="15"/>
      <c r="J21" s="15"/>
      <c r="K21" s="15"/>
      <c r="L21" s="15"/>
      <c r="M21" s="3"/>
      <c r="N21" s="3"/>
      <c r="O21" s="3"/>
      <c r="P21" s="3"/>
    </row>
    <row r="22" spans="2:16" x14ac:dyDescent="0.2">
      <c r="B22" s="3"/>
      <c r="C22" s="3"/>
      <c r="D22" s="118" t="s">
        <v>282</v>
      </c>
      <c r="E22" s="80">
        <v>0</v>
      </c>
      <c r="F22" s="15" t="s">
        <v>48</v>
      </c>
      <c r="G22" s="274"/>
      <c r="H22" s="15" t="s">
        <v>48</v>
      </c>
      <c r="I22" s="80">
        <v>0</v>
      </c>
      <c r="J22" s="15" t="s">
        <v>48</v>
      </c>
      <c r="K22" s="274"/>
      <c r="L22" s="15" t="s">
        <v>48</v>
      </c>
      <c r="M22" s="3"/>
      <c r="N22" s="3"/>
      <c r="O22" s="3"/>
      <c r="P22" s="3"/>
    </row>
    <row r="23" spans="2:16" x14ac:dyDescent="0.2">
      <c r="B23" s="3"/>
      <c r="C23" s="3"/>
      <c r="D23" s="118" t="s">
        <v>283</v>
      </c>
      <c r="E23" s="80">
        <v>0</v>
      </c>
      <c r="F23" s="15" t="s">
        <v>48</v>
      </c>
      <c r="G23" s="274"/>
      <c r="H23" s="15" t="s">
        <v>48</v>
      </c>
      <c r="I23" s="80">
        <v>0</v>
      </c>
      <c r="J23" s="15" t="s">
        <v>48</v>
      </c>
      <c r="K23" s="274"/>
      <c r="L23" s="15" t="s">
        <v>48</v>
      </c>
      <c r="M23" s="3"/>
      <c r="N23" s="3"/>
      <c r="O23" s="3"/>
      <c r="P23" s="3"/>
    </row>
    <row r="24" spans="2:16" ht="14.25" x14ac:dyDescent="0.2">
      <c r="B24" s="3"/>
      <c r="C24" s="3"/>
      <c r="D24" s="118" t="s">
        <v>339</v>
      </c>
      <c r="E24" s="80">
        <f>E161</f>
        <v>0</v>
      </c>
      <c r="F24" s="80" t="s">
        <v>48</v>
      </c>
      <c r="G24" s="80"/>
      <c r="H24" s="80"/>
      <c r="I24" s="80">
        <f>E241</f>
        <v>0</v>
      </c>
      <c r="J24" s="80" t="s">
        <v>48</v>
      </c>
      <c r="K24" s="80"/>
      <c r="L24" s="15"/>
      <c r="M24" s="3"/>
      <c r="N24" s="3"/>
      <c r="O24" s="3"/>
      <c r="P24" s="3"/>
    </row>
    <row r="25" spans="2:16" x14ac:dyDescent="0.2">
      <c r="B25" s="3"/>
      <c r="C25" s="3"/>
      <c r="D25" s="3"/>
      <c r="E25" s="3"/>
      <c r="F25" s="3"/>
      <c r="G25" s="3"/>
      <c r="H25" s="3"/>
      <c r="I25" s="3"/>
      <c r="J25" s="3"/>
      <c r="K25" s="3"/>
      <c r="L25" s="3"/>
      <c r="M25" s="3"/>
      <c r="N25" s="3"/>
      <c r="O25" s="3"/>
      <c r="P25" s="3"/>
    </row>
    <row r="26" spans="2:16" ht="15.75" x14ac:dyDescent="0.2">
      <c r="B26" s="3"/>
      <c r="C26" s="3"/>
      <c r="D26" s="118" t="s">
        <v>269</v>
      </c>
      <c r="E26" s="291" t="s">
        <v>118</v>
      </c>
      <c r="F26" s="15"/>
      <c r="G26" s="294"/>
      <c r="H26" s="15" t="s">
        <v>320</v>
      </c>
      <c r="I26" s="291" t="s">
        <v>118</v>
      </c>
      <c r="J26" s="15"/>
      <c r="K26" s="294"/>
      <c r="L26" s="15" t="s">
        <v>320</v>
      </c>
      <c r="M26" s="3"/>
      <c r="N26" s="3"/>
      <c r="O26" s="3"/>
      <c r="P26" s="3"/>
    </row>
    <row r="27" spans="2:16" ht="15.75" x14ac:dyDescent="0.2">
      <c r="B27" s="3"/>
      <c r="C27" s="3"/>
      <c r="D27" s="118" t="s">
        <v>270</v>
      </c>
      <c r="E27" s="291" t="s">
        <v>118</v>
      </c>
      <c r="F27" s="15"/>
      <c r="G27" s="294"/>
      <c r="H27" s="15" t="s">
        <v>320</v>
      </c>
      <c r="I27" s="291" t="s">
        <v>118</v>
      </c>
      <c r="J27" s="15"/>
      <c r="K27" s="294"/>
      <c r="L27" s="15" t="s">
        <v>320</v>
      </c>
      <c r="M27" s="3"/>
      <c r="N27" s="3"/>
      <c r="O27" s="3"/>
      <c r="P27" s="3"/>
    </row>
    <row r="28" spans="2:16" ht="15.75" x14ac:dyDescent="0.2">
      <c r="B28" s="3"/>
      <c r="C28" s="3"/>
      <c r="D28" s="118" t="s">
        <v>472</v>
      </c>
      <c r="E28" s="296">
        <v>3.1900000000000001E-3</v>
      </c>
      <c r="F28" s="15" t="s">
        <v>335</v>
      </c>
      <c r="G28" s="294"/>
      <c r="H28" s="15" t="s">
        <v>335</v>
      </c>
      <c r="I28" s="296">
        <v>3.1900000000000001E-3</v>
      </c>
      <c r="J28" s="15" t="s">
        <v>335</v>
      </c>
      <c r="K28" s="294"/>
      <c r="L28" s="15" t="s">
        <v>335</v>
      </c>
      <c r="M28" s="3"/>
      <c r="N28" s="3"/>
      <c r="O28" s="3"/>
      <c r="P28" s="3"/>
    </row>
    <row r="29" spans="2:16" x14ac:dyDescent="0.2">
      <c r="B29" s="3"/>
      <c r="C29" s="3"/>
      <c r="D29" s="11"/>
      <c r="E29" s="80"/>
      <c r="F29" s="80"/>
      <c r="G29" s="80"/>
      <c r="H29" s="80"/>
      <c r="I29" s="80"/>
      <c r="J29" s="80"/>
      <c r="K29" s="80"/>
      <c r="L29" s="15"/>
      <c r="M29" s="3"/>
      <c r="N29" s="3"/>
      <c r="O29" s="3"/>
      <c r="P29" s="3"/>
    </row>
    <row r="30" spans="2:16" x14ac:dyDescent="0.2">
      <c r="B30" s="3"/>
      <c r="C30" s="3"/>
      <c r="D30" s="8"/>
      <c r="E30" s="81"/>
      <c r="F30" s="15"/>
      <c r="G30" s="15"/>
      <c r="H30" s="15"/>
      <c r="I30" s="81"/>
      <c r="J30" s="15"/>
      <c r="K30" s="15"/>
      <c r="L30" s="3"/>
      <c r="M30" s="3"/>
      <c r="N30" s="3"/>
      <c r="O30" s="3"/>
      <c r="P30" s="3"/>
    </row>
    <row r="31" spans="2:16" ht="14.25" x14ac:dyDescent="0.2">
      <c r="B31" s="3"/>
      <c r="C31" s="3"/>
      <c r="D31" s="12" t="s">
        <v>342</v>
      </c>
      <c r="E31" s="295">
        <v>0</v>
      </c>
      <c r="F31" s="15" t="s">
        <v>105</v>
      </c>
      <c r="G31" s="274"/>
      <c r="H31" s="15" t="s">
        <v>105</v>
      </c>
      <c r="I31" s="295">
        <v>0</v>
      </c>
      <c r="J31" s="15" t="s">
        <v>105</v>
      </c>
      <c r="K31" s="274"/>
      <c r="L31" s="3" t="s">
        <v>105</v>
      </c>
      <c r="M31" s="3"/>
      <c r="N31" s="3"/>
      <c r="O31" s="3"/>
      <c r="P31" s="3"/>
    </row>
    <row r="32" spans="2:16" ht="14.25" x14ac:dyDescent="0.2">
      <c r="B32" s="3"/>
      <c r="C32" s="3"/>
      <c r="D32" s="79" t="s">
        <v>343</v>
      </c>
      <c r="E32" s="80">
        <v>0</v>
      </c>
      <c r="F32" s="15" t="s">
        <v>106</v>
      </c>
      <c r="G32" s="274"/>
      <c r="H32" s="15" t="s">
        <v>106</v>
      </c>
      <c r="I32" s="80">
        <v>0</v>
      </c>
      <c r="J32" s="15" t="s">
        <v>106</v>
      </c>
      <c r="K32" s="274"/>
      <c r="L32" s="3" t="s">
        <v>106</v>
      </c>
      <c r="M32" s="3"/>
      <c r="N32" s="3"/>
      <c r="O32" s="3"/>
      <c r="P32" s="3"/>
    </row>
    <row r="33" spans="2:27" ht="14.25" x14ac:dyDescent="0.2">
      <c r="B33" s="3"/>
      <c r="C33" s="3"/>
      <c r="D33" s="79" t="s">
        <v>344</v>
      </c>
      <c r="E33" s="80">
        <v>0</v>
      </c>
      <c r="F33" s="15" t="s">
        <v>105</v>
      </c>
      <c r="G33" s="274"/>
      <c r="H33" s="15" t="s">
        <v>105</v>
      </c>
      <c r="I33" s="80">
        <v>0</v>
      </c>
      <c r="J33" s="15" t="s">
        <v>105</v>
      </c>
      <c r="K33" s="274"/>
      <c r="L33" s="3" t="s">
        <v>105</v>
      </c>
      <c r="M33" s="3"/>
      <c r="N33" s="3"/>
      <c r="O33" s="3"/>
      <c r="P33" s="3"/>
    </row>
    <row r="34" spans="2:27" x14ac:dyDescent="0.2">
      <c r="B34" s="3"/>
      <c r="C34" s="3"/>
      <c r="D34" s="79"/>
      <c r="E34" s="79"/>
      <c r="F34" s="79"/>
      <c r="G34" s="79"/>
      <c r="H34" s="79"/>
      <c r="I34" s="79"/>
      <c r="J34" s="79"/>
      <c r="K34" s="79"/>
      <c r="L34" s="79"/>
      <c r="M34" s="3"/>
      <c r="N34" s="3"/>
      <c r="O34" s="3"/>
      <c r="P34" s="3"/>
    </row>
    <row r="35" spans="2:27" x14ac:dyDescent="0.2">
      <c r="B35" s="3"/>
      <c r="C35" s="3"/>
      <c r="D35" s="79"/>
      <c r="E35" s="15"/>
      <c r="F35" s="15"/>
      <c r="G35" s="15"/>
      <c r="H35" s="15"/>
      <c r="I35" s="15"/>
      <c r="J35" s="15"/>
      <c r="K35" s="15"/>
      <c r="L35" s="15"/>
      <c r="M35" s="3"/>
      <c r="N35" s="3"/>
      <c r="O35" s="3"/>
      <c r="P35" s="3"/>
    </row>
    <row r="36" spans="2:27" x14ac:dyDescent="0.2">
      <c r="B36" s="3"/>
      <c r="C36" s="3"/>
      <c r="D36" s="79" t="s">
        <v>25</v>
      </c>
      <c r="E36" s="80">
        <v>10</v>
      </c>
      <c r="F36" s="15" t="s">
        <v>98</v>
      </c>
      <c r="G36" s="115"/>
      <c r="H36" s="15" t="s">
        <v>98</v>
      </c>
      <c r="I36" s="80">
        <v>10</v>
      </c>
      <c r="J36" s="15" t="s">
        <v>98</v>
      </c>
      <c r="K36" s="115"/>
      <c r="L36" s="15" t="s">
        <v>98</v>
      </c>
      <c r="M36" s="3"/>
      <c r="N36" s="3"/>
      <c r="O36" s="3"/>
      <c r="P36" s="3"/>
    </row>
    <row r="37" spans="2:27" x14ac:dyDescent="0.2">
      <c r="B37" s="3"/>
      <c r="C37" s="3"/>
      <c r="D37" s="79" t="s">
        <v>26</v>
      </c>
      <c r="E37" s="82">
        <v>8</v>
      </c>
      <c r="F37" s="15" t="s">
        <v>99</v>
      </c>
      <c r="G37" s="275"/>
      <c r="H37" s="15" t="s">
        <v>99</v>
      </c>
      <c r="I37" s="82">
        <v>8</v>
      </c>
      <c r="J37" s="15" t="s">
        <v>99</v>
      </c>
      <c r="K37" s="275"/>
      <c r="L37" s="15" t="s">
        <v>99</v>
      </c>
      <c r="M37" s="3"/>
      <c r="N37" s="3"/>
      <c r="O37" s="3"/>
      <c r="P37" s="3"/>
    </row>
    <row r="38" spans="2:27" x14ac:dyDescent="0.2">
      <c r="B38" s="3"/>
      <c r="C38" s="3"/>
      <c r="D38" s="15"/>
      <c r="E38" s="82"/>
      <c r="F38" s="15"/>
      <c r="G38" s="15"/>
      <c r="H38" s="15"/>
      <c r="I38" s="81"/>
      <c r="J38" s="15"/>
      <c r="K38" s="15"/>
      <c r="L38" s="3"/>
      <c r="M38" s="3"/>
      <c r="N38" s="3"/>
      <c r="O38" s="3"/>
      <c r="P38" s="3"/>
    </row>
    <row r="39" spans="2:27" x14ac:dyDescent="0.2">
      <c r="B39" s="3"/>
      <c r="C39" s="3"/>
      <c r="D39" s="15"/>
      <c r="E39" s="82"/>
      <c r="F39" s="15"/>
      <c r="G39" s="15"/>
      <c r="H39" s="15"/>
      <c r="I39" s="81"/>
      <c r="J39" s="15"/>
      <c r="K39" s="15"/>
      <c r="L39" s="3"/>
      <c r="M39" s="3"/>
      <c r="N39" s="3"/>
      <c r="O39" s="3"/>
      <c r="P39" s="3"/>
    </row>
    <row r="40" spans="2:27" x14ac:dyDescent="0.2">
      <c r="B40" s="3"/>
      <c r="C40" s="292" t="s">
        <v>311</v>
      </c>
      <c r="D40" s="400" t="s">
        <v>310</v>
      </c>
      <c r="E40" s="400"/>
      <c r="F40" s="400"/>
      <c r="G40" s="400"/>
      <c r="H40" s="400"/>
      <c r="I40" s="400"/>
      <c r="J40" s="400"/>
      <c r="K40" s="400"/>
      <c r="L40" s="400"/>
      <c r="M40" s="3"/>
      <c r="N40" s="3"/>
      <c r="O40" s="3"/>
      <c r="P40" s="3"/>
    </row>
    <row r="41" spans="2:27" ht="25.5" customHeight="1" x14ac:dyDescent="0.2">
      <c r="B41" s="3"/>
      <c r="C41" s="292" t="s">
        <v>312</v>
      </c>
      <c r="D41" s="401" t="s">
        <v>316</v>
      </c>
      <c r="E41" s="401"/>
      <c r="F41" s="401"/>
      <c r="G41" s="401"/>
      <c r="H41" s="401"/>
      <c r="I41" s="401"/>
      <c r="J41" s="401"/>
      <c r="K41" s="401"/>
      <c r="L41" s="401"/>
      <c r="M41" s="3"/>
      <c r="N41" s="3"/>
      <c r="O41" s="3"/>
      <c r="P41" s="3"/>
    </row>
    <row r="42" spans="2:27" x14ac:dyDescent="0.2">
      <c r="B42" s="3"/>
      <c r="C42" s="292" t="s">
        <v>313</v>
      </c>
      <c r="D42" s="402" t="s">
        <v>340</v>
      </c>
      <c r="E42" s="402"/>
      <c r="F42" s="402"/>
      <c r="G42" s="402"/>
      <c r="H42" s="402"/>
      <c r="I42" s="402"/>
      <c r="J42" s="402"/>
      <c r="K42" s="402"/>
      <c r="L42" s="402"/>
      <c r="M42" s="3"/>
      <c r="N42" s="3"/>
      <c r="O42" s="3"/>
      <c r="P42" s="3"/>
    </row>
    <row r="43" spans="2:27" x14ac:dyDescent="0.2">
      <c r="B43" s="3"/>
      <c r="C43" s="292" t="s">
        <v>314</v>
      </c>
      <c r="D43" s="402" t="s">
        <v>319</v>
      </c>
      <c r="E43" s="402"/>
      <c r="F43" s="402"/>
      <c r="G43" s="402"/>
      <c r="H43" s="402"/>
      <c r="I43" s="402"/>
      <c r="J43" s="402"/>
      <c r="K43" s="402"/>
      <c r="L43" s="402"/>
      <c r="M43" s="3"/>
      <c r="N43" s="3"/>
      <c r="O43" s="3"/>
      <c r="P43" s="3"/>
    </row>
    <row r="44" spans="2:27" x14ac:dyDescent="0.2">
      <c r="B44" s="3"/>
      <c r="C44" s="292" t="s">
        <v>315</v>
      </c>
      <c r="D44" s="293" t="s">
        <v>317</v>
      </c>
      <c r="E44" s="293"/>
      <c r="F44" s="293"/>
      <c r="G44" s="293"/>
      <c r="H44" s="293"/>
      <c r="I44" s="293"/>
      <c r="J44" s="293"/>
      <c r="K44" s="293"/>
      <c r="L44" s="293"/>
      <c r="M44" s="3"/>
      <c r="N44" s="3"/>
      <c r="O44" s="3"/>
      <c r="P44" s="3"/>
    </row>
    <row r="45" spans="2:27" x14ac:dyDescent="0.2">
      <c r="B45" s="3"/>
      <c r="C45" s="292" t="s">
        <v>341</v>
      </c>
      <c r="D45" s="293" t="s">
        <v>318</v>
      </c>
      <c r="E45" s="293"/>
      <c r="F45" s="293"/>
      <c r="G45" s="293"/>
      <c r="H45" s="293"/>
      <c r="I45" s="293"/>
      <c r="J45" s="293"/>
      <c r="K45" s="293"/>
      <c r="L45" s="293"/>
      <c r="M45" s="3"/>
      <c r="N45" s="3"/>
      <c r="O45" s="3"/>
      <c r="P45" s="3"/>
    </row>
    <row r="46" spans="2:27" x14ac:dyDescent="0.2">
      <c r="B46" s="3"/>
      <c r="C46" s="3"/>
      <c r="D46" s="15"/>
      <c r="E46" s="10"/>
      <c r="F46" s="3"/>
      <c r="G46" s="3"/>
      <c r="H46" s="3"/>
      <c r="I46" s="16"/>
      <c r="J46" s="3"/>
      <c r="K46" s="3"/>
      <c r="L46" s="3"/>
      <c r="M46" s="3"/>
      <c r="N46" s="3"/>
      <c r="O46" s="3"/>
      <c r="P46" s="3"/>
    </row>
    <row r="48" spans="2:27" x14ac:dyDescent="0.2">
      <c r="B48" s="3"/>
      <c r="C48" s="3"/>
      <c r="D48" s="14"/>
      <c r="E48" s="3"/>
      <c r="F48" s="3"/>
      <c r="G48" s="3"/>
      <c r="H48" s="3"/>
      <c r="I48" s="3"/>
      <c r="J48" s="3"/>
      <c r="K48" s="3"/>
      <c r="L48" s="3"/>
      <c r="M48" s="3"/>
      <c r="N48" s="3"/>
      <c r="O48" s="3"/>
      <c r="P48" s="3"/>
      <c r="Q48" s="3"/>
      <c r="R48" s="3"/>
      <c r="S48" s="3"/>
      <c r="T48" s="3"/>
      <c r="U48" s="3"/>
      <c r="V48" s="3"/>
      <c r="W48" s="3"/>
      <c r="X48" s="3"/>
      <c r="Y48" s="3"/>
      <c r="Z48" s="3"/>
      <c r="AA48" s="3"/>
    </row>
    <row r="49" spans="2:27" ht="18" x14ac:dyDescent="0.25">
      <c r="B49" s="3"/>
      <c r="C49" s="97" t="s">
        <v>290</v>
      </c>
      <c r="D49" s="14"/>
      <c r="E49" s="3"/>
      <c r="F49" s="3"/>
      <c r="G49" s="3"/>
      <c r="H49" s="3"/>
      <c r="I49" s="3"/>
      <c r="J49" s="3"/>
      <c r="K49" s="3"/>
      <c r="L49" s="3"/>
      <c r="M49" s="3"/>
      <c r="N49" s="3"/>
      <c r="O49" s="3"/>
      <c r="P49" s="3"/>
      <c r="Q49" s="3"/>
      <c r="R49" s="3"/>
      <c r="S49" s="3"/>
      <c r="T49" s="3"/>
      <c r="U49" s="3"/>
      <c r="V49" s="3"/>
      <c r="W49" s="3"/>
      <c r="X49" s="3"/>
      <c r="Y49" s="3"/>
      <c r="Z49" s="3"/>
      <c r="AA49" s="3"/>
    </row>
    <row r="50" spans="2:27" x14ac:dyDescent="0.2">
      <c r="B50" s="3"/>
      <c r="C50" s="3"/>
      <c r="D50" s="14"/>
      <c r="E50" s="3"/>
      <c r="F50" s="3"/>
      <c r="G50" s="113"/>
      <c r="H50" s="3"/>
      <c r="I50" s="3"/>
      <c r="J50" s="3"/>
      <c r="K50" s="3"/>
      <c r="L50" s="3"/>
      <c r="M50" s="3"/>
      <c r="N50" s="3"/>
      <c r="O50" s="3"/>
      <c r="P50" s="3"/>
      <c r="Q50" s="3"/>
      <c r="R50" s="3"/>
      <c r="S50" s="3"/>
      <c r="T50" s="3"/>
      <c r="U50" s="3"/>
      <c r="V50" s="3"/>
      <c r="W50" s="3"/>
      <c r="X50" s="3"/>
      <c r="Y50" s="3"/>
      <c r="Z50" s="3"/>
      <c r="AA50" s="3"/>
    </row>
    <row r="51" spans="2:27" ht="15" x14ac:dyDescent="0.25">
      <c r="B51" s="3"/>
      <c r="C51" s="92" t="s">
        <v>262</v>
      </c>
      <c r="D51" s="3"/>
      <c r="E51" s="3"/>
      <c r="F51" s="3"/>
      <c r="G51" s="3"/>
      <c r="H51" s="3"/>
      <c r="I51" s="3"/>
      <c r="J51" s="3"/>
      <c r="K51" s="92" t="s">
        <v>116</v>
      </c>
      <c r="L51" s="3"/>
      <c r="M51" s="3"/>
      <c r="N51" s="3"/>
      <c r="O51" s="3"/>
      <c r="P51" s="3"/>
      <c r="Q51" s="3"/>
      <c r="R51" s="3"/>
      <c r="S51" s="93" t="s">
        <v>84</v>
      </c>
      <c r="T51" s="3"/>
      <c r="U51" s="3"/>
      <c r="V51" s="3"/>
      <c r="W51" s="3"/>
      <c r="X51" s="3"/>
      <c r="Y51" s="3"/>
      <c r="Z51" s="3"/>
      <c r="AA51" s="3"/>
    </row>
    <row r="52" spans="2:27" x14ac:dyDescent="0.2">
      <c r="B52" s="3"/>
      <c r="C52" s="3"/>
      <c r="D52" s="14"/>
      <c r="E52" s="3"/>
      <c r="F52" s="3"/>
      <c r="G52" s="3"/>
      <c r="H52" s="3"/>
      <c r="I52" s="3"/>
      <c r="J52" s="3"/>
      <c r="K52" s="3"/>
      <c r="L52" s="3"/>
      <c r="M52" s="3"/>
      <c r="N52" s="3"/>
      <c r="O52" s="3"/>
      <c r="P52" s="3"/>
      <c r="Q52" s="3"/>
      <c r="R52" s="3"/>
      <c r="S52" s="3"/>
      <c r="T52" s="3"/>
      <c r="U52" s="3"/>
      <c r="V52" s="3"/>
      <c r="W52" s="3"/>
      <c r="X52" s="3"/>
      <c r="Y52" s="3"/>
      <c r="Z52" s="3"/>
      <c r="AA52" s="3"/>
    </row>
    <row r="53" spans="2:27" x14ac:dyDescent="0.2">
      <c r="B53" s="3"/>
      <c r="C53" s="3"/>
      <c r="D53" s="3"/>
      <c r="E53" s="3"/>
      <c r="F53" s="3"/>
      <c r="G53" s="3"/>
      <c r="H53" s="3"/>
      <c r="I53" s="3"/>
      <c r="J53" s="3"/>
      <c r="K53" s="3"/>
      <c r="L53" s="3"/>
      <c r="M53" s="3"/>
      <c r="N53" s="3"/>
      <c r="O53" s="3"/>
      <c r="P53" s="3"/>
      <c r="Q53" s="3"/>
      <c r="R53" s="3"/>
      <c r="S53" s="3"/>
      <c r="T53" s="3"/>
      <c r="U53" s="3"/>
      <c r="V53" s="3"/>
      <c r="W53" s="3"/>
      <c r="X53" s="3"/>
      <c r="Y53" s="3"/>
      <c r="Z53" s="3"/>
      <c r="AA53" s="3"/>
    </row>
    <row r="54" spans="2:27" x14ac:dyDescent="0.2">
      <c r="B54" s="3"/>
      <c r="C54" s="3"/>
      <c r="D54" s="3"/>
      <c r="E54" s="3"/>
      <c r="F54" s="3"/>
      <c r="G54" s="3"/>
      <c r="H54" s="3"/>
      <c r="I54" s="3"/>
      <c r="J54" s="3"/>
      <c r="K54" s="3"/>
      <c r="L54" s="3"/>
      <c r="M54" s="3"/>
      <c r="N54" s="3"/>
      <c r="O54" s="3"/>
      <c r="P54" s="3"/>
      <c r="Q54" s="3"/>
      <c r="R54" s="3"/>
      <c r="S54" s="3"/>
      <c r="T54" s="3"/>
      <c r="U54" s="3"/>
      <c r="V54" s="3"/>
      <c r="W54" s="3"/>
      <c r="X54" s="3"/>
      <c r="Y54" s="3"/>
      <c r="Z54" s="3"/>
      <c r="AA54" s="3"/>
    </row>
    <row r="55" spans="2:27" x14ac:dyDescent="0.2">
      <c r="B55" s="3"/>
      <c r="C55" s="3"/>
      <c r="D55" s="3"/>
      <c r="E55" s="3"/>
      <c r="F55" s="3"/>
      <c r="G55" s="3"/>
      <c r="H55" s="3"/>
      <c r="I55" s="3"/>
      <c r="J55" s="3"/>
      <c r="K55" s="3"/>
      <c r="L55" s="3"/>
      <c r="M55" s="3"/>
      <c r="N55" s="3"/>
      <c r="O55" s="3"/>
      <c r="P55" s="3"/>
      <c r="Q55" s="3"/>
      <c r="R55" s="3"/>
      <c r="S55" s="3"/>
      <c r="T55" s="3"/>
      <c r="U55" s="3"/>
      <c r="V55" s="3"/>
      <c r="W55" s="3"/>
      <c r="X55" s="3"/>
      <c r="Y55" s="3"/>
      <c r="Z55" s="3"/>
      <c r="AA55" s="3"/>
    </row>
    <row r="56" spans="2:27" x14ac:dyDescent="0.2">
      <c r="B56" s="3"/>
      <c r="C56" s="3"/>
      <c r="D56" s="3"/>
      <c r="E56" s="3"/>
      <c r="F56" s="3"/>
      <c r="G56" s="3"/>
      <c r="H56" s="3"/>
      <c r="I56" s="3"/>
      <c r="J56" s="3"/>
      <c r="K56" s="3"/>
      <c r="L56" s="3"/>
      <c r="M56" s="3"/>
      <c r="N56" s="3"/>
      <c r="O56" s="3"/>
      <c r="P56" s="3"/>
      <c r="Q56" s="3"/>
      <c r="R56" s="3"/>
      <c r="S56" s="3"/>
      <c r="T56" s="3"/>
      <c r="U56" s="3"/>
      <c r="V56" s="3"/>
      <c r="W56" s="3"/>
      <c r="X56" s="3"/>
      <c r="Y56" s="3"/>
      <c r="Z56" s="3"/>
      <c r="AA56" s="3"/>
    </row>
    <row r="57" spans="2:27" x14ac:dyDescent="0.2">
      <c r="B57" s="3"/>
      <c r="C57" s="3"/>
      <c r="D57" s="3"/>
      <c r="E57" s="3"/>
      <c r="F57" s="3"/>
      <c r="G57" s="3"/>
      <c r="H57" s="3"/>
      <c r="I57" s="3"/>
      <c r="J57" s="3"/>
      <c r="K57" s="3"/>
      <c r="L57" s="3"/>
      <c r="M57" s="3"/>
      <c r="N57" s="3"/>
      <c r="O57" s="3"/>
      <c r="P57" s="3"/>
      <c r="Q57" s="3"/>
      <c r="R57" s="3"/>
      <c r="S57" s="3"/>
      <c r="T57" s="3"/>
      <c r="U57" s="3"/>
      <c r="V57" s="3"/>
      <c r="W57" s="3"/>
      <c r="X57" s="3"/>
      <c r="Y57" s="3"/>
      <c r="Z57" s="3"/>
      <c r="AA57" s="3"/>
    </row>
    <row r="58" spans="2:27" x14ac:dyDescent="0.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2:27" x14ac:dyDescent="0.2">
      <c r="B59" s="3"/>
      <c r="C59" s="3"/>
      <c r="D59" s="3"/>
      <c r="E59" s="3"/>
      <c r="F59" s="3"/>
      <c r="G59" s="3"/>
      <c r="H59" s="3"/>
      <c r="I59" s="3"/>
      <c r="J59" s="3"/>
      <c r="K59" s="3"/>
      <c r="L59" s="3"/>
      <c r="M59" s="3"/>
      <c r="N59" s="3"/>
      <c r="O59" s="3"/>
      <c r="P59" s="3"/>
      <c r="Q59" s="3"/>
      <c r="R59" s="3"/>
      <c r="S59" s="3"/>
      <c r="T59" s="3"/>
      <c r="U59" s="3"/>
      <c r="V59" s="3"/>
      <c r="W59" s="3"/>
      <c r="X59" s="3"/>
      <c r="Y59" s="3"/>
      <c r="Z59" s="3"/>
      <c r="AA59" s="3"/>
    </row>
    <row r="60" spans="2:27" x14ac:dyDescent="0.2">
      <c r="B60" s="3"/>
      <c r="C60" s="3"/>
      <c r="D60" s="3"/>
      <c r="E60" s="3"/>
      <c r="F60" s="3"/>
      <c r="G60" s="3"/>
      <c r="H60" s="3"/>
      <c r="I60" s="3"/>
      <c r="J60" s="3"/>
      <c r="K60" s="3"/>
      <c r="L60" s="3"/>
      <c r="M60" s="3"/>
      <c r="N60" s="3"/>
      <c r="O60" s="3"/>
      <c r="P60" s="3"/>
      <c r="Q60" s="3"/>
      <c r="R60" s="3"/>
      <c r="S60" s="3"/>
      <c r="T60" s="3"/>
      <c r="U60" s="3"/>
      <c r="V60" s="3"/>
      <c r="W60" s="3"/>
      <c r="X60" s="3"/>
      <c r="Y60" s="3"/>
      <c r="Z60" s="3"/>
      <c r="AA60" s="3"/>
    </row>
    <row r="61" spans="2:27" x14ac:dyDescent="0.2">
      <c r="B61" s="3"/>
      <c r="C61" s="3"/>
      <c r="D61" s="3"/>
      <c r="E61" s="3"/>
      <c r="F61" s="3"/>
      <c r="G61" s="3"/>
      <c r="H61" s="3"/>
      <c r="I61" s="3"/>
      <c r="J61" s="3"/>
      <c r="K61" s="3"/>
      <c r="L61" s="3"/>
      <c r="M61" s="3"/>
      <c r="N61" s="3"/>
      <c r="O61" s="3"/>
      <c r="P61" s="3"/>
      <c r="Q61" s="3"/>
      <c r="R61" s="3"/>
      <c r="S61" s="3"/>
      <c r="T61" s="3"/>
      <c r="U61" s="3"/>
      <c r="V61" s="3"/>
      <c r="W61" s="3"/>
      <c r="X61" s="3"/>
      <c r="Y61" s="3"/>
      <c r="Z61" s="3"/>
      <c r="AA61" s="3"/>
    </row>
    <row r="62" spans="2:27" x14ac:dyDescent="0.2">
      <c r="B62" s="3"/>
      <c r="C62" s="3"/>
      <c r="D62" s="3"/>
      <c r="E62" s="3"/>
      <c r="F62" s="3"/>
      <c r="G62" s="3"/>
      <c r="H62" s="3"/>
      <c r="I62" s="3"/>
      <c r="J62" s="3"/>
      <c r="K62" s="3"/>
      <c r="L62" s="3"/>
      <c r="M62" s="3"/>
      <c r="N62" s="3"/>
      <c r="O62" s="3"/>
      <c r="P62" s="3"/>
      <c r="Q62" s="3"/>
      <c r="R62" s="3"/>
      <c r="S62" s="3"/>
      <c r="T62" s="3"/>
      <c r="U62" s="3"/>
      <c r="V62" s="3"/>
      <c r="W62" s="3"/>
      <c r="X62" s="3"/>
      <c r="Y62" s="3"/>
      <c r="Z62" s="3"/>
      <c r="AA62" s="3"/>
    </row>
    <row r="63" spans="2:27" x14ac:dyDescent="0.2">
      <c r="B63" s="3"/>
      <c r="C63" s="3"/>
      <c r="D63" s="3"/>
      <c r="E63" s="3"/>
      <c r="F63" s="3"/>
      <c r="G63" s="3"/>
      <c r="H63" s="3"/>
      <c r="I63" s="3"/>
      <c r="J63" s="3"/>
      <c r="K63" s="3"/>
      <c r="L63" s="3"/>
      <c r="M63" s="3"/>
      <c r="N63" s="3"/>
      <c r="O63" s="3"/>
      <c r="P63" s="3"/>
      <c r="Q63" s="3"/>
      <c r="R63" s="3"/>
      <c r="S63" s="3"/>
      <c r="T63" s="3"/>
      <c r="U63" s="3"/>
      <c r="V63" s="3"/>
      <c r="W63" s="3"/>
      <c r="X63" s="3"/>
      <c r="Y63" s="3"/>
      <c r="Z63" s="3"/>
      <c r="AA63" s="3"/>
    </row>
    <row r="64" spans="2:27" x14ac:dyDescent="0.2">
      <c r="B64" s="3"/>
      <c r="C64" s="3"/>
      <c r="D64" s="3"/>
      <c r="E64" s="3"/>
      <c r="F64" s="3"/>
      <c r="G64" s="3"/>
      <c r="H64" s="3"/>
      <c r="I64" s="3"/>
      <c r="J64" s="3"/>
      <c r="K64" s="3"/>
      <c r="L64" s="3"/>
      <c r="M64" s="3"/>
      <c r="N64" s="3"/>
      <c r="O64" s="3"/>
      <c r="P64" s="3"/>
      <c r="Q64" s="3"/>
      <c r="R64" s="3"/>
      <c r="S64" s="3"/>
      <c r="T64" s="3"/>
      <c r="U64" s="3"/>
      <c r="V64" s="3"/>
      <c r="W64" s="3"/>
      <c r="X64" s="3"/>
      <c r="Y64" s="3"/>
      <c r="Z64" s="3"/>
      <c r="AA64" s="3"/>
    </row>
    <row r="65" spans="2:27" x14ac:dyDescent="0.2">
      <c r="B65" s="3"/>
      <c r="C65" s="3"/>
      <c r="D65" s="3"/>
      <c r="E65" s="3"/>
      <c r="F65" s="3"/>
      <c r="G65" s="3"/>
      <c r="H65" s="3"/>
      <c r="I65" s="3"/>
      <c r="J65" s="3"/>
      <c r="K65" s="3"/>
      <c r="L65" s="3"/>
      <c r="M65" s="3"/>
      <c r="N65" s="3"/>
      <c r="O65" s="3"/>
      <c r="P65" s="3"/>
      <c r="Q65" s="3"/>
      <c r="R65" s="3"/>
      <c r="S65" s="3"/>
      <c r="T65" s="3"/>
      <c r="U65" s="3"/>
      <c r="V65" s="3"/>
      <c r="W65" s="3"/>
      <c r="X65" s="3"/>
      <c r="Y65" s="3"/>
      <c r="Z65" s="3"/>
      <c r="AA65" s="3"/>
    </row>
    <row r="66" spans="2:27" x14ac:dyDescent="0.2">
      <c r="B66" s="3"/>
      <c r="C66" s="3"/>
      <c r="D66" s="3"/>
      <c r="E66" s="3"/>
      <c r="F66" s="3"/>
      <c r="G66" s="3"/>
      <c r="H66" s="3"/>
      <c r="I66" s="3"/>
      <c r="J66" s="3"/>
      <c r="K66" s="3"/>
      <c r="L66" s="3"/>
      <c r="M66" s="3"/>
      <c r="N66" s="3"/>
      <c r="O66" s="3"/>
      <c r="P66" s="3"/>
      <c r="Q66" s="3"/>
      <c r="R66" s="3"/>
      <c r="S66" s="3"/>
      <c r="T66" s="3"/>
      <c r="U66" s="3"/>
      <c r="V66" s="3"/>
      <c r="W66" s="3"/>
      <c r="X66" s="3"/>
      <c r="Y66" s="3"/>
      <c r="Z66" s="3"/>
      <c r="AA66" s="3"/>
    </row>
    <row r="67" spans="2:27" x14ac:dyDescent="0.2">
      <c r="B67" s="3"/>
      <c r="C67" s="3"/>
      <c r="D67" s="3"/>
      <c r="E67" s="3"/>
      <c r="F67" s="3"/>
      <c r="G67" s="3"/>
      <c r="H67" s="3"/>
      <c r="I67" s="3"/>
      <c r="J67" s="3"/>
      <c r="K67" s="3"/>
      <c r="L67" s="3"/>
      <c r="M67" s="3"/>
      <c r="N67" s="3"/>
      <c r="O67" s="3"/>
      <c r="P67" s="3"/>
      <c r="Q67" s="3"/>
      <c r="R67" s="3"/>
      <c r="S67" s="3"/>
      <c r="T67" s="3"/>
      <c r="U67" s="3"/>
      <c r="V67" s="3"/>
      <c r="W67" s="3"/>
      <c r="X67" s="3"/>
      <c r="Y67" s="3"/>
      <c r="Z67" s="3"/>
      <c r="AA67" s="3"/>
    </row>
    <row r="68" spans="2:27" x14ac:dyDescent="0.2">
      <c r="B68" s="3"/>
      <c r="C68" s="3"/>
      <c r="D68" s="3"/>
      <c r="E68" s="3"/>
      <c r="F68" s="3"/>
      <c r="G68" s="3"/>
      <c r="H68" s="3"/>
      <c r="I68" s="3"/>
      <c r="J68" s="3"/>
      <c r="K68" s="3"/>
      <c r="L68" s="3"/>
      <c r="M68" s="3"/>
      <c r="N68" s="3"/>
      <c r="O68" s="3"/>
      <c r="P68" s="3"/>
      <c r="Q68" s="3"/>
      <c r="R68" s="3"/>
      <c r="S68" s="3"/>
      <c r="T68" s="3"/>
      <c r="U68" s="3"/>
      <c r="V68" s="3"/>
      <c r="W68" s="3"/>
      <c r="X68" s="3"/>
      <c r="Y68" s="3"/>
      <c r="Z68" s="3"/>
      <c r="AA68" s="3"/>
    </row>
    <row r="69" spans="2:27" x14ac:dyDescent="0.2">
      <c r="B69" s="3"/>
      <c r="C69" s="3"/>
      <c r="D69" s="3"/>
      <c r="E69" s="3"/>
      <c r="F69" s="3"/>
      <c r="G69" s="3"/>
      <c r="H69" s="3"/>
      <c r="I69" s="3"/>
      <c r="J69" s="3"/>
      <c r="K69" s="3"/>
      <c r="L69" s="3"/>
      <c r="M69" s="3"/>
      <c r="N69" s="3"/>
      <c r="O69" s="3"/>
      <c r="P69" s="3"/>
      <c r="Q69" s="3"/>
      <c r="R69" s="3"/>
      <c r="S69" s="3"/>
      <c r="T69" s="3"/>
      <c r="U69" s="3"/>
      <c r="V69" s="3"/>
      <c r="W69" s="3"/>
      <c r="X69" s="3"/>
      <c r="Y69" s="3"/>
      <c r="Z69" s="3"/>
      <c r="AA69" s="3"/>
    </row>
    <row r="70" spans="2:27" x14ac:dyDescent="0.2">
      <c r="B70" s="3"/>
      <c r="C70" s="3"/>
      <c r="D70" s="3"/>
      <c r="E70" s="3"/>
      <c r="F70" s="3"/>
      <c r="G70" s="3"/>
      <c r="H70" s="3"/>
      <c r="I70" s="3"/>
      <c r="J70" s="3"/>
      <c r="K70" s="3"/>
      <c r="L70" s="3"/>
      <c r="M70" s="3"/>
      <c r="N70" s="3"/>
      <c r="O70" s="3"/>
      <c r="P70" s="3"/>
      <c r="Q70" s="3"/>
      <c r="R70" s="3"/>
      <c r="S70" s="3"/>
      <c r="T70" s="3"/>
      <c r="U70" s="3"/>
      <c r="V70" s="3"/>
      <c r="W70" s="3"/>
      <c r="X70" s="3"/>
      <c r="Y70" s="3"/>
      <c r="Z70" s="3"/>
      <c r="AA70" s="3"/>
    </row>
    <row r="71" spans="2:27" x14ac:dyDescent="0.2">
      <c r="B71" s="3"/>
      <c r="C71" s="3"/>
      <c r="D71" s="3"/>
      <c r="E71" s="3"/>
      <c r="F71" s="3"/>
      <c r="G71" s="3"/>
      <c r="H71" s="3"/>
      <c r="I71" s="3"/>
      <c r="J71" s="3"/>
      <c r="K71" s="3"/>
      <c r="L71" s="3"/>
      <c r="M71" s="3"/>
      <c r="N71" s="3"/>
      <c r="O71" s="3"/>
      <c r="P71" s="3"/>
      <c r="Q71" s="3"/>
      <c r="R71" s="3"/>
      <c r="S71" s="3"/>
      <c r="T71" s="3"/>
      <c r="U71" s="3"/>
      <c r="V71" s="3"/>
      <c r="W71" s="3"/>
      <c r="X71" s="3"/>
      <c r="Y71" s="3"/>
      <c r="Z71" s="3"/>
      <c r="AA71" s="3"/>
    </row>
    <row r="72" spans="2:27" x14ac:dyDescent="0.2">
      <c r="B72" s="3"/>
      <c r="C72" s="3"/>
      <c r="D72" s="3"/>
      <c r="E72" s="3"/>
      <c r="F72" s="3"/>
      <c r="G72" s="3"/>
      <c r="H72" s="3"/>
      <c r="I72" s="3"/>
      <c r="J72" s="3"/>
      <c r="K72" s="3"/>
      <c r="L72" s="3"/>
      <c r="M72" s="3"/>
      <c r="N72" s="3"/>
      <c r="O72" s="3"/>
      <c r="P72" s="3"/>
      <c r="Q72" s="3"/>
      <c r="R72" s="3"/>
      <c r="S72" s="3"/>
      <c r="T72" s="3"/>
      <c r="U72" s="3"/>
      <c r="V72" s="3"/>
      <c r="W72" s="3"/>
      <c r="X72" s="3"/>
      <c r="Y72" s="3"/>
      <c r="Z72" s="3"/>
      <c r="AA72" s="3"/>
    </row>
    <row r="73" spans="2:27" x14ac:dyDescent="0.2">
      <c r="B73" s="3"/>
      <c r="C73" s="3"/>
      <c r="D73" s="3"/>
      <c r="E73" s="3"/>
      <c r="F73" s="3"/>
      <c r="G73" s="3"/>
      <c r="H73" s="3"/>
      <c r="I73" s="3"/>
      <c r="J73" s="3"/>
      <c r="K73" s="3"/>
      <c r="L73" s="3"/>
      <c r="M73" s="3"/>
      <c r="N73" s="3"/>
      <c r="O73" s="3"/>
      <c r="P73" s="3"/>
      <c r="Q73" s="3"/>
      <c r="R73" s="3"/>
      <c r="S73" s="3"/>
      <c r="T73" s="3"/>
      <c r="U73" s="3"/>
      <c r="V73" s="3"/>
      <c r="W73" s="3"/>
      <c r="X73" s="3"/>
      <c r="Y73" s="3"/>
      <c r="Z73" s="3"/>
      <c r="AA73" s="3"/>
    </row>
    <row r="74" spans="2:27" x14ac:dyDescent="0.2">
      <c r="B74" s="3"/>
      <c r="C74" s="3"/>
      <c r="D74" s="3"/>
      <c r="E74" s="3"/>
      <c r="F74" s="3"/>
      <c r="G74" s="3"/>
      <c r="H74" s="3"/>
      <c r="I74" s="3"/>
      <c r="J74" s="3"/>
      <c r="K74" s="3"/>
      <c r="L74" s="3"/>
      <c r="M74" s="3"/>
      <c r="N74" s="3"/>
      <c r="O74" s="3"/>
      <c r="P74" s="3"/>
      <c r="Q74" s="3"/>
      <c r="R74" s="3"/>
      <c r="S74" s="3"/>
      <c r="T74" s="3"/>
      <c r="U74" s="3"/>
      <c r="V74" s="3"/>
      <c r="W74" s="3"/>
      <c r="X74" s="3"/>
      <c r="Y74" s="3"/>
      <c r="Z74" s="3"/>
      <c r="AA74" s="3"/>
    </row>
    <row r="75" spans="2:27" x14ac:dyDescent="0.2">
      <c r="B75" s="3"/>
      <c r="C75" s="3"/>
      <c r="D75" s="3"/>
      <c r="E75" s="3"/>
      <c r="F75" s="3"/>
      <c r="G75" s="3"/>
      <c r="H75" s="3"/>
      <c r="I75" s="3"/>
      <c r="J75" s="3"/>
      <c r="K75" s="3"/>
      <c r="L75" s="3"/>
      <c r="M75" s="3"/>
      <c r="N75" s="3"/>
      <c r="O75" s="3"/>
      <c r="P75" s="3"/>
      <c r="Q75" s="3"/>
      <c r="R75" s="3"/>
      <c r="S75" s="3"/>
      <c r="T75" s="3"/>
      <c r="U75" s="3"/>
      <c r="V75" s="3"/>
      <c r="W75" s="3"/>
      <c r="X75" s="3"/>
      <c r="Y75" s="3"/>
      <c r="Z75" s="3"/>
      <c r="AA75" s="3"/>
    </row>
    <row r="76" spans="2:27" x14ac:dyDescent="0.2">
      <c r="B76" s="3"/>
      <c r="C76" s="3"/>
      <c r="D76" s="3"/>
      <c r="E76" s="3"/>
      <c r="F76" s="3"/>
      <c r="G76" s="3"/>
      <c r="H76" s="3"/>
      <c r="I76" s="3"/>
      <c r="J76" s="3"/>
      <c r="K76" s="3"/>
      <c r="L76" s="3"/>
      <c r="M76" s="3"/>
      <c r="N76" s="3"/>
      <c r="O76" s="3"/>
      <c r="P76" s="3"/>
      <c r="Q76" s="3"/>
      <c r="R76" s="3"/>
      <c r="S76" s="3"/>
      <c r="T76" s="3"/>
      <c r="U76" s="3"/>
      <c r="V76" s="3"/>
      <c r="W76" s="3"/>
      <c r="X76" s="3"/>
      <c r="Y76" s="3"/>
      <c r="Z76" s="3"/>
      <c r="AA76" s="3"/>
    </row>
    <row r="77" spans="2:27" x14ac:dyDescent="0.2">
      <c r="B77" s="3"/>
      <c r="C77" s="3"/>
      <c r="D77" s="3"/>
      <c r="E77" s="3"/>
      <c r="F77" s="3"/>
      <c r="G77" s="3"/>
      <c r="H77" s="3"/>
      <c r="I77" s="3"/>
      <c r="J77" s="3"/>
      <c r="K77" s="3"/>
      <c r="L77" s="3"/>
      <c r="M77" s="3"/>
      <c r="N77" s="3"/>
      <c r="O77" s="3"/>
      <c r="P77" s="3"/>
      <c r="Q77" s="3"/>
      <c r="R77" s="3"/>
      <c r="S77" s="3"/>
      <c r="T77" s="3"/>
      <c r="U77" s="3"/>
      <c r="V77" s="3"/>
      <c r="W77" s="3"/>
      <c r="X77" s="3"/>
      <c r="Y77" s="3"/>
      <c r="Z77" s="3"/>
      <c r="AA77" s="3"/>
    </row>
    <row r="78" spans="2:27" x14ac:dyDescent="0.2">
      <c r="B78" s="3"/>
      <c r="C78" s="3"/>
      <c r="D78" s="3"/>
      <c r="E78" s="3"/>
      <c r="F78" s="3"/>
      <c r="G78" s="3"/>
      <c r="H78" s="3"/>
      <c r="I78" s="3"/>
      <c r="J78" s="3"/>
      <c r="K78" s="3"/>
      <c r="L78" s="3"/>
      <c r="M78" s="3"/>
      <c r="N78" s="3"/>
      <c r="O78" s="3"/>
      <c r="P78" s="3"/>
      <c r="Q78" s="3"/>
      <c r="R78" s="3"/>
      <c r="S78" s="3"/>
      <c r="T78" s="3"/>
      <c r="U78" s="3"/>
      <c r="V78" s="3"/>
      <c r="W78" s="3"/>
      <c r="X78" s="3"/>
      <c r="Y78" s="3"/>
      <c r="Z78" s="3"/>
      <c r="AA78" s="3"/>
    </row>
    <row r="79" spans="2:27" x14ac:dyDescent="0.2">
      <c r="B79" s="3"/>
      <c r="C79" s="3"/>
      <c r="D79" s="3"/>
      <c r="E79" s="3"/>
      <c r="F79" s="3"/>
      <c r="G79" s="3"/>
      <c r="H79" s="3"/>
      <c r="I79" s="3"/>
      <c r="J79" s="3"/>
      <c r="K79" s="3"/>
      <c r="L79" s="3"/>
      <c r="M79" s="3"/>
      <c r="N79" s="3"/>
      <c r="O79" s="3"/>
      <c r="P79" s="3"/>
      <c r="Q79" s="3"/>
      <c r="R79" s="3"/>
      <c r="S79" s="3"/>
      <c r="T79" s="3"/>
      <c r="U79" s="3"/>
      <c r="V79" s="3"/>
      <c r="W79" s="3"/>
      <c r="X79" s="3"/>
      <c r="Y79" s="3"/>
      <c r="Z79" s="3"/>
      <c r="AA79" s="3"/>
    </row>
    <row r="80" spans="2:27" x14ac:dyDescent="0.2">
      <c r="B80" s="3"/>
      <c r="C80" s="3"/>
      <c r="D80" s="3"/>
      <c r="E80" s="3"/>
      <c r="F80" s="3"/>
      <c r="G80" s="3"/>
      <c r="H80" s="3"/>
      <c r="I80" s="3"/>
      <c r="J80" s="3"/>
      <c r="K80" s="3"/>
      <c r="L80" s="3"/>
      <c r="M80" s="3"/>
      <c r="N80" s="3"/>
      <c r="O80" s="3"/>
      <c r="P80" s="3"/>
      <c r="Q80" s="3"/>
      <c r="R80" s="3"/>
      <c r="S80" s="3"/>
      <c r="T80" s="3"/>
      <c r="U80" s="3"/>
      <c r="V80" s="3"/>
      <c r="W80" s="3"/>
      <c r="X80" s="3"/>
      <c r="Y80" s="3"/>
      <c r="Z80" s="3"/>
      <c r="AA80" s="3"/>
    </row>
    <row r="81" spans="2:27" x14ac:dyDescent="0.2">
      <c r="B81" s="3"/>
      <c r="C81" s="3"/>
      <c r="D81" s="3"/>
      <c r="E81" s="3"/>
      <c r="F81" s="3"/>
      <c r="G81" s="3"/>
      <c r="H81" s="3"/>
      <c r="I81" s="3"/>
      <c r="J81" s="3"/>
      <c r="K81" s="3"/>
      <c r="L81" s="3"/>
      <c r="M81" s="3"/>
      <c r="N81" s="3"/>
      <c r="O81" s="3"/>
      <c r="P81" s="3"/>
      <c r="Q81" s="3"/>
      <c r="R81" s="3"/>
      <c r="S81" s="3"/>
      <c r="T81" s="3"/>
      <c r="U81" s="3"/>
      <c r="V81" s="3"/>
      <c r="W81" s="3"/>
      <c r="X81" s="3"/>
      <c r="Y81" s="3"/>
      <c r="Z81" s="3"/>
      <c r="AA81" s="3"/>
    </row>
    <row r="82" spans="2:27" x14ac:dyDescent="0.2">
      <c r="B82" s="3"/>
      <c r="C82" s="3"/>
      <c r="D82" s="3"/>
      <c r="E82" s="3"/>
      <c r="F82" s="3"/>
      <c r="G82" s="3"/>
      <c r="H82" s="3"/>
      <c r="I82" s="3"/>
      <c r="J82" s="3"/>
      <c r="K82" s="3"/>
      <c r="L82" s="3"/>
      <c r="M82" s="3"/>
      <c r="N82" s="3"/>
      <c r="O82" s="3"/>
      <c r="P82" s="3"/>
      <c r="Q82" s="3"/>
      <c r="R82" s="3"/>
      <c r="S82" s="3"/>
      <c r="T82" s="3"/>
      <c r="U82" s="3"/>
      <c r="V82" s="3"/>
      <c r="W82" s="3"/>
      <c r="X82" s="3"/>
      <c r="Y82" s="3"/>
      <c r="Z82" s="3"/>
      <c r="AA82" s="3"/>
    </row>
    <row r="83" spans="2:27" ht="15" customHeight="1" x14ac:dyDescent="0.25">
      <c r="B83" s="3"/>
      <c r="C83" s="97"/>
      <c r="D83" s="62"/>
      <c r="E83" s="3"/>
      <c r="F83" s="3"/>
      <c r="G83" s="3"/>
      <c r="H83" s="3"/>
      <c r="I83" s="3"/>
      <c r="J83" s="3"/>
      <c r="K83" s="3"/>
      <c r="L83" s="3"/>
      <c r="M83" s="3"/>
      <c r="N83" s="3"/>
      <c r="O83" s="3"/>
      <c r="P83" s="3"/>
      <c r="Q83" s="3"/>
      <c r="R83" s="3"/>
      <c r="S83" s="3"/>
      <c r="T83" s="3"/>
      <c r="U83" s="3"/>
      <c r="V83" s="3"/>
      <c r="W83" s="3"/>
      <c r="X83" s="3"/>
      <c r="Y83" s="85"/>
      <c r="Z83" s="85"/>
      <c r="AA83" s="3"/>
    </row>
    <row r="84" spans="2:27" x14ac:dyDescent="0.2">
      <c r="B84" s="3"/>
      <c r="C84" s="3"/>
      <c r="D84" s="3"/>
      <c r="E84" s="3"/>
      <c r="F84" s="3"/>
      <c r="G84" s="3"/>
      <c r="H84" s="3"/>
      <c r="I84" s="3"/>
      <c r="J84" s="3"/>
      <c r="K84" s="3"/>
      <c r="L84" s="3"/>
      <c r="M84" s="3"/>
      <c r="N84" s="3"/>
      <c r="O84" s="3"/>
      <c r="P84" s="3"/>
      <c r="Q84" s="3"/>
      <c r="R84" s="3"/>
      <c r="S84" s="3"/>
      <c r="T84" s="3"/>
      <c r="U84" s="3"/>
      <c r="V84" s="3"/>
      <c r="W84" s="3"/>
      <c r="X84" s="3"/>
      <c r="Y84" s="84"/>
      <c r="Z84" s="84"/>
      <c r="AA84" s="3"/>
    </row>
    <row r="85" spans="2:27" x14ac:dyDescent="0.2">
      <c r="B85" s="3"/>
      <c r="C85" s="3"/>
      <c r="D85" s="3"/>
      <c r="E85" s="3"/>
      <c r="F85" s="3"/>
      <c r="G85" s="3"/>
      <c r="H85" s="3"/>
      <c r="I85" s="3"/>
      <c r="J85" s="3"/>
      <c r="K85" s="3"/>
      <c r="L85" s="3"/>
      <c r="M85" s="3"/>
      <c r="N85" s="3"/>
      <c r="O85" s="3"/>
      <c r="P85" s="3"/>
      <c r="Q85" s="3"/>
      <c r="R85" s="3"/>
      <c r="S85" s="3"/>
      <c r="T85" s="3"/>
      <c r="U85" s="3"/>
      <c r="V85" s="3"/>
      <c r="W85" s="3"/>
      <c r="X85" s="3"/>
      <c r="Y85" s="84"/>
      <c r="Z85" s="84"/>
      <c r="AA85" s="3"/>
    </row>
    <row r="86" spans="2:27" ht="15" customHeight="1" x14ac:dyDescent="0.25">
      <c r="B86" s="3"/>
      <c r="C86" s="3"/>
      <c r="D86" s="23" t="s">
        <v>192</v>
      </c>
      <c r="E86" s="24"/>
      <c r="F86" s="24"/>
      <c r="G86" s="24"/>
      <c r="H86" s="24"/>
      <c r="I86" s="3"/>
      <c r="J86" s="3"/>
      <c r="K86" s="3"/>
      <c r="L86" s="23" t="s">
        <v>194</v>
      </c>
      <c r="M86" s="24"/>
      <c r="N86" s="24"/>
      <c r="O86" s="24"/>
      <c r="P86" s="24"/>
      <c r="Q86" s="3"/>
      <c r="R86" s="3"/>
      <c r="S86" s="3"/>
      <c r="T86" s="23" t="s">
        <v>199</v>
      </c>
      <c r="U86" s="24"/>
      <c r="V86" s="24"/>
      <c r="W86" s="24"/>
      <c r="X86" s="3"/>
      <c r="Y86" s="84"/>
      <c r="Z86" s="84"/>
      <c r="AA86" s="3"/>
    </row>
    <row r="87" spans="2:27" ht="15" customHeight="1" x14ac:dyDescent="0.25">
      <c r="B87" s="3"/>
      <c r="C87" s="397" t="s">
        <v>145</v>
      </c>
      <c r="D87" s="34"/>
      <c r="E87" s="46">
        <v>2020</v>
      </c>
      <c r="F87" s="47">
        <v>2025</v>
      </c>
      <c r="G87" s="47">
        <v>2030</v>
      </c>
      <c r="H87" s="34"/>
      <c r="I87" s="3"/>
      <c r="J87" s="3"/>
      <c r="K87" s="3"/>
      <c r="L87" s="34"/>
      <c r="M87" s="46">
        <v>2020</v>
      </c>
      <c r="N87" s="47">
        <v>2025</v>
      </c>
      <c r="O87" s="47">
        <v>2030</v>
      </c>
      <c r="P87" s="34"/>
      <c r="Q87" s="3"/>
      <c r="R87" s="3"/>
      <c r="S87" s="397" t="s">
        <v>145</v>
      </c>
      <c r="T87" s="34"/>
      <c r="U87" s="47">
        <v>2020</v>
      </c>
      <c r="V87" s="47">
        <v>2025</v>
      </c>
      <c r="W87" s="47">
        <v>2030</v>
      </c>
      <c r="X87" s="3"/>
      <c r="Y87" s="84"/>
      <c r="Z87" s="84"/>
      <c r="AA87" s="63"/>
    </row>
    <row r="88" spans="2:27" x14ac:dyDescent="0.2">
      <c r="B88" s="3"/>
      <c r="C88" s="397"/>
      <c r="D88" s="24"/>
      <c r="E88" s="48" t="s">
        <v>89</v>
      </c>
      <c r="F88" s="49"/>
      <c r="G88" s="49"/>
      <c r="H88" s="24"/>
      <c r="I88" s="3"/>
      <c r="J88" s="3"/>
      <c r="K88" s="3"/>
      <c r="L88" s="24"/>
      <c r="M88" s="48" t="s">
        <v>89</v>
      </c>
      <c r="N88" s="49"/>
      <c r="O88" s="49"/>
      <c r="P88" s="24"/>
      <c r="Q88" s="3"/>
      <c r="R88" s="3"/>
      <c r="S88" s="397"/>
      <c r="T88" s="24"/>
      <c r="U88" s="50" t="s">
        <v>89</v>
      </c>
      <c r="V88" s="50"/>
      <c r="W88" s="59"/>
      <c r="X88" s="3"/>
      <c r="Y88" s="84"/>
      <c r="Z88" s="84"/>
      <c r="AA88" s="63"/>
    </row>
    <row r="89" spans="2:27" ht="15.75" x14ac:dyDescent="0.3">
      <c r="B89" s="3"/>
      <c r="C89" s="3"/>
      <c r="D89" s="29" t="str">
        <f>C166</f>
        <v>Energieträger gesamt</v>
      </c>
      <c r="E89" s="26">
        <f>SUM('Referenz Plattenwerk'!S16:S29)</f>
        <v>41.281733459999998</v>
      </c>
      <c r="F89" s="26">
        <f>H166</f>
        <v>34.39057387091087</v>
      </c>
      <c r="G89" s="26">
        <f>H245</f>
        <v>25.105144641628776</v>
      </c>
      <c r="H89" s="25" t="s">
        <v>162</v>
      </c>
      <c r="I89" s="3"/>
      <c r="J89" s="3"/>
      <c r="K89" s="3"/>
      <c r="L89" s="29" t="s">
        <v>115</v>
      </c>
      <c r="M89" s="26">
        <f>'Referenz Plattenwerk'!Q74</f>
        <v>94.932355060000006</v>
      </c>
      <c r="N89" s="26">
        <f>F230</f>
        <v>94.932355060000006</v>
      </c>
      <c r="O89" s="26">
        <f>F309</f>
        <v>94.932355060000006</v>
      </c>
      <c r="P89" s="25" t="s">
        <v>162</v>
      </c>
      <c r="Q89" s="3"/>
      <c r="R89" s="3"/>
      <c r="S89" s="3"/>
      <c r="T89" s="57" t="s">
        <v>158</v>
      </c>
      <c r="U89" s="58">
        <f>SUM(U90:U96)</f>
        <v>109669</v>
      </c>
      <c r="V89" s="58">
        <f t="shared" ref="V89:W89" si="0">SUM(V90:V96)</f>
        <v>109669</v>
      </c>
      <c r="W89" s="58">
        <f t="shared" si="0"/>
        <v>109669</v>
      </c>
      <c r="X89" s="3"/>
      <c r="Y89" s="114"/>
      <c r="Z89" s="114"/>
      <c r="AA89" s="63"/>
    </row>
    <row r="90" spans="2:27" ht="15.75" x14ac:dyDescent="0.3">
      <c r="B90" s="3"/>
      <c r="C90" s="3"/>
      <c r="D90" s="8" t="str">
        <f>C182</f>
        <v>Transport gesamt</v>
      </c>
      <c r="E90" s="9">
        <f>'Referenz Plattenwerk'!S32+'Referenz Plattenwerk'!S33</f>
        <v>469.15642799999995</v>
      </c>
      <c r="F90" s="9">
        <f>H182</f>
        <v>469.15642799999995</v>
      </c>
      <c r="G90" s="9">
        <f>H261</f>
        <v>469.15642799999995</v>
      </c>
      <c r="H90" s="3" t="s">
        <v>162</v>
      </c>
      <c r="I90" s="3"/>
      <c r="J90" s="3"/>
      <c r="K90" s="3"/>
      <c r="L90" s="8" t="s">
        <v>28</v>
      </c>
      <c r="M90" s="9">
        <f>'Referenz Plattenwerk'!R74</f>
        <v>171.9</v>
      </c>
      <c r="N90" s="9">
        <f>G230</f>
        <v>124.8924470887134</v>
      </c>
      <c r="O90" s="9">
        <f>G309</f>
        <v>61.552554846110553</v>
      </c>
      <c r="P90" s="3" t="s">
        <v>162</v>
      </c>
      <c r="Q90" s="3"/>
      <c r="R90" s="3"/>
      <c r="S90" s="3"/>
      <c r="T90" s="31" t="s">
        <v>31</v>
      </c>
      <c r="U90" s="52">
        <f>'Referenz Plattenwerk'!AB16</f>
        <v>14335</v>
      </c>
      <c r="V90" s="52">
        <f>S168+S173</f>
        <v>14335</v>
      </c>
      <c r="W90" s="52">
        <f>S247+S252</f>
        <v>14335</v>
      </c>
      <c r="X90" s="3"/>
      <c r="Y90" s="114"/>
      <c r="Z90" s="114"/>
      <c r="AA90" s="63"/>
    </row>
    <row r="91" spans="2:27" ht="15.75" x14ac:dyDescent="0.3">
      <c r="B91" s="3"/>
      <c r="C91" s="3"/>
      <c r="D91" s="29" t="str">
        <f>C186</f>
        <v>Zement</v>
      </c>
      <c r="E91" s="26">
        <f>'Referenz Plattenwerk'!S35</f>
        <v>4548.5439999999999</v>
      </c>
      <c r="F91" s="26">
        <f>H186</f>
        <v>4548.5439999999999</v>
      </c>
      <c r="G91" s="26">
        <f>H265</f>
        <v>4548.5439999999999</v>
      </c>
      <c r="H91" s="25" t="s">
        <v>162</v>
      </c>
      <c r="I91" s="3"/>
      <c r="J91" s="3"/>
      <c r="K91" s="3"/>
      <c r="L91" s="29" t="s">
        <v>29</v>
      </c>
      <c r="M91" s="26">
        <f>'Referenz Plattenwerk'!S74</f>
        <v>5831.5296228095176</v>
      </c>
      <c r="N91" s="26">
        <f>H230</f>
        <v>5824.638463220429</v>
      </c>
      <c r="O91" s="26">
        <f>H309</f>
        <v>5815.3530339911495</v>
      </c>
      <c r="P91" s="25" t="s">
        <v>162</v>
      </c>
      <c r="Q91" s="3"/>
      <c r="R91" s="3"/>
      <c r="S91" s="3"/>
      <c r="T91" s="31" t="s">
        <v>32</v>
      </c>
      <c r="U91" s="52">
        <f>'Referenz Plattenwerk'!AB17</f>
        <v>2760</v>
      </c>
      <c r="V91" s="52">
        <f>S169+S174</f>
        <v>2760</v>
      </c>
      <c r="W91" s="52">
        <f>S248+S253</f>
        <v>2760</v>
      </c>
      <c r="X91" s="3"/>
      <c r="Y91" s="114"/>
      <c r="Z91" s="114"/>
      <c r="AA91" s="63"/>
    </row>
    <row r="92" spans="2:27" ht="16.5" thickBot="1" x14ac:dyDescent="0.35">
      <c r="B92" s="3"/>
      <c r="C92" s="3"/>
      <c r="D92" s="8" t="str">
        <f>C192</f>
        <v>Gesteinskörnungen (Zuschlagsstoffe)</v>
      </c>
      <c r="E92" s="9">
        <f>'Referenz Plattenwerk'!S41</f>
        <v>129.59200000000001</v>
      </c>
      <c r="F92" s="9">
        <f>H192</f>
        <v>129.59200000000001</v>
      </c>
      <c r="G92" s="9">
        <f>H271</f>
        <v>129.59200000000001</v>
      </c>
      <c r="H92" s="3" t="s">
        <v>162</v>
      </c>
      <c r="I92" s="3"/>
      <c r="J92" s="3"/>
      <c r="K92" s="3"/>
      <c r="L92" s="27" t="s">
        <v>69</v>
      </c>
      <c r="M92" s="28">
        <f>SUM(M89:M91)</f>
        <v>6098.3619778695174</v>
      </c>
      <c r="N92" s="28">
        <f t="shared" ref="N92:O92" si="1">SUM(N89:N91)</f>
        <v>6044.4632653691424</v>
      </c>
      <c r="O92" s="28">
        <f t="shared" si="1"/>
        <v>5971.8379438972597</v>
      </c>
      <c r="P92" s="27" t="s">
        <v>163</v>
      </c>
      <c r="Q92" s="3"/>
      <c r="R92" s="3"/>
      <c r="S92" s="3"/>
      <c r="T92" s="31" t="s">
        <v>33</v>
      </c>
      <c r="U92" s="52">
        <f>'Referenz Plattenwerk'!AB18</f>
        <v>77400</v>
      </c>
      <c r="V92" s="52">
        <f>S170+S176</f>
        <v>77400</v>
      </c>
      <c r="W92" s="52">
        <f>S249+S255</f>
        <v>77400</v>
      </c>
      <c r="X92" s="3"/>
      <c r="Y92" s="114"/>
      <c r="Z92" s="114"/>
      <c r="AA92" s="63"/>
    </row>
    <row r="93" spans="2:27" ht="16.5" thickTop="1" x14ac:dyDescent="0.3">
      <c r="B93" s="3"/>
      <c r="C93" s="3"/>
      <c r="D93" s="29" t="str">
        <f>D197</f>
        <v>Farben</v>
      </c>
      <c r="E93" s="26">
        <f>'Referenz Plattenwerk'!S46</f>
        <v>208</v>
      </c>
      <c r="F93" s="26">
        <f>H197</f>
        <v>208</v>
      </c>
      <c r="G93" s="26">
        <f>H276</f>
        <v>208</v>
      </c>
      <c r="H93" s="25" t="s">
        <v>162</v>
      </c>
      <c r="I93" s="3"/>
      <c r="J93" s="3"/>
      <c r="K93" s="3"/>
      <c r="L93" s="3"/>
      <c r="M93" s="3"/>
      <c r="N93" s="3"/>
      <c r="O93" s="3"/>
      <c r="P93" s="3"/>
      <c r="Q93" s="3"/>
      <c r="R93" s="3"/>
      <c r="S93" s="3"/>
      <c r="T93" s="31" t="s">
        <v>122</v>
      </c>
      <c r="U93" s="52">
        <f>'Referenz Plattenwerk'!AB19</f>
        <v>0</v>
      </c>
      <c r="V93" s="52">
        <f>S177</f>
        <v>0</v>
      </c>
      <c r="W93" s="52">
        <f>S256</f>
        <v>0</v>
      </c>
      <c r="X93" s="3"/>
      <c r="Y93" s="114"/>
      <c r="Z93" s="114"/>
      <c r="AA93" s="63"/>
    </row>
    <row r="94" spans="2:27" ht="15.75" x14ac:dyDescent="0.3">
      <c r="B94" s="3"/>
      <c r="C94" s="3"/>
      <c r="D94" s="8" t="str">
        <f>C199</f>
        <v>Zusatzstoffe (Füllstoffe)</v>
      </c>
      <c r="E94" s="9">
        <f>'Referenz Plattenwerk'!S48</f>
        <v>81.003999999999991</v>
      </c>
      <c r="F94" s="9">
        <f>H199</f>
        <v>81.003999999999991</v>
      </c>
      <c r="G94" s="9">
        <f>H278</f>
        <v>81.003999999999991</v>
      </c>
      <c r="H94" s="3" t="s">
        <v>162</v>
      </c>
      <c r="I94" s="3"/>
      <c r="J94" s="3"/>
      <c r="K94" s="3"/>
      <c r="L94" s="3"/>
      <c r="M94" s="3"/>
      <c r="N94" s="3"/>
      <c r="O94" s="3"/>
      <c r="P94" s="3"/>
      <c r="Q94" s="3"/>
      <c r="R94" s="3"/>
      <c r="S94" s="3"/>
      <c r="T94" s="31" t="s">
        <v>123</v>
      </c>
      <c r="U94" s="52">
        <f>'Referenz Plattenwerk'!AB20</f>
        <v>0</v>
      </c>
      <c r="V94" s="52">
        <f>S171</f>
        <v>0</v>
      </c>
      <c r="W94" s="52">
        <f>S250</f>
        <v>0</v>
      </c>
      <c r="X94" s="3"/>
      <c r="Y94" s="114"/>
      <c r="Z94" s="114"/>
      <c r="AA94" s="63"/>
    </row>
    <row r="95" spans="2:27" ht="15.75" x14ac:dyDescent="0.3">
      <c r="B95" s="3"/>
      <c r="C95" s="3"/>
      <c r="D95" s="29" t="str">
        <f>C204</f>
        <v>Zusatzmittel</v>
      </c>
      <c r="E95" s="26">
        <f>'Referenz Plattenwerk'!S53</f>
        <v>148.44746134951595</v>
      </c>
      <c r="F95" s="26">
        <f>H204</f>
        <v>148.44746134951595</v>
      </c>
      <c r="G95" s="26">
        <f>H283</f>
        <v>148.44746134951595</v>
      </c>
      <c r="H95" s="25" t="s">
        <v>162</v>
      </c>
      <c r="I95" s="3"/>
      <c r="J95" s="3"/>
      <c r="K95" s="3"/>
      <c r="L95" s="23" t="s">
        <v>263</v>
      </c>
      <c r="M95" s="24"/>
      <c r="N95" s="24"/>
      <c r="O95" s="24"/>
      <c r="P95" s="24"/>
      <c r="Q95" s="3"/>
      <c r="R95" s="3"/>
      <c r="S95" s="3"/>
      <c r="T95" s="31" t="s">
        <v>124</v>
      </c>
      <c r="U95" s="52">
        <f>'Referenz Plattenwerk'!AB21</f>
        <v>0</v>
      </c>
      <c r="V95" s="52">
        <f>S178</f>
        <v>0</v>
      </c>
      <c r="W95" s="52">
        <f>S257</f>
        <v>0</v>
      </c>
      <c r="X95" s="3"/>
      <c r="Y95" s="114"/>
      <c r="Z95" s="114"/>
      <c r="AA95" s="63"/>
    </row>
    <row r="96" spans="2:27" ht="15.75" x14ac:dyDescent="0.3">
      <c r="B96" s="3"/>
      <c r="C96" s="3"/>
      <c r="D96" s="8" t="str">
        <f>C210</f>
        <v>Ersatzstoffe &amp; Recyclingmaterial</v>
      </c>
      <c r="E96" s="9">
        <v>0</v>
      </c>
      <c r="F96" s="9">
        <f>H210</f>
        <v>0</v>
      </c>
      <c r="G96" s="9">
        <f>H289</f>
        <v>0</v>
      </c>
      <c r="H96" s="3" t="s">
        <v>162</v>
      </c>
      <c r="I96" s="3"/>
      <c r="J96" s="3"/>
      <c r="K96" s="397" t="s">
        <v>145</v>
      </c>
      <c r="L96" s="46"/>
      <c r="M96" s="46">
        <v>2020</v>
      </c>
      <c r="N96" s="47">
        <v>2025</v>
      </c>
      <c r="O96" s="47">
        <v>2030</v>
      </c>
      <c r="P96" s="34"/>
      <c r="Q96" s="3"/>
      <c r="R96" s="3"/>
      <c r="S96" s="3"/>
      <c r="T96" s="51" t="s">
        <v>34</v>
      </c>
      <c r="U96" s="53">
        <f>'Referenz Plattenwerk'!AB22</f>
        <v>15174.000000000002</v>
      </c>
      <c r="V96" s="54">
        <f>S180+S181</f>
        <v>15174.000000000002</v>
      </c>
      <c r="W96" s="54">
        <f>S259+S260</f>
        <v>15174.000000000002</v>
      </c>
      <c r="X96" s="3"/>
      <c r="Y96" s="114"/>
      <c r="Z96" s="114"/>
      <c r="AA96" s="63"/>
    </row>
    <row r="97" spans="2:27" ht="15.75" x14ac:dyDescent="0.3">
      <c r="B97" s="3"/>
      <c r="C97" s="3"/>
      <c r="D97" s="29" t="s">
        <v>193</v>
      </c>
      <c r="E97" s="26">
        <f>'Referenz Plattenwerk'!S59+'Referenz Plattenwerk'!S60</f>
        <v>0.54400000000000004</v>
      </c>
      <c r="F97" s="26">
        <f>H215+H216</f>
        <v>0.54400000000000004</v>
      </c>
      <c r="G97" s="26">
        <f>H294+H295</f>
        <v>0.54400000000000004</v>
      </c>
      <c r="H97" s="25" t="s">
        <v>162</v>
      </c>
      <c r="I97" s="3"/>
      <c r="J97" s="3"/>
      <c r="K97" s="397"/>
      <c r="L97" s="24"/>
      <c r="M97" s="48" t="s">
        <v>89</v>
      </c>
      <c r="N97" s="49"/>
      <c r="O97" s="49"/>
      <c r="P97" s="24"/>
      <c r="Q97" s="3"/>
      <c r="R97" s="3"/>
      <c r="S97" s="3"/>
      <c r="T97" s="8" t="s">
        <v>30</v>
      </c>
      <c r="U97" s="55">
        <v>0</v>
      </c>
      <c r="V97" s="55">
        <f>S184</f>
        <v>0</v>
      </c>
      <c r="W97" s="55">
        <f>S263</f>
        <v>0</v>
      </c>
      <c r="X97" s="3"/>
      <c r="Y97" s="114"/>
      <c r="Z97" s="114"/>
      <c r="AA97" s="63"/>
    </row>
    <row r="98" spans="2:27" ht="15.75" x14ac:dyDescent="0.3">
      <c r="B98" s="3"/>
      <c r="C98" s="3"/>
      <c r="D98" s="8" t="str">
        <f>C218</f>
        <v>Oberflächenschutzsysteme</v>
      </c>
      <c r="E98" s="9">
        <f>'Referenz Plattenwerk'!S62</f>
        <v>80.47999999999999</v>
      </c>
      <c r="F98" s="9">
        <f>H218</f>
        <v>80.47999999999999</v>
      </c>
      <c r="G98" s="9">
        <f>H297</f>
        <v>80.47999999999999</v>
      </c>
      <c r="H98" s="3" t="s">
        <v>162</v>
      </c>
      <c r="I98" s="3"/>
      <c r="J98" s="3"/>
      <c r="K98" s="3"/>
      <c r="L98" s="29" t="s">
        <v>31</v>
      </c>
      <c r="M98" s="32">
        <f>'Referenz Plattenwerk'!$U$16+'Referenz Plattenwerk'!U21</f>
        <v>43.0426</v>
      </c>
      <c r="N98" s="32">
        <f>J168+J173</f>
        <v>43.0426</v>
      </c>
      <c r="O98" s="32">
        <f>J247+J252</f>
        <v>43.0426</v>
      </c>
      <c r="P98" s="25" t="s">
        <v>162</v>
      </c>
      <c r="Q98" s="3"/>
      <c r="R98" s="3"/>
      <c r="S98" s="3"/>
      <c r="T98" s="8" t="s">
        <v>153</v>
      </c>
      <c r="U98" s="55">
        <v>0</v>
      </c>
      <c r="V98" s="55">
        <f>S185</f>
        <v>0</v>
      </c>
      <c r="W98" s="55">
        <f>S264</f>
        <v>0</v>
      </c>
      <c r="X98" s="3"/>
      <c r="Y98" s="114"/>
      <c r="Z98" s="114"/>
      <c r="AA98" s="63"/>
    </row>
    <row r="99" spans="2:27" ht="15.75" x14ac:dyDescent="0.3">
      <c r="B99" s="3"/>
      <c r="C99" s="3"/>
      <c r="D99" s="29" t="str">
        <f>C223</f>
        <v>Oberflächenbearbeitung (vor/nach Erhärtung)</v>
      </c>
      <c r="E99" s="26">
        <f>'Referenz Plattenwerk'!S67</f>
        <v>60</v>
      </c>
      <c r="F99" s="26">
        <f>H223</f>
        <v>60</v>
      </c>
      <c r="G99" s="26">
        <f>H302</f>
        <v>60</v>
      </c>
      <c r="H99" s="25" t="s">
        <v>162</v>
      </c>
      <c r="I99" s="3"/>
      <c r="J99" s="3"/>
      <c r="K99" s="3"/>
      <c r="L99" s="8" t="s">
        <v>32</v>
      </c>
      <c r="M99" s="10">
        <f>'Referenz Plattenwerk'!$U$17+'Referenz Plattenwerk'!U22</f>
        <v>16.005600000000001</v>
      </c>
      <c r="N99" s="10">
        <f>J169+J174</f>
        <v>16.005600000000001</v>
      </c>
      <c r="O99" s="10">
        <f>J248+J253</f>
        <v>16.005600000000001</v>
      </c>
      <c r="P99" s="3" t="s">
        <v>162</v>
      </c>
      <c r="Q99" s="3"/>
      <c r="R99" s="3"/>
      <c r="S99" s="3"/>
      <c r="T99" s="59" t="s">
        <v>160</v>
      </c>
      <c r="U99" s="61">
        <v>0</v>
      </c>
      <c r="V99" s="61">
        <f>S186</f>
        <v>0</v>
      </c>
      <c r="W99" s="61">
        <f>S265</f>
        <v>0</v>
      </c>
      <c r="X99" s="3"/>
      <c r="Y99" s="114"/>
      <c r="Z99" s="114"/>
      <c r="AA99" s="63"/>
    </row>
    <row r="100" spans="2:27" ht="15.75" x14ac:dyDescent="0.3">
      <c r="B100" s="3"/>
      <c r="C100" s="3"/>
      <c r="D100" s="8" t="str">
        <f>D228</f>
        <v>Verpackungsmaterial</v>
      </c>
      <c r="E100" s="9">
        <f>'Referenz Plattenwerk'!S72</f>
        <v>64.48</v>
      </c>
      <c r="F100" s="9">
        <f>H228</f>
        <v>64.48</v>
      </c>
      <c r="G100" s="9">
        <f>H307</f>
        <v>64.48</v>
      </c>
      <c r="H100" s="3" t="s">
        <v>162</v>
      </c>
      <c r="I100" s="3"/>
      <c r="J100" s="3"/>
      <c r="K100" s="3"/>
      <c r="L100" s="29" t="s">
        <v>33</v>
      </c>
      <c r="M100" s="32">
        <f>'Referenz Plattenwerk'!$U$18+'Referenz Plattenwerk'!R24</f>
        <v>171.9</v>
      </c>
      <c r="N100" s="32">
        <f>J170+J176</f>
        <v>124.8924470887134</v>
      </c>
      <c r="O100" s="32">
        <f>J249+J255</f>
        <v>61.552554846110553</v>
      </c>
      <c r="P100" s="25" t="s">
        <v>162</v>
      </c>
      <c r="Q100" s="3"/>
      <c r="R100" s="3"/>
      <c r="S100" s="3"/>
      <c r="T100" s="57" t="s">
        <v>154</v>
      </c>
      <c r="U100" s="58">
        <f>SUM(U101:U103)</f>
        <v>152459.04944673795</v>
      </c>
      <c r="V100" s="58">
        <f t="shared" ref="V100:W100" si="2">SUM(V101:V103)</f>
        <v>272000.84694161144</v>
      </c>
      <c r="W100" s="58">
        <f t="shared" si="2"/>
        <v>477747.03551178076</v>
      </c>
      <c r="X100" s="3"/>
      <c r="Y100" s="114"/>
      <c r="Z100" s="114"/>
      <c r="AA100" s="63"/>
    </row>
    <row r="101" spans="2:27" ht="16.5" thickBot="1" x14ac:dyDescent="0.35">
      <c r="B101" s="3"/>
      <c r="C101" s="3"/>
      <c r="D101" s="27" t="s">
        <v>69</v>
      </c>
      <c r="E101" s="28">
        <f>SUM(E89:E100)</f>
        <v>5831.529622809514</v>
      </c>
      <c r="F101" s="28">
        <f>SUM(F89:F100)</f>
        <v>5824.6384632204254</v>
      </c>
      <c r="G101" s="28">
        <f>SUM(G89:G100)</f>
        <v>5815.3530339911431</v>
      </c>
      <c r="H101" s="27" t="s">
        <v>163</v>
      </c>
      <c r="I101" s="3"/>
      <c r="J101" s="3"/>
      <c r="K101" s="3"/>
      <c r="L101" s="8" t="s">
        <v>126</v>
      </c>
      <c r="M101" s="10">
        <f>'Referenz Plattenwerk'!$U$19</f>
        <v>0</v>
      </c>
      <c r="N101" s="10">
        <f>J171</f>
        <v>0</v>
      </c>
      <c r="O101" s="10">
        <f>J250</f>
        <v>0</v>
      </c>
      <c r="P101" s="3" t="s">
        <v>162</v>
      </c>
      <c r="Q101" s="3"/>
      <c r="R101" s="3"/>
      <c r="S101" s="3"/>
      <c r="T101" s="31" t="s">
        <v>155</v>
      </c>
      <c r="U101" s="52">
        <f>'Referenz Plattenwerk'!AB26</f>
        <v>2373.3088765000002</v>
      </c>
      <c r="V101" s="52">
        <f>S189</f>
        <v>4271.9559777000004</v>
      </c>
      <c r="W101" s="52">
        <f>S268</f>
        <v>7594.5884048000007</v>
      </c>
      <c r="X101" s="3"/>
      <c r="Y101" s="114"/>
      <c r="Z101" s="114"/>
      <c r="AA101" s="63"/>
    </row>
    <row r="102" spans="2:27" ht="16.5" thickTop="1" x14ac:dyDescent="0.3">
      <c r="B102" s="3"/>
      <c r="C102" s="3"/>
      <c r="D102" s="3"/>
      <c r="E102" s="3"/>
      <c r="F102" s="3"/>
      <c r="G102" s="3"/>
      <c r="H102" s="3"/>
      <c r="I102" s="3"/>
      <c r="J102" s="3"/>
      <c r="K102" s="3"/>
      <c r="L102" s="29" t="s">
        <v>122</v>
      </c>
      <c r="M102" s="32">
        <f>'Referenz Plattenwerk'!$U$25</f>
        <v>0</v>
      </c>
      <c r="N102" s="32">
        <f>J177</f>
        <v>0</v>
      </c>
      <c r="O102" s="32">
        <f>J256</f>
        <v>0</v>
      </c>
      <c r="P102" s="25" t="s">
        <v>162</v>
      </c>
      <c r="Q102" s="3"/>
      <c r="R102" s="3"/>
      <c r="S102" s="3"/>
      <c r="T102" s="31" t="s">
        <v>156</v>
      </c>
      <c r="U102" s="52">
        <f>'Referenz Plattenwerk'!AB27</f>
        <v>4297.5</v>
      </c>
      <c r="V102" s="52">
        <f>S190</f>
        <v>5620.160118992103</v>
      </c>
      <c r="W102" s="52">
        <f>S269</f>
        <v>4924.2043876888438</v>
      </c>
      <c r="X102" s="3"/>
      <c r="Y102" s="114"/>
      <c r="Z102" s="114"/>
      <c r="AA102" s="63"/>
    </row>
    <row r="103" spans="2:27" ht="15.75" x14ac:dyDescent="0.3">
      <c r="B103" s="3"/>
      <c r="C103" s="3"/>
      <c r="D103" s="3"/>
      <c r="E103" s="3"/>
      <c r="F103" s="3"/>
      <c r="G103" s="3"/>
      <c r="H103" s="3"/>
      <c r="I103" s="3"/>
      <c r="J103" s="3"/>
      <c r="K103" s="3"/>
      <c r="L103" s="8" t="s">
        <v>127</v>
      </c>
      <c r="M103" s="10">
        <f>'Referenz Plattenwerk'!$U$26</f>
        <v>0</v>
      </c>
      <c r="N103" s="10">
        <f>J178</f>
        <v>0</v>
      </c>
      <c r="O103" s="10">
        <f>J257</f>
        <v>0</v>
      </c>
      <c r="P103" s="3" t="s">
        <v>162</v>
      </c>
      <c r="Q103" s="3"/>
      <c r="R103" s="3"/>
      <c r="S103" s="3"/>
      <c r="T103" s="31" t="s">
        <v>157</v>
      </c>
      <c r="U103" s="52">
        <f>'Referenz Plattenwerk'!AB28</f>
        <v>145788.24057023795</v>
      </c>
      <c r="V103" s="52">
        <f>S191</f>
        <v>262108.73084491931</v>
      </c>
      <c r="W103" s="52">
        <f>S270</f>
        <v>465228.24271929194</v>
      </c>
      <c r="X103" s="3"/>
      <c r="Y103" s="114"/>
      <c r="Z103" s="114"/>
      <c r="AA103" s="63"/>
    </row>
    <row r="104" spans="2:27" ht="16.5" thickBot="1" x14ac:dyDescent="0.35">
      <c r="B104" s="3"/>
      <c r="C104" s="3"/>
      <c r="D104" s="3"/>
      <c r="E104" s="3"/>
      <c r="F104" s="3"/>
      <c r="G104" s="3"/>
      <c r="H104" s="3"/>
      <c r="I104" s="3"/>
      <c r="J104" s="3"/>
      <c r="K104" s="3"/>
      <c r="L104" s="29" t="s">
        <v>34</v>
      </c>
      <c r="M104" s="32">
        <f>'Referenz Plattenwerk'!$U$28+'Referenz Plattenwerk'!$U$29</f>
        <v>35.884155059999998</v>
      </c>
      <c r="N104" s="32">
        <f>J180+J181</f>
        <v>35.884155059999998</v>
      </c>
      <c r="O104" s="32">
        <f>J259+J260</f>
        <v>35.884155059999998</v>
      </c>
      <c r="P104" s="25" t="s">
        <v>162</v>
      </c>
      <c r="Q104" s="3"/>
      <c r="R104" s="3"/>
      <c r="S104" s="3"/>
      <c r="T104" s="27" t="s">
        <v>69</v>
      </c>
      <c r="U104" s="56">
        <f>U100+U99+U98+U97+U89</f>
        <v>262128.04944673795</v>
      </c>
      <c r="V104" s="56">
        <f t="shared" ref="V104:W104" si="3">V100+V99+V98+V97+V89</f>
        <v>381669.84694161144</v>
      </c>
      <c r="W104" s="56">
        <f t="shared" si="3"/>
        <v>587416.03551178076</v>
      </c>
      <c r="X104" s="3"/>
      <c r="Y104" s="114"/>
      <c r="Z104" s="114"/>
      <c r="AA104" s="63"/>
    </row>
    <row r="105" spans="2:27" ht="15.75" thickTop="1" thickBot="1" x14ac:dyDescent="0.3">
      <c r="B105" s="3"/>
      <c r="C105" s="3"/>
      <c r="D105" s="3"/>
      <c r="E105" s="3"/>
      <c r="F105" s="3"/>
      <c r="G105" s="3"/>
      <c r="H105" s="3"/>
      <c r="I105" s="3"/>
      <c r="J105" s="3"/>
      <c r="K105" s="3"/>
      <c r="L105" s="27" t="s">
        <v>69</v>
      </c>
      <c r="M105" s="33">
        <f>SUM(M98:M104)</f>
        <v>266.83235506</v>
      </c>
      <c r="N105" s="33">
        <f>SUM(N98:N104)</f>
        <v>219.82480214871339</v>
      </c>
      <c r="O105" s="33">
        <f>SUM(O98:O104)</f>
        <v>156.48490990611054</v>
      </c>
      <c r="P105" s="27" t="s">
        <v>163</v>
      </c>
      <c r="Q105" s="3"/>
      <c r="R105" s="3"/>
      <c r="S105" s="3"/>
      <c r="T105" s="3"/>
      <c r="U105" s="3"/>
      <c r="V105" s="3"/>
      <c r="W105" s="3"/>
      <c r="X105" s="3"/>
      <c r="Y105" s="63"/>
      <c r="Z105" s="63"/>
      <c r="AA105" s="63"/>
    </row>
    <row r="106" spans="2:27" ht="17.25" thickTop="1" thickBot="1" x14ac:dyDescent="0.35">
      <c r="B106" s="3"/>
      <c r="C106" s="3"/>
      <c r="D106" s="3"/>
      <c r="E106" s="3"/>
      <c r="F106" s="3"/>
      <c r="G106" s="3"/>
      <c r="H106" s="3"/>
      <c r="I106" s="3"/>
      <c r="J106" s="3"/>
      <c r="K106" s="3"/>
      <c r="L106" s="3"/>
      <c r="M106" s="3"/>
      <c r="N106" s="3"/>
      <c r="O106" s="3"/>
      <c r="P106" s="3"/>
      <c r="Q106" s="3"/>
      <c r="R106" s="3"/>
      <c r="S106" s="3"/>
      <c r="T106" s="105" t="s">
        <v>210</v>
      </c>
      <c r="U106" s="106">
        <f>U104-U103</f>
        <v>116339.8088765</v>
      </c>
      <c r="V106" s="106">
        <f>V104-V103</f>
        <v>119561.11609669213</v>
      </c>
      <c r="W106" s="106">
        <f>W104-W103</f>
        <v>122187.79279248882</v>
      </c>
      <c r="X106" s="3"/>
      <c r="Y106" s="3"/>
      <c r="Z106" s="3"/>
      <c r="AA106" s="3"/>
    </row>
    <row r="107" spans="2:27" ht="16.5" thickBot="1" x14ac:dyDescent="0.35">
      <c r="B107" s="3"/>
      <c r="C107" s="3"/>
      <c r="D107" s="3"/>
      <c r="E107" s="3"/>
      <c r="F107" s="3"/>
      <c r="G107" s="3"/>
      <c r="H107" s="3"/>
      <c r="I107" s="3"/>
      <c r="J107" s="3"/>
      <c r="K107" s="3"/>
      <c r="L107" s="3"/>
      <c r="M107" s="3"/>
      <c r="N107" s="3"/>
      <c r="O107" s="3"/>
      <c r="P107" s="3"/>
      <c r="Q107" s="3"/>
      <c r="R107" s="3"/>
      <c r="S107" s="3"/>
      <c r="T107" s="107" t="s">
        <v>159</v>
      </c>
      <c r="U107" s="108">
        <f>U104-U100</f>
        <v>109669</v>
      </c>
      <c r="V107" s="108">
        <f>V104-V100</f>
        <v>109669</v>
      </c>
      <c r="W107" s="108">
        <f>W104-W100</f>
        <v>109669</v>
      </c>
      <c r="X107" s="3"/>
      <c r="Y107" s="3"/>
      <c r="Z107" s="3"/>
      <c r="AA107" s="3"/>
    </row>
    <row r="108" spans="2:27"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x14ac:dyDescent="0.2">
      <c r="B110" s="3"/>
      <c r="C110" s="3"/>
      <c r="D110" s="3"/>
      <c r="E110" s="3"/>
      <c r="F110" s="3"/>
      <c r="G110" s="3"/>
      <c r="H110" s="3"/>
      <c r="I110" s="3"/>
      <c r="J110" s="3"/>
      <c r="K110" s="3"/>
      <c r="L110" s="8"/>
      <c r="M110" s="83"/>
      <c r="N110" s="83"/>
      <c r="O110" s="83"/>
      <c r="P110" s="8"/>
      <c r="Q110" s="3"/>
      <c r="R110" s="3"/>
      <c r="S110" s="3"/>
      <c r="T110" s="3"/>
      <c r="U110" s="3"/>
      <c r="V110" s="3"/>
      <c r="W110" s="3"/>
      <c r="X110" s="3"/>
      <c r="Y110" s="3"/>
      <c r="Z110" s="3"/>
      <c r="AA110" s="3"/>
    </row>
    <row r="111" spans="2:27" x14ac:dyDescent="0.2">
      <c r="B111" s="3"/>
      <c r="C111" s="3"/>
      <c r="D111" s="3"/>
      <c r="E111" s="3"/>
      <c r="F111" s="3"/>
      <c r="G111" s="3"/>
      <c r="H111" s="3"/>
      <c r="I111" s="3"/>
      <c r="J111" s="3"/>
      <c r="K111" s="3"/>
      <c r="L111" s="8"/>
      <c r="M111" s="83"/>
      <c r="N111" s="83"/>
      <c r="O111" s="83"/>
      <c r="P111" s="8"/>
      <c r="Q111" s="3"/>
      <c r="R111" s="3"/>
      <c r="S111" s="3"/>
      <c r="T111" s="3"/>
      <c r="U111" s="3"/>
      <c r="V111" s="3"/>
      <c r="W111" s="3"/>
      <c r="X111" s="3"/>
      <c r="Y111" s="3"/>
      <c r="Z111" s="3"/>
      <c r="AA111" s="3"/>
    </row>
    <row r="112" spans="2:27" ht="15" x14ac:dyDescent="0.25">
      <c r="B112" s="3"/>
      <c r="C112" s="3"/>
      <c r="D112" s="3"/>
      <c r="E112" s="3"/>
      <c r="F112" s="3"/>
      <c r="G112" s="3"/>
      <c r="H112" s="3"/>
      <c r="I112" s="3"/>
      <c r="J112" s="3"/>
      <c r="K112" s="3"/>
      <c r="L112" s="23" t="s">
        <v>208</v>
      </c>
      <c r="M112" s="3"/>
      <c r="N112" s="3"/>
      <c r="O112" s="3"/>
      <c r="P112" s="3"/>
      <c r="Q112" s="3"/>
      <c r="R112" s="3"/>
      <c r="S112" s="3"/>
      <c r="T112" s="3"/>
      <c r="U112" s="3"/>
      <c r="V112" s="3"/>
      <c r="W112" s="3"/>
      <c r="X112" s="3"/>
      <c r="Y112" s="3"/>
      <c r="Z112" s="3"/>
      <c r="AA112" s="3"/>
    </row>
    <row r="113" spans="2:27" ht="15" x14ac:dyDescent="0.25">
      <c r="B113" s="3"/>
      <c r="C113" s="3"/>
      <c r="D113" s="3"/>
      <c r="E113" s="3"/>
      <c r="F113" s="3"/>
      <c r="G113" s="3"/>
      <c r="H113" s="3"/>
      <c r="I113" s="3"/>
      <c r="J113" s="3"/>
      <c r="K113" s="3"/>
      <c r="L113" s="34"/>
      <c r="M113" s="46">
        <v>2020</v>
      </c>
      <c r="N113" s="47">
        <v>2025</v>
      </c>
      <c r="O113" s="47">
        <v>2030</v>
      </c>
      <c r="P113" s="34"/>
      <c r="Q113" s="3"/>
      <c r="R113" s="3"/>
      <c r="S113" s="3"/>
      <c r="T113" s="3"/>
      <c r="U113" s="3"/>
      <c r="V113" s="3"/>
      <c r="W113" s="3"/>
      <c r="X113" s="3"/>
      <c r="Y113" s="3"/>
      <c r="Z113" s="3"/>
      <c r="AA113" s="3"/>
    </row>
    <row r="114" spans="2:27" x14ac:dyDescent="0.2">
      <c r="B114" s="3"/>
      <c r="C114" s="3"/>
      <c r="D114" s="3"/>
      <c r="E114" s="3"/>
      <c r="F114" s="3"/>
      <c r="G114" s="3"/>
      <c r="H114" s="3"/>
      <c r="I114" s="3"/>
      <c r="J114" s="3"/>
      <c r="K114" s="3"/>
      <c r="L114" s="24"/>
      <c r="M114" s="48" t="s">
        <v>89</v>
      </c>
      <c r="N114" s="49"/>
      <c r="O114" s="49"/>
      <c r="P114" s="24"/>
      <c r="Q114" s="3"/>
      <c r="R114" s="3"/>
      <c r="S114" s="3"/>
      <c r="T114" s="3"/>
      <c r="U114" s="3"/>
      <c r="V114" s="3"/>
      <c r="W114" s="3"/>
      <c r="X114" s="3"/>
      <c r="Y114" s="3"/>
      <c r="Z114" s="3"/>
      <c r="AA114" s="3"/>
    </row>
    <row r="115" spans="2:27" ht="15.75" x14ac:dyDescent="0.3">
      <c r="B115" s="3"/>
      <c r="C115" s="3"/>
      <c r="D115" s="3"/>
      <c r="E115" s="3"/>
      <c r="F115" s="3"/>
      <c r="G115" s="3"/>
      <c r="H115" s="3"/>
      <c r="I115" s="3"/>
      <c r="J115" s="3"/>
      <c r="K115" s="3"/>
      <c r="L115" s="29" t="s">
        <v>115</v>
      </c>
      <c r="M115" s="98">
        <f>M89/IF(NOT(ISBLANK('Referenz Plattenwerk'!$I$12)),'Referenz Plattenwerk'!$I$12,'Referenz Plattenwerk'!$F$12)</f>
        <v>2.3733088764999999E-3</v>
      </c>
      <c r="N115" s="98">
        <f>N89/IF(NOT(ISBLANK('Referenz Plattenwerk'!$I$12)),'Referenz Plattenwerk'!$I$12,'Referenz Plattenwerk'!$F$12)</f>
        <v>2.3733088764999999E-3</v>
      </c>
      <c r="O115" s="98">
        <f>O89/IF(NOT(ISBLANK('Referenz Plattenwerk'!$I$12)),'Referenz Plattenwerk'!$I$12,'Referenz Plattenwerk'!$F$12)</f>
        <v>2.3733088764999999E-3</v>
      </c>
      <c r="P115" s="25" t="s">
        <v>207</v>
      </c>
      <c r="Q115" s="3"/>
      <c r="R115" s="3"/>
      <c r="S115" s="3"/>
      <c r="T115" s="3"/>
      <c r="U115" s="3"/>
      <c r="V115" s="3"/>
      <c r="W115" s="3"/>
      <c r="X115" s="3"/>
      <c r="Y115" s="3"/>
      <c r="Z115" s="3"/>
      <c r="AA115" s="3"/>
    </row>
    <row r="116" spans="2:27" ht="15.75" x14ac:dyDescent="0.3">
      <c r="B116" s="3"/>
      <c r="C116" s="3"/>
      <c r="D116" s="3"/>
      <c r="E116" s="3"/>
      <c r="F116" s="3"/>
      <c r="G116" s="3"/>
      <c r="H116" s="3"/>
      <c r="I116" s="3"/>
      <c r="J116" s="3"/>
      <c r="K116" s="3"/>
      <c r="L116" s="8" t="s">
        <v>28</v>
      </c>
      <c r="M116" s="99">
        <f>M90/IF(NOT(ISBLANK('Referenz Plattenwerk'!$I$12)),'Referenz Plattenwerk'!$I$12,'Referenz Plattenwerk'!$F$12)</f>
        <v>4.2975000000000001E-3</v>
      </c>
      <c r="N116" s="99">
        <f>N90/IF(NOT(ISBLANK('Referenz Plattenwerk'!$I$12)),'Referenz Plattenwerk'!$I$12,'Referenz Plattenwerk'!$F$12)</f>
        <v>3.122311177217835E-3</v>
      </c>
      <c r="O116" s="99">
        <f>O90/IF(NOT(ISBLANK('Referenz Plattenwerk'!$I$12)),'Referenz Plattenwerk'!$I$12,'Referenz Plattenwerk'!$F$12)</f>
        <v>1.5388138711527638E-3</v>
      </c>
      <c r="P116" s="3" t="s">
        <v>207</v>
      </c>
      <c r="Q116" s="3"/>
      <c r="R116" s="3"/>
      <c r="S116" s="3"/>
      <c r="T116" s="3"/>
      <c r="U116" s="3"/>
      <c r="V116" s="3"/>
      <c r="W116" s="3"/>
      <c r="X116" s="3"/>
      <c r="Y116" s="3"/>
      <c r="Z116" s="3"/>
      <c r="AA116" s="3"/>
    </row>
    <row r="117" spans="2:27" ht="15.75" x14ac:dyDescent="0.3">
      <c r="B117" s="3"/>
      <c r="C117" s="3"/>
      <c r="D117" s="3"/>
      <c r="E117" s="3"/>
      <c r="F117" s="3"/>
      <c r="G117" s="3"/>
      <c r="H117" s="3"/>
      <c r="I117" s="3"/>
      <c r="J117" s="3"/>
      <c r="K117" s="3"/>
      <c r="L117" s="29" t="s">
        <v>29</v>
      </c>
      <c r="M117" s="98">
        <f>M91/IF(NOT(ISBLANK('Referenz Plattenwerk'!$I$12)),'Referenz Plattenwerk'!$I$12,'Referenz Plattenwerk'!$F$12)</f>
        <v>0.14578824057023795</v>
      </c>
      <c r="N117" s="98">
        <f>N91/IF(NOT(ISBLANK('Referenz Plattenwerk'!$I$12)),'Referenz Plattenwerk'!$I$12,'Referenz Plattenwerk'!$F$12)</f>
        <v>0.14561596158051074</v>
      </c>
      <c r="O117" s="98">
        <f>O91/IF(NOT(ISBLANK('Referenz Plattenwerk'!$I$12)),'Referenz Plattenwerk'!$I$12,'Referenz Plattenwerk'!$F$12)</f>
        <v>0.14538382584977874</v>
      </c>
      <c r="P117" s="25" t="s">
        <v>207</v>
      </c>
      <c r="Q117" s="3"/>
      <c r="R117" s="3"/>
      <c r="S117" s="3"/>
      <c r="T117" s="3"/>
      <c r="U117" s="3"/>
      <c r="V117" s="3"/>
      <c r="W117" s="3"/>
      <c r="X117" s="3"/>
      <c r="Y117" s="3"/>
      <c r="Z117" s="3"/>
      <c r="AA117" s="3"/>
    </row>
    <row r="118" spans="2:27" ht="15" thickBot="1" x14ac:dyDescent="0.3">
      <c r="B118" s="3"/>
      <c r="C118" s="3"/>
      <c r="D118" s="3"/>
      <c r="E118" s="3"/>
      <c r="F118" s="3"/>
      <c r="G118" s="3"/>
      <c r="H118" s="3"/>
      <c r="I118" s="3"/>
      <c r="J118" s="3"/>
      <c r="K118" s="3"/>
      <c r="L118" s="27" t="s">
        <v>69</v>
      </c>
      <c r="M118" s="100">
        <f>M92/IF(NOT(ISBLANK('Referenz Plattenwerk'!$I$12)),'Referenz Plattenwerk'!$I$12,'Referenz Plattenwerk'!$F$12)</f>
        <v>0.15245904944673794</v>
      </c>
      <c r="N118" s="100">
        <f>N92/IF(NOT(ISBLANK('Referenz Plattenwerk'!$I$12)),'Referenz Plattenwerk'!$I$12,'Referenz Plattenwerk'!$F$12)</f>
        <v>0.15111158163422855</v>
      </c>
      <c r="O118" s="100">
        <f>O92/IF(NOT(ISBLANK('Referenz Plattenwerk'!$I$12)),'Referenz Plattenwerk'!$I$12,'Referenz Plattenwerk'!$F$12)</f>
        <v>0.1492959485974315</v>
      </c>
      <c r="P118" s="27" t="s">
        <v>209</v>
      </c>
      <c r="Q118" s="3"/>
      <c r="R118" s="3"/>
      <c r="S118" s="3"/>
      <c r="T118" s="3"/>
      <c r="U118" s="3"/>
      <c r="V118" s="3"/>
      <c r="W118" s="3"/>
      <c r="X118" s="3"/>
      <c r="Y118" s="3"/>
      <c r="Z118" s="3"/>
      <c r="AA118" s="3"/>
    </row>
    <row r="119" spans="2:27" ht="13.5" thickTop="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4" spans="2:27" hidden="1" outlineLevel="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2:27" ht="15.75" hidden="1" outlineLevel="1" x14ac:dyDescent="0.25">
      <c r="B125" s="3"/>
      <c r="C125" s="3"/>
      <c r="D125" s="62" t="s">
        <v>144</v>
      </c>
      <c r="E125" s="3"/>
      <c r="F125" s="3"/>
      <c r="G125" s="3"/>
      <c r="H125" s="3"/>
      <c r="I125" s="3"/>
      <c r="J125" s="3"/>
      <c r="K125" s="3"/>
      <c r="L125" s="62" t="s">
        <v>144</v>
      </c>
      <c r="M125" s="3"/>
      <c r="N125" s="3"/>
      <c r="O125" s="3"/>
      <c r="P125" s="3"/>
      <c r="Q125" s="3"/>
      <c r="R125" s="3"/>
      <c r="S125" s="62" t="s">
        <v>144</v>
      </c>
      <c r="T125" s="24"/>
      <c r="U125" s="24"/>
      <c r="V125" s="24"/>
      <c r="W125" s="24"/>
      <c r="X125" s="3"/>
      <c r="Y125" s="3"/>
    </row>
    <row r="126" spans="2:27" ht="15" hidden="1" outlineLevel="1" x14ac:dyDescent="0.25">
      <c r="B126" s="3"/>
      <c r="C126" s="3"/>
      <c r="D126" s="35" t="s">
        <v>113</v>
      </c>
      <c r="E126" s="35">
        <v>2020</v>
      </c>
      <c r="F126" s="35">
        <v>2025</v>
      </c>
      <c r="G126" s="35">
        <v>2030</v>
      </c>
      <c r="H126" s="34"/>
      <c r="I126" s="3"/>
      <c r="J126" s="3"/>
      <c r="K126" s="3"/>
      <c r="L126" s="35" t="s">
        <v>264</v>
      </c>
      <c r="M126" s="35">
        <v>2020</v>
      </c>
      <c r="N126" s="35">
        <v>2025</v>
      </c>
      <c r="O126" s="35">
        <v>2030</v>
      </c>
      <c r="P126" s="34"/>
      <c r="Q126" s="3"/>
      <c r="R126" s="3"/>
      <c r="S126" s="3"/>
      <c r="T126" s="46" t="s">
        <v>199</v>
      </c>
      <c r="U126" s="47">
        <v>2020</v>
      </c>
      <c r="V126" s="47">
        <v>2025</v>
      </c>
      <c r="W126" s="47">
        <v>2030</v>
      </c>
      <c r="X126" s="3"/>
      <c r="Y126" s="3"/>
    </row>
    <row r="127" spans="2:27" hidden="1" outlineLevel="1" x14ac:dyDescent="0.2">
      <c r="B127" s="3"/>
      <c r="C127" s="3"/>
      <c r="D127" s="24"/>
      <c r="E127" s="60" t="s">
        <v>89</v>
      </c>
      <c r="F127" s="59"/>
      <c r="G127" s="59"/>
      <c r="H127" s="24"/>
      <c r="I127" s="3"/>
      <c r="J127" s="3"/>
      <c r="K127" s="3"/>
      <c r="L127" s="24"/>
      <c r="M127" s="60" t="s">
        <v>89</v>
      </c>
      <c r="N127" s="59"/>
      <c r="O127" s="59"/>
      <c r="P127" s="24"/>
      <c r="Q127" s="3"/>
      <c r="R127" s="3"/>
      <c r="S127" s="3"/>
      <c r="T127" s="24"/>
      <c r="U127" s="50" t="s">
        <v>89</v>
      </c>
      <c r="V127" s="50"/>
      <c r="W127" s="59"/>
      <c r="X127" s="3"/>
      <c r="Y127" s="3"/>
    </row>
    <row r="128" spans="2:27" ht="15.75" hidden="1" outlineLevel="1" x14ac:dyDescent="0.3">
      <c r="B128" s="3"/>
      <c r="C128" s="3"/>
      <c r="D128" s="3" t="str">
        <f t="shared" ref="D128:D134" si="4">IF($I128,L98,"")</f>
        <v>Erdgas</v>
      </c>
      <c r="E128" s="10">
        <f t="shared" ref="E128:G134" si="5">IF($I128,M98,NA())</f>
        <v>43.0426</v>
      </c>
      <c r="F128" s="10">
        <f t="shared" si="5"/>
        <v>43.0426</v>
      </c>
      <c r="G128" s="10">
        <f t="shared" si="5"/>
        <v>43.0426</v>
      </c>
      <c r="H128" s="3" t="s">
        <v>162</v>
      </c>
      <c r="I128" s="3" t="b">
        <v>1</v>
      </c>
      <c r="J128" s="3"/>
      <c r="K128" s="3"/>
      <c r="L128" s="3" t="str">
        <f t="shared" ref="L128:L139" si="6">IF($Q128,D89,"")</f>
        <v>Energieträger gesamt</v>
      </c>
      <c r="M128" s="9">
        <f t="shared" ref="M128:O139" si="7">IF($Q128,E89,NA())</f>
        <v>41.281733459999998</v>
      </c>
      <c r="N128" s="9">
        <f t="shared" si="7"/>
        <v>34.39057387091087</v>
      </c>
      <c r="O128" s="9">
        <f t="shared" si="7"/>
        <v>25.105144641628776</v>
      </c>
      <c r="P128" s="3" t="s">
        <v>162</v>
      </c>
      <c r="Q128" s="381" t="b">
        <v>1</v>
      </c>
      <c r="R128" s="3"/>
      <c r="S128" s="3"/>
      <c r="T128" s="57" t="s">
        <v>158</v>
      </c>
      <c r="U128" s="58">
        <f>SUM(U129:U135)</f>
        <v>109669</v>
      </c>
      <c r="V128" s="58">
        <f t="shared" ref="V128:W128" si="8">SUM(V129:V135)</f>
        <v>109669</v>
      </c>
      <c r="W128" s="58">
        <f t="shared" si="8"/>
        <v>109669</v>
      </c>
      <c r="X128" s="3"/>
      <c r="Y128" s="3"/>
    </row>
    <row r="129" spans="2:25" ht="15.75" hidden="1" outlineLevel="1" x14ac:dyDescent="0.3">
      <c r="B129" s="3"/>
      <c r="C129" s="3"/>
      <c r="D129" s="3" t="str">
        <f t="shared" si="4"/>
        <v>Heizöl</v>
      </c>
      <c r="E129" s="10">
        <f t="shared" si="5"/>
        <v>16.005600000000001</v>
      </c>
      <c r="F129" s="10">
        <f t="shared" si="5"/>
        <v>16.005600000000001</v>
      </c>
      <c r="G129" s="10">
        <f t="shared" si="5"/>
        <v>16.005600000000001</v>
      </c>
      <c r="H129" s="3" t="s">
        <v>162</v>
      </c>
      <c r="I129" s="3" t="b">
        <v>1</v>
      </c>
      <c r="J129" s="3"/>
      <c r="K129" s="3"/>
      <c r="L129" s="3" t="str">
        <f t="shared" si="6"/>
        <v>Transport gesamt</v>
      </c>
      <c r="M129" s="9">
        <f t="shared" si="7"/>
        <v>469.15642799999995</v>
      </c>
      <c r="N129" s="9">
        <f t="shared" si="7"/>
        <v>469.15642799999995</v>
      </c>
      <c r="O129" s="9">
        <f t="shared" si="7"/>
        <v>469.15642799999995</v>
      </c>
      <c r="P129" s="3" t="s">
        <v>162</v>
      </c>
      <c r="Q129" s="381" t="b">
        <v>1</v>
      </c>
      <c r="R129" s="3"/>
      <c r="S129" s="3"/>
      <c r="T129" s="31" t="s">
        <v>31</v>
      </c>
      <c r="U129" s="52">
        <f>U90</f>
        <v>14335</v>
      </c>
      <c r="V129" s="52">
        <f t="shared" ref="V129:W129" si="9">V90</f>
        <v>14335</v>
      </c>
      <c r="W129" s="52">
        <f t="shared" si="9"/>
        <v>14335</v>
      </c>
      <c r="X129" s="3"/>
      <c r="Y129" s="3"/>
    </row>
    <row r="130" spans="2:25" ht="15.75" hidden="1" outlineLevel="1" x14ac:dyDescent="0.3">
      <c r="B130" s="3"/>
      <c r="C130" s="3"/>
      <c r="D130" s="3" t="str">
        <f t="shared" si="4"/>
        <v>Strom</v>
      </c>
      <c r="E130" s="10">
        <f t="shared" si="5"/>
        <v>171.9</v>
      </c>
      <c r="F130" s="10">
        <f t="shared" si="5"/>
        <v>124.8924470887134</v>
      </c>
      <c r="G130" s="10">
        <f t="shared" si="5"/>
        <v>61.552554846110553</v>
      </c>
      <c r="H130" s="3" t="s">
        <v>162</v>
      </c>
      <c r="I130" s="3" t="b">
        <v>1</v>
      </c>
      <c r="J130" s="3"/>
      <c r="K130" s="3"/>
      <c r="L130" s="3" t="str">
        <f t="shared" si="6"/>
        <v>Zement</v>
      </c>
      <c r="M130" s="9">
        <f t="shared" si="7"/>
        <v>4548.5439999999999</v>
      </c>
      <c r="N130" s="9">
        <f t="shared" si="7"/>
        <v>4548.5439999999999</v>
      </c>
      <c r="O130" s="9">
        <f t="shared" si="7"/>
        <v>4548.5439999999999</v>
      </c>
      <c r="P130" s="3" t="s">
        <v>162</v>
      </c>
      <c r="Q130" s="381" t="b">
        <v>1</v>
      </c>
      <c r="R130" s="3"/>
      <c r="S130" s="3"/>
      <c r="T130" s="31" t="s">
        <v>32</v>
      </c>
      <c r="U130" s="52">
        <f t="shared" ref="U130:W135" si="10">U91</f>
        <v>2760</v>
      </c>
      <c r="V130" s="52">
        <f t="shared" si="10"/>
        <v>2760</v>
      </c>
      <c r="W130" s="52">
        <f t="shared" si="10"/>
        <v>2760</v>
      </c>
      <c r="X130" s="3"/>
      <c r="Y130" s="3"/>
    </row>
    <row r="131" spans="2:25" ht="15.75" hidden="1" outlineLevel="1" x14ac:dyDescent="0.3">
      <c r="B131" s="3"/>
      <c r="C131" s="3"/>
      <c r="D131" s="3" t="str">
        <f t="shared" si="4"/>
        <v/>
      </c>
      <c r="E131" s="10" t="e">
        <f t="shared" si="5"/>
        <v>#N/A</v>
      </c>
      <c r="F131" s="10" t="e">
        <f t="shared" si="5"/>
        <v>#N/A</v>
      </c>
      <c r="G131" s="10" t="e">
        <f t="shared" si="5"/>
        <v>#N/A</v>
      </c>
      <c r="H131" s="3" t="s">
        <v>162</v>
      </c>
      <c r="I131" s="3" t="b">
        <v>0</v>
      </c>
      <c r="J131" s="3"/>
      <c r="K131" s="3"/>
      <c r="L131" s="3" t="str">
        <f t="shared" si="6"/>
        <v>Gesteinskörnungen (Zuschlagsstoffe)</v>
      </c>
      <c r="M131" s="9">
        <f t="shared" si="7"/>
        <v>129.59200000000001</v>
      </c>
      <c r="N131" s="9">
        <f t="shared" si="7"/>
        <v>129.59200000000001</v>
      </c>
      <c r="O131" s="9">
        <f t="shared" si="7"/>
        <v>129.59200000000001</v>
      </c>
      <c r="P131" s="3" t="s">
        <v>162</v>
      </c>
      <c r="Q131" s="381" t="b">
        <v>1</v>
      </c>
      <c r="R131" s="3"/>
      <c r="S131" s="3"/>
      <c r="T131" s="31" t="s">
        <v>33</v>
      </c>
      <c r="U131" s="52">
        <f t="shared" si="10"/>
        <v>77400</v>
      </c>
      <c r="V131" s="52">
        <f t="shared" si="10"/>
        <v>77400</v>
      </c>
      <c r="W131" s="52">
        <f t="shared" si="10"/>
        <v>77400</v>
      </c>
      <c r="X131" s="3"/>
      <c r="Y131" s="3"/>
    </row>
    <row r="132" spans="2:25" ht="15.75" hidden="1" outlineLevel="1" x14ac:dyDescent="0.3">
      <c r="B132" s="3"/>
      <c r="C132" s="3"/>
      <c r="D132" s="3" t="str">
        <f t="shared" si="4"/>
        <v/>
      </c>
      <c r="E132" s="10" t="e">
        <f t="shared" si="5"/>
        <v>#N/A</v>
      </c>
      <c r="F132" s="10" t="e">
        <f t="shared" si="5"/>
        <v>#N/A</v>
      </c>
      <c r="G132" s="10" t="e">
        <f t="shared" si="5"/>
        <v>#N/A</v>
      </c>
      <c r="H132" s="3" t="s">
        <v>162</v>
      </c>
      <c r="I132" s="3" t="b">
        <v>0</v>
      </c>
      <c r="J132" s="3"/>
      <c r="K132" s="3"/>
      <c r="L132" s="3" t="str">
        <f t="shared" si="6"/>
        <v>Farben</v>
      </c>
      <c r="M132" s="9">
        <f t="shared" si="7"/>
        <v>208</v>
      </c>
      <c r="N132" s="9">
        <f t="shared" si="7"/>
        <v>208</v>
      </c>
      <c r="O132" s="9">
        <f t="shared" si="7"/>
        <v>208</v>
      </c>
      <c r="P132" s="3" t="s">
        <v>162</v>
      </c>
      <c r="Q132" s="381" t="b">
        <v>1</v>
      </c>
      <c r="R132" s="3"/>
      <c r="S132" s="3"/>
      <c r="T132" s="31" t="s">
        <v>122</v>
      </c>
      <c r="U132" s="52">
        <f t="shared" si="10"/>
        <v>0</v>
      </c>
      <c r="V132" s="52">
        <f t="shared" si="10"/>
        <v>0</v>
      </c>
      <c r="W132" s="52">
        <f t="shared" si="10"/>
        <v>0</v>
      </c>
      <c r="X132" s="3"/>
      <c r="Y132" s="3"/>
    </row>
    <row r="133" spans="2:25" ht="15.75" hidden="1" outlineLevel="1" x14ac:dyDescent="0.3">
      <c r="B133" s="3"/>
      <c r="C133" s="3"/>
      <c r="D133" s="3" t="str">
        <f t="shared" si="4"/>
        <v/>
      </c>
      <c r="E133" s="10" t="e">
        <f t="shared" si="5"/>
        <v>#N/A</v>
      </c>
      <c r="F133" s="10" t="e">
        <f t="shared" si="5"/>
        <v>#N/A</v>
      </c>
      <c r="G133" s="10" t="e">
        <f t="shared" si="5"/>
        <v>#N/A</v>
      </c>
      <c r="H133" s="3" t="s">
        <v>162</v>
      </c>
      <c r="I133" s="3" t="b">
        <v>0</v>
      </c>
      <c r="J133" s="3"/>
      <c r="K133" s="3"/>
      <c r="L133" s="3" t="str">
        <f t="shared" si="6"/>
        <v>Zusatzstoffe (Füllstoffe)</v>
      </c>
      <c r="M133" s="9">
        <f t="shared" si="7"/>
        <v>81.003999999999991</v>
      </c>
      <c r="N133" s="9">
        <f t="shared" si="7"/>
        <v>81.003999999999991</v>
      </c>
      <c r="O133" s="9">
        <f t="shared" si="7"/>
        <v>81.003999999999991</v>
      </c>
      <c r="P133" s="3" t="s">
        <v>162</v>
      </c>
      <c r="Q133" s="381" t="b">
        <v>1</v>
      </c>
      <c r="R133" s="3"/>
      <c r="S133" s="3"/>
      <c r="T133" s="31" t="s">
        <v>123</v>
      </c>
      <c r="U133" s="52">
        <f t="shared" si="10"/>
        <v>0</v>
      </c>
      <c r="V133" s="52">
        <f t="shared" si="10"/>
        <v>0</v>
      </c>
      <c r="W133" s="52">
        <f t="shared" si="10"/>
        <v>0</v>
      </c>
      <c r="X133" s="3"/>
      <c r="Y133" s="3"/>
    </row>
    <row r="134" spans="2:25" ht="15.75" hidden="1" outlineLevel="1" x14ac:dyDescent="0.3">
      <c r="B134" s="3"/>
      <c r="C134" s="3"/>
      <c r="D134" s="3" t="str">
        <f t="shared" si="4"/>
        <v>Diesel</v>
      </c>
      <c r="E134" s="10">
        <f t="shared" si="5"/>
        <v>35.884155059999998</v>
      </c>
      <c r="F134" s="10">
        <f t="shared" si="5"/>
        <v>35.884155059999998</v>
      </c>
      <c r="G134" s="10">
        <f t="shared" si="5"/>
        <v>35.884155059999998</v>
      </c>
      <c r="H134" s="3" t="s">
        <v>162</v>
      </c>
      <c r="I134" s="3" t="b">
        <v>1</v>
      </c>
      <c r="J134" s="3"/>
      <c r="K134" s="3"/>
      <c r="L134" s="3" t="str">
        <f t="shared" si="6"/>
        <v>Zusatzmittel</v>
      </c>
      <c r="M134" s="9">
        <f t="shared" si="7"/>
        <v>148.44746134951595</v>
      </c>
      <c r="N134" s="9">
        <f t="shared" si="7"/>
        <v>148.44746134951595</v>
      </c>
      <c r="O134" s="9">
        <f t="shared" si="7"/>
        <v>148.44746134951595</v>
      </c>
      <c r="P134" s="3" t="s">
        <v>162</v>
      </c>
      <c r="Q134" s="381" t="b">
        <v>1</v>
      </c>
      <c r="R134" s="3"/>
      <c r="S134" s="3"/>
      <c r="T134" s="31" t="s">
        <v>124</v>
      </c>
      <c r="U134" s="52">
        <f t="shared" si="10"/>
        <v>0</v>
      </c>
      <c r="V134" s="52">
        <f t="shared" si="10"/>
        <v>0</v>
      </c>
      <c r="W134" s="52">
        <f t="shared" si="10"/>
        <v>0</v>
      </c>
      <c r="X134" s="3"/>
      <c r="Y134" s="3"/>
    </row>
    <row r="135" spans="2:25" ht="16.5" hidden="1" outlineLevel="1" thickBot="1" x14ac:dyDescent="0.35">
      <c r="B135" s="3"/>
      <c r="C135" s="3"/>
      <c r="D135" s="27" t="s">
        <v>69</v>
      </c>
      <c r="E135" s="33">
        <f>SUMIF($I$128:$I$134,"WAHR",E128:E134)</f>
        <v>266.83235506</v>
      </c>
      <c r="F135" s="33">
        <f>SUMIF($I$128:$I$134,"WAHR",F128:F134)</f>
        <v>219.82480214871339</v>
      </c>
      <c r="G135" s="33">
        <f>SUMIF($I$128:$I$134,"WAHR",G128:G134)</f>
        <v>156.48490990611054</v>
      </c>
      <c r="H135" s="27" t="s">
        <v>163</v>
      </c>
      <c r="I135" s="3"/>
      <c r="J135" s="3"/>
      <c r="K135" s="3"/>
      <c r="L135" s="3" t="str">
        <f t="shared" si="6"/>
        <v>Ersatzstoffe &amp; Recyclingmaterial</v>
      </c>
      <c r="M135" s="9">
        <f t="shared" si="7"/>
        <v>0</v>
      </c>
      <c r="N135" s="9">
        <f t="shared" si="7"/>
        <v>0</v>
      </c>
      <c r="O135" s="9">
        <f t="shared" si="7"/>
        <v>0</v>
      </c>
      <c r="P135" s="3" t="s">
        <v>162</v>
      </c>
      <c r="Q135" s="381" t="b">
        <v>1</v>
      </c>
      <c r="R135" s="3"/>
      <c r="S135" s="3"/>
      <c r="T135" s="51" t="s">
        <v>34</v>
      </c>
      <c r="U135" s="53">
        <f t="shared" si="10"/>
        <v>15174.000000000002</v>
      </c>
      <c r="V135" s="54">
        <f t="shared" si="10"/>
        <v>15174.000000000002</v>
      </c>
      <c r="W135" s="54">
        <f t="shared" si="10"/>
        <v>15174.000000000002</v>
      </c>
      <c r="X135" s="3"/>
      <c r="Y135" s="3"/>
    </row>
    <row r="136" spans="2:25" ht="16.5" hidden="1" outlineLevel="1" thickTop="1" x14ac:dyDescent="0.3">
      <c r="B136" s="3"/>
      <c r="C136" s="3"/>
      <c r="D136" s="3"/>
      <c r="E136" s="3"/>
      <c r="F136" s="3"/>
      <c r="G136" s="3"/>
      <c r="H136" s="3"/>
      <c r="I136" s="3"/>
      <c r="J136" s="3"/>
      <c r="K136" s="3"/>
      <c r="L136" s="3" t="str">
        <f t="shared" si="6"/>
        <v/>
      </c>
      <c r="M136" s="9" t="e">
        <f t="shared" si="7"/>
        <v>#N/A</v>
      </c>
      <c r="N136" s="9" t="e">
        <f t="shared" si="7"/>
        <v>#N/A</v>
      </c>
      <c r="O136" s="9" t="e">
        <f t="shared" si="7"/>
        <v>#N/A</v>
      </c>
      <c r="P136" s="3" t="s">
        <v>162</v>
      </c>
      <c r="Q136" s="381" t="b">
        <v>0</v>
      </c>
      <c r="R136" s="3"/>
      <c r="S136" s="3"/>
      <c r="T136" s="8" t="str">
        <f>IF(X136,"CAPEX","")</f>
        <v>CAPEX</v>
      </c>
      <c r="U136" s="55">
        <f>IF($X136,U97,NA())</f>
        <v>0</v>
      </c>
      <c r="V136" s="55">
        <f t="shared" ref="V136:W138" si="11">IF($X136,V97,NA())</f>
        <v>0</v>
      </c>
      <c r="W136" s="55">
        <f t="shared" si="11"/>
        <v>0</v>
      </c>
      <c r="X136" s="381" t="b">
        <v>1</v>
      </c>
      <c r="Y136" s="3"/>
    </row>
    <row r="137" spans="2:25" ht="15.75" hidden="1" outlineLevel="1" x14ac:dyDescent="0.3">
      <c r="B137" s="3"/>
      <c r="C137" s="3"/>
      <c r="D137" s="3"/>
      <c r="E137" s="3"/>
      <c r="F137" s="3"/>
      <c r="G137" s="3"/>
      <c r="H137" s="3"/>
      <c r="I137" s="3"/>
      <c r="J137" s="3"/>
      <c r="K137" s="3"/>
      <c r="L137" s="3" t="str">
        <f t="shared" si="6"/>
        <v/>
      </c>
      <c r="M137" s="9" t="e">
        <f t="shared" si="7"/>
        <v>#N/A</v>
      </c>
      <c r="N137" s="9" t="e">
        <f t="shared" si="7"/>
        <v>#N/A</v>
      </c>
      <c r="O137" s="9" t="e">
        <f t="shared" si="7"/>
        <v>#N/A</v>
      </c>
      <c r="P137" s="3" t="s">
        <v>162</v>
      </c>
      <c r="Q137" s="381" t="b">
        <v>0</v>
      </c>
      <c r="R137" s="3"/>
      <c r="S137" s="3"/>
      <c r="T137" s="8" t="str">
        <f>IF(X137,"Zusätzliche jährliche Kosten","")</f>
        <v/>
      </c>
      <c r="U137" s="55" t="e">
        <f>IF($X137,U98,NA())</f>
        <v>#N/A</v>
      </c>
      <c r="V137" s="55" t="e">
        <f t="shared" si="11"/>
        <v>#N/A</v>
      </c>
      <c r="W137" s="55" t="e">
        <f t="shared" si="11"/>
        <v>#N/A</v>
      </c>
      <c r="X137" s="381" t="b">
        <v>0</v>
      </c>
      <c r="Y137" s="3"/>
    </row>
    <row r="138" spans="2:25" ht="15.75" hidden="1" outlineLevel="1" x14ac:dyDescent="0.3">
      <c r="B138" s="3"/>
      <c r="C138" s="3"/>
      <c r="D138" s="3"/>
      <c r="E138" s="3"/>
      <c r="F138" s="3"/>
      <c r="G138" s="3"/>
      <c r="H138" s="3"/>
      <c r="I138" s="3"/>
      <c r="J138" s="3"/>
      <c r="K138" s="3"/>
      <c r="L138" s="3" t="str">
        <f t="shared" si="6"/>
        <v/>
      </c>
      <c r="M138" s="9" t="e">
        <f t="shared" si="7"/>
        <v>#N/A</v>
      </c>
      <c r="N138" s="9" t="e">
        <f t="shared" si="7"/>
        <v>#N/A</v>
      </c>
      <c r="O138" s="9" t="e">
        <f t="shared" si="7"/>
        <v>#N/A</v>
      </c>
      <c r="P138" s="3" t="s">
        <v>162</v>
      </c>
      <c r="Q138" s="381" t="b">
        <v>0</v>
      </c>
      <c r="R138" s="3"/>
      <c r="S138" s="3"/>
      <c r="T138" s="59" t="str">
        <f>IF(X138,"Einmalige Kosten","")</f>
        <v/>
      </c>
      <c r="U138" s="55" t="e">
        <f>IF($X138,U99,NA())</f>
        <v>#N/A</v>
      </c>
      <c r="V138" s="55" t="e">
        <f t="shared" si="11"/>
        <v>#N/A</v>
      </c>
      <c r="W138" s="55" t="e">
        <f t="shared" si="11"/>
        <v>#N/A</v>
      </c>
      <c r="X138" s="381" t="b">
        <v>0</v>
      </c>
      <c r="Y138" s="3"/>
    </row>
    <row r="139" spans="2:25" ht="15.75" hidden="1" outlineLevel="1" x14ac:dyDescent="0.3">
      <c r="B139" s="3"/>
      <c r="C139" s="3"/>
      <c r="D139" s="3"/>
      <c r="E139" s="3"/>
      <c r="F139" s="3"/>
      <c r="G139" s="3"/>
      <c r="H139" s="3"/>
      <c r="I139" s="3"/>
      <c r="J139" s="3"/>
      <c r="K139" s="3"/>
      <c r="L139" s="3" t="str">
        <f t="shared" si="6"/>
        <v>Verpackungsmaterial</v>
      </c>
      <c r="M139" s="9">
        <f t="shared" si="7"/>
        <v>64.48</v>
      </c>
      <c r="N139" s="9">
        <f t="shared" si="7"/>
        <v>64.48</v>
      </c>
      <c r="O139" s="9">
        <f t="shared" si="7"/>
        <v>64.48</v>
      </c>
      <c r="P139" s="3" t="s">
        <v>162</v>
      </c>
      <c r="Q139" s="381" t="b">
        <v>1</v>
      </c>
      <c r="R139" s="3"/>
      <c r="S139" s="3"/>
      <c r="T139" s="57" t="str">
        <f>IF(X139,"CO2-Kosten","")</f>
        <v>CO2-Kosten</v>
      </c>
      <c r="U139" s="58">
        <f>IF($X$139,SUMIF($X$140:$X$142,"WAHR",U140:U142),NA())</f>
        <v>152459.04944673795</v>
      </c>
      <c r="V139" s="58">
        <f t="shared" ref="V139:W139" si="12">IF($X$139,SUMIF($X$140:$X$142,"WAHR",V140:V142),NA())</f>
        <v>272000.84694161144</v>
      </c>
      <c r="W139" s="58">
        <f t="shared" si="12"/>
        <v>477747.03551178076</v>
      </c>
      <c r="X139" s="381" t="b">
        <v>1</v>
      </c>
      <c r="Y139" s="3"/>
    </row>
    <row r="140" spans="2:25" ht="16.5" hidden="1" outlineLevel="1" thickBot="1" x14ac:dyDescent="0.35">
      <c r="B140" s="3"/>
      <c r="C140" s="3"/>
      <c r="D140" s="3"/>
      <c r="E140" s="3"/>
      <c r="F140" s="3"/>
      <c r="G140" s="3"/>
      <c r="H140" s="3"/>
      <c r="I140" s="3"/>
      <c r="J140" s="3"/>
      <c r="K140" s="3"/>
      <c r="L140" s="27" t="s">
        <v>69</v>
      </c>
      <c r="M140" s="28">
        <f>SUMIF($Q$128:$Q$139,"WAHR",M128:M139)</f>
        <v>5690.5056228095145</v>
      </c>
      <c r="N140" s="28">
        <f>SUMIF($Q$128:$Q$139,"WAHR",N128:N139)</f>
        <v>5683.6144632204259</v>
      </c>
      <c r="O140" s="28">
        <f>SUMIF($Q$128:$Q$139,"WAHR",O128:O139)</f>
        <v>5674.3290339911437</v>
      </c>
      <c r="P140" s="27" t="s">
        <v>163</v>
      </c>
      <c r="Q140" s="3"/>
      <c r="R140" s="3"/>
      <c r="S140" s="3"/>
      <c r="T140" s="31" t="s">
        <v>155</v>
      </c>
      <c r="U140" s="52">
        <f>IF($X140,U101,NA())</f>
        <v>2373.3088765000002</v>
      </c>
      <c r="V140" s="52">
        <f t="shared" ref="V140:W140" si="13">IF($X140,V101,NA())</f>
        <v>4271.9559777000004</v>
      </c>
      <c r="W140" s="52">
        <f t="shared" si="13"/>
        <v>7594.5884048000007</v>
      </c>
      <c r="X140" s="381" t="b">
        <v>1</v>
      </c>
      <c r="Y140" s="3"/>
    </row>
    <row r="141" spans="2:25" ht="16.5" hidden="1" outlineLevel="1" thickTop="1" x14ac:dyDescent="0.3">
      <c r="B141" s="3"/>
      <c r="C141" s="3"/>
      <c r="D141" s="3"/>
      <c r="E141" s="3"/>
      <c r="F141" s="3"/>
      <c r="G141" s="3"/>
      <c r="H141" s="3"/>
      <c r="I141" s="3"/>
      <c r="J141" s="3"/>
      <c r="K141" s="3"/>
      <c r="L141" s="3"/>
      <c r="M141" s="3"/>
      <c r="N141" s="3"/>
      <c r="O141" s="3"/>
      <c r="P141" s="3"/>
      <c r="Q141" s="3"/>
      <c r="R141" s="3"/>
      <c r="S141" s="3"/>
      <c r="T141" s="31" t="s">
        <v>156</v>
      </c>
      <c r="U141" s="52">
        <f t="shared" ref="U141:W142" si="14">IF($X141,U102,NA())</f>
        <v>4297.5</v>
      </c>
      <c r="V141" s="52">
        <f t="shared" si="14"/>
        <v>5620.160118992103</v>
      </c>
      <c r="W141" s="52">
        <f t="shared" si="14"/>
        <v>4924.2043876888438</v>
      </c>
      <c r="X141" s="381" t="b">
        <v>1</v>
      </c>
      <c r="Y141" s="3"/>
    </row>
    <row r="142" spans="2:25" ht="15.75" hidden="1" outlineLevel="1" x14ac:dyDescent="0.3">
      <c r="B142" s="3"/>
      <c r="C142" s="3"/>
      <c r="D142" s="3"/>
      <c r="E142" s="3"/>
      <c r="F142" s="3"/>
      <c r="G142" s="3"/>
      <c r="H142" s="3"/>
      <c r="I142" s="3"/>
      <c r="J142" s="3"/>
      <c r="K142" s="3"/>
      <c r="L142" s="3"/>
      <c r="M142" s="3"/>
      <c r="N142" s="3"/>
      <c r="O142" s="3"/>
      <c r="P142" s="3"/>
      <c r="Q142" s="3"/>
      <c r="R142" s="3"/>
      <c r="S142" s="3"/>
      <c r="T142" s="31" t="s">
        <v>157</v>
      </c>
      <c r="U142" s="52">
        <f t="shared" si="14"/>
        <v>145788.24057023795</v>
      </c>
      <c r="V142" s="52">
        <f t="shared" si="14"/>
        <v>262108.73084491931</v>
      </c>
      <c r="W142" s="52">
        <f t="shared" si="14"/>
        <v>465228.24271929194</v>
      </c>
      <c r="X142" s="381" t="b">
        <v>1</v>
      </c>
      <c r="Y142" s="3"/>
    </row>
    <row r="143" spans="2:25" ht="13.5" hidden="1" outlineLevel="1" thickBot="1" x14ac:dyDescent="0.25">
      <c r="B143" s="3"/>
      <c r="C143" s="3"/>
      <c r="D143" s="3"/>
      <c r="E143" s="3"/>
      <c r="F143" s="3"/>
      <c r="G143" s="3"/>
      <c r="H143" s="3"/>
      <c r="I143" s="3"/>
      <c r="J143" s="3"/>
      <c r="K143" s="3"/>
      <c r="L143" s="3"/>
      <c r="M143" s="3"/>
      <c r="N143" s="3"/>
      <c r="O143" s="3"/>
      <c r="P143" s="3"/>
      <c r="Q143" s="3"/>
      <c r="R143" s="3"/>
      <c r="S143" s="3"/>
      <c r="T143" s="27" t="s">
        <v>69</v>
      </c>
      <c r="U143" s="56">
        <f>IF($X$139,U139,0)+IF($X$138,U138,0)+IF($X$137,U137,0)+IF($X$136,U136,0)+U128</f>
        <v>262128.04944673795</v>
      </c>
      <c r="V143" s="56">
        <f t="shared" ref="V143:W143" si="15">IF($X$139,V139,0)+IF($X$138,V138,0)+IF($X$137,V137,0)+IF($X$136,V136,0)+V128</f>
        <v>381669.84694161144</v>
      </c>
      <c r="W143" s="56">
        <f t="shared" si="15"/>
        <v>587416.03551178076</v>
      </c>
      <c r="X143" s="3"/>
      <c r="Y143" s="3"/>
    </row>
    <row r="144" spans="2:25" ht="13.5" hidden="1" outlineLevel="1" thickTop="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2:25" hidden="1" outlineLevel="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2:25" hidden="1" outlineLevel="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2:25" hidden="1" outlineLevel="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2:25" hidden="1" outlineLevel="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2:25" hidden="1" outlineLevel="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2:25" hidden="1" outlineLevel="1" x14ac:dyDescent="0.2">
      <c r="B150" s="3"/>
      <c r="C150" s="3"/>
      <c r="D150" s="103" t="str">
        <f>IF(OR(G17&gt;0,G18&gt;0,G19&gt;0),"Hinweis: Bitte den Handeingabewert 'Anteiliger Einsatz' für 2030 auch anpassen. Dieser muss dem Werte Ihrer Handeingabe 2025 entsprechen, sollte nur eine Maßnahme in 2025 umgesetzt werden.","")</f>
        <v/>
      </c>
      <c r="E150" s="3"/>
      <c r="F150" s="3"/>
      <c r="G150" s="3"/>
      <c r="H150" s="3"/>
      <c r="I150" s="3"/>
      <c r="J150" s="3"/>
      <c r="K150" s="3"/>
      <c r="L150" s="3"/>
      <c r="M150" s="3"/>
      <c r="N150" s="3"/>
      <c r="O150" s="3"/>
      <c r="P150" s="3"/>
      <c r="Q150" s="3"/>
      <c r="R150" s="3"/>
      <c r="S150" s="3"/>
      <c r="T150" s="3"/>
      <c r="U150" s="3"/>
      <c r="V150" s="3"/>
      <c r="W150" s="3"/>
      <c r="X150" s="3"/>
      <c r="Y150" s="3"/>
    </row>
    <row r="151" spans="2:25" hidden="1" outlineLevel="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2:25" collapsed="1" x14ac:dyDescent="0.2"/>
    <row r="154" spans="2:25" ht="15.75" hidden="1" outlineLevel="1" x14ac:dyDescent="0.25">
      <c r="B154" s="22"/>
      <c r="C154" s="22" t="s">
        <v>114</v>
      </c>
      <c r="D154" s="17"/>
      <c r="E154" s="17"/>
      <c r="F154" s="17"/>
      <c r="G154" s="17"/>
      <c r="H154" s="17"/>
      <c r="I154" s="17"/>
      <c r="J154" s="17"/>
      <c r="K154" s="17"/>
      <c r="L154" s="17"/>
      <c r="N154" s="22" t="s">
        <v>117</v>
      </c>
      <c r="O154" s="17"/>
      <c r="P154" s="17"/>
      <c r="Q154" s="17"/>
      <c r="R154" s="17"/>
      <c r="S154" s="17"/>
      <c r="T154" s="17"/>
    </row>
    <row r="155" spans="2:25" ht="15" hidden="1" outlineLevel="1" x14ac:dyDescent="0.25">
      <c r="B155" s="65"/>
      <c r="C155" s="65">
        <v>2025</v>
      </c>
      <c r="D155" s="17" t="s">
        <v>265</v>
      </c>
      <c r="E155" s="17"/>
      <c r="F155" s="17"/>
      <c r="G155" s="17"/>
      <c r="H155" s="17"/>
      <c r="I155" s="17"/>
      <c r="J155" s="17"/>
      <c r="K155" s="17"/>
      <c r="L155" s="17"/>
      <c r="N155" s="65">
        <v>2025</v>
      </c>
      <c r="O155" s="17"/>
      <c r="P155" s="17"/>
      <c r="Q155" s="17"/>
      <c r="R155" s="17"/>
      <c r="S155" s="17"/>
      <c r="T155" s="17"/>
    </row>
    <row r="156" spans="2:25" hidden="1" outlineLevel="1" x14ac:dyDescent="0.2">
      <c r="B156" s="276"/>
      <c r="C156" s="17"/>
      <c r="D156" s="17" t="s">
        <v>178</v>
      </c>
      <c r="E156" s="289">
        <f>(1-(IF(NOT(ISBLANK($G17)),$G17/100,$E17/100)))</f>
        <v>1</v>
      </c>
      <c r="F156" s="17"/>
      <c r="G156" s="17"/>
      <c r="H156" s="17"/>
      <c r="I156" s="17"/>
      <c r="J156" s="17"/>
      <c r="K156" s="17"/>
      <c r="L156" s="17"/>
      <c r="N156" s="21"/>
      <c r="O156" s="17"/>
      <c r="P156" s="17"/>
      <c r="Q156" s="17"/>
      <c r="R156" s="17"/>
      <c r="S156" s="17"/>
      <c r="T156" s="17"/>
    </row>
    <row r="157" spans="2:25" hidden="1" outlineLevel="1" x14ac:dyDescent="0.2">
      <c r="B157" s="276"/>
      <c r="C157" s="17"/>
      <c r="D157" s="17" t="s">
        <v>179</v>
      </c>
      <c r="E157" s="289">
        <f>(1-(IF(NOT(ISBLANK($G18)),$G18/100,$E18/100)))</f>
        <v>1</v>
      </c>
      <c r="F157" s="17"/>
      <c r="G157" s="17"/>
      <c r="H157" s="17"/>
      <c r="I157" s="17"/>
      <c r="J157" s="17"/>
      <c r="K157" s="17"/>
      <c r="L157" s="17"/>
      <c r="N157" s="21"/>
      <c r="O157" s="17"/>
      <c r="P157" s="17"/>
      <c r="Q157" s="17"/>
      <c r="R157" s="17"/>
      <c r="S157" s="17"/>
      <c r="T157" s="17"/>
    </row>
    <row r="158" spans="2:25" hidden="1" outlineLevel="1" x14ac:dyDescent="0.2">
      <c r="B158" s="276"/>
      <c r="C158" s="17"/>
      <c r="D158" s="17" t="s">
        <v>180</v>
      </c>
      <c r="E158" s="289">
        <f>(1-(IF(NOT(ISBLANK($G19)),$G19/100,$E19/100)))</f>
        <v>1</v>
      </c>
      <c r="F158" s="17"/>
      <c r="G158" s="17"/>
      <c r="H158" s="17"/>
      <c r="I158" s="17"/>
      <c r="J158" s="17"/>
      <c r="K158" s="17"/>
      <c r="L158" s="17"/>
      <c r="N158" s="21"/>
      <c r="O158" s="17"/>
      <c r="P158" s="17"/>
      <c r="Q158" s="17"/>
      <c r="R158" s="17"/>
      <c r="S158" s="17"/>
      <c r="T158" s="17"/>
    </row>
    <row r="159" spans="2:25" hidden="1" outlineLevel="1" x14ac:dyDescent="0.2">
      <c r="B159" s="276"/>
      <c r="C159" s="17"/>
      <c r="D159" s="17"/>
      <c r="E159" s="289">
        <v>0</v>
      </c>
      <c r="F159" s="17"/>
      <c r="G159" s="17"/>
      <c r="H159" s="17"/>
      <c r="I159" s="17"/>
      <c r="J159" s="17"/>
      <c r="K159" s="17"/>
      <c r="L159" s="17"/>
      <c r="N159" s="21"/>
      <c r="O159" s="17"/>
      <c r="P159" s="17"/>
      <c r="Q159" s="17"/>
      <c r="R159" s="17"/>
      <c r="S159" s="17"/>
      <c r="T159" s="17"/>
    </row>
    <row r="160" spans="2:25" hidden="1" outlineLevel="1" x14ac:dyDescent="0.2">
      <c r="B160" s="276"/>
      <c r="C160" s="17"/>
      <c r="D160" s="17"/>
      <c r="E160" s="17"/>
      <c r="F160" s="17"/>
      <c r="G160" s="17"/>
      <c r="H160" s="17"/>
      <c r="I160" s="17"/>
      <c r="J160" s="17"/>
      <c r="K160" s="17"/>
      <c r="L160" s="17"/>
      <c r="N160" s="21"/>
      <c r="O160" s="17"/>
      <c r="P160" s="17"/>
      <c r="Q160" s="17"/>
      <c r="R160" s="17"/>
      <c r="S160" s="17"/>
      <c r="T160" s="17"/>
    </row>
    <row r="161" spans="2:20" hidden="1" outlineLevel="1" x14ac:dyDescent="0.2">
      <c r="B161" s="276"/>
      <c r="C161" s="17"/>
      <c r="D161" s="17" t="s">
        <v>336</v>
      </c>
      <c r="E161" s="297">
        <f>((1-E156)*IF(NOT(ISBLANK('Referenz Plattenwerk'!$I42)),'Referenz Plattenwerk'!$I42,'Referenz Plattenwerk'!$F42)+(1-E157)*IF(NOT(ISBLANK('Referenz Plattenwerk'!$I43)),'Referenz Plattenwerk'!$I43,'Referenz Plattenwerk'!$F43)+(1-E158)*IF(NOT(ISBLANK('Referenz Plattenwerk'!$I44)),'Referenz Plattenwerk'!$I44,'Referenz Plattenwerk'!$F44))*IF(NOT(ISBLANK('Referenz Plattenwerk'!$I$12)),'Referenz Plattenwerk'!$I$12,'Referenz Plattenwerk'!$F$12)</f>
        <v>0</v>
      </c>
      <c r="F161" s="17" t="s">
        <v>48</v>
      </c>
      <c r="G161" s="17"/>
      <c r="H161" s="17"/>
      <c r="I161" s="17"/>
      <c r="J161" s="17"/>
      <c r="K161" s="17"/>
      <c r="L161" s="17"/>
      <c r="N161" s="21"/>
      <c r="O161" s="17"/>
      <c r="P161" s="17"/>
      <c r="Q161" s="17"/>
      <c r="R161" s="17"/>
      <c r="S161" s="17"/>
      <c r="T161" s="17"/>
    </row>
    <row r="162" spans="2:20" hidden="1" outlineLevel="1" x14ac:dyDescent="0.2">
      <c r="B162" s="276"/>
      <c r="C162" s="17"/>
      <c r="D162" s="17"/>
      <c r="E162" s="17"/>
      <c r="F162" s="17"/>
      <c r="G162" s="17"/>
      <c r="H162" s="17"/>
      <c r="I162" s="17"/>
      <c r="J162" s="17"/>
      <c r="K162" s="17"/>
      <c r="L162" s="17"/>
      <c r="N162" s="21"/>
      <c r="O162" s="17"/>
      <c r="P162" s="17"/>
      <c r="Q162" s="17"/>
      <c r="R162" s="17"/>
      <c r="S162" s="17"/>
      <c r="T162" s="17"/>
    </row>
    <row r="163" spans="2:20" hidden="1" outlineLevel="1" x14ac:dyDescent="0.2">
      <c r="B163" s="17"/>
      <c r="C163" s="17"/>
      <c r="D163" s="17"/>
      <c r="E163" s="17"/>
      <c r="F163" s="20"/>
      <c r="G163" s="20"/>
      <c r="H163" s="20"/>
      <c r="I163" s="17"/>
      <c r="J163" s="17"/>
      <c r="K163" s="17"/>
      <c r="L163" s="17"/>
      <c r="N163" s="17"/>
      <c r="O163" s="17"/>
      <c r="P163" s="17"/>
      <c r="Q163" s="17"/>
      <c r="R163" s="17"/>
      <c r="S163" s="17"/>
      <c r="T163" s="17"/>
    </row>
    <row r="164" spans="2:20" hidden="1" outlineLevel="1" x14ac:dyDescent="0.2">
      <c r="B164" s="17"/>
      <c r="C164" s="17"/>
      <c r="D164" s="17"/>
      <c r="E164" s="17"/>
      <c r="F164" s="20"/>
      <c r="G164" s="20"/>
      <c r="H164" s="20"/>
      <c r="I164" s="17"/>
      <c r="J164" s="17"/>
      <c r="K164" s="17"/>
      <c r="L164" s="17"/>
      <c r="N164" s="17"/>
      <c r="O164" s="17"/>
      <c r="P164" s="17"/>
      <c r="Q164" s="17"/>
      <c r="R164" s="17"/>
      <c r="S164" s="17"/>
      <c r="T164" s="17"/>
    </row>
    <row r="165" spans="2:20" ht="25.5" hidden="1" outlineLevel="1" x14ac:dyDescent="0.2">
      <c r="B165" s="17"/>
      <c r="C165" s="17"/>
      <c r="D165" s="17"/>
      <c r="E165" s="17"/>
      <c r="F165" s="36" t="s">
        <v>27</v>
      </c>
      <c r="G165" s="36" t="s">
        <v>82</v>
      </c>
      <c r="H165" s="36" t="s">
        <v>29</v>
      </c>
      <c r="I165" s="17"/>
      <c r="J165" s="40" t="s">
        <v>111</v>
      </c>
      <c r="K165" s="41" t="s">
        <v>39</v>
      </c>
      <c r="L165" s="17"/>
      <c r="N165" s="17"/>
      <c r="O165" s="17"/>
      <c r="P165" s="17"/>
      <c r="Q165" s="18"/>
      <c r="R165" s="18"/>
      <c r="S165" s="18"/>
      <c r="T165" s="18"/>
    </row>
    <row r="166" spans="2:20" ht="14.25" hidden="1" outlineLevel="1" x14ac:dyDescent="0.25">
      <c r="B166" s="77"/>
      <c r="C166" s="77" t="s">
        <v>190</v>
      </c>
      <c r="D166" s="77"/>
      <c r="E166" s="77"/>
      <c r="F166" s="78">
        <f>SUM(F168:F181)</f>
        <v>94.932355060000006</v>
      </c>
      <c r="G166" s="78">
        <f t="shared" ref="G166:H166" si="16">SUM(G168:G181)</f>
        <v>124.8924470887134</v>
      </c>
      <c r="H166" s="78">
        <f t="shared" si="16"/>
        <v>34.39057387091087</v>
      </c>
      <c r="I166" s="77"/>
      <c r="J166" s="78">
        <f>F166+G166</f>
        <v>219.82480214871339</v>
      </c>
      <c r="K166" s="78">
        <f>SUM(F166:H166)</f>
        <v>254.21537601962427</v>
      </c>
      <c r="L166" s="77" t="s">
        <v>197</v>
      </c>
      <c r="N166" s="17"/>
      <c r="O166" s="17"/>
      <c r="P166" s="17"/>
      <c r="Q166" s="18"/>
      <c r="R166" s="18"/>
      <c r="S166" s="18"/>
      <c r="T166" s="18"/>
    </row>
    <row r="167" spans="2:20" hidden="1" outlineLevel="1" x14ac:dyDescent="0.2">
      <c r="B167" s="17"/>
      <c r="C167" s="17" t="s">
        <v>146</v>
      </c>
      <c r="D167" s="17"/>
      <c r="E167" s="17"/>
      <c r="F167" s="17"/>
      <c r="G167" s="17"/>
      <c r="H167" s="17"/>
      <c r="I167" s="17"/>
      <c r="J167" s="17"/>
      <c r="K167" s="17"/>
      <c r="L167" s="17"/>
      <c r="N167" s="17" t="s">
        <v>146</v>
      </c>
      <c r="O167" s="17"/>
      <c r="P167" s="17"/>
      <c r="Q167" s="18"/>
      <c r="R167" s="18"/>
      <c r="S167" s="18"/>
      <c r="T167" s="18"/>
    </row>
    <row r="168" spans="2:20" ht="15.75" hidden="1" outlineLevel="1" x14ac:dyDescent="0.3">
      <c r="B168" s="276"/>
      <c r="C168" s="17"/>
      <c r="D168" s="17" t="s">
        <v>125</v>
      </c>
      <c r="E168" s="17"/>
      <c r="F168" s="38">
        <f>IF(NOT(ISBLANK('Referenz Plattenwerk'!$I16)),'Referenz Plattenwerk'!$I16,'Referenz Plattenwerk'!$F16)*IF(NOT(ISBLANK('Eingabe EF'!$AA9)),'Eingabe EF'!$AA9,'Eingabe EF'!$Y9)</f>
        <v>34.434080000000002</v>
      </c>
      <c r="G168" s="38">
        <f>IF(NOT(ISBLANK('Referenz Plattenwerk'!$I16)),'Referenz Plattenwerk'!$I16,'Referenz Plattenwerk'!$F16)*IF(NOT(ISBLANK('Eingabe EF'!$AE9)),'Eingabe EF'!$AE9,'Eingabe EF'!$AC9)</f>
        <v>0</v>
      </c>
      <c r="H168" s="38">
        <f>IF(NOT(ISBLANK('Referenz Plattenwerk'!$I16)),'Referenz Plattenwerk'!$I16,'Referenz Plattenwerk'!$F16)*IF(NOT(ISBLANK('Eingabe EF'!$AI9)),'Eingabe EF'!$AI9,'Eingabe EF'!$AG9)</f>
        <v>5.8938000000000006</v>
      </c>
      <c r="I168" s="17"/>
      <c r="J168" s="38">
        <f>F168+G168</f>
        <v>34.434080000000002</v>
      </c>
      <c r="K168" s="38">
        <f>SUM(F168:H168)</f>
        <v>40.32788</v>
      </c>
      <c r="L168" s="17" t="s">
        <v>198</v>
      </c>
      <c r="N168" s="276"/>
      <c r="O168" s="17" t="s">
        <v>125</v>
      </c>
      <c r="P168" s="17"/>
      <c r="Q168" s="19"/>
      <c r="R168" s="20"/>
      <c r="S168" s="42">
        <f>IF(NOT(ISBLANK('Referenz Plattenwerk'!$I16)),'Referenz Plattenwerk'!$I16,'Referenz Plattenwerk'!$F16)/1000*IF(NOT(ISBLANK('Eingabe Preise'!$K10)),'Eingabe Preise'!$K10,'Eingabe Preise'!$I10)</f>
        <v>11468</v>
      </c>
      <c r="T168" s="20" t="s">
        <v>106</v>
      </c>
    </row>
    <row r="169" spans="2:20" ht="15.75" hidden="1" outlineLevel="1" x14ac:dyDescent="0.3">
      <c r="B169" s="276"/>
      <c r="C169" s="17"/>
      <c r="D169" s="17" t="s">
        <v>165</v>
      </c>
      <c r="E169" s="17"/>
      <c r="F169" s="38">
        <f>IF(NOT(ISBLANK('Referenz Plattenwerk'!$I17)),'Referenz Plattenwerk'!$I17,'Referenz Plattenwerk'!$F17)*IF(NOT(ISBLANK('Eingabe EF'!$AA10)),'Eingabe EF'!$AA10,'Eingabe EF'!$Y10)</f>
        <v>6.4022399999999999</v>
      </c>
      <c r="G169" s="38">
        <f>IF(NOT(ISBLANK('Referenz Plattenwerk'!$I17)),'Referenz Plattenwerk'!$I17,'Referenz Plattenwerk'!$F17)*IF(NOT(ISBLANK('Eingabe EF'!$AE10)),'Eingabe EF'!$AE10,'Eingabe EF'!$AC10)</f>
        <v>0</v>
      </c>
      <c r="H169" s="38">
        <f>IF(NOT(ISBLANK('Referenz Plattenwerk'!$I17)),'Referenz Plattenwerk'!$I17,'Referenz Plattenwerk'!$F17)*IF(NOT(ISBLANK('Eingabe EF'!$AI10)),'Eingabe EF'!$AI10,'Eingabe EF'!$AG10)</f>
        <v>0.949824</v>
      </c>
      <c r="I169" s="17"/>
      <c r="J169" s="38">
        <f>F169+G169</f>
        <v>6.4022399999999999</v>
      </c>
      <c r="K169" s="38">
        <f>SUM(F169:H169)</f>
        <v>7.3520640000000004</v>
      </c>
      <c r="L169" s="17" t="s">
        <v>198</v>
      </c>
      <c r="N169" s="276"/>
      <c r="O169" s="17" t="s">
        <v>165</v>
      </c>
      <c r="P169" s="17"/>
      <c r="Q169" s="20"/>
      <c r="R169" s="20"/>
      <c r="S169" s="42">
        <f>IF(NOT(ISBLANK('Referenz Plattenwerk'!$I17)),'Referenz Plattenwerk'!$I17,'Referenz Plattenwerk'!$F17)/1000*IF(NOT(ISBLANK('Eingabe Preise'!$K11)),'Eingabe Preise'!$K11,'Eingabe Preise'!$I11)</f>
        <v>1104</v>
      </c>
      <c r="T169" s="20" t="s">
        <v>106</v>
      </c>
    </row>
    <row r="170" spans="2:20" ht="15.75" hidden="1" outlineLevel="1" x14ac:dyDescent="0.3">
      <c r="B170" s="276"/>
      <c r="C170" s="17"/>
      <c r="D170" s="17" t="s">
        <v>166</v>
      </c>
      <c r="E170" s="17"/>
      <c r="F170" s="38">
        <f>IF(NOT(ISBLANK('Referenz Plattenwerk'!$I18)),'Referenz Plattenwerk'!$I18,'Referenz Plattenwerk'!$F18)*IF(NOT(ISBLANK('Eingabe EF'!$AA11)),'Eingabe EF'!$AA11,'Eingabe EF'!$Y11)</f>
        <v>0</v>
      </c>
      <c r="G170" s="38">
        <f>IF(NOT(ISBLANK('Referenz Plattenwerk'!$I18)),'Referenz Plattenwerk'!$I18,'Referenz Plattenwerk'!$F18)*IF(NOT(ISBLANK('Eingabe EF'!$AE11)),'Eingabe EF'!$AE11,'Eingabe EF'!$AC11)</f>
        <v>12.48924470887134</v>
      </c>
      <c r="H170" s="38">
        <f>IF(NOT(ISBLANK('Referenz Plattenwerk'!$I18)),'Referenz Plattenwerk'!$I18,'Referenz Plattenwerk'!$F18)*IF(NOT(ISBLANK('Eingabe EF'!$AI11)),'Eingabe EF'!$AI11,'Eingabe EF'!$AG11)</f>
        <v>1.8308840410910865</v>
      </c>
      <c r="I170" s="17"/>
      <c r="J170" s="38">
        <f>F170+G170</f>
        <v>12.48924470887134</v>
      </c>
      <c r="K170" s="38">
        <f>SUM(F170:H170)</f>
        <v>14.320128749962427</v>
      </c>
      <c r="L170" s="17" t="s">
        <v>198</v>
      </c>
      <c r="N170" s="276"/>
      <c r="O170" s="17" t="s">
        <v>166</v>
      </c>
      <c r="P170" s="17"/>
      <c r="Q170" s="20"/>
      <c r="R170" s="20"/>
      <c r="S170" s="42">
        <f>IF(NOT(ISBLANK('Referenz Plattenwerk'!$I18)),'Referenz Plattenwerk'!$I18,'Referenz Plattenwerk'!$F18)/1000*IF(NOT(ISBLANK('Eingabe Preise'!$K12)),'Eingabe Preise'!$K12,'Eingabe Preise'!$I12)</f>
        <v>7740</v>
      </c>
      <c r="T170" s="20" t="s">
        <v>106</v>
      </c>
    </row>
    <row r="171" spans="2:20" ht="15.75" hidden="1" outlineLevel="1" x14ac:dyDescent="0.3">
      <c r="B171" s="276"/>
      <c r="C171" s="17"/>
      <c r="D171" s="17" t="s">
        <v>126</v>
      </c>
      <c r="E171" s="17"/>
      <c r="F171" s="44">
        <f>IF(NOT(ISBLANK('Referenz Plattenwerk'!$I19)),'Referenz Plattenwerk'!$I19,'Referenz Plattenwerk'!$F19)*IF(NOT(ISBLANK('Eingabe EF'!$AA12)),'Eingabe EF'!$AA12,0)</f>
        <v>0</v>
      </c>
      <c r="G171" s="44">
        <f>IF(NOT(ISBLANK('Referenz Plattenwerk'!$I19)),'Referenz Plattenwerk'!$I19,'Referenz Plattenwerk'!$F19)*IF(NOT(ISBLANK('Eingabe EF'!$AE12)),'Eingabe EF'!$AE12,0)</f>
        <v>0</v>
      </c>
      <c r="H171" s="44">
        <f>IF(NOT(ISBLANK('Referenz Plattenwerk'!$I19)),'Referenz Plattenwerk'!$I19,'Referenz Plattenwerk'!$F19)*IF(NOT(ISBLANK('Eingabe EF'!$AI12)),'Eingabe EF'!$AI12,0)</f>
        <v>0</v>
      </c>
      <c r="I171" s="17"/>
      <c r="J171" s="38">
        <f>F171+G171</f>
        <v>0</v>
      </c>
      <c r="K171" s="38">
        <f>SUM(F171:H171)</f>
        <v>0</v>
      </c>
      <c r="L171" s="17" t="s">
        <v>198</v>
      </c>
      <c r="N171" s="276"/>
      <c r="O171" s="17" t="s">
        <v>126</v>
      </c>
      <c r="P171" s="17"/>
      <c r="Q171" s="20"/>
      <c r="R171" s="20"/>
      <c r="S171" s="42">
        <f>IF(NOT(ISBLANK('Referenz Plattenwerk'!$I19)),'Referenz Plattenwerk'!$I19,'Referenz Plattenwerk'!$F19)/1000*IF(NOT(ISBLANK('Eingabe Preise'!$K16)),'Eingabe Preise'!$K16,0)</f>
        <v>0</v>
      </c>
      <c r="T171" s="20" t="s">
        <v>106</v>
      </c>
    </row>
    <row r="172" spans="2:20" hidden="1" outlineLevel="1" x14ac:dyDescent="0.2">
      <c r="B172" s="17"/>
      <c r="C172" s="17" t="s">
        <v>147</v>
      </c>
      <c r="D172" s="17"/>
      <c r="E172" s="17"/>
      <c r="F172" s="20"/>
      <c r="G172" s="20"/>
      <c r="H172" s="20"/>
      <c r="I172" s="17"/>
      <c r="J172" s="17"/>
      <c r="K172" s="17"/>
      <c r="L172" s="17"/>
      <c r="N172" s="17" t="s">
        <v>147</v>
      </c>
      <c r="O172" s="17"/>
      <c r="P172" s="17"/>
      <c r="Q172" s="20"/>
      <c r="R172" s="20"/>
      <c r="S172" s="20"/>
      <c r="T172" s="20"/>
    </row>
    <row r="173" spans="2:20" ht="15.75" hidden="1" outlineLevel="1" x14ac:dyDescent="0.3">
      <c r="B173" s="17"/>
      <c r="C173" s="17"/>
      <c r="D173" s="17" t="s">
        <v>31</v>
      </c>
      <c r="E173" s="17"/>
      <c r="F173" s="38">
        <f>IF(NOT(ISBLANK('Referenz Plattenwerk'!$I21)),'Referenz Plattenwerk'!$I21,'Referenz Plattenwerk'!$F21)*IF(NOT(ISBLANK('Eingabe EF'!$AA9)),'Eingabe EF'!$AA9,'Eingabe EF'!$Y9)</f>
        <v>8.6085200000000004</v>
      </c>
      <c r="G173" s="38">
        <f>IF(NOT(ISBLANK('Referenz Plattenwerk'!$I21)),'Referenz Plattenwerk'!$I21,'Referenz Plattenwerk'!$F21)*IF(NOT(ISBLANK('Eingabe EF'!$AE9)),'Eingabe EF'!$AE9,'Eingabe EF'!$AC9)</f>
        <v>0</v>
      </c>
      <c r="H173" s="38">
        <f>IF(NOT(ISBLANK('Referenz Plattenwerk'!$I21)),'Referenz Plattenwerk'!$I21,'Referenz Plattenwerk'!$F21)*IF(NOT(ISBLANK('Eingabe EF'!$AG9)),'Eingabe EF'!$AG9,'Eingabe EF'!$AIC9)</f>
        <v>1.4734500000000001</v>
      </c>
      <c r="I173" s="17"/>
      <c r="J173" s="38">
        <f t="shared" ref="J173:J174" si="17">F173+G173</f>
        <v>8.6085200000000004</v>
      </c>
      <c r="K173" s="38">
        <f t="shared" ref="K173:K184" si="18">SUM(F173:H173)</f>
        <v>10.08197</v>
      </c>
      <c r="L173" s="17" t="s">
        <v>198</v>
      </c>
      <c r="M173" s="43"/>
      <c r="N173" s="17"/>
      <c r="O173" s="17" t="s">
        <v>31</v>
      </c>
      <c r="P173" s="17"/>
      <c r="Q173" s="20"/>
      <c r="R173" s="20"/>
      <c r="S173" s="42">
        <f>IF(NOT(ISBLANK('Referenz Plattenwerk'!$I21)),'Referenz Plattenwerk'!$I21,'Referenz Plattenwerk'!$F21)/1000*IF(NOT(ISBLANK('Eingabe Preise'!$K10)),'Eingabe Preise'!$K10,'Eingabe Preise'!$I10)</f>
        <v>2867</v>
      </c>
      <c r="T173" s="20" t="s">
        <v>106</v>
      </c>
    </row>
    <row r="174" spans="2:20" ht="15.75" hidden="1" outlineLevel="1" x14ac:dyDescent="0.3">
      <c r="B174" s="17"/>
      <c r="C174" s="17"/>
      <c r="D174" s="17" t="s">
        <v>32</v>
      </c>
      <c r="E174" s="17"/>
      <c r="F174" s="38">
        <f>IF(NOT(ISBLANK('Referenz Plattenwerk'!$I22)),'Referenz Plattenwerk'!$I22,'Referenz Plattenwerk'!$F22)*IF(NOT(ISBLANK('Eingabe EF'!$AA10)),'Eingabe EF'!$AA10,'Eingabe EF'!$Y10)</f>
        <v>9.6033600000000003</v>
      </c>
      <c r="G174" s="38">
        <f>IF(NOT(ISBLANK('Referenz Plattenwerk'!$I22)),'Referenz Plattenwerk'!$I22,'Referenz Plattenwerk'!$F22)*IF(NOT(ISBLANK('Eingabe EF'!$AE10)),'Eingabe EF'!$AE10,'Eingabe EF'!$AC10)</f>
        <v>0</v>
      </c>
      <c r="H174" s="38">
        <f>IF(NOT(ISBLANK('Referenz Plattenwerk'!$I22)),'Referenz Plattenwerk'!$I22,'Referenz Plattenwerk'!$F22)*IF(NOT(ISBLANK('Eingabe EF'!$AG10)),'Eingabe EF'!$AG10,'Eingabe EF'!$AIC10)</f>
        <v>1.424736</v>
      </c>
      <c r="I174" s="17"/>
      <c r="J174" s="38">
        <f t="shared" si="17"/>
        <v>9.6033600000000003</v>
      </c>
      <c r="K174" s="38">
        <f t="shared" si="18"/>
        <v>11.028096</v>
      </c>
      <c r="L174" s="17" t="s">
        <v>198</v>
      </c>
      <c r="M174" s="43"/>
      <c r="N174" s="17"/>
      <c r="O174" s="17" t="s">
        <v>32</v>
      </c>
      <c r="P174" s="17"/>
      <c r="Q174" s="20"/>
      <c r="R174" s="20"/>
      <c r="S174" s="42">
        <f>IF(NOT(ISBLANK('Referenz Plattenwerk'!$I22)),'Referenz Plattenwerk'!$I22,'Referenz Plattenwerk'!$F22)/1000*IF(NOT(ISBLANK('Eingabe Preise'!$K11)),'Eingabe Preise'!$K11,'Eingabe Preise'!$I11)</f>
        <v>1656</v>
      </c>
      <c r="T174" s="20" t="s">
        <v>106</v>
      </c>
    </row>
    <row r="175" spans="2:20" hidden="1" outlineLevel="1" x14ac:dyDescent="0.2">
      <c r="B175" s="17"/>
      <c r="C175" s="17" t="s">
        <v>148</v>
      </c>
      <c r="D175" s="17"/>
      <c r="E175" s="17"/>
      <c r="F175" s="20"/>
      <c r="G175" s="20"/>
      <c r="H175" s="20"/>
      <c r="I175" s="17"/>
      <c r="J175" s="17"/>
      <c r="K175" s="17"/>
      <c r="L175" s="17"/>
      <c r="N175" s="17" t="s">
        <v>148</v>
      </c>
      <c r="O175" s="17"/>
      <c r="P175" s="17"/>
      <c r="Q175" s="20"/>
      <c r="R175" s="20"/>
      <c r="S175" s="20"/>
      <c r="T175" s="20"/>
    </row>
    <row r="176" spans="2:20" ht="15.75" hidden="1" outlineLevel="1" x14ac:dyDescent="0.3">
      <c r="B176" s="17"/>
      <c r="C176" s="17"/>
      <c r="D176" s="17" t="s">
        <v>150</v>
      </c>
      <c r="E176" s="17"/>
      <c r="F176" s="38">
        <f>IF(NOT(ISBLANK('Referenz Plattenwerk'!$I24)),'Referenz Plattenwerk'!$I24,'Referenz Plattenwerk'!$F24)*IF(NOT(ISBLANK('Eingabe EF'!$AA11)),'Eingabe EF'!$AA11,'Eingabe EF'!$Y11)</f>
        <v>0</v>
      </c>
      <c r="G176" s="38">
        <f>IF(NOT(ISBLANK('Referenz Plattenwerk'!$I24)),'Referenz Plattenwerk'!$I24,'Referenz Plattenwerk'!$F24)*IF(NOT(ISBLANK('Eingabe EF'!$AE11)),'Eingabe EF'!$AE11,'Eingabe EF'!$AC11)</f>
        <v>112.40320237984206</v>
      </c>
      <c r="H176" s="38">
        <f>IF(NOT(ISBLANK('Referenz Plattenwerk'!$I24)),'Referenz Plattenwerk'!$I24,'Referenz Plattenwerk'!$F24)*IF(NOT(ISBLANK('Eingabe EF'!$AI11)),'Eingabe EF'!$AI11,'Eingabe EF'!$AG11)</f>
        <v>16.477956369819779</v>
      </c>
      <c r="I176" s="17"/>
      <c r="J176" s="38">
        <f t="shared" ref="J176:J184" si="19">F176+G176</f>
        <v>112.40320237984206</v>
      </c>
      <c r="K176" s="38">
        <f t="shared" si="18"/>
        <v>128.88115874966184</v>
      </c>
      <c r="L176" s="17" t="s">
        <v>198</v>
      </c>
      <c r="M176" s="43"/>
      <c r="N176" s="17"/>
      <c r="O176" s="17" t="s">
        <v>167</v>
      </c>
      <c r="P176" s="17"/>
      <c r="Q176" s="20"/>
      <c r="R176" s="20"/>
      <c r="S176" s="42">
        <f>IF(NOT(ISBLANK('Referenz Plattenwerk'!$I24)),'Referenz Plattenwerk'!$I24,'Referenz Plattenwerk'!$F24)/1000*IF(NOT(ISBLANK('Eingabe Preise'!$K12)),'Eingabe Preise'!$K12,'Eingabe Preise'!$I12)</f>
        <v>69660</v>
      </c>
      <c r="T176" s="20" t="s">
        <v>106</v>
      </c>
    </row>
    <row r="177" spans="2:21" ht="15.75" hidden="1" outlineLevel="1" x14ac:dyDescent="0.3">
      <c r="B177" s="17"/>
      <c r="C177" s="17"/>
      <c r="D177" s="17" t="s">
        <v>122</v>
      </c>
      <c r="E177" s="17"/>
      <c r="F177" s="38">
        <f>IF(NOT(ISBLANK('Referenz Plattenwerk'!$I25)),'Referenz Plattenwerk'!$I25,'Referenz Plattenwerk'!$F25)*IF(NOT(ISBLANK('Eingabe EF'!$AA13)),'Eingabe EF'!$AA13,'Eingabe EF'!$Y13)</f>
        <v>0</v>
      </c>
      <c r="G177" s="38">
        <f>IF(NOT(ISBLANK('Referenz Plattenwerk'!$I25)),'Referenz Plattenwerk'!$I25,'Referenz Plattenwerk'!$F25)*IF(NOT(ISBLANK('Eingabe EF'!$AE13)),'Eingabe EF'!$AE13,'Eingabe EF'!$AC13)</f>
        <v>0</v>
      </c>
      <c r="H177" s="38">
        <f>IF(NOT(ISBLANK('Referenz Plattenwerk'!$I25)),'Referenz Plattenwerk'!$I25,'Referenz Plattenwerk'!$F25)*IF(NOT(ISBLANK('Eingabe EF'!$AI13)),'Eingabe EF'!$AI13,'Eingabe EF'!$AG13)</f>
        <v>0</v>
      </c>
      <c r="I177" s="17"/>
      <c r="J177" s="38">
        <f t="shared" si="19"/>
        <v>0</v>
      </c>
      <c r="K177" s="38">
        <f t="shared" si="18"/>
        <v>0</v>
      </c>
      <c r="L177" s="17" t="s">
        <v>198</v>
      </c>
      <c r="M177" s="43"/>
      <c r="N177" s="17"/>
      <c r="O177" s="17" t="s">
        <v>122</v>
      </c>
      <c r="P177" s="17"/>
      <c r="Q177" s="20"/>
      <c r="R177" s="20"/>
      <c r="S177" s="42">
        <f>IF(NOT(ISBLANK('Referenz Plattenwerk'!$I25)),'Referenz Plattenwerk'!$I25,'Referenz Plattenwerk'!$F25)/1000*IF(NOT(ISBLANK('Eingabe Preise'!$K13)),'Eingabe Preise'!$K13,'Eingabe Preise'!$I13)</f>
        <v>0</v>
      </c>
      <c r="T177" s="20" t="s">
        <v>106</v>
      </c>
    </row>
    <row r="178" spans="2:21" ht="15.75" hidden="1" outlineLevel="1" x14ac:dyDescent="0.3">
      <c r="B178" s="17"/>
      <c r="C178" s="17"/>
      <c r="D178" s="17" t="s">
        <v>149</v>
      </c>
      <c r="E178" s="17"/>
      <c r="F178" s="38">
        <f>IF(NOT(ISBLANK('Referenz Plattenwerk'!$I26)),'Referenz Plattenwerk'!$I26,'Referenz Plattenwerk'!$F26)*IF(NOT(ISBLANK('Eingabe EF'!$AA14)),'Eingabe EF'!$AA14,0)</f>
        <v>0</v>
      </c>
      <c r="G178" s="38">
        <f>IF(NOT(ISBLANK('Referenz Plattenwerk'!$I26)),'Referenz Plattenwerk'!$I26,'Referenz Plattenwerk'!$F26)*IF(NOT(ISBLANK('Eingabe EF'!$AE14)),'Eingabe EF'!$AE14,0)</f>
        <v>0</v>
      </c>
      <c r="H178" s="38">
        <f>IF(NOT(ISBLANK('Referenz Plattenwerk'!$I26)),'Referenz Plattenwerk'!$I26,'Referenz Plattenwerk'!$F26)*IF(NOT(ISBLANK('Eingabe EF'!$AI14)),'Eingabe EF'!$AI14,0)</f>
        <v>0</v>
      </c>
      <c r="I178" s="17"/>
      <c r="J178" s="38">
        <f t="shared" si="19"/>
        <v>0</v>
      </c>
      <c r="K178" s="38">
        <f t="shared" si="18"/>
        <v>0</v>
      </c>
      <c r="L178" s="17" t="s">
        <v>198</v>
      </c>
      <c r="M178" s="43"/>
      <c r="N178" s="17"/>
      <c r="O178" s="17" t="s">
        <v>149</v>
      </c>
      <c r="P178" s="17"/>
      <c r="Q178" s="30"/>
      <c r="R178" s="17"/>
      <c r="S178" s="42">
        <f>IF(NOT(ISBLANK('Referenz Plattenwerk'!$I26)),'Referenz Plattenwerk'!$I26,'Referenz Plattenwerk'!$F26)/1000*IF(NOT(ISBLANK('Eingabe Preise'!$K17)),'Eingabe Preise'!$K17,0)</f>
        <v>0</v>
      </c>
      <c r="T178" s="20" t="s">
        <v>106</v>
      </c>
    </row>
    <row r="179" spans="2:21" hidden="1" outlineLevel="1" x14ac:dyDescent="0.2">
      <c r="B179" s="17"/>
      <c r="C179" s="17"/>
      <c r="D179" s="17"/>
      <c r="E179" s="17"/>
      <c r="F179" s="20"/>
      <c r="G179" s="20"/>
      <c r="H179" s="20"/>
      <c r="I179" s="17"/>
      <c r="J179" s="17"/>
      <c r="K179" s="17"/>
      <c r="L179" s="17"/>
      <c r="N179" s="17"/>
      <c r="O179" s="17"/>
      <c r="P179" s="17"/>
      <c r="Q179" s="30"/>
      <c r="R179" s="17"/>
      <c r="S179" s="17"/>
      <c r="T179" s="17"/>
    </row>
    <row r="180" spans="2:21" ht="15.75" hidden="1" outlineLevel="1" x14ac:dyDescent="0.3">
      <c r="B180" s="17"/>
      <c r="C180" s="17" t="s">
        <v>464</v>
      </c>
      <c r="D180" s="17" t="s">
        <v>34</v>
      </c>
      <c r="E180" s="17"/>
      <c r="F180" s="38">
        <f>IF(NOT(ISBLANK('Referenz Plattenwerk'!$I28)),'Referenz Plattenwerk'!$I28,'Referenz Plattenwerk'!$F28)*IF(NOT(ISBLANK('Eingabe EF'!$AA15)),'Eingabe EF'!$AA15,'Eingabe EF'!$Y15)</f>
        <v>29.238941159999996</v>
      </c>
      <c r="G180" s="38">
        <f>IF(NOT(ISBLANK('Referenz Plattenwerk'!$I28)),'Referenz Plattenwerk'!$I28,'Referenz Plattenwerk'!$F28)*IF(NOT(ISBLANK('Eingabe EF'!$AE15)),'Eingabe EF'!$AE15,'Eingabe EF'!$AC15)</f>
        <v>0</v>
      </c>
      <c r="H180" s="38">
        <f>IF(NOT(ISBLANK('Referenz Plattenwerk'!$I28)),'Referenz Plattenwerk'!$I28,'Referenz Plattenwerk'!$F28)*IF(NOT(ISBLANK('Eingabe EF'!$AI15)),'Eingabe EF'!$AI15,'Eingabe EF'!$AG15)</f>
        <v>5.1658635600000009</v>
      </c>
      <c r="I180" s="17"/>
      <c r="J180" s="38">
        <f t="shared" si="19"/>
        <v>29.238941159999996</v>
      </c>
      <c r="K180" s="38">
        <f t="shared" si="18"/>
        <v>34.404804719999994</v>
      </c>
      <c r="L180" s="17" t="s">
        <v>198</v>
      </c>
      <c r="M180" s="43"/>
      <c r="N180" s="17"/>
      <c r="O180" s="17" t="s">
        <v>34</v>
      </c>
      <c r="P180" s="17" t="s">
        <v>464</v>
      </c>
      <c r="Q180" s="30"/>
      <c r="R180" s="17"/>
      <c r="S180" s="42">
        <f>IF(NOT(ISBLANK('Referenz Plattenwerk'!$I28)),'Referenz Plattenwerk'!$I28,'Referenz Plattenwerk'!$F28)*IF(NOT(ISBLANK('Eingabe Preise'!$K14)),'Eingabe Preise'!$K14,'Eingabe Preise'!$I14)</f>
        <v>12364.000000000002</v>
      </c>
      <c r="T180" s="20" t="s">
        <v>106</v>
      </c>
    </row>
    <row r="181" spans="2:21" ht="15.75" hidden="1" outlineLevel="1" x14ac:dyDescent="0.3">
      <c r="B181" s="17"/>
      <c r="C181" s="17" t="s">
        <v>75</v>
      </c>
      <c r="D181" s="17" t="s">
        <v>34</v>
      </c>
      <c r="E181" s="17"/>
      <c r="F181" s="38">
        <f>IF(NOT(ISBLANK('Referenz Plattenwerk'!$I29)),'Referenz Plattenwerk'!$I29,'Referenz Plattenwerk'!$F29)*IF(NOT(ISBLANK('Eingabe EF'!$AA15)),'Eingabe EF'!$AA15,'Eingabe EF'!$Y15)</f>
        <v>6.645213899999999</v>
      </c>
      <c r="G181" s="38">
        <f>IF(NOT(ISBLANK('Referenz Plattenwerk'!$I29)),'Referenz Plattenwerk'!$I29,'Referenz Plattenwerk'!$F29)*IF(NOT(ISBLANK('Eingabe EF'!$AE15)),'Eingabe EF'!$AE15,'Eingabe EF'!$AC15)</f>
        <v>0</v>
      </c>
      <c r="H181" s="38">
        <f>IF(NOT(ISBLANK('Referenz Plattenwerk'!$I29)),'Referenz Plattenwerk'!$I29,'Referenz Plattenwerk'!$F29)*IF(NOT(ISBLANK('Eingabe EF'!$AI15)),'Eingabe EF'!$AI15,'Eingabe EF'!$AG15)</f>
        <v>1.1740599000000003</v>
      </c>
      <c r="I181" s="17"/>
      <c r="J181" s="38">
        <f t="shared" si="19"/>
        <v>6.645213899999999</v>
      </c>
      <c r="K181" s="38">
        <f t="shared" si="18"/>
        <v>7.8192737999999995</v>
      </c>
      <c r="L181" s="17" t="s">
        <v>198</v>
      </c>
      <c r="M181" s="43"/>
      <c r="N181" s="17"/>
      <c r="O181" s="17" t="s">
        <v>34</v>
      </c>
      <c r="P181" s="17" t="s">
        <v>75</v>
      </c>
      <c r="Q181" s="30"/>
      <c r="R181" s="17"/>
      <c r="S181" s="42">
        <f>IF(NOT(ISBLANK('Referenz Plattenwerk'!$I29)),'Referenz Plattenwerk'!$I29,'Referenz Plattenwerk'!$F29)*IF(NOT(ISBLANK('Eingabe Preise'!$K14)),'Eingabe Preise'!$K14,'Eingabe Preise'!$I14)</f>
        <v>2810.0000000000005</v>
      </c>
      <c r="T181" s="20" t="s">
        <v>106</v>
      </c>
    </row>
    <row r="182" spans="2:21" s="73" customFormat="1" ht="14.25" hidden="1" outlineLevel="1" x14ac:dyDescent="0.25">
      <c r="B182" s="70"/>
      <c r="C182" s="70" t="s">
        <v>189</v>
      </c>
      <c r="D182" s="70"/>
      <c r="E182" s="70"/>
      <c r="F182" s="72">
        <f>F183+F184</f>
        <v>0</v>
      </c>
      <c r="G182" s="72">
        <f t="shared" ref="G182:H182" si="20">G183+G184</f>
        <v>0</v>
      </c>
      <c r="H182" s="72">
        <f t="shared" si="20"/>
        <v>469.15642799999995</v>
      </c>
      <c r="I182" s="70"/>
      <c r="J182" s="72">
        <f t="shared" si="19"/>
        <v>0</v>
      </c>
      <c r="K182" s="72">
        <f t="shared" si="18"/>
        <v>469.15642799999995</v>
      </c>
      <c r="L182" s="77" t="s">
        <v>197</v>
      </c>
      <c r="N182" s="21"/>
      <c r="O182" s="21"/>
      <c r="P182" s="21"/>
      <c r="Q182" s="74"/>
      <c r="R182" s="21"/>
      <c r="S182" s="21"/>
      <c r="T182" s="21"/>
      <c r="U182" s="6"/>
    </row>
    <row r="183" spans="2:21" ht="15.75" hidden="1" outlineLevel="1" x14ac:dyDescent="0.3">
      <c r="B183" s="17"/>
      <c r="C183" s="17"/>
      <c r="D183" s="17" t="s">
        <v>45</v>
      </c>
      <c r="E183" s="17"/>
      <c r="F183" s="38">
        <f>IF(NOT(ISBLANK('Referenz Plattenwerk'!$I32)),'Referenz Plattenwerk'!$I32,'Referenz Plattenwerk'!$F32)*IF(NOT(ISBLANK('Eingabe EF'!$AA17)),'Eingabe EF'!$AA17,'Eingabe EF'!$Y17)</f>
        <v>0</v>
      </c>
      <c r="G183" s="38">
        <f>IF(NOT(ISBLANK('Referenz Plattenwerk'!$I32)),'Referenz Plattenwerk'!$I32,'Referenz Plattenwerk'!$F32)*IF(NOT(ISBLANK('Eingabe EF'!$AE17)),'Eingabe EF'!$AE17,'Eingabe EF'!$AC17)</f>
        <v>0</v>
      </c>
      <c r="H183" s="38">
        <f>IF(NOT(ISBLANK('Referenz Plattenwerk'!$I32)),'Referenz Plattenwerk'!$I32,'Referenz Plattenwerk'!$F32)*IF(NOT(ISBLANK('Eingabe EF'!$AI17)),'Eingabe EF'!$AI17,'Eingabe EF'!$AG17)</f>
        <v>109.4698332</v>
      </c>
      <c r="I183" s="17"/>
      <c r="J183" s="38">
        <f t="shared" si="19"/>
        <v>0</v>
      </c>
      <c r="K183" s="38">
        <f t="shared" si="18"/>
        <v>109.4698332</v>
      </c>
      <c r="L183" s="17" t="s">
        <v>198</v>
      </c>
      <c r="M183" s="43"/>
      <c r="N183" s="17"/>
      <c r="O183" s="17"/>
      <c r="P183" s="17"/>
      <c r="Q183" s="30"/>
      <c r="R183" s="17"/>
      <c r="S183" s="17"/>
      <c r="T183" s="17"/>
    </row>
    <row r="184" spans="2:21" ht="15.75" hidden="1" outlineLevel="1" x14ac:dyDescent="0.3">
      <c r="B184" s="17"/>
      <c r="C184" s="17"/>
      <c r="D184" s="17" t="s">
        <v>46</v>
      </c>
      <c r="E184" s="17"/>
      <c r="F184" s="38">
        <f>IF(NOT(ISBLANK('Referenz Plattenwerk'!$I33)),'Referenz Plattenwerk'!$I33,'Referenz Plattenwerk'!$F33)*IF(NOT(ISBLANK('Eingabe EF'!$AA18)),'Eingabe EF'!$AA18,'Eingabe EF'!$Y18)</f>
        <v>0</v>
      </c>
      <c r="G184" s="38">
        <f>IF(NOT(ISBLANK('Referenz Plattenwerk'!$I33)),'Referenz Plattenwerk'!$I33,'Referenz Plattenwerk'!$F33)*IF(NOT(ISBLANK('Eingabe EF'!$AE18)),'Eingabe EF'!$AE18,'Eingabe EF'!$AC18)</f>
        <v>0</v>
      </c>
      <c r="H184" s="38">
        <f>IF(NOT(ISBLANK('Referenz Plattenwerk'!$I33)),'Referenz Plattenwerk'!$I33,'Referenz Plattenwerk'!$F33)*IF(NOT(ISBLANK('Eingabe EF'!$AI18)),'Eingabe EF'!$AI18,'Eingabe EF'!$AG18)</f>
        <v>359.68659479999997</v>
      </c>
      <c r="I184" s="17"/>
      <c r="J184" s="38">
        <f t="shared" si="19"/>
        <v>0</v>
      </c>
      <c r="K184" s="38">
        <f t="shared" si="18"/>
        <v>359.68659479999997</v>
      </c>
      <c r="L184" s="17" t="s">
        <v>198</v>
      </c>
      <c r="M184" s="43"/>
      <c r="N184" s="17"/>
      <c r="O184" s="17" t="s">
        <v>30</v>
      </c>
      <c r="P184" s="17"/>
      <c r="Q184" s="30"/>
      <c r="R184" s="17"/>
      <c r="S184" s="42">
        <f>IF(NOT(ISBLANK($G$31)),$G$31,$E$31)/IF(NOT(ISBLANK($G$36)),$G$36,$E$36)+IF(NOT(ISBLANK($G$31)),$G$31,$E$31)*(IF(NOT(ISBLANK($G$37)),$G$37,$E$37)/100)</f>
        <v>0</v>
      </c>
      <c r="T184" s="20" t="s">
        <v>106</v>
      </c>
    </row>
    <row r="185" spans="2:21" hidden="1" outlineLevel="1" x14ac:dyDescent="0.2">
      <c r="B185" s="17"/>
      <c r="C185" s="17"/>
      <c r="D185" s="17"/>
      <c r="E185" s="17"/>
      <c r="F185" s="20"/>
      <c r="G185" s="20"/>
      <c r="H185" s="20"/>
      <c r="I185" s="17"/>
      <c r="J185" s="20"/>
      <c r="K185" s="20"/>
      <c r="L185" s="17"/>
      <c r="N185" s="17"/>
      <c r="O185" s="45" t="s">
        <v>153</v>
      </c>
      <c r="P185" s="17"/>
      <c r="Q185" s="30"/>
      <c r="R185" s="17"/>
      <c r="S185" s="42">
        <f>IF(NOT(ISBLANK($G$32)),$G$32,$E$32)</f>
        <v>0</v>
      </c>
      <c r="T185" s="20" t="s">
        <v>106</v>
      </c>
    </row>
    <row r="186" spans="2:21" ht="14.25" hidden="1" outlineLevel="1" x14ac:dyDescent="0.25">
      <c r="B186" s="70"/>
      <c r="C186" s="70" t="s">
        <v>68</v>
      </c>
      <c r="D186" s="71"/>
      <c r="E186" s="71"/>
      <c r="F186" s="72">
        <f>SUM(F187:F190)</f>
        <v>0</v>
      </c>
      <c r="G186" s="72">
        <f>SUM(G187:G190)</f>
        <v>0</v>
      </c>
      <c r="H186" s="72">
        <f>SUM(H187:H190)</f>
        <v>4548.5439999999999</v>
      </c>
      <c r="I186" s="71"/>
      <c r="J186" s="72">
        <f t="shared" ref="J186:J190" si="21">F186+G186</f>
        <v>0</v>
      </c>
      <c r="K186" s="72">
        <f t="shared" ref="K186:K189" si="22">SUM(F186:H186)</f>
        <v>4548.5439999999999</v>
      </c>
      <c r="L186" s="77" t="s">
        <v>197</v>
      </c>
      <c r="N186" s="17"/>
      <c r="O186" s="45" t="s">
        <v>160</v>
      </c>
      <c r="P186" s="17"/>
      <c r="Q186" s="30"/>
      <c r="R186" s="17"/>
      <c r="S186" s="42">
        <f>IF(NOT(ISBLANK($G$33)),$G$33,$E$33)/IF(NOT(ISBLANK($G$36)),$G$36,$E$36)+IF(NOT(ISBLANK($G$33)),$G$33,$E$33)*(IF(NOT(ISBLANK($G$37)),$G$37,$E$37)/100)</f>
        <v>0</v>
      </c>
      <c r="T186" s="20" t="s">
        <v>106</v>
      </c>
    </row>
    <row r="187" spans="2:21" ht="15.75" hidden="1" outlineLevel="1" x14ac:dyDescent="0.3">
      <c r="B187" s="276"/>
      <c r="C187" s="17"/>
      <c r="D187" s="17" t="s">
        <v>47</v>
      </c>
      <c r="E187" s="17"/>
      <c r="F187" s="38">
        <f>$E$156*IF(NOT(ISBLANK('Referenz Plattenwerk'!$I36)),'Referenz Plattenwerk'!$I36,'Referenz Plattenwerk'!$F36)*IF(NOT(ISBLANK('Eingabe EF'!$AA21)),'Eingabe EF'!$AA21,'Eingabe EF'!$Y21)*IF(NOT(ISBLANK('Referenz Plattenwerk'!$I$12)),'Referenz Plattenwerk'!$I$12,'Referenz Plattenwerk'!$F$12)</f>
        <v>0</v>
      </c>
      <c r="G187" s="38">
        <f>$E$156*IF(NOT(ISBLANK('Referenz Plattenwerk'!$I36)),'Referenz Plattenwerk'!$I36,'Referenz Plattenwerk'!$F36)*IF(NOT(ISBLANK('Eingabe EF'!$AE21)),'Eingabe EF'!$AE21,'Eingabe EF'!$AC21)*IF(NOT(ISBLANK('Referenz Plattenwerk'!$I$12)),'Referenz Plattenwerk'!$I$12,'Referenz Plattenwerk'!$F$12)</f>
        <v>0</v>
      </c>
      <c r="H187" s="38">
        <f>IF(NOT(ISBLANK('Referenz Plattenwerk'!$I36)),'Referenz Plattenwerk'!$I36,'Referenz Plattenwerk'!$F36)*IF(NOT(ISBLANK('Eingabe EF'!$AI21)),'Eingabe EF'!$AI21,'Eingabe EF'!$AG21)*IF(NOT(ISBLANK('Referenz Plattenwerk'!$I$12)),'Referenz Plattenwerk'!$I$12,'Referenz Plattenwerk'!$F$12)</f>
        <v>1210.3</v>
      </c>
      <c r="I187" s="17"/>
      <c r="J187" s="38">
        <f t="shared" si="21"/>
        <v>0</v>
      </c>
      <c r="K187" s="38">
        <f t="shared" si="22"/>
        <v>1210.3</v>
      </c>
      <c r="L187" s="17" t="s">
        <v>198</v>
      </c>
      <c r="M187" s="43"/>
      <c r="N187" s="17"/>
      <c r="O187" s="17"/>
      <c r="P187" s="17"/>
      <c r="Q187" s="17"/>
      <c r="R187" s="17"/>
      <c r="S187" s="17"/>
      <c r="T187" s="17"/>
    </row>
    <row r="188" spans="2:21" ht="15.75" hidden="1" outlineLevel="1" x14ac:dyDescent="0.3">
      <c r="B188" s="276"/>
      <c r="C188" s="17"/>
      <c r="D188" s="17" t="s">
        <v>49</v>
      </c>
      <c r="E188" s="17"/>
      <c r="F188" s="38">
        <f>$E$157*IF(NOT(ISBLANK('Referenz Plattenwerk'!$I37)),'Referenz Plattenwerk'!$I37,'Referenz Plattenwerk'!$F37)*IF(NOT(ISBLANK('Eingabe EF'!$AA22)),'Eingabe EF'!$AA22,'Eingabe EF'!$Y22)*IF(NOT(ISBLANK('Referenz Plattenwerk'!$I$12)),'Referenz Plattenwerk'!$I$12,'Referenz Plattenwerk'!$F$12)</f>
        <v>0</v>
      </c>
      <c r="G188" s="38">
        <f>$E$157*IF(NOT(ISBLANK('Referenz Plattenwerk'!$I37)),'Referenz Plattenwerk'!$I37,'Referenz Plattenwerk'!$F37)*IF(NOT(ISBLANK('Eingabe EF'!$AE22)),'Eingabe EF'!$AE22,'Eingabe EF'!$AC22)*IF(NOT(ISBLANK('Referenz Plattenwerk'!$I$12)),'Referenz Plattenwerk'!$I$12,'Referenz Plattenwerk'!$F$12)</f>
        <v>0</v>
      </c>
      <c r="H188" s="38">
        <f>IF(NOT(ISBLANK('Referenz Plattenwerk'!$I37)),'Referenz Plattenwerk'!$I37,'Referenz Plattenwerk'!$F37)*IF(NOT(ISBLANK('Eingabe EF'!$AI22)),'Eingabe EF'!$AI22,'Eingabe EF'!$AG22)*IF(NOT(ISBLANK('Referenz Plattenwerk'!$I$12)),'Referenz Plattenwerk'!$I$12,'Referenz Plattenwerk'!$F$12)</f>
        <v>2415.5039999999999</v>
      </c>
      <c r="I188" s="17"/>
      <c r="J188" s="38">
        <f t="shared" si="21"/>
        <v>0</v>
      </c>
      <c r="K188" s="38">
        <f t="shared" si="22"/>
        <v>2415.5039999999999</v>
      </c>
      <c r="L188" s="17" t="s">
        <v>198</v>
      </c>
      <c r="M188" s="43"/>
      <c r="N188" s="17"/>
      <c r="O188" s="17"/>
      <c r="P188" s="17"/>
      <c r="Q188" s="17"/>
      <c r="R188" s="17"/>
      <c r="S188" s="17"/>
      <c r="T188" s="17"/>
    </row>
    <row r="189" spans="2:21" ht="15.75" hidden="1" outlineLevel="1" x14ac:dyDescent="0.3">
      <c r="B189" s="276"/>
      <c r="C189" s="17"/>
      <c r="D189" s="17" t="s">
        <v>50</v>
      </c>
      <c r="E189" s="17"/>
      <c r="F189" s="38">
        <f>$E$158*IF(NOT(ISBLANK('Referenz Plattenwerk'!$I38)),'Referenz Plattenwerk'!$I38,'Referenz Plattenwerk'!$F38)*IF(NOT(ISBLANK('Eingabe EF'!$AA23)),'Eingabe EF'!$AA23,'Eingabe EF'!$Y23)*IF(NOT(ISBLANK('Referenz Plattenwerk'!$I$12)),'Referenz Plattenwerk'!$I$12,'Referenz Plattenwerk'!$F$12)</f>
        <v>0</v>
      </c>
      <c r="G189" s="38">
        <f>$E$158*IF(NOT(ISBLANK('Referenz Plattenwerk'!$I38)),'Referenz Plattenwerk'!$I38,'Referenz Plattenwerk'!$F38)*IF(NOT(ISBLANK('Eingabe EF'!$AE23)),'Eingabe EF'!$AE23,'Eingabe EF'!$AC23)*IF(NOT(ISBLANK('Referenz Plattenwerk'!$I$12)),'Referenz Plattenwerk'!$I$12,'Referenz Plattenwerk'!$F$12)</f>
        <v>0</v>
      </c>
      <c r="H189" s="38">
        <f>IF(NOT(ISBLANK('Referenz Plattenwerk'!$I38)),'Referenz Plattenwerk'!$I38,'Referenz Plattenwerk'!$F38)*IF(NOT(ISBLANK('Eingabe EF'!$AI23)),'Eingabe EF'!$AI23,'Eingabe EF'!$AG23)*IF(NOT(ISBLANK('Referenz Plattenwerk'!$I$12)),'Referenz Plattenwerk'!$I$12,'Referenz Plattenwerk'!$F$12)</f>
        <v>922.7399999999999</v>
      </c>
      <c r="I189" s="17"/>
      <c r="J189" s="38">
        <f t="shared" si="21"/>
        <v>0</v>
      </c>
      <c r="K189" s="38">
        <f t="shared" si="22"/>
        <v>922.7399999999999</v>
      </c>
      <c r="L189" s="17" t="s">
        <v>198</v>
      </c>
      <c r="M189" s="43"/>
      <c r="N189" s="17"/>
      <c r="O189" s="17" t="s">
        <v>200</v>
      </c>
      <c r="P189" s="17"/>
      <c r="Q189" s="30"/>
      <c r="R189" s="17"/>
      <c r="S189" s="42">
        <f>F230*IF(NOT(ISBLANK('Eingabe Preise'!$K21)),'Eingabe Preise'!$K21,'Eingabe Preise'!$I21)</f>
        <v>4271.9559777000004</v>
      </c>
      <c r="T189" s="20" t="s">
        <v>106</v>
      </c>
    </row>
    <row r="190" spans="2:21" ht="15.75" hidden="1" outlineLevel="1" x14ac:dyDescent="0.3">
      <c r="B190" s="276"/>
      <c r="C190" s="17"/>
      <c r="D190" s="17" t="s">
        <v>161</v>
      </c>
      <c r="E190" s="17"/>
      <c r="F190" s="38">
        <f>$E$159*IF(NOT(ISBLANK('Referenz Plattenwerk'!$I39)),'Referenz Plattenwerk'!$I39,'Referenz Plattenwerk'!$F39)*IF(NOT(ISBLANK('Eingabe EF'!$AA24)),'Eingabe EF'!$AA24,0)*IF(NOT(ISBLANK('Referenz Plattenwerk'!$I$12)),'Referenz Plattenwerk'!$I$12,'Referenz Plattenwerk'!$F$12)</f>
        <v>0</v>
      </c>
      <c r="G190" s="38">
        <f>$E$159*IF(NOT(ISBLANK('Referenz Plattenwerk'!$I39)),'Referenz Plattenwerk'!$I39,'Referenz Plattenwerk'!$F39)*IF(NOT(ISBLANK('Eingabe EF'!$AE24)),'Eingabe EF'!$AE24,0)*IF(NOT(ISBLANK('Referenz Plattenwerk'!$I$12)),'Referenz Plattenwerk'!$I$12,'Referenz Plattenwerk'!$F$12)</f>
        <v>0</v>
      </c>
      <c r="H190" s="38">
        <f>IF(NOT(ISBLANK('Referenz Plattenwerk'!$I39)),'Referenz Plattenwerk'!$I39,'Referenz Plattenwerk'!$F39)*IF(NOT(ISBLANK('Eingabe EF'!$AI24)),'Eingabe EF'!$AI24,0)*IF(NOT(ISBLANK('Referenz Plattenwerk'!$I$12)),'Referenz Plattenwerk'!$I$12,'Referenz Plattenwerk'!$F$12)</f>
        <v>0</v>
      </c>
      <c r="I190" s="17"/>
      <c r="J190" s="38">
        <f t="shared" si="21"/>
        <v>0</v>
      </c>
      <c r="K190" s="38">
        <f t="shared" ref="K190" si="23">SUM(F190:H190)</f>
        <v>0</v>
      </c>
      <c r="L190" s="17" t="s">
        <v>198</v>
      </c>
      <c r="M190" s="43"/>
      <c r="N190" s="17"/>
      <c r="O190" s="17" t="s">
        <v>201</v>
      </c>
      <c r="P190" s="17"/>
      <c r="Q190" s="30"/>
      <c r="R190" s="17"/>
      <c r="S190" s="42">
        <f>G230*IF(NOT(ISBLANK('Eingabe Preise'!$K22)),'Eingabe Preise'!$K22,'Eingabe Preise'!$I22)</f>
        <v>5620.160118992103</v>
      </c>
      <c r="T190" s="20" t="s">
        <v>106</v>
      </c>
    </row>
    <row r="191" spans="2:21" ht="15.75" hidden="1" outlineLevel="1" x14ac:dyDescent="0.3">
      <c r="B191" s="17"/>
      <c r="C191" s="17"/>
      <c r="D191" s="17"/>
      <c r="E191" s="17"/>
      <c r="F191" s="20"/>
      <c r="G191" s="20"/>
      <c r="H191" s="20"/>
      <c r="I191" s="17"/>
      <c r="J191" s="17"/>
      <c r="K191" s="20"/>
      <c r="L191" s="20"/>
      <c r="M191" s="43"/>
      <c r="N191" s="17"/>
      <c r="O191" s="17" t="s">
        <v>202</v>
      </c>
      <c r="P191" s="17"/>
      <c r="Q191" s="30"/>
      <c r="R191" s="17"/>
      <c r="S191" s="42">
        <f>H230*IF(NOT(ISBLANK('Eingabe Preise'!$K23)),'Eingabe Preise'!$K23,'Eingabe Preise'!$I23)</f>
        <v>262108.73084491931</v>
      </c>
      <c r="T191" s="20" t="s">
        <v>106</v>
      </c>
    </row>
    <row r="192" spans="2:21" ht="14.25" hidden="1" outlineLevel="1" x14ac:dyDescent="0.25">
      <c r="B192" s="70"/>
      <c r="C192" s="70" t="s">
        <v>177</v>
      </c>
      <c r="D192" s="71"/>
      <c r="E192" s="71"/>
      <c r="F192" s="72">
        <f>SUM(F193:F195)</f>
        <v>0</v>
      </c>
      <c r="G192" s="72">
        <f>SUM(G193:G195)</f>
        <v>0</v>
      </c>
      <c r="H192" s="72">
        <f>SUM(H193:H195)</f>
        <v>129.59200000000001</v>
      </c>
      <c r="I192" s="71"/>
      <c r="J192" s="72">
        <f t="shared" ref="J192" si="24">F192+G192</f>
        <v>0</v>
      </c>
      <c r="K192" s="72">
        <f t="shared" ref="K192" si="25">SUM(F192:H192)</f>
        <v>129.59200000000001</v>
      </c>
      <c r="L192" s="77" t="s">
        <v>197</v>
      </c>
      <c r="M192" s="43"/>
      <c r="N192" s="17"/>
      <c r="O192" s="17"/>
      <c r="P192" s="17"/>
      <c r="Q192" s="30"/>
      <c r="R192" s="17"/>
      <c r="S192" s="67"/>
      <c r="T192" s="17"/>
    </row>
    <row r="193" spans="2:20" ht="15.75" hidden="1" outlineLevel="1" x14ac:dyDescent="0.3">
      <c r="B193" s="17"/>
      <c r="C193" s="17"/>
      <c r="D193" s="17" t="s">
        <v>178</v>
      </c>
      <c r="E193" s="17"/>
      <c r="F193" s="38">
        <f>IF(NOT(ISBLANK('Referenz Plattenwerk'!$I42)),'Referenz Plattenwerk'!$I42,'Referenz Plattenwerk'!$F42)*IF(NOT(ISBLANK('Eingabe EF'!$AA27)),'Eingabe EF'!$AA27,'Eingabe EF'!$Y27)*IF(NOT(ISBLANK('Referenz Plattenwerk'!$I$12)),'Referenz Plattenwerk'!$I$12,'Referenz Plattenwerk'!$F$12)</f>
        <v>0</v>
      </c>
      <c r="G193" s="38">
        <f>IF(NOT(ISBLANK('Referenz Plattenwerk'!$I42)),'Referenz Plattenwerk'!$I42,'Referenz Plattenwerk'!$F42)*IF(NOT(ISBLANK('Eingabe EF'!$AE27)),'Eingabe EF'!$AE27,'Eingabe EF'!$AC27)*IF(NOT(ISBLANK('Referenz Plattenwerk'!$I$12)),'Referenz Plattenwerk'!$I$12,'Referenz Plattenwerk'!$F$12)</f>
        <v>0</v>
      </c>
      <c r="H193" s="38">
        <f>$E$156*IF(NOT(ISBLANK('Referenz Plattenwerk'!$I42)),'Referenz Plattenwerk'!$I42,'Referenz Plattenwerk'!$F42)*IF(NOT(ISBLANK('Eingabe EF'!$AI27)),'Eingabe EF'!$AI27,'Eingabe EF'!$AG27)*IF(NOT(ISBLANK('Referenz Plattenwerk'!$I$12)),'Referenz Plattenwerk'!$I$12,'Referenz Plattenwerk'!$F$12)</f>
        <v>129.59200000000001</v>
      </c>
      <c r="I193" s="17"/>
      <c r="J193" s="38">
        <f>F193+G193</f>
        <v>0</v>
      </c>
      <c r="K193" s="38">
        <f>SUM(F193:H193)</f>
        <v>129.59200000000001</v>
      </c>
      <c r="L193" s="17" t="s">
        <v>198</v>
      </c>
      <c r="M193" s="43"/>
      <c r="N193" s="17"/>
      <c r="O193" s="17"/>
      <c r="P193" s="17"/>
      <c r="Q193" s="30"/>
      <c r="R193" s="17"/>
      <c r="S193" s="17"/>
      <c r="T193" s="17"/>
    </row>
    <row r="194" spans="2:20" ht="15.75" hidden="1" outlineLevel="1" x14ac:dyDescent="0.3">
      <c r="B194" s="17"/>
      <c r="C194" s="17"/>
      <c r="D194" s="17" t="s">
        <v>179</v>
      </c>
      <c r="E194" s="17"/>
      <c r="F194" s="38">
        <f>IF(NOT(ISBLANK('Referenz Plattenwerk'!$I43)),'Referenz Plattenwerk'!$I43,'Referenz Plattenwerk'!$F43)*IF(NOT(ISBLANK('Eingabe EF'!$AA28)),'Eingabe EF'!$AA28,0)*IF(NOT(ISBLANK('Referenz Plattenwerk'!$I$12)),'Referenz Plattenwerk'!$I$12,'Referenz Plattenwerk'!$F$12)</f>
        <v>0</v>
      </c>
      <c r="G194" s="38">
        <f>IF(NOT(ISBLANK('Referenz Plattenwerk'!$I43)),'Referenz Plattenwerk'!$I43,'Referenz Plattenwerk'!$F43)*IF(NOT(ISBLANK('Eingabe EF'!$AE28)),'Eingabe EF'!$AE28,0)*IF(NOT(ISBLANK('Referenz Plattenwerk'!$I$12)),'Referenz Plattenwerk'!$I$12,'Referenz Plattenwerk'!$F$12)</f>
        <v>0</v>
      </c>
      <c r="H194" s="38">
        <f>$E$157*IF(NOT(ISBLANK('Referenz Plattenwerk'!$I43)),'Referenz Plattenwerk'!$I43,'Referenz Plattenwerk'!$F43)*IF(NOT(ISBLANK('Eingabe EF'!$AI28)),'Eingabe EF'!$AI28,0)*IF(NOT(ISBLANK('Referenz Plattenwerk'!$I$12)),'Referenz Plattenwerk'!$I$12,'Referenz Plattenwerk'!$F$12)</f>
        <v>0</v>
      </c>
      <c r="I194" s="17"/>
      <c r="J194" s="38">
        <f t="shared" ref="J194:J195" si="26">F194+G194</f>
        <v>0</v>
      </c>
      <c r="K194" s="38">
        <f t="shared" ref="K194:K195" si="27">SUM(F194:H194)</f>
        <v>0</v>
      </c>
      <c r="L194" s="17" t="s">
        <v>198</v>
      </c>
      <c r="M194" s="43"/>
      <c r="N194" s="17"/>
      <c r="O194" s="17"/>
      <c r="P194" s="17"/>
      <c r="Q194" s="30"/>
      <c r="R194" s="17"/>
      <c r="S194" s="67"/>
      <c r="T194" s="17"/>
    </row>
    <row r="195" spans="2:20" ht="15.75" hidden="1" outlineLevel="1" x14ac:dyDescent="0.3">
      <c r="B195" s="17"/>
      <c r="C195" s="17"/>
      <c r="D195" s="17" t="s">
        <v>180</v>
      </c>
      <c r="E195" s="17"/>
      <c r="F195" s="38">
        <f>IF(NOT(ISBLANK('Referenz Plattenwerk'!$I44)),'Referenz Plattenwerk'!$I44,'Referenz Plattenwerk'!$F44)*IF(NOT(ISBLANK('Eingabe EF'!$AA29)),'Eingabe EF'!$AA29,0)*IF(NOT(ISBLANK('Referenz Plattenwerk'!$I$12)),'Referenz Plattenwerk'!$I$12,'Referenz Plattenwerk'!$F$12)</f>
        <v>0</v>
      </c>
      <c r="G195" s="38">
        <f>IF(NOT(ISBLANK('Referenz Plattenwerk'!$I44)),'Referenz Plattenwerk'!$I44,'Referenz Plattenwerk'!$F44)*IF(NOT(ISBLANK('Eingabe EF'!$AE29)),'Eingabe EF'!$AE29,0)*IF(NOT(ISBLANK('Referenz Plattenwerk'!$I$12)),'Referenz Plattenwerk'!$I$12,'Referenz Plattenwerk'!$F$12)</f>
        <v>0</v>
      </c>
      <c r="H195" s="38">
        <f>$E$158*IF(NOT(ISBLANK('Referenz Plattenwerk'!$I44)),'Referenz Plattenwerk'!$I44,'Referenz Plattenwerk'!$F44)*IF(NOT(ISBLANK('Eingabe EF'!$AI29)),'Eingabe EF'!$AI29,0)*IF(NOT(ISBLANK('Referenz Plattenwerk'!$I$12)),'Referenz Plattenwerk'!$I$12,'Referenz Plattenwerk'!$F$12)</f>
        <v>0</v>
      </c>
      <c r="I195" s="17"/>
      <c r="J195" s="38">
        <f t="shared" si="26"/>
        <v>0</v>
      </c>
      <c r="K195" s="38">
        <f t="shared" si="27"/>
        <v>0</v>
      </c>
      <c r="L195" s="17" t="s">
        <v>198</v>
      </c>
      <c r="M195" s="43"/>
      <c r="N195" s="43"/>
      <c r="O195" s="43"/>
      <c r="P195" s="43"/>
      <c r="Q195" s="43"/>
      <c r="R195" s="43"/>
      <c r="S195" s="43"/>
    </row>
    <row r="196" spans="2:20" hidden="1" outlineLevel="1" x14ac:dyDescent="0.2">
      <c r="B196" s="17"/>
      <c r="C196" s="17"/>
      <c r="D196" s="17"/>
      <c r="E196" s="17"/>
      <c r="F196" s="20"/>
      <c r="G196" s="20"/>
      <c r="H196" s="20"/>
      <c r="I196" s="17"/>
      <c r="J196" s="17"/>
      <c r="K196" s="20"/>
      <c r="L196" s="20"/>
      <c r="M196" s="43"/>
      <c r="N196" s="43"/>
      <c r="O196" s="43"/>
      <c r="P196" s="43"/>
      <c r="Q196" s="43"/>
      <c r="R196" s="43"/>
      <c r="S196" s="43"/>
    </row>
    <row r="197" spans="2:20" ht="14.25" hidden="1" outlineLevel="1" x14ac:dyDescent="0.25">
      <c r="B197" s="17"/>
      <c r="C197" s="17"/>
      <c r="D197" s="21" t="s">
        <v>57</v>
      </c>
      <c r="E197" s="21"/>
      <c r="F197" s="75">
        <f>IF(NOT(ISBLANK('Referenz Plattenwerk'!$I46)),'Referenz Plattenwerk'!$I46,'Referenz Plattenwerk'!$F46)*IF(NOT(ISBLANK('Eingabe EF'!$AA31)),'Eingabe EF'!$AA31,'Eingabe EF'!$Y31)*IF(NOT(ISBLANK('Referenz Plattenwerk'!$I$12)),'Referenz Plattenwerk'!$I$12,'Referenz Plattenwerk'!$F$12)</f>
        <v>0</v>
      </c>
      <c r="G197" s="75">
        <f>IF(NOT(ISBLANK('Referenz Plattenwerk'!$I46)),'Referenz Plattenwerk'!$I46,'Referenz Plattenwerk'!$F46)*IF(NOT(ISBLANK('Eingabe EF'!$AE31)),'Eingabe EF'!$AE31,'Eingabe EF'!$AC31)*IF(NOT(ISBLANK('Referenz Plattenwerk'!$I$12)),'Referenz Plattenwerk'!$I$12,'Referenz Plattenwerk'!$F$12)</f>
        <v>0</v>
      </c>
      <c r="H197" s="75">
        <f>IF(NOT(ISBLANK('Referenz Plattenwerk'!$I46)),'Referenz Plattenwerk'!$I46,'Referenz Plattenwerk'!$F46)*IF(NOT(ISBLANK('Eingabe EF'!$AI31)),'Eingabe EF'!$AI31,'Eingabe EF'!$AG31)*IF(NOT(ISBLANK('Referenz Plattenwerk'!$I$12)),'Referenz Plattenwerk'!$I$12,'Referenz Plattenwerk'!$F$12)</f>
        <v>208</v>
      </c>
      <c r="I197" s="21"/>
      <c r="J197" s="75">
        <f>F197+G197</f>
        <v>0</v>
      </c>
      <c r="K197" s="75">
        <f t="shared" ref="K197" si="28">SUM(F197:H197)</f>
        <v>208</v>
      </c>
      <c r="L197" s="21" t="s">
        <v>197</v>
      </c>
      <c r="M197" s="43"/>
      <c r="N197" s="43"/>
      <c r="O197" s="43"/>
      <c r="P197" s="43"/>
      <c r="Q197" s="43"/>
      <c r="R197" s="43"/>
      <c r="S197" s="43"/>
    </row>
    <row r="198" spans="2:20" hidden="1" outlineLevel="1" x14ac:dyDescent="0.2">
      <c r="B198" s="17"/>
      <c r="C198" s="17"/>
      <c r="D198" s="17"/>
      <c r="E198" s="17"/>
      <c r="F198" s="20"/>
      <c r="G198" s="20"/>
      <c r="H198" s="20"/>
      <c r="I198" s="17"/>
      <c r="J198" s="17"/>
      <c r="K198" s="20"/>
      <c r="L198" s="20"/>
      <c r="M198" s="43"/>
      <c r="N198" s="43"/>
      <c r="O198" s="43"/>
      <c r="P198" s="43"/>
      <c r="Q198" s="43"/>
      <c r="R198" s="43"/>
      <c r="S198" s="43"/>
    </row>
    <row r="199" spans="2:20" ht="14.25" hidden="1" outlineLevel="1" x14ac:dyDescent="0.25">
      <c r="B199" s="70"/>
      <c r="C199" s="70" t="s">
        <v>181</v>
      </c>
      <c r="D199" s="71"/>
      <c r="E199" s="71"/>
      <c r="F199" s="72">
        <f>SUM(F200:F202)</f>
        <v>0</v>
      </c>
      <c r="G199" s="72">
        <f>SUM(G200:G202)</f>
        <v>0</v>
      </c>
      <c r="H199" s="72">
        <f>SUM(H200:H202)</f>
        <v>81.003999999999991</v>
      </c>
      <c r="I199" s="71"/>
      <c r="J199" s="72">
        <f t="shared" ref="J199" si="29">F199+G199</f>
        <v>0</v>
      </c>
      <c r="K199" s="72">
        <f t="shared" ref="K199" si="30">SUM(F199:H199)</f>
        <v>81.003999999999991</v>
      </c>
      <c r="L199" s="77" t="s">
        <v>197</v>
      </c>
      <c r="M199" s="43"/>
      <c r="N199" s="43"/>
      <c r="O199" s="43"/>
      <c r="P199" s="43"/>
      <c r="Q199" s="43"/>
      <c r="R199" s="43"/>
      <c r="S199" s="43"/>
    </row>
    <row r="200" spans="2:20" ht="15.75" hidden="1" outlineLevel="1" x14ac:dyDescent="0.3">
      <c r="B200" s="17"/>
      <c r="C200" s="17"/>
      <c r="D200" s="17" t="s">
        <v>59</v>
      </c>
      <c r="E200" s="17"/>
      <c r="F200" s="38">
        <f>IF(NOT(ISBLANK('Referenz Plattenwerk'!$I49)),'Referenz Plattenwerk'!$I49,'Referenz Plattenwerk'!$F49)*IF(NOT(ISBLANK('Eingabe EF'!$AA34)),'Eingabe EF'!$AA34,'Eingabe EF'!$Y34)*IF(NOT(ISBLANK('Referenz Plattenwerk'!$I$12)),'Referenz Plattenwerk'!$I$12,'Referenz Plattenwerk'!$F$12)</f>
        <v>0</v>
      </c>
      <c r="G200" s="38">
        <f>IF(NOT(ISBLANK('Referenz Plattenwerk'!$I49)),'Referenz Plattenwerk'!$I49,'Referenz Plattenwerk'!$F49)*IF(NOT(ISBLANK('Eingabe EF'!$AE34)),'Eingabe EF'!$AE34,'Eingabe EF'!$AC34)*IF(NOT(ISBLANK('Referenz Plattenwerk'!$I$12)),'Referenz Plattenwerk'!$I$12,'Referenz Plattenwerk'!$F$12)</f>
        <v>0</v>
      </c>
      <c r="H200" s="38">
        <f>IF(NOT(ISBLANK('Referenz Plattenwerk'!$I49)),'Referenz Plattenwerk'!$I49,'Referenz Plattenwerk'!$F49)*IF(NOT(ISBLANK('Eingabe EF'!$AI34)),'Eingabe EF'!$AI34,'Eingabe EF'!$AG34)*IF(NOT(ISBLANK('Referenz Plattenwerk'!$I$12)),'Referenz Plattenwerk'!$I$12,'Referenz Plattenwerk'!$F$12)</f>
        <v>0</v>
      </c>
      <c r="I200" s="17"/>
      <c r="J200" s="38">
        <f>F200+G200</f>
        <v>0</v>
      </c>
      <c r="K200" s="38">
        <f>SUM(F200:H200)</f>
        <v>0</v>
      </c>
      <c r="L200" s="17" t="s">
        <v>198</v>
      </c>
      <c r="M200" s="43"/>
      <c r="N200" s="43"/>
      <c r="O200" s="43"/>
      <c r="P200" s="43"/>
      <c r="Q200" s="43"/>
      <c r="R200" s="43"/>
      <c r="S200" s="43"/>
    </row>
    <row r="201" spans="2:20" ht="15.75" hidden="1" outlineLevel="1" x14ac:dyDescent="0.3">
      <c r="B201" s="276"/>
      <c r="C201" s="17"/>
      <c r="D201" s="17" t="s">
        <v>60</v>
      </c>
      <c r="E201" s="17"/>
      <c r="F201" s="38">
        <f>IF(NOT(ISBLANK('Referenz Plattenwerk'!$I50)),'Referenz Plattenwerk'!$I50,'Referenz Plattenwerk'!$F50)*IF(NOT(ISBLANK('Eingabe EF'!$AA35)),'Eingabe EF'!$AA35,'Eingabe EF'!$Y35)*IF(NOT(ISBLANK('Referenz Plattenwerk'!$I$12)),'Referenz Plattenwerk'!$I$12,'Referenz Plattenwerk'!$F$12)</f>
        <v>0</v>
      </c>
      <c r="G201" s="38">
        <f>IF(NOT(ISBLANK('Referenz Plattenwerk'!$I50)),'Referenz Plattenwerk'!$I50,'Referenz Plattenwerk'!$F50)*IF(NOT(ISBLANK('Eingabe EF'!$AE35)),'Eingabe EF'!$AE35,'Eingabe EF'!$AC35)*IF(NOT(ISBLANK('Referenz Plattenwerk'!$I$12)),'Referenz Plattenwerk'!$I$12,'Referenz Plattenwerk'!$F$12)</f>
        <v>0</v>
      </c>
      <c r="H201" s="38">
        <f>IF(NOT(ISBLANK('Referenz Plattenwerk'!$I50)),'Referenz Plattenwerk'!$I50,'Referenz Plattenwerk'!$F50)*IF(NOT(ISBLANK('Eingabe EF'!$AI35)),'Eingabe EF'!$AI35,'Eingabe EF'!$AG35)*IF(NOT(ISBLANK('Referenz Plattenwerk'!$I$12)),'Referenz Plattenwerk'!$I$12,'Referenz Plattenwerk'!$F$12)</f>
        <v>8.6840000000000011</v>
      </c>
      <c r="I201" s="17"/>
      <c r="J201" s="38">
        <f>F201+G201</f>
        <v>0</v>
      </c>
      <c r="K201" s="38">
        <f>SUM(F201:H201)</f>
        <v>8.6840000000000011</v>
      </c>
      <c r="L201" s="17" t="s">
        <v>198</v>
      </c>
      <c r="M201" s="43"/>
      <c r="N201" s="43"/>
      <c r="O201" s="43"/>
      <c r="P201" s="43"/>
      <c r="Q201" s="43"/>
      <c r="R201" s="43"/>
      <c r="S201" s="43"/>
    </row>
    <row r="202" spans="2:20" ht="15.75" hidden="1" outlineLevel="1" x14ac:dyDescent="0.3">
      <c r="B202" s="276"/>
      <c r="C202" s="17"/>
      <c r="D202" s="17" t="s">
        <v>61</v>
      </c>
      <c r="E202" s="17"/>
      <c r="F202" s="38">
        <f>IF(NOT(ISBLANK('Referenz Plattenwerk'!$I51)),'Referenz Plattenwerk'!$I51,'Referenz Plattenwerk'!$F51)*IF(NOT(ISBLANK('Eingabe EF'!$AA36)),'Eingabe EF'!$AA36,'Eingabe EF'!$Y36)*IF(NOT(ISBLANK('Referenz Plattenwerk'!$I$12)),'Referenz Plattenwerk'!$I$12,'Referenz Plattenwerk'!$F$12)</f>
        <v>0</v>
      </c>
      <c r="G202" s="38">
        <f>IF(NOT(ISBLANK('Referenz Plattenwerk'!$I51)),'Referenz Plattenwerk'!$I51,'Referenz Plattenwerk'!$F51)*IF(NOT(ISBLANK('Eingabe EF'!$AE36)),'Eingabe EF'!$AE36,'Eingabe EF'!$AC36)*IF(NOT(ISBLANK('Referenz Plattenwerk'!$I$12)),'Referenz Plattenwerk'!$I$12,'Referenz Plattenwerk'!$F$12)</f>
        <v>0</v>
      </c>
      <c r="H202" s="38">
        <f>IF(NOT(ISBLANK('Referenz Plattenwerk'!$I51)),'Referenz Plattenwerk'!$I51,'Referenz Plattenwerk'!$F51)*IF(NOT(ISBLANK('Eingabe EF'!$AI36)),'Eingabe EF'!$AI36,'Eingabe EF'!$AG36)*IF(NOT(ISBLANK('Referenz Plattenwerk'!$I$12)),'Referenz Plattenwerk'!$I$12,'Referenz Plattenwerk'!$F$12)</f>
        <v>72.319999999999993</v>
      </c>
      <c r="I202" s="17"/>
      <c r="J202" s="38">
        <f>F202+G202</f>
        <v>0</v>
      </c>
      <c r="K202" s="38">
        <f>SUM(F202:H202)</f>
        <v>72.319999999999993</v>
      </c>
      <c r="L202" s="17" t="s">
        <v>198</v>
      </c>
      <c r="M202" s="43"/>
      <c r="N202" s="43"/>
      <c r="O202" s="43"/>
      <c r="P202" s="43"/>
      <c r="Q202" s="43"/>
      <c r="R202" s="43"/>
      <c r="S202" s="43"/>
    </row>
    <row r="203" spans="2:20" hidden="1" outlineLevel="1" x14ac:dyDescent="0.2">
      <c r="B203" s="17"/>
      <c r="C203" s="17"/>
      <c r="D203" s="17"/>
      <c r="E203" s="17"/>
      <c r="F203" s="20"/>
      <c r="G203" s="20"/>
      <c r="H203" s="20"/>
      <c r="I203" s="17"/>
      <c r="J203" s="17"/>
      <c r="K203" s="20"/>
      <c r="L203" s="20"/>
      <c r="M203" s="43"/>
      <c r="N203" s="43"/>
      <c r="O203" s="43"/>
      <c r="P203" s="43"/>
      <c r="Q203" s="43"/>
      <c r="R203" s="43"/>
      <c r="S203" s="43"/>
    </row>
    <row r="204" spans="2:20" ht="14.25" hidden="1" outlineLevel="1" x14ac:dyDescent="0.25">
      <c r="B204" s="70"/>
      <c r="C204" s="70" t="s">
        <v>51</v>
      </c>
      <c r="D204" s="71"/>
      <c r="E204" s="71"/>
      <c r="F204" s="72">
        <f>SUM(F205:F208)</f>
        <v>0</v>
      </c>
      <c r="G204" s="72">
        <f>SUM(G205:G208)</f>
        <v>0</v>
      </c>
      <c r="H204" s="72">
        <f>SUM(H205:H208)</f>
        <v>148.44746134951595</v>
      </c>
      <c r="I204" s="71"/>
      <c r="J204" s="72">
        <f t="shared" ref="J204:J208" si="31">F204+G204</f>
        <v>0</v>
      </c>
      <c r="K204" s="72">
        <f t="shared" ref="K204" si="32">SUM(F204:H204)</f>
        <v>148.44746134951595</v>
      </c>
      <c r="L204" s="77" t="s">
        <v>197</v>
      </c>
      <c r="M204" s="43"/>
      <c r="N204" s="43"/>
      <c r="O204" s="43"/>
      <c r="P204" s="43"/>
      <c r="Q204" s="43"/>
      <c r="R204" s="43"/>
      <c r="S204" s="43"/>
    </row>
    <row r="205" spans="2:20" ht="15.75" hidden="1" outlineLevel="1" x14ac:dyDescent="0.3">
      <c r="B205" s="17"/>
      <c r="C205" s="17"/>
      <c r="D205" s="17" t="s">
        <v>52</v>
      </c>
      <c r="E205" s="17"/>
      <c r="F205" s="38">
        <f>IF(NOT(ISBLANK('Referenz Plattenwerk'!$I$53)),'Referenz Plattenwerk'!$I$53,'Referenz Plattenwerk'!$F$53)*IF(NOT(ISBLANK('Referenz Plattenwerk'!$I54)),'Referenz Plattenwerk'!$I54,'Referenz Plattenwerk'!$F54)*IF(NOT(ISBLANK('Eingabe EF'!$AA39)),'Eingabe EF'!$AA39,'Eingabe EF'!$Y39)*IF(NOT(ISBLANK('Referenz Plattenwerk'!$I$12)),'Referenz Plattenwerk'!$I$12,'Referenz Plattenwerk'!$F$12)</f>
        <v>0</v>
      </c>
      <c r="G205" s="38">
        <f>IF(NOT(ISBLANK('Referenz Plattenwerk'!$I$53)),'Referenz Plattenwerk'!$I$53,'Referenz Plattenwerk'!$F$53)*IF(NOT(ISBLANK('Referenz Plattenwerk'!$I54)),'Referenz Plattenwerk'!$I54,'Referenz Plattenwerk'!$F54)*IF(NOT(ISBLANK('Eingabe EF'!$AE39)),'Eingabe EF'!$AE39,'Eingabe EF'!$AC39)*IF(NOT(ISBLANK('Referenz Plattenwerk'!$I$12)),'Referenz Plattenwerk'!$I$12,'Referenz Plattenwerk'!$F$12)</f>
        <v>0</v>
      </c>
      <c r="H205" s="38">
        <f>IF(NOT(ISBLANK('Referenz Plattenwerk'!$I$53)),'Referenz Plattenwerk'!$I$53,'Referenz Plattenwerk'!$F$53)*IF(NOT(ISBLANK('Referenz Plattenwerk'!$I54)),'Referenz Plattenwerk'!$I54,'Referenz Plattenwerk'!$F54)*IF(NOT(ISBLANK('Eingabe EF'!$AI39)),'Eingabe EF'!$AI39,'Eingabe EF'!$AG39)*IF(NOT(ISBLANK('Referenz Plattenwerk'!$I$12)),'Referenz Plattenwerk'!$I$12,'Referenz Plattenwerk'!$F$12)</f>
        <v>47.997919375812742</v>
      </c>
      <c r="I205" s="17"/>
      <c r="J205" s="38">
        <f t="shared" si="31"/>
        <v>0</v>
      </c>
      <c r="K205" s="38">
        <f t="shared" ref="K205:K208" si="33">SUM(F205:H205)</f>
        <v>47.997919375812742</v>
      </c>
      <c r="L205" s="17" t="s">
        <v>198</v>
      </c>
      <c r="M205" s="43"/>
      <c r="N205" s="43"/>
      <c r="O205" s="43"/>
      <c r="P205" s="43"/>
      <c r="Q205" s="43"/>
      <c r="R205" s="43"/>
      <c r="S205" s="43"/>
    </row>
    <row r="206" spans="2:20" ht="15.75" hidden="1" outlineLevel="1" x14ac:dyDescent="0.3">
      <c r="B206" s="17"/>
      <c r="C206" s="17"/>
      <c r="D206" s="17" t="s">
        <v>54</v>
      </c>
      <c r="E206" s="17"/>
      <c r="F206" s="38">
        <f>IF(NOT(ISBLANK('Referenz Plattenwerk'!$I$53)),'Referenz Plattenwerk'!$I$53,'Referenz Plattenwerk'!$F$53)*IF(NOT(ISBLANK('Referenz Plattenwerk'!$I55)),'Referenz Plattenwerk'!$I55,'Referenz Plattenwerk'!$F55)*IF(NOT(ISBLANK('Eingabe EF'!$AA40)),'Eingabe EF'!$AA40,'Eingabe EF'!$Y40)*IF(NOT(ISBLANK('Referenz Plattenwerk'!$I$12)),'Referenz Plattenwerk'!$I$12,'Referenz Plattenwerk'!$F$12)</f>
        <v>0</v>
      </c>
      <c r="G206" s="38">
        <f>IF(NOT(ISBLANK('Referenz Plattenwerk'!$I$53)),'Referenz Plattenwerk'!$I$53,'Referenz Plattenwerk'!$F$53)*IF(NOT(ISBLANK('Referenz Plattenwerk'!$I55)),'Referenz Plattenwerk'!$I55,'Referenz Plattenwerk'!$F55)*IF(NOT(ISBLANK('Eingabe EF'!$AE40)),'Eingabe EF'!$AE40,'Eingabe EF'!$AC40)*IF(NOT(ISBLANK('Referenz Plattenwerk'!$I$12)),'Referenz Plattenwerk'!$I$12,'Referenz Plattenwerk'!$F$12)</f>
        <v>0</v>
      </c>
      <c r="H206" s="38">
        <f>IF(NOT(ISBLANK('Referenz Plattenwerk'!$I$53)),'Referenz Plattenwerk'!$I$53,'Referenz Plattenwerk'!$F$53)*IF(NOT(ISBLANK('Referenz Plattenwerk'!$I55)),'Referenz Plattenwerk'!$I55,'Referenz Plattenwerk'!$F55)*IF(NOT(ISBLANK('Eingabe EF'!$AI40)),'Eingabe EF'!$AI40,'Eingabe EF'!$AG40)*IF(NOT(ISBLANK('Referenz Plattenwerk'!$I$12)),'Referenz Plattenwerk'!$I$12,'Referenz Plattenwerk'!$F$12)</f>
        <v>5.7797543707556596</v>
      </c>
      <c r="I206" s="17"/>
      <c r="J206" s="38">
        <f t="shared" si="31"/>
        <v>0</v>
      </c>
      <c r="K206" s="38">
        <f t="shared" si="33"/>
        <v>5.7797543707556596</v>
      </c>
      <c r="L206" s="17" t="s">
        <v>198</v>
      </c>
      <c r="M206" s="43"/>
      <c r="N206" s="43"/>
      <c r="O206" s="43"/>
      <c r="P206" s="43"/>
      <c r="Q206" s="43"/>
      <c r="R206" s="43"/>
      <c r="S206" s="43"/>
    </row>
    <row r="207" spans="2:20" ht="15.75" hidden="1" outlineLevel="1" x14ac:dyDescent="0.3">
      <c r="B207" s="17"/>
      <c r="C207" s="17"/>
      <c r="D207" s="17" t="s">
        <v>55</v>
      </c>
      <c r="E207" s="17"/>
      <c r="F207" s="38">
        <f>IF(NOT(ISBLANK('Referenz Plattenwerk'!$I$53)),'Referenz Plattenwerk'!$I$53,'Referenz Plattenwerk'!$F$53)*IF(NOT(ISBLANK('Referenz Plattenwerk'!$I56)),'Referenz Plattenwerk'!$I56,'Referenz Plattenwerk'!$F56)*IF(NOT(ISBLANK('Eingabe EF'!$AA41)),'Eingabe EF'!$AA41,'Eingabe EF'!$Y41)*IF(NOT(ISBLANK('Referenz Plattenwerk'!$I$12)),'Referenz Plattenwerk'!$I$12,'Referenz Plattenwerk'!$F$12)</f>
        <v>0</v>
      </c>
      <c r="G207" s="38">
        <f>IF(NOT(ISBLANK('Referenz Plattenwerk'!$I$53)),'Referenz Plattenwerk'!$I$53,'Referenz Plattenwerk'!$F$53)*IF(NOT(ISBLANK('Referenz Plattenwerk'!$I56)),'Referenz Plattenwerk'!$I56,'Referenz Plattenwerk'!$F56)*IF(NOT(ISBLANK('Eingabe EF'!$AE41)),'Eingabe EF'!$AE41,'Eingabe EF'!$AC41)*IF(NOT(ISBLANK('Referenz Plattenwerk'!$I$12)),'Referenz Plattenwerk'!$I$12,'Referenz Plattenwerk'!$F$12)</f>
        <v>0</v>
      </c>
      <c r="H207" s="38">
        <f>IF(NOT(ISBLANK('Referenz Plattenwerk'!$I$53)),'Referenz Plattenwerk'!$I$53,'Referenz Plattenwerk'!$F$53)*IF(NOT(ISBLANK('Referenz Plattenwerk'!$I56)),'Referenz Plattenwerk'!$I56,'Referenz Plattenwerk'!$F56)*IF(NOT(ISBLANK('Eingabe EF'!$AI41)),'Eingabe EF'!$AI41,'Eingabe EF'!$AG41)*IF(NOT(ISBLANK('Referenz Plattenwerk'!$I$12)),'Referenz Plattenwerk'!$I$12,'Referenz Plattenwerk'!$F$12)</f>
        <v>1.4217598612917211E-2</v>
      </c>
      <c r="I207" s="17"/>
      <c r="J207" s="38">
        <f t="shared" si="31"/>
        <v>0</v>
      </c>
      <c r="K207" s="38">
        <f t="shared" si="33"/>
        <v>1.4217598612917211E-2</v>
      </c>
      <c r="L207" s="17" t="s">
        <v>198</v>
      </c>
      <c r="M207" s="43"/>
      <c r="N207" s="43"/>
      <c r="O207" s="43"/>
      <c r="P207" s="43"/>
      <c r="Q207" s="43"/>
      <c r="R207" s="43"/>
      <c r="S207" s="43"/>
    </row>
    <row r="208" spans="2:20" ht="15.75" hidden="1" outlineLevel="1" x14ac:dyDescent="0.3">
      <c r="B208" s="17"/>
      <c r="C208" s="17"/>
      <c r="D208" s="17" t="s">
        <v>56</v>
      </c>
      <c r="E208" s="17"/>
      <c r="F208" s="38">
        <f>IF(NOT(ISBLANK('Referenz Plattenwerk'!$I$53)),'Referenz Plattenwerk'!$I$53,'Referenz Plattenwerk'!$F$53)*IF(NOT(ISBLANK('Referenz Plattenwerk'!$I57)),'Referenz Plattenwerk'!$I57,'Referenz Plattenwerk'!$F57)*IF(NOT(ISBLANK('Eingabe EF'!$AA42)),'Eingabe EF'!$AA42,'Eingabe EF'!$Y42)*IF(NOT(ISBLANK('Referenz Plattenwerk'!$I$12)),'Referenz Plattenwerk'!$I$12,'Referenz Plattenwerk'!$F$12)</f>
        <v>0</v>
      </c>
      <c r="G208" s="38">
        <f>IF(NOT(ISBLANK('Referenz Plattenwerk'!$I$53)),'Referenz Plattenwerk'!$I$53,'Referenz Plattenwerk'!$F$53)*IF(NOT(ISBLANK('Referenz Plattenwerk'!$I57)),'Referenz Plattenwerk'!$I57,'Referenz Plattenwerk'!$F57)*IF(NOT(ISBLANK('Eingabe EF'!$AE42)),'Eingabe EF'!$AE42,'Eingabe EF'!$AC42)*IF(NOT(ISBLANK('Referenz Plattenwerk'!$I$12)),'Referenz Plattenwerk'!$I$12,'Referenz Plattenwerk'!$F$12)</f>
        <v>0</v>
      </c>
      <c r="H208" s="38">
        <f>IF(NOT(ISBLANK('Referenz Plattenwerk'!$I$53)),'Referenz Plattenwerk'!$I$53,'Referenz Plattenwerk'!$F$53)*IF(NOT(ISBLANK('Referenz Plattenwerk'!$I57)),'Referenz Plattenwerk'!$I57,'Referenz Plattenwerk'!$F57)*IF(NOT(ISBLANK('Eingabe EF'!$AI42)),'Eingabe EF'!$AI42,'Eingabe EF'!$AG42)*IF(NOT(ISBLANK('Referenz Plattenwerk'!$I$12)),'Referenz Plattenwerk'!$I$12,'Referenz Plattenwerk'!$F$12)</f>
        <v>94.655570004334635</v>
      </c>
      <c r="I208" s="17"/>
      <c r="J208" s="38">
        <f t="shared" si="31"/>
        <v>0</v>
      </c>
      <c r="K208" s="38">
        <f t="shared" si="33"/>
        <v>94.655570004334635</v>
      </c>
      <c r="L208" s="17" t="s">
        <v>198</v>
      </c>
      <c r="M208" s="43"/>
      <c r="N208" s="43"/>
      <c r="O208" s="43"/>
      <c r="P208" s="43"/>
      <c r="Q208" s="43"/>
      <c r="R208" s="43"/>
      <c r="S208" s="43"/>
    </row>
    <row r="209" spans="2:19" hidden="1" outlineLevel="1" x14ac:dyDescent="0.2">
      <c r="B209" s="17"/>
      <c r="C209" s="17"/>
      <c r="D209" s="17"/>
      <c r="E209" s="17"/>
      <c r="F209" s="20"/>
      <c r="G209" s="20"/>
      <c r="H209" s="20"/>
      <c r="I209" s="17"/>
      <c r="J209" s="20"/>
      <c r="K209" s="20"/>
      <c r="L209" s="17"/>
      <c r="M209" s="43"/>
      <c r="N209" s="43"/>
      <c r="O209" s="43"/>
      <c r="P209" s="43"/>
      <c r="Q209" s="43"/>
      <c r="R209" s="43"/>
      <c r="S209" s="43"/>
    </row>
    <row r="210" spans="2:19" ht="14.25" hidden="1" outlineLevel="1" x14ac:dyDescent="0.25">
      <c r="B210" s="70"/>
      <c r="C210" s="70" t="s">
        <v>337</v>
      </c>
      <c r="D210" s="71"/>
      <c r="E210" s="71"/>
      <c r="F210" s="72">
        <f>SUM(F211:F213)</f>
        <v>0</v>
      </c>
      <c r="G210" s="72">
        <f>SUM(G211:G213)</f>
        <v>0</v>
      </c>
      <c r="H210" s="72">
        <f>SUM(H211:H213)</f>
        <v>0</v>
      </c>
      <c r="I210" s="71"/>
      <c r="J210" s="72">
        <f>F210+G210</f>
        <v>0</v>
      </c>
      <c r="K210" s="72">
        <f t="shared" ref="K210" si="34">SUM(F210:H210)</f>
        <v>0</v>
      </c>
      <c r="L210" s="77" t="s">
        <v>197</v>
      </c>
      <c r="M210" s="43"/>
      <c r="N210" s="43"/>
      <c r="O210" s="43"/>
      <c r="P210" s="43"/>
      <c r="Q210" s="43"/>
      <c r="R210" s="43"/>
      <c r="S210" s="43"/>
    </row>
    <row r="211" spans="2:19" ht="15.75" hidden="1" outlineLevel="1" x14ac:dyDescent="0.3">
      <c r="B211" s="276"/>
      <c r="C211" s="17"/>
      <c r="D211" s="17" t="s">
        <v>267</v>
      </c>
      <c r="E211" s="17"/>
      <c r="F211" s="38">
        <v>0</v>
      </c>
      <c r="G211" s="38">
        <v>0</v>
      </c>
      <c r="H211" s="38">
        <f>IF(NOT(ISBLANK(G22)),G22,E22)*IF(NOT(ISBLANK(G26)),G26,0)</f>
        <v>0</v>
      </c>
      <c r="I211" s="17"/>
      <c r="J211" s="38">
        <f t="shared" ref="J211:J212" si="35">F211+G211</f>
        <v>0</v>
      </c>
      <c r="K211" s="38">
        <f t="shared" ref="K211:K212" si="36">SUM(F211:H211)</f>
        <v>0</v>
      </c>
      <c r="L211" s="17" t="s">
        <v>198</v>
      </c>
      <c r="M211" s="43"/>
      <c r="N211" s="43"/>
      <c r="O211" s="43"/>
      <c r="P211" s="43"/>
      <c r="Q211" s="43"/>
      <c r="R211" s="43"/>
      <c r="S211" s="43"/>
    </row>
    <row r="212" spans="2:19" ht="15.75" hidden="1" outlineLevel="1" x14ac:dyDescent="0.3">
      <c r="B212" s="276"/>
      <c r="C212" s="17"/>
      <c r="D212" s="17" t="s">
        <v>268</v>
      </c>
      <c r="E212" s="17"/>
      <c r="F212" s="38">
        <v>0</v>
      </c>
      <c r="G212" s="38">
        <v>0</v>
      </c>
      <c r="H212" s="38">
        <f>IF(NOT(ISBLANK(G23)),G23,E23)*IF(NOT(ISBLANK(G27)),G27,0)</f>
        <v>0</v>
      </c>
      <c r="I212" s="17"/>
      <c r="J212" s="38">
        <f t="shared" si="35"/>
        <v>0</v>
      </c>
      <c r="K212" s="38">
        <f t="shared" si="36"/>
        <v>0</v>
      </c>
      <c r="L212" s="17" t="s">
        <v>198</v>
      </c>
      <c r="M212" s="43"/>
      <c r="N212" s="43"/>
      <c r="O212" s="43"/>
      <c r="P212" s="43"/>
      <c r="Q212" s="43"/>
      <c r="R212" s="43"/>
      <c r="S212" s="43"/>
    </row>
    <row r="213" spans="2:19" ht="15.75" hidden="1" outlineLevel="1" x14ac:dyDescent="0.3">
      <c r="B213" s="276"/>
      <c r="C213" s="17"/>
      <c r="D213" s="17" t="s">
        <v>338</v>
      </c>
      <c r="E213" s="17"/>
      <c r="F213" s="38">
        <v>0</v>
      </c>
      <c r="G213" s="38">
        <v>0</v>
      </c>
      <c r="H213" s="335">
        <f>E161*IF(NOT(ISBLANK(G28)),G28,E28)</f>
        <v>0</v>
      </c>
      <c r="I213" s="17"/>
      <c r="J213" s="38">
        <f t="shared" ref="J213" si="37">F213+G213</f>
        <v>0</v>
      </c>
      <c r="K213" s="38">
        <f t="shared" ref="K213" si="38">SUM(F213:H213)</f>
        <v>0</v>
      </c>
      <c r="L213" s="17" t="s">
        <v>198</v>
      </c>
      <c r="M213" s="43"/>
      <c r="N213" s="43"/>
      <c r="O213" s="43"/>
      <c r="P213" s="43"/>
      <c r="Q213" s="43"/>
      <c r="R213" s="43"/>
      <c r="S213" s="43"/>
    </row>
    <row r="214" spans="2:19" hidden="1" outlineLevel="1" x14ac:dyDescent="0.2">
      <c r="B214" s="17"/>
      <c r="C214" s="17"/>
      <c r="D214" s="17"/>
      <c r="E214" s="17"/>
      <c r="F214" s="20"/>
      <c r="G214" s="20"/>
      <c r="H214" s="20"/>
      <c r="I214" s="17"/>
      <c r="J214" s="20"/>
      <c r="K214" s="20"/>
      <c r="L214" s="17"/>
      <c r="M214" s="43"/>
      <c r="N214" s="43"/>
      <c r="O214" s="43"/>
      <c r="P214" s="43"/>
      <c r="Q214" s="43"/>
      <c r="R214" s="43"/>
      <c r="S214" s="43"/>
    </row>
    <row r="215" spans="2:19" ht="14.25" hidden="1" outlineLevel="1" x14ac:dyDescent="0.25">
      <c r="B215" s="17"/>
      <c r="C215" s="17"/>
      <c r="D215" s="21" t="s">
        <v>110</v>
      </c>
      <c r="E215" s="21"/>
      <c r="F215" s="75">
        <f>IF(NOT(ISBLANK('Referenz Plattenwerk'!$I59)),'Referenz Plattenwerk'!$I59,'Referenz Plattenwerk'!$F59)*IF(NOT(ISBLANK('Eingabe EF'!$AA44)),'Eingabe EF'!$AA44,0)*IF(NOT(ISBLANK('Referenz Plattenwerk'!$I$12)),'Referenz Plattenwerk'!$I$12,'Referenz Plattenwerk'!$F$12)</f>
        <v>0</v>
      </c>
      <c r="G215" s="75">
        <f>IF(NOT(ISBLANK('Referenz Plattenwerk'!$I59)),'Referenz Plattenwerk'!$I59,'Referenz Plattenwerk'!$F59)*IF(NOT(ISBLANK('Eingabe EF'!$AE44)),'Eingabe EF'!$AE44,0)*IF(NOT(ISBLANK('Referenz Plattenwerk'!$I$12)),'Referenz Plattenwerk'!$I$12,'Referenz Plattenwerk'!$F$12)</f>
        <v>0</v>
      </c>
      <c r="H215" s="75">
        <f>IF(NOT(ISBLANK('Referenz Plattenwerk'!$I59)),'Referenz Plattenwerk'!$I59,'Referenz Plattenwerk'!$F59)*IF(NOT(ISBLANK('Eingabe EF'!$AI44)),'Eingabe EF'!$AI44,0)*IF(NOT(ISBLANK('Referenz Plattenwerk'!$I$12)),'Referenz Plattenwerk'!$I$12,'Referenz Plattenwerk'!$F$12)</f>
        <v>0</v>
      </c>
      <c r="I215" s="21"/>
      <c r="J215" s="75">
        <f>F215+G215</f>
        <v>0</v>
      </c>
      <c r="K215" s="75">
        <f>SUM(F215:H215)</f>
        <v>0</v>
      </c>
      <c r="L215" s="21" t="s">
        <v>197</v>
      </c>
      <c r="M215" s="43"/>
      <c r="N215" s="43"/>
      <c r="O215" s="43"/>
      <c r="P215" s="43"/>
      <c r="Q215" s="43"/>
      <c r="R215" s="43"/>
      <c r="S215" s="43"/>
    </row>
    <row r="216" spans="2:19" ht="14.25" hidden="1" outlineLevel="1" x14ac:dyDescent="0.25">
      <c r="B216" s="17"/>
      <c r="C216" s="17"/>
      <c r="D216" s="21" t="s">
        <v>64</v>
      </c>
      <c r="E216" s="21"/>
      <c r="F216" s="75">
        <f>IF(NOT(ISBLANK('Referenz Plattenwerk'!$I60)),'Referenz Plattenwerk'!$I60,'Referenz Plattenwerk'!$F60)*IF(NOT(ISBLANK('Eingabe EF'!$AA45)),'Eingabe EF'!$AA45,'Eingabe EF'!$Y45)</f>
        <v>0</v>
      </c>
      <c r="G216" s="75">
        <f>IF(NOT(ISBLANK('Referenz Plattenwerk'!$I60)),'Referenz Plattenwerk'!$I60,'Referenz Plattenwerk'!$F60)*IF(NOT(ISBLANK('Eingabe EF'!$AE45)),'Eingabe EF'!$AE45,'Eingabe EF'!$AC45)</f>
        <v>0</v>
      </c>
      <c r="H216" s="75">
        <f>IF(NOT(ISBLANK('Referenz Plattenwerk'!$I60)),'Referenz Plattenwerk'!$I60,'Referenz Plattenwerk'!$F60)*IF(NOT(ISBLANK('Eingabe EF'!$AI45)),'Eingabe EF'!$AI45,'Eingabe EF'!$AG45)</f>
        <v>0.54400000000000004</v>
      </c>
      <c r="I216" s="21"/>
      <c r="J216" s="75">
        <f>F216+G216</f>
        <v>0</v>
      </c>
      <c r="K216" s="75">
        <f>SUM(F216:H216)</f>
        <v>0.54400000000000004</v>
      </c>
      <c r="L216" s="21" t="s">
        <v>197</v>
      </c>
      <c r="M216" s="43"/>
      <c r="N216" s="43"/>
      <c r="O216" s="43"/>
      <c r="P216" s="43"/>
      <c r="Q216" s="43"/>
      <c r="R216" s="43"/>
      <c r="S216" s="43"/>
    </row>
    <row r="217" spans="2:19" hidden="1" outlineLevel="1" x14ac:dyDescent="0.2">
      <c r="B217" s="17"/>
      <c r="C217" s="17"/>
      <c r="D217" s="17"/>
      <c r="E217" s="17"/>
      <c r="F217" s="20"/>
      <c r="G217" s="20"/>
      <c r="H217" s="20"/>
      <c r="I217" s="17"/>
      <c r="J217" s="20"/>
      <c r="K217" s="20"/>
      <c r="L217" s="17"/>
      <c r="M217" s="43"/>
      <c r="N217" s="43"/>
      <c r="O217" s="43"/>
      <c r="P217" s="43"/>
      <c r="Q217" s="43"/>
      <c r="R217" s="43"/>
      <c r="S217" s="43"/>
    </row>
    <row r="218" spans="2:19" ht="14.25" hidden="1" outlineLevel="1" x14ac:dyDescent="0.25">
      <c r="B218" s="70"/>
      <c r="C218" s="70" t="s">
        <v>182</v>
      </c>
      <c r="D218" s="71"/>
      <c r="E218" s="71"/>
      <c r="F218" s="72">
        <f>SUM(F219:F221)</f>
        <v>0</v>
      </c>
      <c r="G218" s="72">
        <f>SUM(G219:G221)</f>
        <v>0</v>
      </c>
      <c r="H218" s="72">
        <f>SUM(H219:H221)</f>
        <v>80.47999999999999</v>
      </c>
      <c r="I218" s="71"/>
      <c r="J218" s="72">
        <f t="shared" ref="J218:J221" si="39">F218+G218</f>
        <v>0</v>
      </c>
      <c r="K218" s="72">
        <f t="shared" ref="K218" si="40">SUM(F218:H218)</f>
        <v>80.47999999999999</v>
      </c>
      <c r="L218" s="77" t="s">
        <v>197</v>
      </c>
      <c r="M218" s="43"/>
      <c r="N218" s="43"/>
      <c r="O218" s="43"/>
      <c r="P218" s="43"/>
      <c r="Q218" s="43"/>
      <c r="R218" s="43"/>
      <c r="S218" s="43"/>
    </row>
    <row r="219" spans="2:19" ht="15.75" hidden="1" outlineLevel="1" x14ac:dyDescent="0.3">
      <c r="B219" s="17"/>
      <c r="C219" s="17"/>
      <c r="D219" s="17" t="s">
        <v>183</v>
      </c>
      <c r="E219" s="17"/>
      <c r="F219" s="38">
        <f>IF(NOT(ISBLANK('Referenz Plattenwerk'!$I63)),'Referenz Plattenwerk'!$I63,'Referenz Plattenwerk'!$F63)*IF(NOT(ISBLANK('Eingabe EF'!$AA48)),'Eingabe EF'!$AA48,0)*IF(NOT(ISBLANK('Referenz Plattenwerk'!$I$12)),'Referenz Plattenwerk'!$I$12,'Referenz Plattenwerk'!$F$12)</f>
        <v>0</v>
      </c>
      <c r="G219" s="38">
        <f>IF(NOT(ISBLANK('Referenz Plattenwerk'!$I63)),'Referenz Plattenwerk'!$I63,'Referenz Plattenwerk'!$F63)*IF(NOT(ISBLANK('Eingabe EF'!$AE48)),'Eingabe EF'!$AE48,0)*IF(NOT(ISBLANK('Referenz Plattenwerk'!$I$12)),'Referenz Plattenwerk'!$I$12,'Referenz Plattenwerk'!$F$12)</f>
        <v>0</v>
      </c>
      <c r="H219" s="38">
        <f>IF(NOT(ISBLANK('Referenz Plattenwerk'!$I63)),'Referenz Plattenwerk'!$I63,'Referenz Plattenwerk'!$F63)*IF(NOT(ISBLANK('Eingabe EF'!$AI48)),'Eingabe EF'!$AI48,0)*IF(NOT(ISBLANK('Referenz Plattenwerk'!$I$12)),'Referenz Plattenwerk'!$I$12,'Referenz Plattenwerk'!$F$12)</f>
        <v>0</v>
      </c>
      <c r="I219" s="17"/>
      <c r="J219" s="38">
        <f t="shared" si="39"/>
        <v>0</v>
      </c>
      <c r="K219" s="38">
        <f t="shared" ref="K219:K221" si="41">SUM(F219:H219)</f>
        <v>0</v>
      </c>
      <c r="L219" s="17" t="s">
        <v>198</v>
      </c>
      <c r="M219" s="43"/>
      <c r="N219" s="43"/>
      <c r="O219" s="43"/>
      <c r="P219" s="43"/>
      <c r="Q219" s="43"/>
      <c r="R219" s="43"/>
      <c r="S219" s="43"/>
    </row>
    <row r="220" spans="2:19" ht="15.75" hidden="1" outlineLevel="1" x14ac:dyDescent="0.3">
      <c r="B220" s="17"/>
      <c r="C220" s="17"/>
      <c r="D220" s="17" t="s">
        <v>62</v>
      </c>
      <c r="E220" s="17"/>
      <c r="F220" s="38">
        <f>IF(NOT(ISBLANK('Referenz Plattenwerk'!$I64)),'Referenz Plattenwerk'!$I64,'Referenz Plattenwerk'!$F64)*IF(NOT(ISBLANK('Eingabe EF'!$AA49)),'Eingabe EF'!$AA49,'Eingabe EF'!$Y49)*IF(NOT(ISBLANK('Referenz Plattenwerk'!$I$12)),'Referenz Plattenwerk'!$I$12,'Referenz Plattenwerk'!$F$12)</f>
        <v>0</v>
      </c>
      <c r="G220" s="38">
        <f>IF(NOT(ISBLANK('Referenz Plattenwerk'!$I64)),'Referenz Plattenwerk'!$I64,'Referenz Plattenwerk'!$F64)*IF(NOT(ISBLANK('Eingabe EF'!$AE49)),'Eingabe EF'!$AE49,'Eingabe EF'!$AC49)*IF(NOT(ISBLANK('Referenz Plattenwerk'!$I$12)),'Referenz Plattenwerk'!$I$12,'Referenz Plattenwerk'!$F$12)</f>
        <v>0</v>
      </c>
      <c r="H220" s="38">
        <f>IF(NOT(ISBLANK('Referenz Plattenwerk'!$I64)),'Referenz Plattenwerk'!$I64,'Referenz Plattenwerk'!$F64)*IF(NOT(ISBLANK('Eingabe EF'!$AI49)),'Eingabe EF'!$AI49,'Eingabe EF'!$AG49)*IF(NOT(ISBLANK('Referenz Plattenwerk'!$I$12)),'Referenz Plattenwerk'!$I$12,'Referenz Plattenwerk'!$F$12)</f>
        <v>80.47999999999999</v>
      </c>
      <c r="I220" s="17"/>
      <c r="J220" s="38">
        <f t="shared" si="39"/>
        <v>0</v>
      </c>
      <c r="K220" s="38">
        <f t="shared" si="41"/>
        <v>80.47999999999999</v>
      </c>
      <c r="L220" s="17" t="s">
        <v>198</v>
      </c>
      <c r="M220" s="43"/>
      <c r="N220" s="43"/>
      <c r="O220" s="43"/>
      <c r="P220" s="43"/>
      <c r="Q220" s="43"/>
      <c r="R220" s="43"/>
      <c r="S220" s="43"/>
    </row>
    <row r="221" spans="2:19" ht="15.75" hidden="1" outlineLevel="1" x14ac:dyDescent="0.3">
      <c r="B221" s="17"/>
      <c r="C221" s="17"/>
      <c r="D221" s="17" t="s">
        <v>184</v>
      </c>
      <c r="E221" s="17"/>
      <c r="F221" s="38">
        <f>IF(NOT(ISBLANK('Referenz Plattenwerk'!$I65)),'Referenz Plattenwerk'!$I65,'Referenz Plattenwerk'!$F65)*IF(NOT(ISBLANK('Eingabe EF'!$AA50)),'Eingabe EF'!$AA50,0)*IF(NOT(ISBLANK('Referenz Plattenwerk'!$I$12)),'Referenz Plattenwerk'!$I$12,'Referenz Plattenwerk'!$F$12)</f>
        <v>0</v>
      </c>
      <c r="G221" s="38">
        <f>IF(NOT(ISBLANK('Referenz Plattenwerk'!$I65)),'Referenz Plattenwerk'!$I65,'Referenz Plattenwerk'!$F65)*IF(NOT(ISBLANK('Eingabe EF'!$AE50)),'Eingabe EF'!$AE50,0)*IF(NOT(ISBLANK('Referenz Plattenwerk'!$I$12)),'Referenz Plattenwerk'!$I$12,'Referenz Plattenwerk'!$F$12)</f>
        <v>0</v>
      </c>
      <c r="H221" s="38">
        <f>IF(NOT(ISBLANK('Referenz Plattenwerk'!$I65)),'Referenz Plattenwerk'!$I65,'Referenz Plattenwerk'!$F65)*IF(NOT(ISBLANK('Eingabe EF'!$AI50)),'Eingabe EF'!$AI50,0)*IF(NOT(ISBLANK('Referenz Plattenwerk'!$I$12)),'Referenz Plattenwerk'!$I$12,'Referenz Plattenwerk'!$F$12)</f>
        <v>0</v>
      </c>
      <c r="I221" s="17"/>
      <c r="J221" s="38">
        <f t="shared" si="39"/>
        <v>0</v>
      </c>
      <c r="K221" s="38">
        <f t="shared" si="41"/>
        <v>0</v>
      </c>
      <c r="L221" s="17" t="s">
        <v>198</v>
      </c>
      <c r="M221" s="43"/>
      <c r="N221" s="43"/>
      <c r="O221" s="43"/>
      <c r="P221" s="43"/>
      <c r="Q221" s="43"/>
      <c r="R221" s="43"/>
      <c r="S221" s="43"/>
    </row>
    <row r="222" spans="2:19" hidden="1" outlineLevel="1" x14ac:dyDescent="0.2">
      <c r="B222" s="17"/>
      <c r="C222" s="17"/>
      <c r="D222" s="17"/>
      <c r="E222" s="17"/>
      <c r="F222" s="20"/>
      <c r="G222" s="20"/>
      <c r="H222" s="20"/>
      <c r="I222" s="17"/>
      <c r="J222" s="17"/>
      <c r="K222" s="17"/>
      <c r="L222" s="20"/>
      <c r="M222" s="43"/>
      <c r="N222" s="43"/>
      <c r="O222" s="43"/>
      <c r="P222" s="43"/>
      <c r="Q222" s="43"/>
      <c r="R222" s="43"/>
      <c r="S222" s="43"/>
    </row>
    <row r="223" spans="2:19" ht="14.25" hidden="1" outlineLevel="1" x14ac:dyDescent="0.25">
      <c r="B223" s="70"/>
      <c r="C223" s="70" t="s">
        <v>185</v>
      </c>
      <c r="D223" s="71"/>
      <c r="E223" s="71"/>
      <c r="F223" s="72">
        <f>SUM(F224:F226)</f>
        <v>0</v>
      </c>
      <c r="G223" s="72">
        <f>SUM(G224:G226)</f>
        <v>0</v>
      </c>
      <c r="H223" s="72">
        <f>SUM(H224:H226)</f>
        <v>60</v>
      </c>
      <c r="I223" s="71"/>
      <c r="J223" s="72">
        <f>F223+G223</f>
        <v>0</v>
      </c>
      <c r="K223" s="72">
        <f t="shared" ref="K223" si="42">SUM(F223:H223)</f>
        <v>60</v>
      </c>
      <c r="L223" s="77" t="s">
        <v>197</v>
      </c>
      <c r="M223" s="43"/>
      <c r="N223" s="43"/>
      <c r="O223" s="43"/>
      <c r="P223" s="43"/>
      <c r="Q223" s="43"/>
      <c r="R223" s="43"/>
      <c r="S223" s="43"/>
    </row>
    <row r="224" spans="2:19" ht="15.75" hidden="1" outlineLevel="1" x14ac:dyDescent="0.3">
      <c r="B224" s="17"/>
      <c r="C224" s="17"/>
      <c r="D224" s="17" t="s">
        <v>66</v>
      </c>
      <c r="E224" s="17"/>
      <c r="F224" s="38">
        <f>IF(NOT(ISBLANK('Referenz Plattenwerk'!$I68)),'Referenz Plattenwerk'!$I68,'Referenz Plattenwerk'!$F68)*IF(NOT(ISBLANK('Eingabe EF'!$AA53)),'Eingabe EF'!$AA53,'Eingabe EF'!$Y53)</f>
        <v>0</v>
      </c>
      <c r="G224" s="38">
        <f>IF(NOT(ISBLANK('Referenz Plattenwerk'!$I68)),'Referenz Plattenwerk'!$I68,'Referenz Plattenwerk'!$F68)*IF(NOT(ISBLANK('Eingabe EF'!$AE53)),'Eingabe EF'!$AE53,'Eingabe EF'!$AC53)</f>
        <v>0</v>
      </c>
      <c r="H224" s="38">
        <f>IF(NOT(ISBLANK('Referenz Plattenwerk'!$I68)),'Referenz Plattenwerk'!$I68,'Referenz Plattenwerk'!$F68)*IF(NOT(ISBLANK('Eingabe EF'!$AI53)),'Eingabe EF'!$AI53,'Eingabe EF'!$AG53)</f>
        <v>60</v>
      </c>
      <c r="I224" s="17"/>
      <c r="J224" s="38">
        <f>F224+G224</f>
        <v>0</v>
      </c>
      <c r="K224" s="38">
        <f>SUM(F224:H224)</f>
        <v>60</v>
      </c>
      <c r="L224" s="17" t="s">
        <v>198</v>
      </c>
      <c r="M224" s="43"/>
      <c r="N224" s="43"/>
      <c r="O224" s="43"/>
      <c r="P224" s="43"/>
      <c r="Q224" s="43"/>
      <c r="R224" s="43"/>
      <c r="S224" s="43"/>
    </row>
    <row r="225" spans="2:20" ht="15.75" hidden="1" outlineLevel="1" x14ac:dyDescent="0.3">
      <c r="B225" s="17"/>
      <c r="C225" s="17"/>
      <c r="D225" s="17" t="s">
        <v>187</v>
      </c>
      <c r="E225" s="17"/>
      <c r="F225" s="38">
        <f>IF(NOT(ISBLANK('Referenz Plattenwerk'!$I69)),'Referenz Plattenwerk'!$I69,'Referenz Plattenwerk'!$F69)*IF(NOT(ISBLANK('Eingabe EF'!$AA54)),'Eingabe EF'!$AA54,0)</f>
        <v>0</v>
      </c>
      <c r="G225" s="38">
        <f>IF(NOT(ISBLANK('Referenz Plattenwerk'!$I69)),'Referenz Plattenwerk'!$I69,'Referenz Plattenwerk'!$F69)*IF(NOT(ISBLANK('Eingabe EF'!$AE54)),'Eingabe EF'!$AE54,0)</f>
        <v>0</v>
      </c>
      <c r="H225" s="38">
        <f>IF(NOT(ISBLANK('Referenz Plattenwerk'!$I69)),'Referenz Plattenwerk'!$I69,'Referenz Plattenwerk'!$F69)*IF(NOT(ISBLANK('Eingabe EF'!$AI54)),'Eingabe EF'!$AI54,0)</f>
        <v>0</v>
      </c>
      <c r="I225" s="17"/>
      <c r="J225" s="38">
        <f t="shared" ref="J225:J226" si="43">F225+G225</f>
        <v>0</v>
      </c>
      <c r="K225" s="38">
        <f t="shared" ref="K225:K226" si="44">SUM(F225:H225)</f>
        <v>0</v>
      </c>
      <c r="L225" s="17" t="s">
        <v>198</v>
      </c>
      <c r="M225" s="43"/>
      <c r="N225" s="43"/>
      <c r="O225" s="43"/>
      <c r="P225" s="43"/>
      <c r="Q225" s="43"/>
      <c r="R225" s="43"/>
      <c r="S225" s="43"/>
    </row>
    <row r="226" spans="2:20" ht="15.75" hidden="1" outlineLevel="1" x14ac:dyDescent="0.3">
      <c r="B226" s="17"/>
      <c r="C226" s="17"/>
      <c r="D226" s="17" t="s">
        <v>186</v>
      </c>
      <c r="E226" s="17"/>
      <c r="F226" s="38">
        <f>IF(NOT(ISBLANK('Referenz Plattenwerk'!$I70)),'Referenz Plattenwerk'!$I70,'Referenz Plattenwerk'!$F70)*IF(NOT(ISBLANK('Eingabe EF'!$AA55)),'Eingabe EF'!$AA55,0)</f>
        <v>0</v>
      </c>
      <c r="G226" s="38">
        <f>IF(NOT(ISBLANK('Referenz Plattenwerk'!$I70)),'Referenz Plattenwerk'!$I70,'Referenz Plattenwerk'!$F70)*IF(NOT(ISBLANK('Eingabe EF'!$AE55)),'Eingabe EF'!$AE55,0)</f>
        <v>0</v>
      </c>
      <c r="H226" s="38">
        <f>IF(NOT(ISBLANK('Referenz Plattenwerk'!$I70)),'Referenz Plattenwerk'!$I70,'Referenz Plattenwerk'!$F70)*IF(NOT(ISBLANK('Eingabe EF'!$AI55)),'Eingabe EF'!$AI55,0)</f>
        <v>0</v>
      </c>
      <c r="I226" s="17"/>
      <c r="J226" s="38">
        <f t="shared" si="43"/>
        <v>0</v>
      </c>
      <c r="K226" s="38">
        <f t="shared" si="44"/>
        <v>0</v>
      </c>
      <c r="L226" s="17" t="s">
        <v>198</v>
      </c>
      <c r="M226" s="43"/>
      <c r="N226" s="43"/>
      <c r="O226" s="43"/>
      <c r="P226" s="43"/>
      <c r="Q226" s="43"/>
      <c r="R226" s="43"/>
      <c r="S226" s="43"/>
    </row>
    <row r="227" spans="2:20" hidden="1" outlineLevel="1" x14ac:dyDescent="0.2">
      <c r="B227" s="17"/>
      <c r="C227" s="17"/>
      <c r="D227" s="17"/>
      <c r="E227" s="17"/>
      <c r="F227" s="20"/>
      <c r="G227" s="20"/>
      <c r="H227" s="20"/>
      <c r="I227" s="17"/>
      <c r="J227" s="17"/>
      <c r="K227" s="17"/>
      <c r="L227" s="20"/>
      <c r="M227" s="43"/>
      <c r="N227" s="43"/>
      <c r="O227" s="43"/>
      <c r="P227" s="43"/>
      <c r="Q227" s="43"/>
      <c r="R227" s="43"/>
      <c r="S227" s="43"/>
    </row>
    <row r="228" spans="2:20" ht="14.25" hidden="1" outlineLevel="1" x14ac:dyDescent="0.25">
      <c r="B228" s="17"/>
      <c r="C228" s="17"/>
      <c r="D228" s="21" t="s">
        <v>63</v>
      </c>
      <c r="E228" s="21"/>
      <c r="F228" s="75">
        <f>IF(NOT(ISBLANK('Referenz Plattenwerk'!$I72)),'Referenz Plattenwerk'!$I72,'Referenz Plattenwerk'!$F72)*IF(NOT(ISBLANK('Eingabe EF'!$AA57)),'Eingabe EF'!$AA57,'Eingabe EF'!$Y57)</f>
        <v>0</v>
      </c>
      <c r="G228" s="75">
        <f>IF(NOT(ISBLANK('Referenz Plattenwerk'!$I72)),'Referenz Plattenwerk'!$I72,'Referenz Plattenwerk'!$F72)*IF(NOT(ISBLANK('Eingabe EF'!$AE57)),'Eingabe EF'!$AE57,'Eingabe EF'!$AC57)</f>
        <v>0</v>
      </c>
      <c r="H228" s="75">
        <f>IF(NOT(ISBLANK('Referenz Plattenwerk'!$I72)),'Referenz Plattenwerk'!$I72,'Referenz Plattenwerk'!$F72)*IF(NOT(ISBLANK('Eingabe EF'!$AI57)),'Eingabe EF'!$AI57,'Eingabe EF'!$AG57)</f>
        <v>64.48</v>
      </c>
      <c r="I228" s="21"/>
      <c r="J228" s="75">
        <f t="shared" ref="J228" si="45">F228+G228</f>
        <v>0</v>
      </c>
      <c r="K228" s="75">
        <f t="shared" ref="K228" si="46">SUM(F228:H228)</f>
        <v>64.48</v>
      </c>
      <c r="L228" s="21" t="s">
        <v>197</v>
      </c>
      <c r="M228" s="43"/>
      <c r="N228" s="43"/>
      <c r="O228" s="43"/>
      <c r="P228" s="43"/>
      <c r="Q228" s="43"/>
      <c r="R228" s="43"/>
      <c r="S228" s="43"/>
    </row>
    <row r="229" spans="2:20" hidden="1" outlineLevel="1" x14ac:dyDescent="0.2">
      <c r="B229" s="17"/>
      <c r="C229" s="17"/>
      <c r="D229" s="17"/>
      <c r="E229" s="17"/>
      <c r="F229" s="20"/>
      <c r="G229" s="20"/>
      <c r="H229" s="20"/>
      <c r="I229" s="17"/>
      <c r="J229" s="17"/>
      <c r="K229" s="17"/>
      <c r="L229" s="20"/>
      <c r="M229" s="43"/>
      <c r="N229" s="43"/>
      <c r="O229" s="43"/>
      <c r="P229" s="43"/>
      <c r="Q229" s="43"/>
      <c r="R229" s="43"/>
      <c r="S229" s="43"/>
    </row>
    <row r="230" spans="2:20" ht="15" hidden="1" outlineLevel="1" thickBot="1" x14ac:dyDescent="0.3">
      <c r="B230" s="17"/>
      <c r="C230" s="17"/>
      <c r="D230" s="68" t="s">
        <v>69</v>
      </c>
      <c r="E230" s="68"/>
      <c r="F230" s="69">
        <f>SUM(F168:F228)-F182-F186-F192-F199-F204-F218-F223-F210</f>
        <v>94.932355060000006</v>
      </c>
      <c r="G230" s="69">
        <f t="shared" ref="G230:H230" si="47">SUM(G168:G228)-G182-G186-G192-G199-G204-G218-G223-G210</f>
        <v>124.8924470887134</v>
      </c>
      <c r="H230" s="69">
        <f t="shared" si="47"/>
        <v>5824.638463220429</v>
      </c>
      <c r="I230" s="21"/>
      <c r="J230" s="69">
        <f>SUM(J168:J228)-J182-J186-J192-J199-J204-J218-J223-J210</f>
        <v>219.82480214871336</v>
      </c>
      <c r="K230" s="69">
        <f>SUM(K168:K228)-K182-K186-K192-K199-K204-K218-K223-K210</f>
        <v>6044.4632653691433</v>
      </c>
      <c r="L230" s="69" t="s">
        <v>197</v>
      </c>
      <c r="M230" s="43"/>
      <c r="N230" s="43"/>
      <c r="O230" s="43"/>
      <c r="P230" s="43"/>
      <c r="Q230" s="43"/>
      <c r="R230" s="43"/>
      <c r="S230" s="43"/>
    </row>
    <row r="231" spans="2:20" ht="13.5" hidden="1" outlineLevel="1" thickTop="1" x14ac:dyDescent="0.2">
      <c r="B231" s="17"/>
      <c r="C231" s="17"/>
      <c r="D231" s="17"/>
      <c r="E231" s="17"/>
      <c r="F231" s="20"/>
      <c r="G231" s="20"/>
      <c r="H231" s="20"/>
      <c r="I231" s="17"/>
      <c r="J231" s="17"/>
      <c r="K231" s="17"/>
      <c r="L231" s="20"/>
      <c r="M231" s="43"/>
      <c r="N231" s="43"/>
      <c r="O231" s="43"/>
      <c r="P231" s="43"/>
      <c r="Q231" s="43"/>
      <c r="R231" s="43"/>
      <c r="S231" s="43"/>
    </row>
    <row r="232" spans="2:20" collapsed="1" x14ac:dyDescent="0.2"/>
    <row r="234" spans="2:20" ht="15.75" hidden="1" outlineLevel="1" x14ac:dyDescent="0.25">
      <c r="B234" s="22"/>
      <c r="C234" s="22" t="s">
        <v>114</v>
      </c>
      <c r="D234" s="17"/>
      <c r="E234" s="17"/>
      <c r="F234" s="17"/>
      <c r="G234" s="17"/>
      <c r="H234" s="17"/>
      <c r="I234" s="17"/>
      <c r="J234" s="17"/>
      <c r="K234" s="17"/>
      <c r="L234" s="17"/>
      <c r="N234" s="22" t="s">
        <v>117</v>
      </c>
      <c r="O234" s="17"/>
      <c r="P234" s="17"/>
      <c r="Q234" s="17"/>
      <c r="R234" s="17"/>
      <c r="S234" s="17"/>
      <c r="T234" s="17"/>
    </row>
    <row r="235" spans="2:20" ht="15" hidden="1" outlineLevel="1" x14ac:dyDescent="0.25">
      <c r="B235" s="65"/>
      <c r="C235" s="65">
        <v>2030</v>
      </c>
      <c r="D235" s="17" t="s">
        <v>206</v>
      </c>
      <c r="E235" s="25"/>
      <c r="F235" s="25"/>
      <c r="G235" s="25"/>
      <c r="H235" s="25"/>
      <c r="I235" s="25"/>
      <c r="J235" s="25"/>
      <c r="K235" s="25"/>
      <c r="L235" s="25"/>
      <c r="N235" s="65">
        <v>2030</v>
      </c>
      <c r="O235" s="17"/>
      <c r="P235" s="17"/>
      <c r="Q235" s="17"/>
      <c r="R235" s="17"/>
      <c r="S235" s="17"/>
      <c r="T235" s="17"/>
    </row>
    <row r="236" spans="2:20" hidden="1" outlineLevel="1" x14ac:dyDescent="0.2">
      <c r="B236" s="276"/>
      <c r="C236" s="17"/>
      <c r="D236" s="17" t="s">
        <v>178</v>
      </c>
      <c r="E236" s="289">
        <f>(1-(IF(NOT(ISBLANK($K17)),$K17/100,$I17/100)))</f>
        <v>1</v>
      </c>
      <c r="F236" s="17"/>
      <c r="G236" s="17"/>
      <c r="H236" s="17"/>
      <c r="I236" s="17"/>
      <c r="J236" s="17"/>
      <c r="K236" s="17"/>
      <c r="L236" s="17"/>
      <c r="N236" s="17"/>
      <c r="O236" s="17"/>
      <c r="P236" s="17"/>
      <c r="Q236" s="17"/>
      <c r="R236" s="17"/>
      <c r="S236" s="17"/>
      <c r="T236" s="17"/>
    </row>
    <row r="237" spans="2:20" hidden="1" outlineLevel="1" x14ac:dyDescent="0.2">
      <c r="B237" s="276"/>
      <c r="C237" s="17"/>
      <c r="D237" s="17" t="s">
        <v>179</v>
      </c>
      <c r="E237" s="289">
        <f>(1-(IF(NOT(ISBLANK($K18)),$K18/100,$I18/100)))</f>
        <v>0.95</v>
      </c>
      <c r="F237" s="17"/>
      <c r="G237" s="17"/>
      <c r="H237" s="17"/>
      <c r="I237" s="17"/>
      <c r="J237" s="17"/>
      <c r="K237" s="17"/>
      <c r="L237" s="17"/>
      <c r="N237" s="17"/>
      <c r="O237" s="17"/>
      <c r="P237" s="17"/>
      <c r="Q237" s="17"/>
      <c r="R237" s="17"/>
      <c r="S237" s="17"/>
      <c r="T237" s="17"/>
    </row>
    <row r="238" spans="2:20" hidden="1" outlineLevel="1" x14ac:dyDescent="0.2">
      <c r="B238" s="276"/>
      <c r="C238" s="17"/>
      <c r="D238" s="17" t="s">
        <v>180</v>
      </c>
      <c r="E238" s="289">
        <f>(1-(IF(NOT(ISBLANK($K19)),$K19/100,$I19/100)))</f>
        <v>1</v>
      </c>
      <c r="F238" s="17"/>
      <c r="G238" s="17"/>
      <c r="H238" s="17"/>
      <c r="I238" s="17"/>
      <c r="J238" s="17"/>
      <c r="K238" s="17"/>
      <c r="L238" s="17"/>
      <c r="N238" s="17"/>
      <c r="O238" s="17"/>
      <c r="P238" s="17"/>
      <c r="Q238" s="17"/>
      <c r="R238" s="17"/>
      <c r="S238" s="17"/>
      <c r="T238" s="17"/>
    </row>
    <row r="239" spans="2:20" hidden="1" outlineLevel="1" x14ac:dyDescent="0.2">
      <c r="B239" s="276"/>
      <c r="C239" s="17"/>
      <c r="D239" s="17"/>
      <c r="E239" s="289">
        <v>0</v>
      </c>
      <c r="F239" s="17"/>
      <c r="G239" s="17"/>
      <c r="H239" s="17"/>
      <c r="I239" s="17"/>
      <c r="J239" s="17"/>
      <c r="K239" s="17"/>
      <c r="L239" s="17"/>
      <c r="N239" s="17"/>
      <c r="O239" s="17"/>
      <c r="P239" s="17"/>
      <c r="Q239" s="17"/>
      <c r="R239" s="17"/>
      <c r="S239" s="17"/>
      <c r="T239" s="17"/>
    </row>
    <row r="240" spans="2:20" hidden="1" outlineLevel="1" x14ac:dyDescent="0.2">
      <c r="B240" s="276"/>
      <c r="C240" s="17"/>
      <c r="D240" s="17"/>
      <c r="E240" s="17"/>
      <c r="F240" s="17"/>
      <c r="G240" s="17"/>
      <c r="H240" s="17"/>
      <c r="I240" s="17"/>
      <c r="J240" s="17"/>
      <c r="K240" s="17"/>
      <c r="L240" s="17"/>
      <c r="N240" s="17"/>
      <c r="O240" s="17"/>
      <c r="P240" s="17"/>
      <c r="Q240" s="17"/>
      <c r="R240" s="17"/>
      <c r="S240" s="17"/>
      <c r="T240" s="17"/>
    </row>
    <row r="241" spans="2:20" hidden="1" outlineLevel="1" x14ac:dyDescent="0.2">
      <c r="B241" s="276"/>
      <c r="C241" s="17"/>
      <c r="D241" s="17" t="s">
        <v>336</v>
      </c>
      <c r="E241" s="297">
        <f>((1-E236)*IF(NOT(ISBLANK('Referenz Plattenwerk'!$I42)),'Referenz Plattenwerk'!$I42,'Referenz Plattenwerk'!$F42)+(1-E237)*IF(NOT(ISBLANK('Referenz Plattenwerk'!$I43)),'Referenz Plattenwerk'!$I43,'Referenz Plattenwerk'!$F43)+(1-E238)*IF(NOT(ISBLANK('Referenz Plattenwerk'!$I44)),'Referenz Plattenwerk'!$I44,'Referenz Plattenwerk'!$F44))*IF(NOT(ISBLANK('Referenz Plattenwerk'!$I$12)),'Referenz Plattenwerk'!$I$12,'Referenz Plattenwerk'!$F$12)</f>
        <v>0</v>
      </c>
      <c r="F241" s="17" t="s">
        <v>48</v>
      </c>
      <c r="G241" s="17"/>
      <c r="H241" s="17"/>
      <c r="I241" s="17"/>
      <c r="J241" s="17"/>
      <c r="K241" s="17"/>
      <c r="L241" s="17"/>
      <c r="N241" s="17"/>
      <c r="O241" s="17"/>
      <c r="P241" s="17"/>
      <c r="Q241" s="17"/>
      <c r="R241" s="17"/>
      <c r="S241" s="17"/>
      <c r="T241" s="17"/>
    </row>
    <row r="242" spans="2:20" hidden="1" outlineLevel="1" x14ac:dyDescent="0.2">
      <c r="B242" s="276"/>
      <c r="C242" s="17"/>
      <c r="D242" s="17"/>
      <c r="E242" s="17"/>
      <c r="F242" s="17"/>
      <c r="G242" s="17"/>
      <c r="H242" s="17"/>
      <c r="I242" s="17"/>
      <c r="J242" s="17"/>
      <c r="K242" s="17"/>
      <c r="L242" s="17"/>
      <c r="N242" s="17"/>
      <c r="O242" s="17"/>
      <c r="P242" s="17"/>
      <c r="Q242" s="17"/>
      <c r="R242" s="17"/>
      <c r="S242" s="17"/>
      <c r="T242" s="17"/>
    </row>
    <row r="243" spans="2:20" hidden="1" outlineLevel="1" x14ac:dyDescent="0.2">
      <c r="B243" s="17"/>
      <c r="C243" s="17"/>
      <c r="D243" s="17"/>
      <c r="E243" s="17"/>
      <c r="F243" s="17"/>
      <c r="G243" s="17"/>
      <c r="H243" s="17"/>
      <c r="I243" s="17"/>
      <c r="J243" s="17"/>
      <c r="K243" s="17"/>
      <c r="L243" s="17"/>
      <c r="N243" s="17"/>
      <c r="O243" s="17"/>
      <c r="P243" s="17"/>
      <c r="Q243" s="17"/>
      <c r="R243" s="17"/>
      <c r="S243" s="17"/>
      <c r="T243" s="17"/>
    </row>
    <row r="244" spans="2:20" ht="25.5" hidden="1" outlineLevel="1" x14ac:dyDescent="0.2">
      <c r="B244" s="17"/>
      <c r="C244" s="17"/>
      <c r="D244" s="17"/>
      <c r="E244" s="17"/>
      <c r="F244" s="36" t="s">
        <v>27</v>
      </c>
      <c r="G244" s="36" t="s">
        <v>82</v>
      </c>
      <c r="H244" s="36" t="s">
        <v>29</v>
      </c>
      <c r="I244" s="17"/>
      <c r="J244" s="40" t="s">
        <v>111</v>
      </c>
      <c r="K244" s="41" t="s">
        <v>39</v>
      </c>
      <c r="L244" s="17"/>
      <c r="N244" s="17"/>
      <c r="O244" s="17"/>
      <c r="P244" s="17"/>
      <c r="Q244" s="18"/>
      <c r="R244" s="17"/>
      <c r="S244" s="18"/>
      <c r="T244" s="18"/>
    </row>
    <row r="245" spans="2:20" ht="14.25" hidden="1" outlineLevel="1" x14ac:dyDescent="0.25">
      <c r="B245" s="77"/>
      <c r="C245" s="77" t="s">
        <v>190</v>
      </c>
      <c r="D245" s="77"/>
      <c r="E245" s="77"/>
      <c r="F245" s="78">
        <f>SUM(F247:F260)</f>
        <v>94.932355060000006</v>
      </c>
      <c r="G245" s="78">
        <f>SUM(G247:G260)</f>
        <v>61.552554846110553</v>
      </c>
      <c r="H245" s="78">
        <f>SUM(H247:H260)</f>
        <v>25.105144641628776</v>
      </c>
      <c r="I245" s="77"/>
      <c r="J245" s="78">
        <f>F245+G245</f>
        <v>156.48490990611054</v>
      </c>
      <c r="K245" s="78">
        <f>SUM(F245:H245)</f>
        <v>181.59005454773933</v>
      </c>
      <c r="L245" s="77" t="s">
        <v>197</v>
      </c>
      <c r="N245" s="17"/>
      <c r="O245" s="17"/>
      <c r="P245" s="17"/>
      <c r="Q245" s="18"/>
      <c r="R245" s="17"/>
      <c r="S245" s="18"/>
      <c r="T245" s="18"/>
    </row>
    <row r="246" spans="2:20" hidden="1" outlineLevel="1" x14ac:dyDescent="0.2">
      <c r="B246" s="17"/>
      <c r="C246" s="17" t="s">
        <v>146</v>
      </c>
      <c r="D246" s="17"/>
      <c r="E246" s="17"/>
      <c r="F246" s="17"/>
      <c r="G246" s="17"/>
      <c r="H246" s="17"/>
      <c r="I246" s="17"/>
      <c r="J246" s="17"/>
      <c r="K246" s="17"/>
      <c r="L246" s="17"/>
      <c r="N246" s="17" t="s">
        <v>146</v>
      </c>
      <c r="O246" s="17"/>
      <c r="P246" s="17"/>
      <c r="Q246" s="18"/>
      <c r="R246" s="17"/>
      <c r="S246" s="18"/>
      <c r="T246" s="18"/>
    </row>
    <row r="247" spans="2:20" ht="15.75" hidden="1" outlineLevel="1" x14ac:dyDescent="0.3">
      <c r="B247" s="276"/>
      <c r="C247" s="17"/>
      <c r="D247" s="17" t="s">
        <v>125</v>
      </c>
      <c r="E247" s="17"/>
      <c r="F247" s="38">
        <f>IF(NOT(ISBLANK('Referenz Plattenwerk'!$I16)),'Referenz Plattenwerk'!$I16,'Referenz Plattenwerk'!$F16)*IF(NOT(ISBLANK('Eingabe EF'!$AS9)),'Eingabe EF'!$AS9,'Eingabe EF'!$AQ9)</f>
        <v>34.434080000000002</v>
      </c>
      <c r="G247" s="38">
        <f>IF(NOT(ISBLANK('Referenz Plattenwerk'!$I16)),'Referenz Plattenwerk'!$I16,'Referenz Plattenwerk'!$F16)*IF(NOT(ISBLANK('Eingabe EF'!$AW9)),'Eingabe EF'!$AW9,'Eingabe EF'!$AU9)</f>
        <v>0</v>
      </c>
      <c r="H247" s="38">
        <f>IF(NOT(ISBLANK('Referenz Plattenwerk'!$I16)),'Referenz Plattenwerk'!$I16,'Referenz Plattenwerk'!$F16)*IF(NOT(ISBLANK('Eingabe EF'!$BA9)),'Eingabe EF'!$BA9,'Eingabe EF'!$AY9)</f>
        <v>5.8938000000000006</v>
      </c>
      <c r="I247" s="17"/>
      <c r="J247" s="38">
        <f>F247+G247</f>
        <v>34.434080000000002</v>
      </c>
      <c r="K247" s="38">
        <f>SUM(F247:H247)</f>
        <v>40.32788</v>
      </c>
      <c r="L247" s="17" t="s">
        <v>198</v>
      </c>
      <c r="N247" s="276"/>
      <c r="O247" s="17" t="s">
        <v>125</v>
      </c>
      <c r="P247" s="17"/>
      <c r="Q247" s="19"/>
      <c r="R247" s="17"/>
      <c r="S247" s="42">
        <f>IF(NOT(ISBLANK('Referenz Plattenwerk'!$I16)),'Referenz Plattenwerk'!$I16,'Referenz Plattenwerk'!$F16)/1000*IF(NOT(ISBLANK('Eingabe Preise'!$O10)),'Eingabe Preise'!$O10,'Eingabe Preise'!$M10)</f>
        <v>11468</v>
      </c>
      <c r="T247" s="20" t="s">
        <v>106</v>
      </c>
    </row>
    <row r="248" spans="2:20" ht="15.75" hidden="1" outlineLevel="1" x14ac:dyDescent="0.3">
      <c r="B248" s="276"/>
      <c r="C248" s="17"/>
      <c r="D248" s="17" t="s">
        <v>165</v>
      </c>
      <c r="E248" s="17"/>
      <c r="F248" s="38">
        <f>IF(NOT(ISBLANK('Referenz Plattenwerk'!$I17)),'Referenz Plattenwerk'!$I17,'Referenz Plattenwerk'!$F17)*IF(NOT(ISBLANK('Eingabe EF'!$AS10)),'Eingabe EF'!$AS10,'Eingabe EF'!$AQ10)</f>
        <v>6.4022399999999999</v>
      </c>
      <c r="G248" s="38">
        <f>IF(NOT(ISBLANK('Referenz Plattenwerk'!$I17)),'Referenz Plattenwerk'!$I17,'Referenz Plattenwerk'!$F17)*IF(NOT(ISBLANK('Eingabe EF'!$AW10)),'Eingabe EF'!$AW10,'Eingabe EF'!$AU10)</f>
        <v>0</v>
      </c>
      <c r="H248" s="38">
        <f>IF(NOT(ISBLANK('Referenz Plattenwerk'!$I17)),'Referenz Plattenwerk'!$I17,'Referenz Plattenwerk'!$F17)*IF(NOT(ISBLANK('Eingabe EF'!$BA10)),'Eingabe EF'!$BA10,'Eingabe EF'!$AY10)</f>
        <v>0.949824</v>
      </c>
      <c r="I248" s="17"/>
      <c r="J248" s="38">
        <f>F248+G248</f>
        <v>6.4022399999999999</v>
      </c>
      <c r="K248" s="38">
        <f>SUM(F248:H248)</f>
        <v>7.3520640000000004</v>
      </c>
      <c r="L248" s="17" t="s">
        <v>198</v>
      </c>
      <c r="N248" s="276"/>
      <c r="O248" s="17" t="s">
        <v>165</v>
      </c>
      <c r="P248" s="17"/>
      <c r="Q248" s="20"/>
      <c r="R248" s="17"/>
      <c r="S248" s="42">
        <f>IF(NOT(ISBLANK('Referenz Plattenwerk'!$I17)),'Referenz Plattenwerk'!$I17,'Referenz Plattenwerk'!$F17)/1000*IF(NOT(ISBLANK('Eingabe Preise'!$O11)),'Eingabe Preise'!$O11,'Eingabe Preise'!$M11)</f>
        <v>1104</v>
      </c>
      <c r="T248" s="20" t="s">
        <v>106</v>
      </c>
    </row>
    <row r="249" spans="2:20" ht="15.75" hidden="1" outlineLevel="1" x14ac:dyDescent="0.3">
      <c r="B249" s="276"/>
      <c r="C249" s="17"/>
      <c r="D249" s="17" t="s">
        <v>152</v>
      </c>
      <c r="E249" s="17"/>
      <c r="F249" s="38">
        <f>IF(NOT(ISBLANK('Referenz Plattenwerk'!$I18)),'Referenz Plattenwerk'!$I18,'Referenz Plattenwerk'!$F18)*IF(NOT(ISBLANK('Eingabe EF'!$AS11)),'Eingabe EF'!$AS11,'Eingabe EF'!$AQ11)</f>
        <v>0</v>
      </c>
      <c r="G249" s="38">
        <f>IF(NOT(ISBLANK('Referenz Plattenwerk'!$I18)),'Referenz Plattenwerk'!$I18,'Referenz Plattenwerk'!$F18)*IF(NOT(ISBLANK('Eingabe EF'!$AW11)),'Eingabe EF'!$AW11,'Eingabe EF'!$AU11)</f>
        <v>6.1552554846110556</v>
      </c>
      <c r="H249" s="38">
        <f>IF(NOT(ISBLANK('Referenz Plattenwerk'!$I18)),'Referenz Plattenwerk'!$I18,'Referenz Plattenwerk'!$F18)*IF(NOT(ISBLANK('Eingabe EF'!$BA11)),'Eingabe EF'!$BA11,'Eingabe EF'!$AY11)</f>
        <v>0.90234111816287721</v>
      </c>
      <c r="I249" s="17"/>
      <c r="J249" s="38">
        <f>F249+G249</f>
        <v>6.1552554846110556</v>
      </c>
      <c r="K249" s="38">
        <f>SUM(F249:H249)</f>
        <v>7.0575966027739332</v>
      </c>
      <c r="L249" s="17" t="s">
        <v>198</v>
      </c>
      <c r="N249" s="276"/>
      <c r="O249" s="17" t="s">
        <v>152</v>
      </c>
      <c r="P249" s="17"/>
      <c r="Q249" s="20"/>
      <c r="R249" s="17"/>
      <c r="S249" s="42">
        <f>IF(NOT(ISBLANK('Referenz Plattenwerk'!$I18)),'Referenz Plattenwerk'!$I18,'Referenz Plattenwerk'!$F18)/1000*IF(NOT(ISBLANK('Eingabe Preise'!$O12)),'Eingabe Preise'!$O12,'Eingabe Preise'!$M12)</f>
        <v>7740</v>
      </c>
      <c r="T249" s="20" t="s">
        <v>106</v>
      </c>
    </row>
    <row r="250" spans="2:20" ht="15.75" hidden="1" outlineLevel="1" x14ac:dyDescent="0.3">
      <c r="B250" s="276"/>
      <c r="C250" s="17"/>
      <c r="D250" s="17" t="s">
        <v>126</v>
      </c>
      <c r="E250" s="17"/>
      <c r="F250" s="44">
        <f>IF(NOT(ISBLANK('Referenz Plattenwerk'!$I19)),'Referenz Plattenwerk'!$I19,'Referenz Plattenwerk'!$F19)*IF(NOT(ISBLANK('Eingabe EF'!$AS12)),'Eingabe EF'!$AS12,0)</f>
        <v>0</v>
      </c>
      <c r="G250" s="44">
        <f>IF(NOT(ISBLANK('Referenz Plattenwerk'!$I19)),'Referenz Plattenwerk'!$I19,'Referenz Plattenwerk'!$F19)*IF(NOT(ISBLANK('Eingabe EF'!$AW12)),'Eingabe EF'!$AW12,0)</f>
        <v>0</v>
      </c>
      <c r="H250" s="44">
        <f>IF(NOT(ISBLANK('Referenz Plattenwerk'!$I19)),'Referenz Plattenwerk'!$I19,'Referenz Plattenwerk'!$F19)*IF(NOT(ISBLANK('Eingabe EF'!$BA12)),'Eingabe EF'!$BA12,0)</f>
        <v>0</v>
      </c>
      <c r="I250" s="17"/>
      <c r="J250" s="38">
        <f>F250+G250</f>
        <v>0</v>
      </c>
      <c r="K250" s="38">
        <f>SUM(F250:H250)</f>
        <v>0</v>
      </c>
      <c r="L250" s="17" t="s">
        <v>198</v>
      </c>
      <c r="N250" s="276"/>
      <c r="O250" s="17" t="s">
        <v>126</v>
      </c>
      <c r="P250" s="17"/>
      <c r="Q250" s="20"/>
      <c r="R250" s="17"/>
      <c r="S250" s="42">
        <f>IF(NOT(ISBLANK('Referenz Plattenwerk'!$I19)),'Referenz Plattenwerk'!$I19,'Referenz Plattenwerk'!$F19)/1000*IF(NOT(ISBLANK('Eingabe Preise'!$O16)),'Eingabe Preise'!$O16,0)</f>
        <v>0</v>
      </c>
      <c r="T250" s="20" t="s">
        <v>106</v>
      </c>
    </row>
    <row r="251" spans="2:20" hidden="1" outlineLevel="1" x14ac:dyDescent="0.2">
      <c r="B251" s="17"/>
      <c r="C251" s="17" t="s">
        <v>147</v>
      </c>
      <c r="D251" s="17"/>
      <c r="E251" s="17"/>
      <c r="F251" s="17"/>
      <c r="G251" s="17"/>
      <c r="H251" s="17"/>
      <c r="I251" s="17"/>
      <c r="J251" s="17"/>
      <c r="K251" s="17"/>
      <c r="L251" s="17"/>
      <c r="N251" s="17" t="s">
        <v>147</v>
      </c>
      <c r="O251" s="17"/>
      <c r="P251" s="17"/>
      <c r="Q251" s="20"/>
      <c r="R251" s="17"/>
      <c r="S251" s="20"/>
      <c r="T251" s="20"/>
    </row>
    <row r="252" spans="2:20" ht="15.75" hidden="1" outlineLevel="1" x14ac:dyDescent="0.3">
      <c r="B252" s="17"/>
      <c r="C252" s="17"/>
      <c r="D252" s="17" t="s">
        <v>31</v>
      </c>
      <c r="E252" s="17"/>
      <c r="F252" s="44">
        <f>IF(NOT(ISBLANK('Referenz Plattenwerk'!$I21)),'Referenz Plattenwerk'!$I21,'Referenz Plattenwerk'!$F21)*IF(NOT(ISBLANK('Eingabe EF'!$AS9)),'Eingabe EF'!$AS9,'Eingabe EF'!$AQ9)</f>
        <v>8.6085200000000004</v>
      </c>
      <c r="G252" s="44">
        <f>IF(NOT(ISBLANK('Referenz Plattenwerk'!$I21)),'Referenz Plattenwerk'!$I21,'Referenz Plattenwerk'!$F21)*IF(NOT(ISBLANK('Eingabe EF'!$AW9)),'Eingabe EF'!$AW9,'Eingabe EF'!$AU9)</f>
        <v>0</v>
      </c>
      <c r="H252" s="44">
        <f>IF(NOT(ISBLANK('Referenz Plattenwerk'!$I21)),'Referenz Plattenwerk'!$I21,'Referenz Plattenwerk'!$F21)*IF(NOT(ISBLANK('Eingabe EF'!$BA9)),'Eingabe EF'!$BA9,'Eingabe EF'!$AY9)</f>
        <v>1.4734500000000001</v>
      </c>
      <c r="I252" s="17"/>
      <c r="J252" s="38">
        <f t="shared" ref="J252:J253" si="48">F252+G252</f>
        <v>8.6085200000000004</v>
      </c>
      <c r="K252" s="38">
        <f t="shared" ref="K252:K253" si="49">SUM(F252:H252)</f>
        <v>10.08197</v>
      </c>
      <c r="L252" s="17" t="s">
        <v>198</v>
      </c>
      <c r="N252" s="17"/>
      <c r="O252" s="17" t="s">
        <v>31</v>
      </c>
      <c r="P252" s="17"/>
      <c r="Q252" s="20"/>
      <c r="R252" s="17"/>
      <c r="S252" s="42">
        <f>IF(NOT(ISBLANK('Referenz Plattenwerk'!$I21)),'Referenz Plattenwerk'!$I21,'Referenz Plattenwerk'!$F21)/1000*IF(NOT(ISBLANK('Eingabe Preise'!$O10)),'Eingabe Preise'!$O10,'Eingabe Preise'!$M10)</f>
        <v>2867</v>
      </c>
      <c r="T252" s="20" t="s">
        <v>106</v>
      </c>
    </row>
    <row r="253" spans="2:20" ht="15.75" hidden="1" outlineLevel="1" x14ac:dyDescent="0.3">
      <c r="B253" s="17"/>
      <c r="C253" s="17"/>
      <c r="D253" s="17" t="s">
        <v>32</v>
      </c>
      <c r="E253" s="17"/>
      <c r="F253" s="44">
        <f>IF(NOT(ISBLANK('Referenz Plattenwerk'!$I22)),'Referenz Plattenwerk'!$I22,'Referenz Plattenwerk'!$F22)*IF(NOT(ISBLANK('Eingabe EF'!$AS10)),'Eingabe EF'!$AS10,'Eingabe EF'!$AQ10)</f>
        <v>9.6033600000000003</v>
      </c>
      <c r="G253" s="44">
        <f>IF(NOT(ISBLANK('Referenz Plattenwerk'!$I22)),'Referenz Plattenwerk'!$I22,'Referenz Plattenwerk'!$F22)*IF(NOT(ISBLANK('Eingabe EF'!$AW10)),'Eingabe EF'!$AW10,'Eingabe EF'!$AU10)</f>
        <v>0</v>
      </c>
      <c r="H253" s="44">
        <f>IF(NOT(ISBLANK('Referenz Plattenwerk'!$I22)),'Referenz Plattenwerk'!$I22,'Referenz Plattenwerk'!$F22)*IF(NOT(ISBLANK('Eingabe EF'!$BA10)),'Eingabe EF'!$BA10,'Eingabe EF'!$AY10)</f>
        <v>1.424736</v>
      </c>
      <c r="I253" s="17"/>
      <c r="J253" s="38">
        <f t="shared" si="48"/>
        <v>9.6033600000000003</v>
      </c>
      <c r="K253" s="38">
        <f t="shared" si="49"/>
        <v>11.028096</v>
      </c>
      <c r="L253" s="17" t="s">
        <v>198</v>
      </c>
      <c r="N253" s="17"/>
      <c r="O253" s="17" t="s">
        <v>32</v>
      </c>
      <c r="P253" s="17"/>
      <c r="Q253" s="20"/>
      <c r="R253" s="17"/>
      <c r="S253" s="42">
        <f>IF(NOT(ISBLANK('Referenz Plattenwerk'!$I22)),'Referenz Plattenwerk'!$I22,'Referenz Plattenwerk'!$F22)/1000*IF(NOT(ISBLANK('Eingabe Preise'!$O11)),'Eingabe Preise'!$O11,'Eingabe Preise'!$M11)</f>
        <v>1656</v>
      </c>
      <c r="T253" s="20" t="s">
        <v>106</v>
      </c>
    </row>
    <row r="254" spans="2:20" hidden="1" outlineLevel="1" x14ac:dyDescent="0.2">
      <c r="B254" s="17"/>
      <c r="C254" s="17" t="s">
        <v>148</v>
      </c>
      <c r="D254" s="17"/>
      <c r="E254" s="17"/>
      <c r="F254" s="17"/>
      <c r="G254" s="17"/>
      <c r="H254" s="17"/>
      <c r="I254" s="17"/>
      <c r="J254" s="17"/>
      <c r="K254" s="17"/>
      <c r="L254" s="17"/>
      <c r="N254" s="17" t="s">
        <v>148</v>
      </c>
      <c r="O254" s="17"/>
      <c r="P254" s="17"/>
      <c r="Q254" s="20"/>
      <c r="R254" s="17"/>
      <c r="S254" s="20"/>
      <c r="T254" s="20"/>
    </row>
    <row r="255" spans="2:20" ht="15.75" hidden="1" outlineLevel="1" x14ac:dyDescent="0.3">
      <c r="B255" s="17"/>
      <c r="C255" s="17"/>
      <c r="D255" s="17" t="s">
        <v>150</v>
      </c>
      <c r="E255" s="17"/>
      <c r="F255" s="44">
        <f>IF(NOT(ISBLANK('Referenz Plattenwerk'!$I24)),'Referenz Plattenwerk'!$I24,'Referenz Plattenwerk'!$F24)*IF(NOT(ISBLANK('Eingabe EF'!$AS11)),'Eingabe EF'!$AS11,'Eingabe EF'!$AQ11)</f>
        <v>0</v>
      </c>
      <c r="G255" s="44">
        <f>IF(NOT(ISBLANK('Referenz Plattenwerk'!$I24)),'Referenz Plattenwerk'!$I24,'Referenz Plattenwerk'!$F24)*IF(NOT(ISBLANK('Eingabe EF'!$AW11)),'Eingabe EF'!$AW11,'Eingabe EF'!$AU11)</f>
        <v>55.397299361499499</v>
      </c>
      <c r="H255" s="44">
        <f>IF(NOT(ISBLANK('Referenz Plattenwerk'!$I24)),'Referenz Plattenwerk'!$I24,'Referenz Plattenwerk'!$F24)*IF(NOT(ISBLANK('Eingabe EF'!$BA11)),'Eingabe EF'!$BA11,'Eingabe EF'!$AY11)</f>
        <v>8.1210700634658952</v>
      </c>
      <c r="I255" s="17"/>
      <c r="J255" s="38">
        <f t="shared" ref="J255:J263" si="50">F255+G255</f>
        <v>55.397299361499499</v>
      </c>
      <c r="K255" s="38">
        <f t="shared" ref="K255:K263" si="51">SUM(F255:H255)</f>
        <v>63.518369424965393</v>
      </c>
      <c r="L255" s="17" t="s">
        <v>198</v>
      </c>
      <c r="N255" s="17"/>
      <c r="O255" s="17" t="s">
        <v>150</v>
      </c>
      <c r="P255" s="17"/>
      <c r="Q255" s="20"/>
      <c r="R255" s="17"/>
      <c r="S255" s="42">
        <f>IF(NOT(ISBLANK('Referenz Plattenwerk'!$I24)),'Referenz Plattenwerk'!$I24,'Referenz Plattenwerk'!$F24)/1000*IF(NOT(ISBLANK('Eingabe Preise'!$O12)),'Eingabe Preise'!$O12,'Eingabe Preise'!$M12)</f>
        <v>69660</v>
      </c>
      <c r="T255" s="20" t="s">
        <v>106</v>
      </c>
    </row>
    <row r="256" spans="2:20" ht="15.75" hidden="1" outlineLevel="1" x14ac:dyDescent="0.3">
      <c r="B256" s="17"/>
      <c r="C256" s="17"/>
      <c r="D256" s="17" t="s">
        <v>122</v>
      </c>
      <c r="E256" s="17"/>
      <c r="F256" s="44">
        <f>IF(NOT(ISBLANK('Referenz Plattenwerk'!$I25)),'Referenz Plattenwerk'!$I25,'Referenz Plattenwerk'!$F25)*IF(NOT(ISBLANK('Eingabe EF'!$AS13)),'Eingabe EF'!$AS13,'Eingabe EF'!$AQ13)</f>
        <v>0</v>
      </c>
      <c r="G256" s="44">
        <f>IF(NOT(ISBLANK('Referenz Plattenwerk'!$I25)),'Referenz Plattenwerk'!$I25,'Referenz Plattenwerk'!$F25)*IF(NOT(ISBLANK('Eingabe EF'!$AW13)),'Eingabe EF'!$AW13,'Eingabe EF'!$AU13)</f>
        <v>0</v>
      </c>
      <c r="H256" s="44">
        <f>IF(NOT(ISBLANK('Referenz Plattenwerk'!$I25)),'Referenz Plattenwerk'!$I25,'Referenz Plattenwerk'!$F25)*IF(NOT(ISBLANK('Eingabe EF'!$BA13)),'Eingabe EF'!$BA13,'Eingabe EF'!$AY13)</f>
        <v>0</v>
      </c>
      <c r="I256" s="17"/>
      <c r="J256" s="38">
        <f t="shared" si="50"/>
        <v>0</v>
      </c>
      <c r="K256" s="38">
        <f t="shared" si="51"/>
        <v>0</v>
      </c>
      <c r="L256" s="17" t="s">
        <v>198</v>
      </c>
      <c r="N256" s="17"/>
      <c r="O256" s="17" t="s">
        <v>122</v>
      </c>
      <c r="P256" s="17"/>
      <c r="Q256" s="20"/>
      <c r="R256" s="17"/>
      <c r="S256" s="42">
        <f>IF(NOT(ISBLANK('Referenz Plattenwerk'!$I25)),'Referenz Plattenwerk'!$I25,'Referenz Plattenwerk'!$F25)/1000*IF(NOT(ISBLANK('Eingabe Preise'!$O13)),'Eingabe Preise'!$O13,'Eingabe Preise'!$M13)</f>
        <v>0</v>
      </c>
      <c r="T256" s="20" t="s">
        <v>106</v>
      </c>
    </row>
    <row r="257" spans="2:20" ht="15.75" hidden="1" outlineLevel="1" x14ac:dyDescent="0.3">
      <c r="B257" s="17"/>
      <c r="C257" s="17"/>
      <c r="D257" s="17" t="s">
        <v>149</v>
      </c>
      <c r="E257" s="17"/>
      <c r="F257" s="44">
        <f>IF(NOT(ISBLANK('Referenz Plattenwerk'!$I26)),'Referenz Plattenwerk'!$I26,'Referenz Plattenwerk'!$F26)*IF(NOT(ISBLANK('Eingabe EF'!$AS14)),'Eingabe EF'!$AS14,0)</f>
        <v>0</v>
      </c>
      <c r="G257" s="44">
        <f>IF(NOT(ISBLANK('Referenz Plattenwerk'!$I26)),'Referenz Plattenwerk'!$I26,'Referenz Plattenwerk'!$F26)*IF(NOT(ISBLANK('Eingabe EF'!$AW14)),'Eingabe EF'!$AW14,0)</f>
        <v>0</v>
      </c>
      <c r="H257" s="44">
        <f>IF(NOT(ISBLANK('Referenz Plattenwerk'!$I26)),'Referenz Plattenwerk'!$I26,'Referenz Plattenwerk'!$F26)*IF(NOT(ISBLANK('Eingabe EF'!$BA14)),'Eingabe EF'!$BA14,0)</f>
        <v>0</v>
      </c>
      <c r="I257" s="17"/>
      <c r="J257" s="38">
        <f t="shared" si="50"/>
        <v>0</v>
      </c>
      <c r="K257" s="38">
        <f t="shared" si="51"/>
        <v>0</v>
      </c>
      <c r="L257" s="17" t="s">
        <v>198</v>
      </c>
      <c r="N257" s="17"/>
      <c r="O257" s="17" t="s">
        <v>149</v>
      </c>
      <c r="P257" s="17"/>
      <c r="Q257" s="30"/>
      <c r="R257" s="17"/>
      <c r="S257" s="42">
        <f>IF(NOT(ISBLANK('Referenz Plattenwerk'!$I26)),'Referenz Plattenwerk'!$I26,'Referenz Plattenwerk'!$F26)/1000*IF(NOT(ISBLANK('Eingabe Preise'!$O17)),'Eingabe Preise'!$O17,0)</f>
        <v>0</v>
      </c>
      <c r="T257" s="20" t="s">
        <v>106</v>
      </c>
    </row>
    <row r="258" spans="2:20" hidden="1" outlineLevel="1" x14ac:dyDescent="0.2">
      <c r="B258" s="17"/>
      <c r="C258" s="17"/>
      <c r="D258" s="17"/>
      <c r="E258" s="17"/>
      <c r="F258" s="17"/>
      <c r="G258" s="17"/>
      <c r="H258" s="17"/>
      <c r="I258" s="17"/>
      <c r="J258" s="17"/>
      <c r="K258" s="17"/>
      <c r="L258" s="17"/>
      <c r="N258" s="17"/>
      <c r="O258" s="17"/>
      <c r="P258" s="17"/>
      <c r="Q258" s="30"/>
      <c r="R258" s="17"/>
      <c r="S258" s="17"/>
      <c r="T258" s="17"/>
    </row>
    <row r="259" spans="2:20" ht="15.75" hidden="1" outlineLevel="1" x14ac:dyDescent="0.3">
      <c r="B259" s="17"/>
      <c r="C259" s="17" t="s">
        <v>464</v>
      </c>
      <c r="D259" s="17" t="s">
        <v>34</v>
      </c>
      <c r="E259" s="17"/>
      <c r="F259" s="44">
        <f>IF(NOT(ISBLANK('Referenz Plattenwerk'!$I28)),'Referenz Plattenwerk'!$I28,'Referenz Plattenwerk'!$F28)*IF(NOT(ISBLANK('Eingabe EF'!$AS15)),'Eingabe EF'!$AS15,'Eingabe EF'!$AQ15)</f>
        <v>29.238941159999996</v>
      </c>
      <c r="G259" s="44">
        <f>IF(NOT(ISBLANK('Referenz Plattenwerk'!$I28)),'Referenz Plattenwerk'!$I28,'Referenz Plattenwerk'!$F28)*IF(NOT(ISBLANK('Eingabe EF'!$AW15)),'Eingabe EF'!$AW15,'Eingabe EF'!$AU15)</f>
        <v>0</v>
      </c>
      <c r="H259" s="44">
        <f>IF(NOT(ISBLANK('Referenz Plattenwerk'!$I28)),'Referenz Plattenwerk'!$I28,'Referenz Plattenwerk'!$F28)*IF(NOT(ISBLANK('Eingabe EF'!$BA15)),'Eingabe EF'!$BA15,'Eingabe EF'!$AY15)</f>
        <v>5.1658635600000009</v>
      </c>
      <c r="I259" s="17"/>
      <c r="J259" s="38">
        <f t="shared" ref="J259:J261" si="52">F259+G259</f>
        <v>29.238941159999996</v>
      </c>
      <c r="K259" s="38">
        <f t="shared" ref="K259:K261" si="53">SUM(F259:H259)</f>
        <v>34.404804719999994</v>
      </c>
      <c r="L259" s="17" t="s">
        <v>198</v>
      </c>
      <c r="N259" s="17"/>
      <c r="O259" s="17" t="s">
        <v>34</v>
      </c>
      <c r="P259" s="17" t="s">
        <v>464</v>
      </c>
      <c r="Q259" s="30"/>
      <c r="R259" s="17"/>
      <c r="S259" s="42">
        <f>IF(NOT(ISBLANK('Referenz Plattenwerk'!$I28)),'Referenz Plattenwerk'!$I28,'Referenz Plattenwerk'!$F28)*IF(NOT(ISBLANK('Eingabe Preise'!$O14)),'Eingabe Preise'!$O14,'Eingabe Preise'!$M14)</f>
        <v>12364.000000000002</v>
      </c>
      <c r="T259" s="20" t="s">
        <v>106</v>
      </c>
    </row>
    <row r="260" spans="2:20" ht="15.75" hidden="1" outlineLevel="1" x14ac:dyDescent="0.3">
      <c r="B260" s="17"/>
      <c r="C260" s="17" t="s">
        <v>75</v>
      </c>
      <c r="D260" s="17" t="s">
        <v>34</v>
      </c>
      <c r="E260" s="17"/>
      <c r="F260" s="44">
        <f>IF(NOT(ISBLANK('Referenz Plattenwerk'!$I29)),'Referenz Plattenwerk'!$I29,'Referenz Plattenwerk'!$F29)*IF(NOT(ISBLANK('Eingabe EF'!$AS15)),'Eingabe EF'!$AS15,'Eingabe EF'!$AQ15)</f>
        <v>6.645213899999999</v>
      </c>
      <c r="G260" s="44">
        <f>IF(NOT(ISBLANK('Referenz Plattenwerk'!$I29)),'Referenz Plattenwerk'!$I29,'Referenz Plattenwerk'!$F29)*IF(NOT(ISBLANK('Eingabe EF'!$AW15)),'Eingabe EF'!$AW15,'Eingabe EF'!$AU15)</f>
        <v>0</v>
      </c>
      <c r="H260" s="44">
        <f>IF(NOT(ISBLANK('Referenz Plattenwerk'!$I29)),'Referenz Plattenwerk'!$I29,'Referenz Plattenwerk'!$F29)*IF(NOT(ISBLANK('Eingabe EF'!$BA15)),'Eingabe EF'!$BA15,'Eingabe EF'!$AY15)</f>
        <v>1.1740599000000003</v>
      </c>
      <c r="I260" s="17"/>
      <c r="J260" s="38">
        <f t="shared" si="52"/>
        <v>6.645213899999999</v>
      </c>
      <c r="K260" s="38">
        <f t="shared" si="53"/>
        <v>7.8192737999999995</v>
      </c>
      <c r="L260" s="17" t="s">
        <v>198</v>
      </c>
      <c r="N260" s="17"/>
      <c r="O260" s="17" t="s">
        <v>34</v>
      </c>
      <c r="P260" s="17" t="s">
        <v>75</v>
      </c>
      <c r="Q260" s="30"/>
      <c r="R260" s="17"/>
      <c r="S260" s="42">
        <f>IF(NOT(ISBLANK('Referenz Plattenwerk'!$I29)),'Referenz Plattenwerk'!$I29,'Referenz Plattenwerk'!$F29)*IF(NOT(ISBLANK('Eingabe Preise'!$O14)),'Eingabe Preise'!$O14,'Eingabe Preise'!$M14)</f>
        <v>2810.0000000000005</v>
      </c>
      <c r="T260" s="20" t="s">
        <v>106</v>
      </c>
    </row>
    <row r="261" spans="2:20" ht="14.25" hidden="1" outlineLevel="1" x14ac:dyDescent="0.25">
      <c r="B261" s="70"/>
      <c r="C261" s="70" t="s">
        <v>189</v>
      </c>
      <c r="D261" s="70"/>
      <c r="E261" s="70"/>
      <c r="F261" s="72">
        <f>F262+F263</f>
        <v>0</v>
      </c>
      <c r="G261" s="72">
        <f t="shared" ref="G261:H261" si="54">G262+G263</f>
        <v>0</v>
      </c>
      <c r="H261" s="72">
        <f t="shared" si="54"/>
        <v>469.15642799999995</v>
      </c>
      <c r="I261" s="70"/>
      <c r="J261" s="72">
        <f t="shared" si="52"/>
        <v>0</v>
      </c>
      <c r="K261" s="72">
        <f t="shared" si="53"/>
        <v>469.15642799999995</v>
      </c>
      <c r="L261" s="77" t="s">
        <v>197</v>
      </c>
      <c r="N261" s="17"/>
      <c r="O261" s="17"/>
      <c r="P261" s="17"/>
      <c r="Q261" s="30"/>
      <c r="R261" s="17"/>
      <c r="S261" s="17"/>
      <c r="T261" s="17"/>
    </row>
    <row r="262" spans="2:20" ht="15.75" hidden="1" outlineLevel="1" x14ac:dyDescent="0.3">
      <c r="B262" s="17"/>
      <c r="C262" s="17"/>
      <c r="D262" s="17" t="s">
        <v>45</v>
      </c>
      <c r="E262" s="17"/>
      <c r="F262" s="44">
        <f>IF(NOT(ISBLANK('Referenz Plattenwerk'!$I32)),'Referenz Plattenwerk'!$I32,'Referenz Plattenwerk'!$F32)*IF(NOT(ISBLANK('Eingabe EF'!$AS17)),'Eingabe EF'!$AS17,'Eingabe EF'!$AQ17)</f>
        <v>0</v>
      </c>
      <c r="G262" s="44">
        <f>IF(NOT(ISBLANK('Referenz Plattenwerk'!$I32)),'Referenz Plattenwerk'!$I32,'Referenz Plattenwerk'!$F32)*IF(NOT(ISBLANK('Eingabe EF'!$AW17)),'Eingabe EF'!$AW17,'Eingabe EF'!$AU17)</f>
        <v>0</v>
      </c>
      <c r="H262" s="44">
        <f>IF(NOT(ISBLANK('Referenz Plattenwerk'!$I32)),'Referenz Plattenwerk'!$I32,'Referenz Plattenwerk'!$F32)*IF(NOT(ISBLANK('Eingabe EF'!$BA17)),'Eingabe EF'!$BA17,'Eingabe EF'!$AY17)</f>
        <v>109.4698332</v>
      </c>
      <c r="I262" s="17"/>
      <c r="J262" s="38">
        <f t="shared" si="50"/>
        <v>0</v>
      </c>
      <c r="K262" s="38">
        <f t="shared" si="51"/>
        <v>109.4698332</v>
      </c>
      <c r="L262" s="17" t="s">
        <v>198</v>
      </c>
      <c r="N262" s="17"/>
      <c r="O262" s="17"/>
      <c r="P262" s="17"/>
      <c r="Q262" s="30"/>
      <c r="R262" s="17"/>
      <c r="S262" s="17"/>
      <c r="T262" s="17"/>
    </row>
    <row r="263" spans="2:20" ht="15.75" hidden="1" outlineLevel="1" x14ac:dyDescent="0.3">
      <c r="B263" s="17"/>
      <c r="C263" s="17"/>
      <c r="D263" s="17" t="s">
        <v>46</v>
      </c>
      <c r="E263" s="17"/>
      <c r="F263" s="44">
        <f>IF(NOT(ISBLANK('Referenz Plattenwerk'!$I33)),'Referenz Plattenwerk'!$I33,'Referenz Plattenwerk'!$F33)*IF(NOT(ISBLANK('Eingabe EF'!$AS18)),'Eingabe EF'!$AS18,'Eingabe EF'!$AQ18)</f>
        <v>0</v>
      </c>
      <c r="G263" s="44">
        <f>IF(NOT(ISBLANK('Referenz Plattenwerk'!$I33)),'Referenz Plattenwerk'!$I33,'Referenz Plattenwerk'!$F33)*IF(NOT(ISBLANK('Eingabe EF'!$AW18)),'Eingabe EF'!$AW18,'Eingabe EF'!$AU18)</f>
        <v>0</v>
      </c>
      <c r="H263" s="44">
        <f>IF(NOT(ISBLANK('Referenz Plattenwerk'!$I33)),'Referenz Plattenwerk'!$I33,'Referenz Plattenwerk'!$F33)*IF(NOT(ISBLANK('Eingabe EF'!$BA18)),'Eingabe EF'!$BA18,'Eingabe EF'!$AY18)</f>
        <v>359.68659479999997</v>
      </c>
      <c r="I263" s="17"/>
      <c r="J263" s="38">
        <f t="shared" si="50"/>
        <v>0</v>
      </c>
      <c r="K263" s="38">
        <f t="shared" si="51"/>
        <v>359.68659479999997</v>
      </c>
      <c r="L263" s="17" t="s">
        <v>198</v>
      </c>
      <c r="N263" s="17"/>
      <c r="O263" s="17" t="s">
        <v>30</v>
      </c>
      <c r="P263" s="17"/>
      <c r="Q263" s="30"/>
      <c r="R263" s="17"/>
      <c r="S263" s="42">
        <f>S275+S276</f>
        <v>0</v>
      </c>
      <c r="T263" s="20" t="s">
        <v>106</v>
      </c>
    </row>
    <row r="264" spans="2:20" hidden="1" outlineLevel="1" x14ac:dyDescent="0.2">
      <c r="B264" s="17"/>
      <c r="C264" s="17"/>
      <c r="D264" s="17"/>
      <c r="E264" s="17"/>
      <c r="F264" s="20"/>
      <c r="G264" s="20"/>
      <c r="H264" s="20"/>
      <c r="I264" s="17"/>
      <c r="J264" s="20"/>
      <c r="K264" s="20"/>
      <c r="L264" s="17"/>
      <c r="N264" s="17"/>
      <c r="O264" s="45" t="s">
        <v>153</v>
      </c>
      <c r="P264" s="17"/>
      <c r="Q264" s="30"/>
      <c r="R264" s="17"/>
      <c r="S264" s="42">
        <f>IF(NOT(ISBLANK($K$32)),$K$32,$I$32)</f>
        <v>0</v>
      </c>
      <c r="T264" s="20" t="s">
        <v>106</v>
      </c>
    </row>
    <row r="265" spans="2:20" ht="14.25" hidden="1" outlineLevel="1" x14ac:dyDescent="0.25">
      <c r="B265" s="70"/>
      <c r="C265" s="70" t="s">
        <v>68</v>
      </c>
      <c r="D265" s="71"/>
      <c r="E265" s="71"/>
      <c r="F265" s="72">
        <f>SUM(F266:F269)</f>
        <v>0</v>
      </c>
      <c r="G265" s="72">
        <f t="shared" ref="G265" si="55">SUM(G266:G269)</f>
        <v>0</v>
      </c>
      <c r="H265" s="72">
        <f>SUM(H266:H269)</f>
        <v>4548.5439999999999</v>
      </c>
      <c r="I265" s="71"/>
      <c r="J265" s="72">
        <f t="shared" ref="J265:J269" si="56">F265+G265</f>
        <v>0</v>
      </c>
      <c r="K265" s="72">
        <f t="shared" ref="K265" si="57">SUM(F265:H265)</f>
        <v>4548.5439999999999</v>
      </c>
      <c r="L265" s="77" t="s">
        <v>197</v>
      </c>
      <c r="N265" s="17"/>
      <c r="O265" s="45" t="s">
        <v>160</v>
      </c>
      <c r="P265" s="17"/>
      <c r="Q265" s="30"/>
      <c r="R265" s="17"/>
      <c r="S265" s="42">
        <f>S278+S279</f>
        <v>0</v>
      </c>
      <c r="T265" s="20" t="s">
        <v>106</v>
      </c>
    </row>
    <row r="266" spans="2:20" ht="15.75" hidden="1" outlineLevel="1" x14ac:dyDescent="0.3">
      <c r="B266" s="276"/>
      <c r="C266" s="17"/>
      <c r="D266" s="17" t="s">
        <v>47</v>
      </c>
      <c r="E266" s="17"/>
      <c r="F266" s="38">
        <f>E236*IF(NOT(ISBLANK('Referenz Plattenwerk'!$I36)),'Referenz Plattenwerk'!$I36,'Referenz Plattenwerk'!$F36)*IF(NOT(ISBLANK('Eingabe EF'!$AS21)),'Eingabe EF'!$AS21,'Eingabe EF'!$AQ21)*IF(NOT(ISBLANK('Referenz Plattenwerk'!$I$12)),'Referenz Plattenwerk'!$I$12,'Referenz Plattenwerk'!$F$12)</f>
        <v>0</v>
      </c>
      <c r="G266" s="38">
        <f>E236*IF(NOT(ISBLANK('Referenz Plattenwerk'!$I36)),'Referenz Plattenwerk'!$I36,'Referenz Plattenwerk'!$F36)*IF(NOT(ISBLANK('Eingabe EF'!$AW21)),'Eingabe EF'!$AW21,'Eingabe EF'!$AU21)*IF(NOT(ISBLANK('Referenz Plattenwerk'!$I$12)),'Referenz Plattenwerk'!$I$12,'Referenz Plattenwerk'!$F$12)</f>
        <v>0</v>
      </c>
      <c r="H266" s="38">
        <f>IF(NOT(ISBLANK('Referenz Plattenwerk'!$I36)),'Referenz Plattenwerk'!$I36,'Referenz Plattenwerk'!$F36)*IF(NOT(ISBLANK('Eingabe EF'!$BA21)),'Eingabe EF'!$BA21,'Eingabe EF'!$AY21)*IF(NOT(ISBLANK('Referenz Plattenwerk'!$I$12)),'Referenz Plattenwerk'!$I$12,'Referenz Plattenwerk'!$F$12)</f>
        <v>1210.3</v>
      </c>
      <c r="I266" s="17"/>
      <c r="J266" s="38">
        <f t="shared" si="56"/>
        <v>0</v>
      </c>
      <c r="K266" s="38">
        <f t="shared" ref="K266:K269" si="58">SUM(F266:H266)</f>
        <v>1210.3</v>
      </c>
      <c r="L266" s="17" t="s">
        <v>198</v>
      </c>
      <c r="N266" s="17"/>
      <c r="O266" s="17"/>
      <c r="P266" s="17"/>
      <c r="Q266" s="17"/>
      <c r="R266" s="17"/>
      <c r="S266" s="17"/>
      <c r="T266" s="17"/>
    </row>
    <row r="267" spans="2:20" ht="15.75" hidden="1" outlineLevel="1" x14ac:dyDescent="0.3">
      <c r="B267" s="276"/>
      <c r="C267" s="17"/>
      <c r="D267" s="17" t="s">
        <v>49</v>
      </c>
      <c r="E267" s="17"/>
      <c r="F267" s="38">
        <f>E237*IF(NOT(ISBLANK('Referenz Plattenwerk'!$I37)),'Referenz Plattenwerk'!$I37,'Referenz Plattenwerk'!$F37)*IF(NOT(ISBLANK('Eingabe EF'!$AS22)),'Eingabe EF'!$AS22,'Eingabe EF'!$AQ22)*IF(NOT(ISBLANK('Referenz Plattenwerk'!$I$12)),'Referenz Plattenwerk'!$I$12,'Referenz Plattenwerk'!$F$12)</f>
        <v>0</v>
      </c>
      <c r="G267" s="38">
        <f>E237*IF(NOT(ISBLANK('Referenz Plattenwerk'!$I37)),'Referenz Plattenwerk'!$I37,'Referenz Plattenwerk'!$F37)*IF(NOT(ISBLANK('Eingabe EF'!$AW22)),'Eingabe EF'!$AW22,'Eingabe EF'!$AU22)*IF(NOT(ISBLANK('Referenz Plattenwerk'!$I$12)),'Referenz Plattenwerk'!$I$12,'Referenz Plattenwerk'!$F$12)</f>
        <v>0</v>
      </c>
      <c r="H267" s="38">
        <f>IF(NOT(ISBLANK('Referenz Plattenwerk'!$I37)),'Referenz Plattenwerk'!$I37,'Referenz Plattenwerk'!$F37)*IF(NOT(ISBLANK('Eingabe EF'!$BA22)),'Eingabe EF'!$BA22,'Eingabe EF'!$AY22)*IF(NOT(ISBLANK('Referenz Plattenwerk'!$I$12)),'Referenz Plattenwerk'!$I$12,'Referenz Plattenwerk'!$F$12)</f>
        <v>2415.5039999999999</v>
      </c>
      <c r="I267" s="17"/>
      <c r="J267" s="38">
        <f t="shared" si="56"/>
        <v>0</v>
      </c>
      <c r="K267" s="38">
        <f t="shared" si="58"/>
        <v>2415.5039999999999</v>
      </c>
      <c r="L267" s="17" t="s">
        <v>198</v>
      </c>
      <c r="N267" s="17"/>
      <c r="O267" s="17"/>
      <c r="P267" s="17"/>
      <c r="Q267" s="17"/>
      <c r="R267" s="17"/>
      <c r="S267" s="17"/>
      <c r="T267" s="17"/>
    </row>
    <row r="268" spans="2:20" ht="15.75" hidden="1" outlineLevel="1" x14ac:dyDescent="0.3">
      <c r="B268" s="276"/>
      <c r="C268" s="17"/>
      <c r="D268" s="17" t="s">
        <v>50</v>
      </c>
      <c r="E268" s="17"/>
      <c r="F268" s="38">
        <f>E238*IF(NOT(ISBLANK('Referenz Plattenwerk'!$I38)),'Referenz Plattenwerk'!$I38,'Referenz Plattenwerk'!$F38)*IF(NOT(ISBLANK('Eingabe EF'!$AS23)),'Eingabe EF'!$AS23,'Eingabe EF'!$AQ23)*IF(NOT(ISBLANK('Referenz Plattenwerk'!$I$12)),'Referenz Plattenwerk'!$I$12,'Referenz Plattenwerk'!$F$12)</f>
        <v>0</v>
      </c>
      <c r="G268" s="38">
        <f>E238*IF(NOT(ISBLANK('Referenz Plattenwerk'!$I38)),'Referenz Plattenwerk'!$I38,'Referenz Plattenwerk'!$F38)*IF(NOT(ISBLANK('Eingabe EF'!$AW23)),'Eingabe EF'!$AW23,'Eingabe EF'!$AU23)*IF(NOT(ISBLANK('Referenz Plattenwerk'!$I$12)),'Referenz Plattenwerk'!$I$12,'Referenz Plattenwerk'!$F$12)</f>
        <v>0</v>
      </c>
      <c r="H268" s="38">
        <f>IF(NOT(ISBLANK('Referenz Plattenwerk'!$I38)),'Referenz Plattenwerk'!$I38,'Referenz Plattenwerk'!$F38)*IF(NOT(ISBLANK('Eingabe EF'!$BA23)),'Eingabe EF'!$BA23,'Eingabe EF'!$AY23)*IF(NOT(ISBLANK('Referenz Plattenwerk'!$I$12)),'Referenz Plattenwerk'!$I$12,'Referenz Plattenwerk'!$F$12)</f>
        <v>922.7399999999999</v>
      </c>
      <c r="I268" s="17"/>
      <c r="J268" s="38">
        <f t="shared" si="56"/>
        <v>0</v>
      </c>
      <c r="K268" s="38">
        <f t="shared" si="58"/>
        <v>922.7399999999999</v>
      </c>
      <c r="L268" s="17" t="s">
        <v>198</v>
      </c>
      <c r="N268" s="17"/>
      <c r="O268" s="17" t="s">
        <v>200</v>
      </c>
      <c r="P268" s="17"/>
      <c r="Q268" s="30"/>
      <c r="R268" s="17"/>
      <c r="S268" s="42">
        <f>F309*IF(NOT(ISBLANK('Eingabe Preise'!$O21)),'Eingabe Preise'!$O21,'Eingabe Preise'!$M21)</f>
        <v>7594.5884048000007</v>
      </c>
      <c r="T268" s="20" t="s">
        <v>106</v>
      </c>
    </row>
    <row r="269" spans="2:20" ht="15.75" hidden="1" outlineLevel="1" x14ac:dyDescent="0.3">
      <c r="B269" s="276"/>
      <c r="C269" s="17"/>
      <c r="D269" s="17" t="s">
        <v>161</v>
      </c>
      <c r="E269" s="17"/>
      <c r="F269" s="38">
        <f>E239*IF(NOT(ISBLANK('Referenz Plattenwerk'!$I39)),'Referenz Plattenwerk'!$I39,'Referenz Plattenwerk'!$F39)*IF(NOT(ISBLANK('Eingabe EF'!$AS24)),'Eingabe EF'!$AS24,0)*IF(NOT(ISBLANK('Referenz Plattenwerk'!$I$12)),'Referenz Plattenwerk'!$I$12,'Referenz Plattenwerk'!$F$12)</f>
        <v>0</v>
      </c>
      <c r="G269" s="38">
        <f>E239*IF(NOT(ISBLANK('Referenz Plattenwerk'!$I39)),'Referenz Plattenwerk'!$I39,'Referenz Plattenwerk'!$F39)*IF(NOT(ISBLANK('Eingabe EF'!$AW24)),'Eingabe EF'!$AW24,0)*IF(NOT(ISBLANK('Referenz Plattenwerk'!$I$12)),'Referenz Plattenwerk'!$I$12,'Referenz Plattenwerk'!$F$12)</f>
        <v>0</v>
      </c>
      <c r="H269" s="38">
        <f>E239*IF(NOT(ISBLANK('Referenz Plattenwerk'!$I39)),'Referenz Plattenwerk'!$I39,'Referenz Plattenwerk'!$F39)*IF(NOT(ISBLANK('Eingabe EF'!$BA24)),'Eingabe EF'!$BA24,0)*IF(NOT(ISBLANK('Referenz Plattenwerk'!$I$12)),'Referenz Plattenwerk'!$I$12,'Referenz Plattenwerk'!$F$12)</f>
        <v>0</v>
      </c>
      <c r="I269" s="17"/>
      <c r="J269" s="38">
        <f t="shared" si="56"/>
        <v>0</v>
      </c>
      <c r="K269" s="38">
        <f t="shared" si="58"/>
        <v>0</v>
      </c>
      <c r="L269" s="17" t="s">
        <v>198</v>
      </c>
      <c r="N269" s="17"/>
      <c r="O269" s="17" t="s">
        <v>201</v>
      </c>
      <c r="P269" s="17"/>
      <c r="Q269" s="30"/>
      <c r="R269" s="17"/>
      <c r="S269" s="42">
        <f>G309*IF(NOT(ISBLANK('Eingabe Preise'!$O22)),'Eingabe Preise'!$O22,'Eingabe Preise'!$M22)</f>
        <v>4924.2043876888438</v>
      </c>
      <c r="T269" s="20" t="s">
        <v>106</v>
      </c>
    </row>
    <row r="270" spans="2:20" ht="15.75" hidden="1" outlineLevel="1" x14ac:dyDescent="0.3">
      <c r="B270" s="17"/>
      <c r="C270" s="17"/>
      <c r="D270" s="17"/>
      <c r="E270" s="17"/>
      <c r="F270" s="17"/>
      <c r="G270" s="17"/>
      <c r="H270" s="17"/>
      <c r="I270" s="17"/>
      <c r="J270" s="20"/>
      <c r="K270" s="20"/>
      <c r="L270" s="17"/>
      <c r="N270" s="17"/>
      <c r="O270" s="17" t="s">
        <v>202</v>
      </c>
      <c r="P270" s="17"/>
      <c r="Q270" s="30"/>
      <c r="R270" s="17"/>
      <c r="S270" s="42">
        <f>H309*IF(NOT(ISBLANK('Eingabe Preise'!$O23)),'Eingabe Preise'!$O23,'Eingabe Preise'!$M23)</f>
        <v>465228.24271929194</v>
      </c>
      <c r="T270" s="20" t="s">
        <v>106</v>
      </c>
    </row>
    <row r="271" spans="2:20" ht="14.25" hidden="1" outlineLevel="1" x14ac:dyDescent="0.25">
      <c r="B271" s="70"/>
      <c r="C271" s="70" t="s">
        <v>177</v>
      </c>
      <c r="D271" s="71"/>
      <c r="E271" s="71"/>
      <c r="F271" s="72">
        <f>SUM(F272:F274)</f>
        <v>0</v>
      </c>
      <c r="G271" s="72">
        <f t="shared" ref="G271:H271" si="59">SUM(G272:G274)</f>
        <v>0</v>
      </c>
      <c r="H271" s="72">
        <f t="shared" si="59"/>
        <v>129.59200000000001</v>
      </c>
      <c r="I271" s="71"/>
      <c r="J271" s="72">
        <f t="shared" ref="J271" si="60">F271+G271</f>
        <v>0</v>
      </c>
      <c r="K271" s="72">
        <f t="shared" ref="K271" si="61">SUM(F271:H271)</f>
        <v>129.59200000000001</v>
      </c>
      <c r="L271" s="77" t="s">
        <v>197</v>
      </c>
      <c r="N271" s="17"/>
      <c r="O271" s="17"/>
      <c r="P271" s="17"/>
      <c r="Q271" s="17"/>
      <c r="R271" s="17"/>
      <c r="S271" s="17"/>
      <c r="T271" s="17"/>
    </row>
    <row r="272" spans="2:20" ht="15.75" hidden="1" outlineLevel="1" x14ac:dyDescent="0.3">
      <c r="B272" s="17"/>
      <c r="C272" s="17"/>
      <c r="D272" s="17" t="s">
        <v>178</v>
      </c>
      <c r="E272" s="17"/>
      <c r="F272" s="38">
        <f>IF(NOT(ISBLANK('Referenz Plattenwerk'!$I42)),'Referenz Plattenwerk'!$I42,'Referenz Plattenwerk'!$F42)*IF(NOT(ISBLANK('Eingabe EF'!$AS27)),'Eingabe EF'!$AS27,'Eingabe EF'!$AQ27)*IF(NOT(ISBLANK('Referenz Plattenwerk'!$I$12)),'Referenz Plattenwerk'!$I$12,'Referenz Plattenwerk'!$F$12)</f>
        <v>0</v>
      </c>
      <c r="G272" s="38">
        <f>IF(NOT(ISBLANK('Referenz Plattenwerk'!$I42)),'Referenz Plattenwerk'!$I42,'Referenz Plattenwerk'!$F42)*IF(NOT(ISBLANK('Eingabe EF'!$AW27)),'Eingabe EF'!$AW27,'Eingabe EF'!$AU27)*IF(NOT(ISBLANK('Referenz Plattenwerk'!$I$12)),'Referenz Plattenwerk'!$I$12,'Referenz Plattenwerk'!$F$12)</f>
        <v>0</v>
      </c>
      <c r="H272" s="38">
        <f>$E$236*IF(NOT(ISBLANK('Referenz Plattenwerk'!$I42)),'Referenz Plattenwerk'!$I42,'Referenz Plattenwerk'!$F42)*IF(NOT(ISBLANK('Eingabe EF'!$BA27)),'Eingabe EF'!$BA27,'Eingabe EF'!$AY27)*IF(NOT(ISBLANK('Referenz Plattenwerk'!$I$12)),'Referenz Plattenwerk'!$I$12,'Referenz Plattenwerk'!$F$12)</f>
        <v>129.59200000000001</v>
      </c>
      <c r="I272" s="17"/>
      <c r="J272" s="38">
        <f>F272+G272</f>
        <v>0</v>
      </c>
      <c r="K272" s="38">
        <f>SUM(F272:H272)</f>
        <v>129.59200000000001</v>
      </c>
      <c r="L272" s="17" t="s">
        <v>198</v>
      </c>
      <c r="N272" s="17"/>
      <c r="O272" s="17"/>
      <c r="P272" s="17"/>
      <c r="Q272" s="17"/>
      <c r="R272" s="17"/>
      <c r="S272" s="17"/>
      <c r="T272" s="17"/>
    </row>
    <row r="273" spans="2:20" ht="15.75" hidden="1" outlineLevel="1" x14ac:dyDescent="0.3">
      <c r="B273" s="17"/>
      <c r="C273" s="17"/>
      <c r="D273" s="17" t="s">
        <v>179</v>
      </c>
      <c r="E273" s="17"/>
      <c r="F273" s="38">
        <f>IF(NOT(ISBLANK('Referenz Plattenwerk'!$I43)),'Referenz Plattenwerk'!$I43,'Referenz Plattenwerk'!$F43)*IF(NOT(ISBLANK('Eingabe EF'!$AS28)),'Eingabe EF'!$AS28,0)*IF(NOT(ISBLANK('Referenz Plattenwerk'!$I$12)),'Referenz Plattenwerk'!$I$12,'Referenz Plattenwerk'!$F$12)</f>
        <v>0</v>
      </c>
      <c r="G273" s="38">
        <f>IF(NOT(ISBLANK('Referenz Plattenwerk'!$I43)),'Referenz Plattenwerk'!$I43,'Referenz Plattenwerk'!$F43)*IF(NOT(ISBLANK('Eingabe EF'!$AW28)),'Eingabe EF'!$AW28,0)*IF(NOT(ISBLANK('Referenz Plattenwerk'!$I$12)),'Referenz Plattenwerk'!$I$12,'Referenz Plattenwerk'!$F$12)</f>
        <v>0</v>
      </c>
      <c r="H273" s="38">
        <f>$E$237*IF(NOT(ISBLANK('Referenz Plattenwerk'!$I43)),'Referenz Plattenwerk'!$I43,'Referenz Plattenwerk'!$F43)*IF(NOT(ISBLANK('Eingabe EF'!$BA28)),'Eingabe EF'!$BA28,0)*IF(NOT(ISBLANK('Referenz Plattenwerk'!$I$12)),'Referenz Plattenwerk'!$I$12,'Referenz Plattenwerk'!$F$12)</f>
        <v>0</v>
      </c>
      <c r="I273" s="17"/>
      <c r="J273" s="38">
        <f>F273+G273</f>
        <v>0</v>
      </c>
      <c r="K273" s="38">
        <f t="shared" ref="K273:K274" si="62">SUM(F273:H273)</f>
        <v>0</v>
      </c>
      <c r="L273" s="17" t="s">
        <v>198</v>
      </c>
      <c r="N273" s="17"/>
      <c r="O273" s="17"/>
      <c r="P273" s="17"/>
      <c r="Q273" s="18"/>
      <c r="R273" s="17"/>
      <c r="S273" s="18"/>
      <c r="T273" s="18"/>
    </row>
    <row r="274" spans="2:20" ht="15.75" hidden="1" outlineLevel="1" x14ac:dyDescent="0.3">
      <c r="B274" s="17"/>
      <c r="C274" s="17"/>
      <c r="D274" s="17" t="s">
        <v>180</v>
      </c>
      <c r="E274" s="17"/>
      <c r="F274" s="38">
        <f>IF(NOT(ISBLANK('Referenz Plattenwerk'!$I44)),'Referenz Plattenwerk'!$I44,'Referenz Plattenwerk'!$F44)*IF(NOT(ISBLANK('Eingabe EF'!$AS29)),'Eingabe EF'!$AS29,0)*IF(NOT(ISBLANK('Referenz Plattenwerk'!$I$12)),'Referenz Plattenwerk'!$I$12,'Referenz Plattenwerk'!$F$12)</f>
        <v>0</v>
      </c>
      <c r="G274" s="38">
        <f>IF(NOT(ISBLANK('Referenz Plattenwerk'!$I44)),'Referenz Plattenwerk'!$I44,'Referenz Plattenwerk'!$F44)*IF(NOT(ISBLANK('Eingabe EF'!$AW29)),'Eingabe EF'!$AW29,0)*IF(NOT(ISBLANK('Referenz Plattenwerk'!$I$12)),'Referenz Plattenwerk'!$I$12,'Referenz Plattenwerk'!$F$12)</f>
        <v>0</v>
      </c>
      <c r="H274" s="38">
        <f>$E$238*IF(NOT(ISBLANK('Referenz Plattenwerk'!$I44)),'Referenz Plattenwerk'!$I44,'Referenz Plattenwerk'!$F44)*IF(NOT(ISBLANK('Eingabe EF'!$BA29)),'Eingabe EF'!$BA29,0)*IF(NOT(ISBLANK('Referenz Plattenwerk'!$I$12)),'Referenz Plattenwerk'!$I$12,'Referenz Plattenwerk'!$F$12)</f>
        <v>0</v>
      </c>
      <c r="I274" s="17"/>
      <c r="J274" s="38">
        <f t="shared" ref="J274" si="63">F274+G274</f>
        <v>0</v>
      </c>
      <c r="K274" s="38">
        <f t="shared" si="62"/>
        <v>0</v>
      </c>
      <c r="L274" s="17" t="s">
        <v>198</v>
      </c>
      <c r="N274" s="21" t="s">
        <v>223</v>
      </c>
      <c r="O274" s="17"/>
      <c r="P274" s="17"/>
      <c r="Q274" s="17"/>
      <c r="R274" s="17"/>
      <c r="S274" s="17"/>
      <c r="T274" s="17"/>
    </row>
    <row r="275" spans="2:20" hidden="1" outlineLevel="1" x14ac:dyDescent="0.2">
      <c r="B275" s="17"/>
      <c r="C275" s="17"/>
      <c r="D275" s="17"/>
      <c r="E275" s="17"/>
      <c r="F275" s="17"/>
      <c r="G275" s="17"/>
      <c r="H275" s="17"/>
      <c r="I275" s="17"/>
      <c r="J275" s="20"/>
      <c r="K275" s="20"/>
      <c r="L275" s="17"/>
      <c r="N275" s="17"/>
      <c r="O275" s="17" t="s">
        <v>224</v>
      </c>
      <c r="P275" s="17"/>
      <c r="Q275" s="18"/>
      <c r="R275" s="17"/>
      <c r="S275" s="42">
        <f>IF(IF(NOT(ISBLANK($G$36)),$G$36,$E$36)&gt;5,S184,0)</f>
        <v>0</v>
      </c>
      <c r="T275" s="20" t="s">
        <v>106</v>
      </c>
    </row>
    <row r="276" spans="2:20" ht="14.25" hidden="1" outlineLevel="1" x14ac:dyDescent="0.25">
      <c r="B276" s="17"/>
      <c r="C276" s="17"/>
      <c r="D276" s="21" t="s">
        <v>57</v>
      </c>
      <c r="E276" s="21"/>
      <c r="F276" s="75">
        <f>IF(NOT(ISBLANK('Referenz Plattenwerk'!$I46)),'Referenz Plattenwerk'!$I46,'Referenz Plattenwerk'!$F46)*IF(NOT(ISBLANK('Eingabe EF'!$AS31)),'Eingabe EF'!$AS31,'Eingabe EF'!$AQ31)*IF(NOT(ISBLANK('Referenz Plattenwerk'!$I$12)),'Referenz Plattenwerk'!$I$12,'Referenz Plattenwerk'!$F$12)</f>
        <v>0</v>
      </c>
      <c r="G276" s="75">
        <f>IF(NOT(ISBLANK('Referenz Plattenwerk'!$I46)),'Referenz Plattenwerk'!$I46,'Referenz Plattenwerk'!$F46)*IF(NOT(ISBLANK('Eingabe EF'!$AW31)),'Eingabe EF'!$AW31,'Eingabe EF'!$AU31)*IF(NOT(ISBLANK('Referenz Plattenwerk'!$I$12)),'Referenz Plattenwerk'!$I$12,'Referenz Plattenwerk'!$F$12)</f>
        <v>0</v>
      </c>
      <c r="H276" s="75">
        <f>IF(NOT(ISBLANK('Referenz Plattenwerk'!$I46)),'Referenz Plattenwerk'!$I46,'Referenz Plattenwerk'!$F46)*IF(NOT(ISBLANK('Eingabe EF'!$BA31)),'Eingabe EF'!$BA31,'Eingabe EF'!$AY31)*IF(NOT(ISBLANK('Referenz Plattenwerk'!$I$12)),'Referenz Plattenwerk'!$I$12,'Referenz Plattenwerk'!$F$12)</f>
        <v>208</v>
      </c>
      <c r="I276" s="21"/>
      <c r="J276" s="75">
        <f>F276+G276</f>
        <v>0</v>
      </c>
      <c r="K276" s="75">
        <f t="shared" ref="K276" si="64">SUM(F276:H276)</f>
        <v>208</v>
      </c>
      <c r="L276" s="21" t="s">
        <v>197</v>
      </c>
      <c r="N276" s="17"/>
      <c r="O276" s="17" t="s">
        <v>225</v>
      </c>
      <c r="P276" s="17"/>
      <c r="Q276" s="17"/>
      <c r="R276" s="17"/>
      <c r="S276" s="42">
        <f>IF(NOT(ISBLANK($K$31)),$K$31,$I$31)/IF(NOT(ISBLANK($K$36)),$K$36,$I$36)+IF(NOT(ISBLANK($K$31)),$K$31,$I$31)*(IF(NOT(ISBLANK($K$37)),$K$37,$I$37)/100)</f>
        <v>0</v>
      </c>
      <c r="T276" s="20" t="s">
        <v>106</v>
      </c>
    </row>
    <row r="277" spans="2:20" hidden="1" outlineLevel="1" x14ac:dyDescent="0.2">
      <c r="B277" s="17"/>
      <c r="C277" s="17"/>
      <c r="D277" s="17"/>
      <c r="E277" s="17"/>
      <c r="F277" s="17"/>
      <c r="G277" s="17"/>
      <c r="H277" s="17"/>
      <c r="I277" s="17"/>
      <c r="J277" s="20"/>
      <c r="K277" s="20"/>
      <c r="L277" s="17"/>
      <c r="N277" s="17"/>
      <c r="O277" s="17"/>
      <c r="P277" s="17"/>
      <c r="Q277" s="18"/>
      <c r="R277" s="17"/>
      <c r="S277" s="18"/>
      <c r="T277" s="18"/>
    </row>
    <row r="278" spans="2:20" ht="14.25" hidden="1" outlineLevel="1" x14ac:dyDescent="0.25">
      <c r="B278" s="70"/>
      <c r="C278" s="70" t="s">
        <v>181</v>
      </c>
      <c r="D278" s="71"/>
      <c r="E278" s="71"/>
      <c r="F278" s="72">
        <f>SUM(F279:F281)</f>
        <v>0</v>
      </c>
      <c r="G278" s="72">
        <f t="shared" ref="G278:H278" si="65">SUM(G279:G281)</f>
        <v>0</v>
      </c>
      <c r="H278" s="72">
        <f t="shared" si="65"/>
        <v>81.003999999999991</v>
      </c>
      <c r="I278" s="71"/>
      <c r="J278" s="72">
        <f t="shared" ref="J278" si="66">F278+G278</f>
        <v>0</v>
      </c>
      <c r="K278" s="72">
        <f t="shared" ref="K278" si="67">SUM(F278:H278)</f>
        <v>81.003999999999991</v>
      </c>
      <c r="L278" s="77" t="s">
        <v>197</v>
      </c>
      <c r="N278" s="17"/>
      <c r="O278" s="17" t="s">
        <v>227</v>
      </c>
      <c r="P278" s="17"/>
      <c r="Q278" s="17"/>
      <c r="R278" s="17"/>
      <c r="S278" s="42">
        <f>IF(IF(NOT(ISBLANK($G$36)),$G$36,$E$36)&gt;5,S186,0)</f>
        <v>0</v>
      </c>
      <c r="T278" s="20" t="s">
        <v>106</v>
      </c>
    </row>
    <row r="279" spans="2:20" ht="15.75" hidden="1" outlineLevel="1" x14ac:dyDescent="0.3">
      <c r="B279" s="17"/>
      <c r="C279" s="17"/>
      <c r="D279" s="17" t="s">
        <v>59</v>
      </c>
      <c r="E279" s="17"/>
      <c r="F279" s="38">
        <f>IF(NOT(ISBLANK('Referenz Plattenwerk'!$I49)),'Referenz Plattenwerk'!$I49,'Referenz Plattenwerk'!$F49)*IF(NOT(ISBLANK('Eingabe EF'!$AS34)),'Eingabe EF'!$AS34,'Eingabe EF'!$AQ34)*IF(NOT(ISBLANK('Referenz Plattenwerk'!$I$12)),'Referenz Plattenwerk'!$I$12,'Referenz Plattenwerk'!$F$12)</f>
        <v>0</v>
      </c>
      <c r="G279" s="38">
        <f>IF(NOT(ISBLANK('Referenz Plattenwerk'!$I49)),'Referenz Plattenwerk'!$I49,'Referenz Plattenwerk'!$F49)*IF(NOT(ISBLANK('Eingabe EF'!$AW34)),'Eingabe EF'!$AW34,'Eingabe EF'!$AU34)*IF(NOT(ISBLANK('Referenz Plattenwerk'!$I$12)),'Referenz Plattenwerk'!$I$12,'Referenz Plattenwerk'!$F$12)</f>
        <v>0</v>
      </c>
      <c r="H279" s="38">
        <f>IF(NOT(ISBLANK('Referenz Plattenwerk'!$I49)),'Referenz Plattenwerk'!$I49,'Referenz Plattenwerk'!$F49)*IF(NOT(ISBLANK('Eingabe EF'!$BA34)),'Eingabe EF'!$BA34,'Eingabe EF'!$AY34)*IF(NOT(ISBLANK('Referenz Plattenwerk'!$I$12)),'Referenz Plattenwerk'!$I$12,'Referenz Plattenwerk'!$F$12)</f>
        <v>0</v>
      </c>
      <c r="I279" s="17"/>
      <c r="J279" s="38">
        <f>F279+G279</f>
        <v>0</v>
      </c>
      <c r="K279" s="38">
        <f>SUM(F279:H279)</f>
        <v>0</v>
      </c>
      <c r="L279" s="17" t="s">
        <v>198</v>
      </c>
      <c r="N279" s="17"/>
      <c r="O279" s="17" t="s">
        <v>228</v>
      </c>
      <c r="P279" s="17"/>
      <c r="Q279" s="18"/>
      <c r="R279" s="17"/>
      <c r="S279" s="42">
        <f>IF(NOT(ISBLANK($K$33)),$K$33,$I$33)/IF(NOT(ISBLANK($K$36)),$K$36,$I$36)+IF(NOT(ISBLANK($K$33)),$K$33,$I$33)*(IF(NOT(ISBLANK($K$37)),$K$37,$I$37)/100)</f>
        <v>0</v>
      </c>
      <c r="T279" s="20" t="s">
        <v>106</v>
      </c>
    </row>
    <row r="280" spans="2:20" ht="15.75" hidden="1" outlineLevel="1" x14ac:dyDescent="0.3">
      <c r="B280" s="276"/>
      <c r="C280" s="17"/>
      <c r="D280" s="17" t="s">
        <v>60</v>
      </c>
      <c r="E280" s="17"/>
      <c r="F280" s="38">
        <f>IF(NOT(ISBLANK('Referenz Plattenwerk'!$I50)),'Referenz Plattenwerk'!$I50,'Referenz Plattenwerk'!$F50)*IF(NOT(ISBLANK('Eingabe EF'!$AS35)),'Eingabe EF'!$AS35,'Eingabe EF'!$AQ35)*IF(NOT(ISBLANK('Referenz Plattenwerk'!$I$12)),'Referenz Plattenwerk'!$I$12,'Referenz Plattenwerk'!$F$12)</f>
        <v>0</v>
      </c>
      <c r="G280" s="38">
        <f>IF(NOT(ISBLANK('Referenz Plattenwerk'!$I50)),'Referenz Plattenwerk'!$I50,'Referenz Plattenwerk'!$F50)*IF(NOT(ISBLANK('Eingabe EF'!$AW35)),'Eingabe EF'!$AW35,'Eingabe EF'!$AU35)*IF(NOT(ISBLANK('Referenz Plattenwerk'!$I$12)),'Referenz Plattenwerk'!$I$12,'Referenz Plattenwerk'!$F$12)</f>
        <v>0</v>
      </c>
      <c r="H280" s="38">
        <f>IF(NOT(ISBLANK('Referenz Plattenwerk'!$I50)),'Referenz Plattenwerk'!$I50,'Referenz Plattenwerk'!$F50)*IF(NOT(ISBLANK('Eingabe EF'!$BA35)),'Eingabe EF'!$BA35,'Eingabe EF'!$AY35)*IF(NOT(ISBLANK('Referenz Plattenwerk'!$I$12)),'Referenz Plattenwerk'!$I$12,'Referenz Plattenwerk'!$F$12)</f>
        <v>8.6840000000000011</v>
      </c>
      <c r="I280" s="17"/>
      <c r="J280" s="38">
        <f>F280+G280</f>
        <v>0</v>
      </c>
      <c r="K280" s="38">
        <f>SUM(F280:H280)</f>
        <v>8.6840000000000011</v>
      </c>
      <c r="L280" s="17" t="s">
        <v>198</v>
      </c>
      <c r="N280" s="17"/>
      <c r="O280" s="17"/>
      <c r="P280" s="17"/>
      <c r="Q280" s="18"/>
      <c r="R280" s="17"/>
      <c r="S280" s="18"/>
      <c r="T280" s="18"/>
    </row>
    <row r="281" spans="2:20" ht="15.75" hidden="1" outlineLevel="1" x14ac:dyDescent="0.3">
      <c r="B281" s="276"/>
      <c r="C281" s="17"/>
      <c r="D281" s="17" t="s">
        <v>61</v>
      </c>
      <c r="E281" s="17"/>
      <c r="F281" s="38">
        <f>IF(NOT(ISBLANK('Referenz Plattenwerk'!$I51)),'Referenz Plattenwerk'!$I51,'Referenz Plattenwerk'!$F51)*IF(NOT(ISBLANK('Eingabe EF'!$AS36)),'Eingabe EF'!$AS36,'Eingabe EF'!$AQ36)*IF(NOT(ISBLANK('Referenz Plattenwerk'!$I$12)),'Referenz Plattenwerk'!$I$12,'Referenz Plattenwerk'!$F$12)</f>
        <v>0</v>
      </c>
      <c r="G281" s="38">
        <f>IF(NOT(ISBLANK('Referenz Plattenwerk'!$I51)),'Referenz Plattenwerk'!$I51,'Referenz Plattenwerk'!$F51)*IF(NOT(ISBLANK('Eingabe EF'!$AW36)),'Eingabe EF'!$AW36,'Eingabe EF'!$AU36)*IF(NOT(ISBLANK('Referenz Plattenwerk'!$I$12)),'Referenz Plattenwerk'!$I$12,'Referenz Plattenwerk'!$F$12)</f>
        <v>0</v>
      </c>
      <c r="H281" s="38">
        <f>IF(NOT(ISBLANK('Referenz Plattenwerk'!$I51)),'Referenz Plattenwerk'!$I51,'Referenz Plattenwerk'!$F51)*IF(NOT(ISBLANK('Eingabe EF'!$BA36)),'Eingabe EF'!$BA36,'Eingabe EF'!$AY36)*IF(NOT(ISBLANK('Referenz Plattenwerk'!$I$12)),'Referenz Plattenwerk'!$I$12,'Referenz Plattenwerk'!$F$12)</f>
        <v>72.319999999999993</v>
      </c>
      <c r="I281" s="17"/>
      <c r="J281" s="38">
        <f>F281+G281</f>
        <v>0</v>
      </c>
      <c r="K281" s="38">
        <f>SUM(F281:H281)</f>
        <v>72.319999999999993</v>
      </c>
      <c r="L281" s="17" t="s">
        <v>198</v>
      </c>
      <c r="N281" s="17"/>
      <c r="O281" s="17"/>
      <c r="P281" s="17"/>
      <c r="Q281" s="17"/>
      <c r="R281" s="17"/>
      <c r="S281" s="17"/>
      <c r="T281" s="17"/>
    </row>
    <row r="282" spans="2:20" hidden="1" outlineLevel="1" x14ac:dyDescent="0.2">
      <c r="B282" s="17"/>
      <c r="C282" s="17"/>
      <c r="D282" s="17"/>
      <c r="E282" s="17"/>
      <c r="F282" s="17"/>
      <c r="G282" s="17"/>
      <c r="H282" s="17"/>
      <c r="I282" s="17"/>
      <c r="J282" s="17"/>
      <c r="K282" s="20"/>
      <c r="L282" s="20"/>
      <c r="N282" s="17"/>
      <c r="O282" s="17"/>
      <c r="P282" s="17"/>
      <c r="Q282" s="18"/>
      <c r="R282" s="17"/>
      <c r="S282" s="18"/>
      <c r="T282" s="18"/>
    </row>
    <row r="283" spans="2:20" ht="14.25" hidden="1" outlineLevel="1" x14ac:dyDescent="0.25">
      <c r="B283" s="70"/>
      <c r="C283" s="70" t="s">
        <v>51</v>
      </c>
      <c r="D283" s="71"/>
      <c r="E283" s="71"/>
      <c r="F283" s="72">
        <f>SUM(F284:F287)</f>
        <v>0</v>
      </c>
      <c r="G283" s="72">
        <f t="shared" ref="G283:H283" si="68">SUM(G284:G287)</f>
        <v>0</v>
      </c>
      <c r="H283" s="72">
        <f t="shared" si="68"/>
        <v>148.44746134951595</v>
      </c>
      <c r="I283" s="71"/>
      <c r="J283" s="72">
        <f t="shared" ref="J283:J287" si="69">F283+G283</f>
        <v>0</v>
      </c>
      <c r="K283" s="72">
        <f t="shared" ref="K283" si="70">SUM(F283:H283)</f>
        <v>148.44746134951595</v>
      </c>
      <c r="L283" s="77" t="s">
        <v>197</v>
      </c>
    </row>
    <row r="284" spans="2:20" ht="15.75" hidden="1" outlineLevel="1" x14ac:dyDescent="0.3">
      <c r="B284" s="17"/>
      <c r="C284" s="17"/>
      <c r="D284" s="17" t="s">
        <v>52</v>
      </c>
      <c r="E284" s="17"/>
      <c r="F284" s="38">
        <f>IF(NOT(ISBLANK('Referenz Plattenwerk'!$I$53)),'Referenz Plattenwerk'!$I$53,'Referenz Plattenwerk'!$F$53)*IF(NOT(ISBLANK('Referenz Plattenwerk'!$I54)),'Referenz Plattenwerk'!$I54,'Referenz Plattenwerk'!$F54)*IF(NOT(ISBLANK('Eingabe EF'!$AS39)),'Eingabe EF'!$AS39,'Eingabe EF'!$AQ39)*IF(NOT(ISBLANK('Referenz Plattenwerk'!$I$12)),'Referenz Plattenwerk'!$I$12,'Referenz Plattenwerk'!$F$12)</f>
        <v>0</v>
      </c>
      <c r="G284" s="38">
        <f>IF(NOT(ISBLANK('Referenz Plattenwerk'!$I$53)),'Referenz Plattenwerk'!$I$53,'Referenz Plattenwerk'!$F$53)*IF(NOT(ISBLANK('Referenz Plattenwerk'!$I54)),'Referenz Plattenwerk'!$I54,'Referenz Plattenwerk'!$F54)*IF(NOT(ISBLANK('Eingabe EF'!$AW39)),'Eingabe EF'!$AW39,'Eingabe EF'!$AU39)*IF(NOT(ISBLANK('Referenz Plattenwerk'!$I$12)),'Referenz Plattenwerk'!$I$12,'Referenz Plattenwerk'!$F$12)</f>
        <v>0</v>
      </c>
      <c r="H284" s="38">
        <f>IF(NOT(ISBLANK('Referenz Plattenwerk'!$I$53)),'Referenz Plattenwerk'!$I$53,'Referenz Plattenwerk'!$F$53)*IF(NOT(ISBLANK('Referenz Plattenwerk'!$I54)),'Referenz Plattenwerk'!$I54,'Referenz Plattenwerk'!$F54)*IF(NOT(ISBLANK('Eingabe EF'!$BA39)),'Eingabe EF'!$BA39,'Eingabe EF'!$AY39)*IF(NOT(ISBLANK('Referenz Plattenwerk'!$I$12)),'Referenz Plattenwerk'!$I$12,'Referenz Plattenwerk'!$F$12)</f>
        <v>47.997919375812742</v>
      </c>
      <c r="I284" s="17"/>
      <c r="J284" s="38">
        <f t="shared" si="69"/>
        <v>0</v>
      </c>
      <c r="K284" s="38">
        <f t="shared" ref="K284:K287" si="71">SUM(F284:H284)</f>
        <v>47.997919375812742</v>
      </c>
      <c r="L284" s="17" t="s">
        <v>198</v>
      </c>
    </row>
    <row r="285" spans="2:20" ht="15.75" hidden="1" outlineLevel="1" x14ac:dyDescent="0.3">
      <c r="B285" s="17"/>
      <c r="C285" s="17"/>
      <c r="D285" s="17" t="s">
        <v>54</v>
      </c>
      <c r="E285" s="17"/>
      <c r="F285" s="38">
        <f>IF(NOT(ISBLANK('Referenz Plattenwerk'!$I$53)),'Referenz Plattenwerk'!$I$53,'Referenz Plattenwerk'!$F$53)*IF(NOT(ISBLANK('Referenz Plattenwerk'!$I55)),'Referenz Plattenwerk'!$I55,'Referenz Plattenwerk'!$F55)*IF(NOT(ISBLANK('Eingabe EF'!$AS40)),'Eingabe EF'!$AS40,'Eingabe EF'!$AQ40)*IF(NOT(ISBLANK('Referenz Plattenwerk'!$I$12)),'Referenz Plattenwerk'!$I$12,'Referenz Plattenwerk'!$F$12)</f>
        <v>0</v>
      </c>
      <c r="G285" s="38">
        <f>IF(NOT(ISBLANK('Referenz Plattenwerk'!$I$53)),'Referenz Plattenwerk'!$I$53,'Referenz Plattenwerk'!$F$53)*IF(NOT(ISBLANK('Referenz Plattenwerk'!$I55)),'Referenz Plattenwerk'!$I55,'Referenz Plattenwerk'!$F55)*IF(NOT(ISBLANK('Eingabe EF'!$AW40)),'Eingabe EF'!$AW40,'Eingabe EF'!$AU40)*IF(NOT(ISBLANK('Referenz Plattenwerk'!$I$12)),'Referenz Plattenwerk'!$I$12,'Referenz Plattenwerk'!$F$12)</f>
        <v>0</v>
      </c>
      <c r="H285" s="38">
        <f>IF(NOT(ISBLANK('Referenz Plattenwerk'!$I$53)),'Referenz Plattenwerk'!$I$53,'Referenz Plattenwerk'!$F$53)*IF(NOT(ISBLANK('Referenz Plattenwerk'!$I55)),'Referenz Plattenwerk'!$I55,'Referenz Plattenwerk'!$F55)*IF(NOT(ISBLANK('Eingabe EF'!$BA40)),'Eingabe EF'!$BA40,'Eingabe EF'!$AY40)*IF(NOT(ISBLANK('Referenz Plattenwerk'!$I$12)),'Referenz Plattenwerk'!$I$12,'Referenz Plattenwerk'!$F$12)</f>
        <v>5.7797543707556596</v>
      </c>
      <c r="I285" s="17"/>
      <c r="J285" s="38">
        <f t="shared" si="69"/>
        <v>0</v>
      </c>
      <c r="K285" s="38">
        <f t="shared" si="71"/>
        <v>5.7797543707556596</v>
      </c>
      <c r="L285" s="17" t="s">
        <v>198</v>
      </c>
    </row>
    <row r="286" spans="2:20" ht="15.75" hidden="1" outlineLevel="1" x14ac:dyDescent="0.3">
      <c r="B286" s="17"/>
      <c r="C286" s="17"/>
      <c r="D286" s="17" t="s">
        <v>55</v>
      </c>
      <c r="E286" s="17"/>
      <c r="F286" s="38">
        <f>IF(NOT(ISBLANK('Referenz Plattenwerk'!$I$53)),'Referenz Plattenwerk'!$I$53,'Referenz Plattenwerk'!$F$53)*IF(NOT(ISBLANK('Referenz Plattenwerk'!$I56)),'Referenz Plattenwerk'!$I56,'Referenz Plattenwerk'!$F56)*IF(NOT(ISBLANK('Eingabe EF'!$AS41)),'Eingabe EF'!$AS41,'Eingabe EF'!$AQ41)*IF(NOT(ISBLANK('Referenz Plattenwerk'!$I$12)),'Referenz Plattenwerk'!$I$12,'Referenz Plattenwerk'!$F$12)</f>
        <v>0</v>
      </c>
      <c r="G286" s="38">
        <f>IF(NOT(ISBLANK('Referenz Plattenwerk'!$I$53)),'Referenz Plattenwerk'!$I$53,'Referenz Plattenwerk'!$F$53)*IF(NOT(ISBLANK('Referenz Plattenwerk'!$I56)),'Referenz Plattenwerk'!$I56,'Referenz Plattenwerk'!$F56)*IF(NOT(ISBLANK('Eingabe EF'!$AW41)),'Eingabe EF'!$AW41,'Eingabe EF'!$AU41)*IF(NOT(ISBLANK('Referenz Plattenwerk'!$I$12)),'Referenz Plattenwerk'!$I$12,'Referenz Plattenwerk'!$F$12)</f>
        <v>0</v>
      </c>
      <c r="H286" s="38">
        <f>IF(NOT(ISBLANK('Referenz Plattenwerk'!$I$53)),'Referenz Plattenwerk'!$I$53,'Referenz Plattenwerk'!$F$53)*IF(NOT(ISBLANK('Referenz Plattenwerk'!$I56)),'Referenz Plattenwerk'!$I56,'Referenz Plattenwerk'!$F56)*IF(NOT(ISBLANK('Eingabe EF'!$BA41)),'Eingabe EF'!$BA41,'Eingabe EF'!$AY41)*IF(NOT(ISBLANK('Referenz Plattenwerk'!$I$12)),'Referenz Plattenwerk'!$I$12,'Referenz Plattenwerk'!$F$12)</f>
        <v>1.4217598612917211E-2</v>
      </c>
      <c r="I286" s="17"/>
      <c r="J286" s="38">
        <f t="shared" si="69"/>
        <v>0</v>
      </c>
      <c r="K286" s="38">
        <f t="shared" si="71"/>
        <v>1.4217598612917211E-2</v>
      </c>
      <c r="L286" s="17" t="s">
        <v>198</v>
      </c>
    </row>
    <row r="287" spans="2:20" ht="15.75" hidden="1" outlineLevel="1" x14ac:dyDescent="0.3">
      <c r="B287" s="17"/>
      <c r="C287" s="17"/>
      <c r="D287" s="17" t="s">
        <v>56</v>
      </c>
      <c r="E287" s="17"/>
      <c r="F287" s="38">
        <f>IF(NOT(ISBLANK('Referenz Plattenwerk'!$I$53)),'Referenz Plattenwerk'!$I$53,'Referenz Plattenwerk'!$F$53)*IF(NOT(ISBLANK('Referenz Plattenwerk'!$I57)),'Referenz Plattenwerk'!$I57,'Referenz Plattenwerk'!$F57)*IF(NOT(ISBLANK('Eingabe EF'!$AS42)),'Eingabe EF'!$AS42,'Eingabe EF'!$AQ42)*IF(NOT(ISBLANK('Referenz Plattenwerk'!$I$12)),'Referenz Plattenwerk'!$I$12,'Referenz Plattenwerk'!$F$12)</f>
        <v>0</v>
      </c>
      <c r="G287" s="38">
        <f>IF(NOT(ISBLANK('Referenz Plattenwerk'!$I$53)),'Referenz Plattenwerk'!$I$53,'Referenz Plattenwerk'!$F$53)*IF(NOT(ISBLANK('Referenz Plattenwerk'!$I57)),'Referenz Plattenwerk'!$I57,'Referenz Plattenwerk'!$F57)*IF(NOT(ISBLANK('Eingabe EF'!$AW42)),'Eingabe EF'!$AW42,'Eingabe EF'!$AU42)*IF(NOT(ISBLANK('Referenz Plattenwerk'!$I$12)),'Referenz Plattenwerk'!$I$12,'Referenz Plattenwerk'!$F$12)</f>
        <v>0</v>
      </c>
      <c r="H287" s="38">
        <f>IF(NOT(ISBLANK('Referenz Plattenwerk'!$I$53)),'Referenz Plattenwerk'!$I$53,'Referenz Plattenwerk'!$F$53)*IF(NOT(ISBLANK('Referenz Plattenwerk'!$I57)),'Referenz Plattenwerk'!$I57,'Referenz Plattenwerk'!$F57)*IF(NOT(ISBLANK('Eingabe EF'!$BA42)),'Eingabe EF'!$BA42,'Eingabe EF'!$AY42)*IF(NOT(ISBLANK('Referenz Plattenwerk'!$I$12)),'Referenz Plattenwerk'!$I$12,'Referenz Plattenwerk'!$F$12)</f>
        <v>94.655570004334635</v>
      </c>
      <c r="I287" s="17"/>
      <c r="J287" s="38">
        <f t="shared" si="69"/>
        <v>0</v>
      </c>
      <c r="K287" s="38">
        <f t="shared" si="71"/>
        <v>94.655570004334635</v>
      </c>
      <c r="L287" s="17" t="s">
        <v>198</v>
      </c>
    </row>
    <row r="288" spans="2:20" hidden="1" outlineLevel="1" x14ac:dyDescent="0.2">
      <c r="B288" s="17"/>
      <c r="C288" s="17"/>
      <c r="D288" s="17"/>
      <c r="E288" s="17"/>
      <c r="F288" s="17"/>
      <c r="G288" s="17"/>
      <c r="H288" s="17"/>
      <c r="I288" s="17"/>
      <c r="J288" s="17"/>
      <c r="K288" s="17"/>
      <c r="L288" s="20"/>
    </row>
    <row r="289" spans="2:12" ht="14.25" hidden="1" outlineLevel="1" x14ac:dyDescent="0.25">
      <c r="B289" s="70"/>
      <c r="C289" s="70" t="s">
        <v>337</v>
      </c>
      <c r="D289" s="71"/>
      <c r="E289" s="71"/>
      <c r="F289" s="72">
        <f>SUM(F290:F292)</f>
        <v>0</v>
      </c>
      <c r="G289" s="72">
        <f>SUM(G290:G292)</f>
        <v>0</v>
      </c>
      <c r="H289" s="72">
        <f>SUM(H290:H292)</f>
        <v>0</v>
      </c>
      <c r="I289" s="71"/>
      <c r="J289" s="72">
        <f>F289+G289</f>
        <v>0</v>
      </c>
      <c r="K289" s="72">
        <f t="shared" ref="K289" si="72">SUM(F289:H289)</f>
        <v>0</v>
      </c>
      <c r="L289" s="77" t="s">
        <v>197</v>
      </c>
    </row>
    <row r="290" spans="2:12" ht="15.75" hidden="1" outlineLevel="1" x14ac:dyDescent="0.3">
      <c r="B290" s="276"/>
      <c r="C290" s="17"/>
      <c r="D290" s="17" t="s">
        <v>267</v>
      </c>
      <c r="E290" s="17"/>
      <c r="F290" s="38">
        <v>0</v>
      </c>
      <c r="G290" s="38">
        <v>0</v>
      </c>
      <c r="H290" s="38">
        <f>IF(NOT(ISBLANK(K22)),K22,I22)*IF(NOT(ISBLANK(K26)),K26,0)</f>
        <v>0</v>
      </c>
      <c r="I290" s="17"/>
      <c r="J290" s="38">
        <f t="shared" ref="J290:J291" si="73">F290+G290</f>
        <v>0</v>
      </c>
      <c r="K290" s="38">
        <f t="shared" ref="K290:K291" si="74">SUM(F290:H290)</f>
        <v>0</v>
      </c>
      <c r="L290" s="17" t="s">
        <v>198</v>
      </c>
    </row>
    <row r="291" spans="2:12" ht="15.75" hidden="1" outlineLevel="1" x14ac:dyDescent="0.3">
      <c r="B291" s="276"/>
      <c r="C291" s="17"/>
      <c r="D291" s="17" t="s">
        <v>268</v>
      </c>
      <c r="E291" s="17"/>
      <c r="F291" s="38">
        <v>0</v>
      </c>
      <c r="G291" s="38">
        <v>0</v>
      </c>
      <c r="H291" s="38">
        <f>IF(NOT(ISBLANK(K23)),K23,I23)*IF(NOT(ISBLANK(K27)),K27,0)</f>
        <v>0</v>
      </c>
      <c r="I291" s="17"/>
      <c r="J291" s="38">
        <f t="shared" si="73"/>
        <v>0</v>
      </c>
      <c r="K291" s="38">
        <f t="shared" si="74"/>
        <v>0</v>
      </c>
      <c r="L291" s="17" t="s">
        <v>198</v>
      </c>
    </row>
    <row r="292" spans="2:12" ht="15.75" hidden="1" outlineLevel="1" x14ac:dyDescent="0.3">
      <c r="B292" s="276"/>
      <c r="C292" s="17"/>
      <c r="D292" s="17" t="s">
        <v>338</v>
      </c>
      <c r="E292" s="17"/>
      <c r="F292" s="38">
        <v>0</v>
      </c>
      <c r="G292" s="38">
        <v>0</v>
      </c>
      <c r="H292" s="334">
        <f>E241*IF(NOT(ISBLANK(K28)),K28,I28)</f>
        <v>0</v>
      </c>
      <c r="I292" s="17"/>
      <c r="J292" s="38">
        <f>F292+G292</f>
        <v>0</v>
      </c>
      <c r="K292" s="38">
        <f>SUM(F292:H292)</f>
        <v>0</v>
      </c>
      <c r="L292" s="17" t="s">
        <v>198</v>
      </c>
    </row>
    <row r="293" spans="2:12" hidden="1" outlineLevel="1" x14ac:dyDescent="0.2">
      <c r="B293" s="17"/>
      <c r="C293" s="17"/>
      <c r="D293" s="17"/>
      <c r="E293" s="17"/>
      <c r="F293" s="17"/>
      <c r="G293" s="17"/>
      <c r="H293" s="17"/>
      <c r="I293" s="17"/>
      <c r="J293" s="17"/>
      <c r="K293" s="17"/>
      <c r="L293" s="20"/>
    </row>
    <row r="294" spans="2:12" ht="14.25" hidden="1" outlineLevel="1" x14ac:dyDescent="0.25">
      <c r="B294" s="17"/>
      <c r="C294" s="17"/>
      <c r="D294" s="21" t="s">
        <v>110</v>
      </c>
      <c r="E294" s="21"/>
      <c r="F294" s="75">
        <f>IF(NOT(ISBLANK('Referenz Plattenwerk'!$I59)),'Referenz Plattenwerk'!$I59,'Referenz Plattenwerk'!$F59)*IF(NOT(ISBLANK('Eingabe EF'!$AS44)),'Eingabe EF'!$AS44,0)*IF(NOT(ISBLANK('Referenz Plattenwerk'!$I$12)),'Referenz Plattenwerk'!$I$12,'Referenz Plattenwerk'!$F$12)</f>
        <v>0</v>
      </c>
      <c r="G294" s="75">
        <f>IF(NOT(ISBLANK('Referenz Plattenwerk'!$I59)),'Referenz Plattenwerk'!$I59,'Referenz Plattenwerk'!$F59)*IF(NOT(ISBLANK('Eingabe EF'!$AW44)),'Eingabe EF'!$AW44,0)*IF(NOT(ISBLANK('Referenz Plattenwerk'!$I$12)),'Referenz Plattenwerk'!$I$12,'Referenz Plattenwerk'!$F$12)</f>
        <v>0</v>
      </c>
      <c r="H294" s="75">
        <f>IF(NOT(ISBLANK('Referenz Plattenwerk'!$I59)),'Referenz Plattenwerk'!$I59,'Referenz Plattenwerk'!$F59)*IF(NOT(ISBLANK('Eingabe EF'!$BA44)),'Eingabe EF'!$BA44,0)*IF(NOT(ISBLANK('Referenz Plattenwerk'!$I$12)),'Referenz Plattenwerk'!$I$12,'Referenz Plattenwerk'!$F$12)</f>
        <v>0</v>
      </c>
      <c r="I294" s="21"/>
      <c r="J294" s="75">
        <f>F294+G294</f>
        <v>0</v>
      </c>
      <c r="K294" s="75">
        <f>SUM(F294:H294)</f>
        <v>0</v>
      </c>
      <c r="L294" s="21" t="s">
        <v>197</v>
      </c>
    </row>
    <row r="295" spans="2:12" ht="14.25" hidden="1" outlineLevel="1" x14ac:dyDescent="0.25">
      <c r="B295" s="17"/>
      <c r="C295" s="17"/>
      <c r="D295" s="21" t="s">
        <v>64</v>
      </c>
      <c r="E295" s="21"/>
      <c r="F295" s="76">
        <f>IF(NOT(ISBLANK('Referenz Plattenwerk'!$I60)),'Referenz Plattenwerk'!$I60,'Referenz Plattenwerk'!$F60)*IF(NOT(ISBLANK('Eingabe EF'!$AS45)),'Eingabe EF'!$AS45,'Eingabe EF'!$AQ45)</f>
        <v>0</v>
      </c>
      <c r="G295" s="76">
        <f>IF(NOT(ISBLANK('Referenz Plattenwerk'!$I60)),'Referenz Plattenwerk'!$I60,'Referenz Plattenwerk'!$F60)*IF(NOT(ISBLANK('Eingabe EF'!$AW45)),'Eingabe EF'!$AW45,'Eingabe EF'!$AU45)</f>
        <v>0</v>
      </c>
      <c r="H295" s="76">
        <f>IF(NOT(ISBLANK('Referenz Plattenwerk'!$I60)),'Referenz Plattenwerk'!$I60,'Referenz Plattenwerk'!$F60)*IF(NOT(ISBLANK('Eingabe EF'!$BA45)),'Eingabe EF'!$BA45,'Eingabe EF'!$AY45)</f>
        <v>0.54400000000000004</v>
      </c>
      <c r="I295" s="21"/>
      <c r="J295" s="75">
        <f>F295+G295</f>
        <v>0</v>
      </c>
      <c r="K295" s="75">
        <f>SUM(F295:H295)</f>
        <v>0.54400000000000004</v>
      </c>
      <c r="L295" s="21" t="s">
        <v>197</v>
      </c>
    </row>
    <row r="296" spans="2:12" hidden="1" outlineLevel="1" x14ac:dyDescent="0.2">
      <c r="B296" s="17"/>
      <c r="C296" s="17"/>
      <c r="D296" s="17"/>
      <c r="E296" s="17"/>
      <c r="F296" s="17"/>
      <c r="G296" s="17"/>
      <c r="H296" s="17"/>
      <c r="I296" s="17"/>
      <c r="J296" s="17"/>
      <c r="K296" s="17"/>
      <c r="L296" s="20"/>
    </row>
    <row r="297" spans="2:12" ht="14.25" hidden="1" outlineLevel="1" x14ac:dyDescent="0.25">
      <c r="B297" s="70"/>
      <c r="C297" s="70" t="s">
        <v>182</v>
      </c>
      <c r="D297" s="71"/>
      <c r="E297" s="71"/>
      <c r="F297" s="72">
        <f>SUM(F298:F300)</f>
        <v>0</v>
      </c>
      <c r="G297" s="72">
        <f t="shared" ref="G297:H297" si="75">SUM(G298:G300)</f>
        <v>0</v>
      </c>
      <c r="H297" s="72">
        <f t="shared" si="75"/>
        <v>80.47999999999999</v>
      </c>
      <c r="I297" s="71"/>
      <c r="J297" s="72">
        <f t="shared" ref="J297" si="76">F297+G297</f>
        <v>0</v>
      </c>
      <c r="K297" s="72">
        <f t="shared" ref="K297" si="77">SUM(F297:H297)</f>
        <v>80.47999999999999</v>
      </c>
      <c r="L297" s="77" t="s">
        <v>197</v>
      </c>
    </row>
    <row r="298" spans="2:12" ht="15.75" hidden="1" outlineLevel="1" x14ac:dyDescent="0.3">
      <c r="B298" s="17"/>
      <c r="C298" s="17"/>
      <c r="D298" s="17" t="s">
        <v>183</v>
      </c>
      <c r="E298" s="17"/>
      <c r="F298" s="38">
        <f>IF(NOT(ISBLANK('Referenz Plattenwerk'!$I63)),'Referenz Plattenwerk'!$I63,'Referenz Plattenwerk'!$F63)*IF(NOT(ISBLANK('Eingabe EF'!$AS48)),'Eingabe EF'!$AS48,0)*IF(NOT(ISBLANK('Referenz Plattenwerk'!$I$12)),'Referenz Plattenwerk'!$I$12,'Referenz Plattenwerk'!$F$12)</f>
        <v>0</v>
      </c>
      <c r="G298" s="38">
        <f>IF(NOT(ISBLANK('Referenz Plattenwerk'!$I63)),'Referenz Plattenwerk'!$I63,'Referenz Plattenwerk'!$F63)*IF(NOT(ISBLANK('Eingabe EF'!$AW48)),'Eingabe EF'!$AW48,0)*IF(NOT(ISBLANK('Referenz Plattenwerk'!$I$12)),'Referenz Plattenwerk'!$I$12,'Referenz Plattenwerk'!$F$12)</f>
        <v>0</v>
      </c>
      <c r="H298" s="38">
        <f>IF(NOT(ISBLANK('Referenz Plattenwerk'!$I63)),'Referenz Plattenwerk'!$I63,'Referenz Plattenwerk'!$F63)*IF(NOT(ISBLANK('Eingabe EF'!$BA48)),'Eingabe EF'!$BA48,0)*IF(NOT(ISBLANK('Referenz Plattenwerk'!$I$12)),'Referenz Plattenwerk'!$I$12,'Referenz Plattenwerk'!$F$12)</f>
        <v>0</v>
      </c>
      <c r="I298" s="17"/>
      <c r="J298" s="38">
        <f>F298+G298</f>
        <v>0</v>
      </c>
      <c r="K298" s="38">
        <f>SUM(F298:H298)</f>
        <v>0</v>
      </c>
      <c r="L298" s="17" t="s">
        <v>198</v>
      </c>
    </row>
    <row r="299" spans="2:12" ht="15.75" hidden="1" outlineLevel="1" x14ac:dyDescent="0.3">
      <c r="B299" s="17"/>
      <c r="C299" s="17"/>
      <c r="D299" s="17" t="s">
        <v>62</v>
      </c>
      <c r="E299" s="17"/>
      <c r="F299" s="38">
        <f>IF(NOT(ISBLANK('Referenz Plattenwerk'!$I64)),'Referenz Plattenwerk'!$I64,'Referenz Plattenwerk'!$F64)*IF(NOT(ISBLANK('Eingabe EF'!$AS49)),'Eingabe EF'!$AS49,'Eingabe EF'!$AQ49)*IF(NOT(ISBLANK('Referenz Plattenwerk'!$I$12)),'Referenz Plattenwerk'!$I$12,'Referenz Plattenwerk'!$F$12)</f>
        <v>0</v>
      </c>
      <c r="G299" s="38">
        <f>IF(NOT(ISBLANK('Referenz Plattenwerk'!$I64)),'Referenz Plattenwerk'!$I64,'Referenz Plattenwerk'!$F64)*IF(NOT(ISBLANK('Eingabe EF'!$AW49)),'Eingabe EF'!$AW49,'Eingabe EF'!$AU49)*IF(NOT(ISBLANK('Referenz Plattenwerk'!$I$12)),'Referenz Plattenwerk'!$I$12,'Referenz Plattenwerk'!$F$12)</f>
        <v>0</v>
      </c>
      <c r="H299" s="38">
        <f>IF(NOT(ISBLANK('Referenz Plattenwerk'!$I64)),'Referenz Plattenwerk'!$I64,'Referenz Plattenwerk'!$F64)*IF(NOT(ISBLANK('Eingabe EF'!$BA49)),'Eingabe EF'!$BA49,'Eingabe EF'!$AY49)*IF(NOT(ISBLANK('Referenz Plattenwerk'!$I$12)),'Referenz Plattenwerk'!$I$12,'Referenz Plattenwerk'!$F$12)</f>
        <v>80.47999999999999</v>
      </c>
      <c r="I299" s="17"/>
      <c r="J299" s="38">
        <f t="shared" ref="J299" si="78">F299+G299</f>
        <v>0</v>
      </c>
      <c r="K299" s="38">
        <f t="shared" ref="K299" si="79">SUM(F299:H299)</f>
        <v>80.47999999999999</v>
      </c>
      <c r="L299" s="17" t="s">
        <v>198</v>
      </c>
    </row>
    <row r="300" spans="2:12" ht="15.75" hidden="1" outlineLevel="1" x14ac:dyDescent="0.3">
      <c r="B300" s="17"/>
      <c r="C300" s="17"/>
      <c r="D300" s="17" t="s">
        <v>184</v>
      </c>
      <c r="E300" s="17"/>
      <c r="F300" s="38">
        <f>IF(NOT(ISBLANK('Referenz Plattenwerk'!$I65)),'Referenz Plattenwerk'!$I65,'Referenz Plattenwerk'!$F65)*IF(NOT(ISBLANK('Eingabe EF'!$AS50)),'Eingabe EF'!$AS50,0)*IF(NOT(ISBLANK('Referenz Plattenwerk'!$I$12)),'Referenz Plattenwerk'!$I$12,'Referenz Plattenwerk'!$F$12)</f>
        <v>0</v>
      </c>
      <c r="G300" s="38">
        <f>IF(NOT(ISBLANK('Referenz Plattenwerk'!$I65)),'Referenz Plattenwerk'!$I65,'Referenz Plattenwerk'!$F65)*IF(NOT(ISBLANK('Eingabe EF'!$AW50)),'Eingabe EF'!$AW50,0)*IF(NOT(ISBLANK('Referenz Plattenwerk'!$I$12)),'Referenz Plattenwerk'!$I$12,'Referenz Plattenwerk'!$F$12)</f>
        <v>0</v>
      </c>
      <c r="H300" s="38">
        <f>IF(NOT(ISBLANK('Referenz Plattenwerk'!$I65)),'Referenz Plattenwerk'!$I65,'Referenz Plattenwerk'!$F65)*IF(NOT(ISBLANK('Eingabe EF'!$BA50)),'Eingabe EF'!$BA50,0)*IF(NOT(ISBLANK('Referenz Plattenwerk'!$I$12)),'Referenz Plattenwerk'!$I$12,'Referenz Plattenwerk'!$F$12)</f>
        <v>0</v>
      </c>
      <c r="I300" s="17"/>
      <c r="J300" s="38">
        <f>F300+G300</f>
        <v>0</v>
      </c>
      <c r="K300" s="38">
        <f>SUM(F300:H300)</f>
        <v>0</v>
      </c>
      <c r="L300" s="17" t="s">
        <v>198</v>
      </c>
    </row>
    <row r="301" spans="2:12" hidden="1" outlineLevel="1" x14ac:dyDescent="0.2">
      <c r="B301" s="17"/>
      <c r="C301" s="17"/>
      <c r="D301" s="17"/>
      <c r="E301" s="17"/>
      <c r="F301" s="17"/>
      <c r="G301" s="17"/>
      <c r="H301" s="17"/>
      <c r="I301" s="17"/>
      <c r="J301" s="17"/>
      <c r="K301" s="17"/>
      <c r="L301" s="20"/>
    </row>
    <row r="302" spans="2:12" ht="14.25" hidden="1" outlineLevel="1" x14ac:dyDescent="0.25">
      <c r="B302" s="70"/>
      <c r="C302" s="70" t="s">
        <v>185</v>
      </c>
      <c r="D302" s="71"/>
      <c r="E302" s="71"/>
      <c r="F302" s="72">
        <f>SUM(F303:F305)</f>
        <v>0</v>
      </c>
      <c r="G302" s="72">
        <f t="shared" ref="G302:H302" si="80">SUM(G303:G305)</f>
        <v>0</v>
      </c>
      <c r="H302" s="72">
        <f t="shared" si="80"/>
        <v>60</v>
      </c>
      <c r="I302" s="71"/>
      <c r="J302" s="72">
        <f t="shared" ref="J302" si="81">F302+G302</f>
        <v>0</v>
      </c>
      <c r="K302" s="72">
        <f t="shared" ref="K302" si="82">SUM(F302:H302)</f>
        <v>60</v>
      </c>
      <c r="L302" s="77" t="s">
        <v>197</v>
      </c>
    </row>
    <row r="303" spans="2:12" ht="15.75" hidden="1" outlineLevel="1" x14ac:dyDescent="0.3">
      <c r="B303" s="17"/>
      <c r="C303" s="17"/>
      <c r="D303" s="17" t="s">
        <v>66</v>
      </c>
      <c r="E303" s="17"/>
      <c r="F303" s="44">
        <f>IF(NOT(ISBLANK('Referenz Plattenwerk'!$I68)),'Referenz Plattenwerk'!$I68,'Referenz Plattenwerk'!$F68)*IF(NOT(ISBLANK('Eingabe EF'!$AS53)),'Eingabe EF'!$AS53,'Eingabe EF'!$AQ53)</f>
        <v>0</v>
      </c>
      <c r="G303" s="44">
        <f>IF(NOT(ISBLANK('Referenz Plattenwerk'!$I68)),'Referenz Plattenwerk'!$I68,'Referenz Plattenwerk'!$F68)*IF(NOT(ISBLANK('Eingabe EF'!$AW53)),'Eingabe EF'!$AW53,'Eingabe EF'!$AU53)</f>
        <v>0</v>
      </c>
      <c r="H303" s="44">
        <f>IF(NOT(ISBLANK('Referenz Plattenwerk'!$I68)),'Referenz Plattenwerk'!$I68,'Referenz Plattenwerk'!$F68)*IF(NOT(ISBLANK('Eingabe EF'!$BA53)),'Eingabe EF'!$BA53,'Eingabe EF'!$AY53)</f>
        <v>60</v>
      </c>
      <c r="I303" s="17"/>
      <c r="J303" s="38">
        <f>F303+G303</f>
        <v>0</v>
      </c>
      <c r="K303" s="38">
        <f>SUM(F303:H303)</f>
        <v>60</v>
      </c>
      <c r="L303" s="17" t="s">
        <v>198</v>
      </c>
    </row>
    <row r="304" spans="2:12" ht="15.75" hidden="1" outlineLevel="1" x14ac:dyDescent="0.3">
      <c r="B304" s="17"/>
      <c r="C304" s="17"/>
      <c r="D304" s="17" t="s">
        <v>187</v>
      </c>
      <c r="E304" s="17"/>
      <c r="F304" s="44">
        <f>IF(NOT(ISBLANK('Referenz Plattenwerk'!$I69)),'Referenz Plattenwerk'!$I69,'Referenz Plattenwerk'!$F69)*IF(NOT(ISBLANK('Eingabe EF'!$AS54)),'Eingabe EF'!$AS54,0)</f>
        <v>0</v>
      </c>
      <c r="G304" s="44">
        <f>IF(NOT(ISBLANK('Referenz Plattenwerk'!$I69)),'Referenz Plattenwerk'!$I69,'Referenz Plattenwerk'!$F69)*IF(NOT(ISBLANK('Eingabe EF'!$AW54)),'Eingabe EF'!$AW54,0)</f>
        <v>0</v>
      </c>
      <c r="H304" s="44">
        <f>IF(NOT(ISBLANK('Referenz Plattenwerk'!$I69)),'Referenz Plattenwerk'!$I69,'Referenz Plattenwerk'!$F69)*IF(NOT(ISBLANK('Eingabe EF'!$BA54)),'Eingabe EF'!$BA54,0)</f>
        <v>0</v>
      </c>
      <c r="I304" s="17"/>
      <c r="J304" s="38">
        <f t="shared" ref="J304:J305" si="83">F304+G304</f>
        <v>0</v>
      </c>
      <c r="K304" s="38">
        <f t="shared" ref="K304:K305" si="84">SUM(F304:H304)</f>
        <v>0</v>
      </c>
      <c r="L304" s="17" t="s">
        <v>198</v>
      </c>
    </row>
    <row r="305" spans="2:12" ht="15.75" hidden="1" outlineLevel="1" x14ac:dyDescent="0.3">
      <c r="B305" s="17"/>
      <c r="C305" s="17"/>
      <c r="D305" s="17" t="s">
        <v>186</v>
      </c>
      <c r="E305" s="17"/>
      <c r="F305" s="44">
        <f>IF(NOT(ISBLANK('Referenz Plattenwerk'!$I70)),'Referenz Plattenwerk'!$I70,'Referenz Plattenwerk'!$F70)*IF(NOT(ISBLANK('Eingabe EF'!$AS55)),'Eingabe EF'!$AS55,0)</f>
        <v>0</v>
      </c>
      <c r="G305" s="44">
        <f>IF(NOT(ISBLANK('Referenz Plattenwerk'!$I70)),'Referenz Plattenwerk'!$I70,'Referenz Plattenwerk'!$F70)*IF(NOT(ISBLANK('Eingabe EF'!$AW55)),'Eingabe EF'!$AW55,0)</f>
        <v>0</v>
      </c>
      <c r="H305" s="44">
        <f>IF(NOT(ISBLANK('Referenz Plattenwerk'!$I70)),'Referenz Plattenwerk'!$I70,'Referenz Plattenwerk'!$F70)*IF(NOT(ISBLANK('Eingabe EF'!$BA55)),'Eingabe EF'!$BA55,0)</f>
        <v>0</v>
      </c>
      <c r="I305" s="17"/>
      <c r="J305" s="38">
        <f t="shared" si="83"/>
        <v>0</v>
      </c>
      <c r="K305" s="38">
        <f t="shared" si="84"/>
        <v>0</v>
      </c>
      <c r="L305" s="17" t="s">
        <v>198</v>
      </c>
    </row>
    <row r="306" spans="2:12" hidden="1" outlineLevel="1" x14ac:dyDescent="0.2">
      <c r="B306" s="17"/>
      <c r="C306" s="17"/>
      <c r="D306" s="17"/>
      <c r="E306" s="17"/>
      <c r="F306" s="17"/>
      <c r="G306" s="17"/>
      <c r="H306" s="17"/>
      <c r="I306" s="17"/>
      <c r="J306" s="17"/>
      <c r="K306" s="17"/>
      <c r="L306" s="20"/>
    </row>
    <row r="307" spans="2:12" ht="14.25" hidden="1" outlineLevel="1" x14ac:dyDescent="0.25">
      <c r="B307" s="17"/>
      <c r="C307" s="17"/>
      <c r="D307" s="21" t="s">
        <v>63</v>
      </c>
      <c r="E307" s="21"/>
      <c r="F307" s="76">
        <f>IF(NOT(ISBLANK('Referenz Plattenwerk'!$I72)),'Referenz Plattenwerk'!$I72,'Referenz Plattenwerk'!$F72)*IF(NOT(ISBLANK('Eingabe EF'!$AS57)),'Eingabe EF'!$AS57,'Eingabe EF'!$AQ57)</f>
        <v>0</v>
      </c>
      <c r="G307" s="76">
        <f>IF(NOT(ISBLANK('Referenz Plattenwerk'!$I72)),'Referenz Plattenwerk'!$I72,'Referenz Plattenwerk'!$F72)*IF(NOT(ISBLANK('Eingabe EF'!$AW57)),'Eingabe EF'!$AW57,'Eingabe EF'!$AU57)</f>
        <v>0</v>
      </c>
      <c r="H307" s="76">
        <f>IF(NOT(ISBLANK('Referenz Plattenwerk'!$I72)),'Referenz Plattenwerk'!$I72,'Referenz Plattenwerk'!$F72)*IF(NOT(ISBLANK('Eingabe EF'!$BA57)),'Eingabe EF'!$BA57,'Eingabe EF'!$AY57)</f>
        <v>64.48</v>
      </c>
      <c r="I307" s="21"/>
      <c r="J307" s="75">
        <f t="shared" ref="J307" si="85">F307+G307</f>
        <v>0</v>
      </c>
      <c r="K307" s="75">
        <f t="shared" ref="K307" si="86">SUM(F307:H307)</f>
        <v>64.48</v>
      </c>
      <c r="L307" s="21" t="s">
        <v>197</v>
      </c>
    </row>
    <row r="308" spans="2:12" hidden="1" outlineLevel="1" x14ac:dyDescent="0.2">
      <c r="B308" s="17"/>
      <c r="C308" s="17"/>
      <c r="D308" s="17"/>
      <c r="E308" s="17"/>
      <c r="F308" s="20"/>
      <c r="G308" s="20"/>
      <c r="H308" s="20"/>
      <c r="I308" s="17"/>
      <c r="J308" s="17"/>
      <c r="K308" s="20"/>
      <c r="L308" s="20"/>
    </row>
    <row r="309" spans="2:12" ht="15" hidden="1" outlineLevel="1" thickBot="1" x14ac:dyDescent="0.3">
      <c r="B309" s="17"/>
      <c r="C309" s="17"/>
      <c r="D309" s="68" t="s">
        <v>69</v>
      </c>
      <c r="E309" s="68"/>
      <c r="F309" s="69">
        <f t="shared" ref="F309:G309" si="87">SUM(F247:F307)-F261-F265-F271-F278-F283-F289-F297-F302</f>
        <v>94.932355060000006</v>
      </c>
      <c r="G309" s="69">
        <f t="shared" si="87"/>
        <v>61.552554846110553</v>
      </c>
      <c r="H309" s="69">
        <f>SUM(H247:H307)-H261-H265-H271-H278-H283-H289-H297-H302</f>
        <v>5815.3530339911495</v>
      </c>
      <c r="I309" s="21"/>
      <c r="J309" s="69">
        <f>SUM(J247:J307)-J261-J265-J271-J278-J283-J289-J297-J302</f>
        <v>156.48490990611054</v>
      </c>
      <c r="K309" s="69">
        <f>SUM(K247:K307)-K261-K265-K271-K278-K283-K289-K297-K302</f>
        <v>5971.8379438972597</v>
      </c>
      <c r="L309" s="69" t="s">
        <v>197</v>
      </c>
    </row>
    <row r="310" spans="2:12" ht="13.5" hidden="1" outlineLevel="1" thickTop="1" x14ac:dyDescent="0.2">
      <c r="B310" s="17"/>
      <c r="C310" s="17"/>
      <c r="D310" s="17"/>
      <c r="E310" s="17"/>
      <c r="F310" s="20"/>
      <c r="G310" s="20"/>
      <c r="H310" s="20"/>
      <c r="I310" s="17"/>
      <c r="J310" s="17"/>
      <c r="K310" s="20"/>
      <c r="L310" s="20"/>
    </row>
    <row r="311" spans="2:12" collapsed="1" x14ac:dyDescent="0.2"/>
  </sheetData>
  <sheetProtection algorithmName="SHA-512" hashValue="/EKNZkGiX6c7O+xgUMN8oxbPeeDPYSocl6HGB7/mMIh4H3slaZ8ksnUU8bk5MCb8St/LsdE6g6AryApI4HcRlg==" saltValue="O955F3kU6sXcr8gd+pX9FQ==" spinCount="100000" sheet="1" selectLockedCells="1"/>
  <mergeCells count="10">
    <mergeCell ref="D6:L6"/>
    <mergeCell ref="E13:G13"/>
    <mergeCell ref="I13:K13"/>
    <mergeCell ref="C87:C88"/>
    <mergeCell ref="S87:S88"/>
    <mergeCell ref="D42:L42"/>
    <mergeCell ref="K96:K97"/>
    <mergeCell ref="D40:L40"/>
    <mergeCell ref="D41:L41"/>
    <mergeCell ref="D43:L43"/>
  </mergeCells>
  <printOptions horizontalCentered="1"/>
  <pageMargins left="0.39370078740157483" right="0.39370078740157483" top="0.39370078740157483" bottom="0.59055118110236227" header="0.19685039370078741" footer="0.19685039370078741"/>
  <pageSetup paperSize="9" orientation="landscape" verticalDpi="601"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10</xdr:col>
                    <xdr:colOff>523875</xdr:colOff>
                    <xdr:row>97</xdr:row>
                    <xdr:rowOff>28575</xdr:rowOff>
                  </from>
                  <to>
                    <xdr:col>10</xdr:col>
                    <xdr:colOff>704850</xdr:colOff>
                    <xdr:row>97</xdr:row>
                    <xdr:rowOff>190500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10</xdr:col>
                    <xdr:colOff>523875</xdr:colOff>
                    <xdr:row>98</xdr:row>
                    <xdr:rowOff>28575</xdr:rowOff>
                  </from>
                  <to>
                    <xdr:col>10</xdr:col>
                    <xdr:colOff>704850</xdr:colOff>
                    <xdr:row>98</xdr:row>
                    <xdr:rowOff>190500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10</xdr:col>
                    <xdr:colOff>523875</xdr:colOff>
                    <xdr:row>99</xdr:row>
                    <xdr:rowOff>28575</xdr:rowOff>
                  </from>
                  <to>
                    <xdr:col>10</xdr:col>
                    <xdr:colOff>704850</xdr:colOff>
                    <xdr:row>99</xdr:row>
                    <xdr:rowOff>180975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10</xdr:col>
                    <xdr:colOff>523875</xdr:colOff>
                    <xdr:row>100</xdr:row>
                    <xdr:rowOff>19050</xdr:rowOff>
                  </from>
                  <to>
                    <xdr:col>10</xdr:col>
                    <xdr:colOff>704850</xdr:colOff>
                    <xdr:row>100</xdr:row>
                    <xdr:rowOff>190500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10</xdr:col>
                    <xdr:colOff>523875</xdr:colOff>
                    <xdr:row>101</xdr:row>
                    <xdr:rowOff>19050</xdr:rowOff>
                  </from>
                  <to>
                    <xdr:col>10</xdr:col>
                    <xdr:colOff>704850</xdr:colOff>
                    <xdr:row>101</xdr:row>
                    <xdr:rowOff>180975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10</xdr:col>
                    <xdr:colOff>523875</xdr:colOff>
                    <xdr:row>102</xdr:row>
                    <xdr:rowOff>0</xdr:rowOff>
                  </from>
                  <to>
                    <xdr:col>10</xdr:col>
                    <xdr:colOff>704850</xdr:colOff>
                    <xdr:row>102</xdr:row>
                    <xdr:rowOff>180975</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10</xdr:col>
                    <xdr:colOff>523875</xdr:colOff>
                    <xdr:row>103</xdr:row>
                    <xdr:rowOff>9525</xdr:rowOff>
                  </from>
                  <to>
                    <xdr:col>10</xdr:col>
                    <xdr:colOff>704850</xdr:colOff>
                    <xdr:row>103</xdr:row>
                    <xdr:rowOff>190500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18</xdr:col>
                    <xdr:colOff>457200</xdr:colOff>
                    <xdr:row>99</xdr:row>
                    <xdr:rowOff>0</xdr:rowOff>
                  </from>
                  <to>
                    <xdr:col>18</xdr:col>
                    <xdr:colOff>676275</xdr:colOff>
                    <xdr:row>99</xdr:row>
                    <xdr:rowOff>180975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18</xdr:col>
                    <xdr:colOff>571500</xdr:colOff>
                    <xdr:row>100</xdr:row>
                    <xdr:rowOff>19050</xdr:rowOff>
                  </from>
                  <to>
                    <xdr:col>19</xdr:col>
                    <xdr:colOff>0</xdr:colOff>
                    <xdr:row>101</xdr:row>
                    <xdr:rowOff>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18</xdr:col>
                    <xdr:colOff>571500</xdr:colOff>
                    <xdr:row>101</xdr:row>
                    <xdr:rowOff>19050</xdr:rowOff>
                  </from>
                  <to>
                    <xdr:col>19</xdr:col>
                    <xdr:colOff>0</xdr:colOff>
                    <xdr:row>101</xdr:row>
                    <xdr:rowOff>200025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18</xdr:col>
                    <xdr:colOff>571500</xdr:colOff>
                    <xdr:row>102</xdr:row>
                    <xdr:rowOff>9525</xdr:rowOff>
                  </from>
                  <to>
                    <xdr:col>19</xdr:col>
                    <xdr:colOff>0</xdr:colOff>
                    <xdr:row>102</xdr:row>
                    <xdr:rowOff>190500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18</xdr:col>
                    <xdr:colOff>457200</xdr:colOff>
                    <xdr:row>97</xdr:row>
                    <xdr:rowOff>9525</xdr:rowOff>
                  </from>
                  <to>
                    <xdr:col>18</xdr:col>
                    <xdr:colOff>676275</xdr:colOff>
                    <xdr:row>98</xdr:row>
                    <xdr:rowOff>9525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18</xdr:col>
                    <xdr:colOff>457200</xdr:colOff>
                    <xdr:row>96</xdr:row>
                    <xdr:rowOff>0</xdr:rowOff>
                  </from>
                  <to>
                    <xdr:col>18</xdr:col>
                    <xdr:colOff>676275</xdr:colOff>
                    <xdr:row>96</xdr:row>
                    <xdr:rowOff>180975</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18</xdr:col>
                    <xdr:colOff>457200</xdr:colOff>
                    <xdr:row>98</xdr:row>
                    <xdr:rowOff>9525</xdr:rowOff>
                  </from>
                  <to>
                    <xdr:col>18</xdr:col>
                    <xdr:colOff>676275</xdr:colOff>
                    <xdr:row>99</xdr:row>
                    <xdr:rowOff>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2</xdr:col>
                    <xdr:colOff>514350</xdr:colOff>
                    <xdr:row>87</xdr:row>
                    <xdr:rowOff>152400</xdr:rowOff>
                  </from>
                  <to>
                    <xdr:col>2</xdr:col>
                    <xdr:colOff>723900</xdr:colOff>
                    <xdr:row>89</xdr:row>
                    <xdr:rowOff>9525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2</xdr:col>
                    <xdr:colOff>514350</xdr:colOff>
                    <xdr:row>88</xdr:row>
                    <xdr:rowOff>190500</xdr:rowOff>
                  </from>
                  <to>
                    <xdr:col>2</xdr:col>
                    <xdr:colOff>723900</xdr:colOff>
                    <xdr:row>90</xdr:row>
                    <xdr:rowOff>9525</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2</xdr:col>
                    <xdr:colOff>514350</xdr:colOff>
                    <xdr:row>89</xdr:row>
                    <xdr:rowOff>190500</xdr:rowOff>
                  </from>
                  <to>
                    <xdr:col>2</xdr:col>
                    <xdr:colOff>723900</xdr:colOff>
                    <xdr:row>91</xdr:row>
                    <xdr:rowOff>9525</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xdr:col>
                    <xdr:colOff>514350</xdr:colOff>
                    <xdr:row>90</xdr:row>
                    <xdr:rowOff>190500</xdr:rowOff>
                  </from>
                  <to>
                    <xdr:col>2</xdr:col>
                    <xdr:colOff>723900</xdr:colOff>
                    <xdr:row>92</xdr:row>
                    <xdr:rowOff>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2</xdr:col>
                    <xdr:colOff>514350</xdr:colOff>
                    <xdr:row>91</xdr:row>
                    <xdr:rowOff>190500</xdr:rowOff>
                  </from>
                  <to>
                    <xdr:col>2</xdr:col>
                    <xdr:colOff>723900</xdr:colOff>
                    <xdr:row>92</xdr:row>
                    <xdr:rowOff>200025</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2</xdr:col>
                    <xdr:colOff>514350</xdr:colOff>
                    <xdr:row>92</xdr:row>
                    <xdr:rowOff>180975</xdr:rowOff>
                  </from>
                  <to>
                    <xdr:col>2</xdr:col>
                    <xdr:colOff>723900</xdr:colOff>
                    <xdr:row>93</xdr:row>
                    <xdr:rowOff>190500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2</xdr:col>
                    <xdr:colOff>514350</xdr:colOff>
                    <xdr:row>93</xdr:row>
                    <xdr:rowOff>171450</xdr:rowOff>
                  </from>
                  <to>
                    <xdr:col>2</xdr:col>
                    <xdr:colOff>723900</xdr:colOff>
                    <xdr:row>95</xdr:row>
                    <xdr:rowOff>0</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from>
                    <xdr:col>2</xdr:col>
                    <xdr:colOff>514350</xdr:colOff>
                    <xdr:row>95</xdr:row>
                    <xdr:rowOff>190500</xdr:rowOff>
                  </from>
                  <to>
                    <xdr:col>2</xdr:col>
                    <xdr:colOff>723900</xdr:colOff>
                    <xdr:row>97</xdr:row>
                    <xdr:rowOff>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from>
                    <xdr:col>2</xdr:col>
                    <xdr:colOff>514350</xdr:colOff>
                    <xdr:row>96</xdr:row>
                    <xdr:rowOff>180975</xdr:rowOff>
                  </from>
                  <to>
                    <xdr:col>2</xdr:col>
                    <xdr:colOff>723900</xdr:colOff>
                    <xdr:row>98</xdr:row>
                    <xdr:rowOff>0</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from>
                    <xdr:col>2</xdr:col>
                    <xdr:colOff>514350</xdr:colOff>
                    <xdr:row>97</xdr:row>
                    <xdr:rowOff>180975</xdr:rowOff>
                  </from>
                  <to>
                    <xdr:col>2</xdr:col>
                    <xdr:colOff>723900</xdr:colOff>
                    <xdr:row>99</xdr:row>
                    <xdr:rowOff>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from>
                    <xdr:col>2</xdr:col>
                    <xdr:colOff>514350</xdr:colOff>
                    <xdr:row>98</xdr:row>
                    <xdr:rowOff>180975</xdr:rowOff>
                  </from>
                  <to>
                    <xdr:col>2</xdr:col>
                    <xdr:colOff>723900</xdr:colOff>
                    <xdr:row>100</xdr:row>
                    <xdr:rowOff>9525</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from>
                    <xdr:col>2</xdr:col>
                    <xdr:colOff>514350</xdr:colOff>
                    <xdr:row>94</xdr:row>
                    <xdr:rowOff>180975</xdr:rowOff>
                  </from>
                  <to>
                    <xdr:col>2</xdr:col>
                    <xdr:colOff>723900</xdr:colOff>
                    <xdr:row>96</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88AF-6F83-4996-87B7-91B5384EB92D}">
  <sheetPr>
    <pageSetUpPr fitToPage="1"/>
  </sheetPr>
  <dimension ref="B2:S51"/>
  <sheetViews>
    <sheetView zoomScale="70" zoomScaleNormal="70" workbookViewId="0">
      <selection activeCell="C23" sqref="C23"/>
    </sheetView>
  </sheetViews>
  <sheetFormatPr baseColWidth="10" defaultColWidth="10.625" defaultRowHeight="12.75" x14ac:dyDescent="0.2"/>
  <cols>
    <col min="1" max="1" width="2.875" style="306" customWidth="1"/>
    <col min="2" max="2" width="3.375" style="306" customWidth="1"/>
    <col min="3" max="3" width="25.375" style="306" customWidth="1"/>
    <col min="4" max="4" width="2" style="306" customWidth="1"/>
    <col min="5" max="5" width="105.625" style="306" customWidth="1"/>
    <col min="6" max="6" width="255.625" style="306" bestFit="1" customWidth="1"/>
    <col min="7" max="7" width="3.625" style="306" customWidth="1"/>
    <col min="8" max="18" width="10.625" style="306"/>
    <col min="19" max="19" width="44.625" style="306" customWidth="1"/>
    <col min="20" max="16384" width="10.625" style="306"/>
  </cols>
  <sheetData>
    <row r="2" spans="2:19" s="298" customFormat="1" ht="23.25" x14ac:dyDescent="0.35">
      <c r="C2" s="168"/>
      <c r="D2" s="299"/>
      <c r="E2" s="299"/>
      <c r="F2" s="299"/>
      <c r="G2" s="299"/>
    </row>
    <row r="3" spans="2:19" s="298" customFormat="1" x14ac:dyDescent="0.2">
      <c r="B3" s="300"/>
      <c r="C3" s="301"/>
      <c r="D3" s="301"/>
      <c r="E3" s="301"/>
      <c r="F3" s="301"/>
      <c r="G3" s="301"/>
    </row>
    <row r="4" spans="2:19" s="298" customFormat="1" ht="18.75" x14ac:dyDescent="0.2">
      <c r="B4" s="300"/>
      <c r="C4" s="302" t="s">
        <v>141</v>
      </c>
      <c r="D4" s="302"/>
      <c r="E4" s="303"/>
      <c r="F4" s="303"/>
      <c r="G4" s="301"/>
    </row>
    <row r="5" spans="2:19" x14ac:dyDescent="0.2">
      <c r="B5" s="304"/>
      <c r="C5" s="303"/>
      <c r="D5" s="303"/>
      <c r="E5" s="303"/>
      <c r="F5" s="303"/>
      <c r="G5" s="305"/>
    </row>
    <row r="6" spans="2:19" s="310" customFormat="1" ht="15" x14ac:dyDescent="0.2">
      <c r="B6" s="307"/>
      <c r="C6" s="308" t="s">
        <v>142</v>
      </c>
      <c r="D6" s="308"/>
      <c r="E6" s="308" t="s">
        <v>143</v>
      </c>
      <c r="F6" s="308" t="s">
        <v>345</v>
      </c>
      <c r="G6" s="309"/>
    </row>
    <row r="7" spans="2:19" x14ac:dyDescent="0.2">
      <c r="B7" s="304"/>
      <c r="C7" s="305"/>
      <c r="D7" s="305"/>
      <c r="E7" s="305"/>
      <c r="F7" s="305"/>
      <c r="G7" s="305"/>
    </row>
    <row r="8" spans="2:19" x14ac:dyDescent="0.2">
      <c r="B8" s="304"/>
      <c r="C8" s="311"/>
      <c r="D8" s="311"/>
      <c r="E8" s="311"/>
      <c r="F8" s="311"/>
      <c r="G8" s="305"/>
    </row>
    <row r="9" spans="2:19" s="315" customFormat="1" ht="25.5" x14ac:dyDescent="0.2">
      <c r="B9" s="312"/>
      <c r="C9" s="312" t="s">
        <v>419</v>
      </c>
      <c r="D9" s="312"/>
      <c r="E9" s="313" t="s">
        <v>420</v>
      </c>
      <c r="F9" s="314" t="s">
        <v>394</v>
      </c>
      <c r="G9" s="312"/>
    </row>
    <row r="10" spans="2:19" s="318" customFormat="1" ht="25.5" x14ac:dyDescent="0.2">
      <c r="B10" s="316"/>
      <c r="C10" s="313" t="s">
        <v>410</v>
      </c>
      <c r="D10" s="312"/>
      <c r="E10" s="313" t="s">
        <v>421</v>
      </c>
      <c r="F10" s="317" t="s">
        <v>384</v>
      </c>
      <c r="G10" s="316"/>
      <c r="S10" s="319"/>
    </row>
    <row r="11" spans="2:19" s="315" customFormat="1" x14ac:dyDescent="0.2">
      <c r="B11" s="312"/>
      <c r="C11" s="313" t="s">
        <v>409</v>
      </c>
      <c r="D11" s="312"/>
      <c r="E11" s="313" t="s">
        <v>422</v>
      </c>
      <c r="F11" s="317" t="s">
        <v>384</v>
      </c>
      <c r="G11" s="312"/>
    </row>
    <row r="12" spans="2:19" x14ac:dyDescent="0.2">
      <c r="B12" s="304"/>
      <c r="C12" s="304" t="s">
        <v>370</v>
      </c>
      <c r="D12" s="304"/>
      <c r="E12" s="320" t="s">
        <v>374</v>
      </c>
      <c r="F12" s="314"/>
      <c r="G12" s="304"/>
    </row>
    <row r="13" spans="2:19" x14ac:dyDescent="0.2">
      <c r="B13" s="304"/>
      <c r="C13" s="304" t="s">
        <v>295</v>
      </c>
      <c r="D13" s="304"/>
      <c r="E13" s="320" t="s">
        <v>350</v>
      </c>
      <c r="F13" s="314"/>
      <c r="G13" s="304"/>
    </row>
    <row r="14" spans="2:19" s="315" customFormat="1" x14ac:dyDescent="0.2">
      <c r="B14" s="312"/>
      <c r="C14" s="312" t="s">
        <v>399</v>
      </c>
      <c r="D14" s="312"/>
      <c r="E14" s="313" t="s">
        <v>423</v>
      </c>
      <c r="F14" s="314" t="s">
        <v>375</v>
      </c>
      <c r="G14" s="312"/>
    </row>
    <row r="15" spans="2:19" s="315" customFormat="1" ht="25.5" x14ac:dyDescent="0.2">
      <c r="B15" s="312"/>
      <c r="C15" s="312" t="s">
        <v>400</v>
      </c>
      <c r="D15" s="312"/>
      <c r="E15" s="313" t="s">
        <v>424</v>
      </c>
      <c r="F15" s="314" t="s">
        <v>375</v>
      </c>
      <c r="G15" s="312"/>
    </row>
    <row r="16" spans="2:19" s="315" customFormat="1" x14ac:dyDescent="0.2">
      <c r="B16" s="312"/>
      <c r="C16" s="312" t="s">
        <v>401</v>
      </c>
      <c r="D16" s="312"/>
      <c r="E16" s="313" t="s">
        <v>425</v>
      </c>
      <c r="F16" s="314" t="s">
        <v>375</v>
      </c>
      <c r="G16" s="312"/>
    </row>
    <row r="17" spans="2:19" s="315" customFormat="1" x14ac:dyDescent="0.2">
      <c r="B17" s="312"/>
      <c r="C17" s="312" t="s">
        <v>402</v>
      </c>
      <c r="D17" s="312"/>
      <c r="E17" s="313" t="s">
        <v>426</v>
      </c>
      <c r="F17" s="314" t="s">
        <v>375</v>
      </c>
      <c r="G17" s="312"/>
    </row>
    <row r="18" spans="2:19" s="315" customFormat="1" x14ac:dyDescent="0.2">
      <c r="B18" s="312"/>
      <c r="C18" s="312" t="s">
        <v>403</v>
      </c>
      <c r="D18" s="312"/>
      <c r="E18" s="313" t="s">
        <v>427</v>
      </c>
      <c r="F18" s="314" t="s">
        <v>375</v>
      </c>
      <c r="G18" s="312"/>
    </row>
    <row r="19" spans="2:19" s="315" customFormat="1" ht="25.5" x14ac:dyDescent="0.2">
      <c r="B19" s="312"/>
      <c r="C19" s="312" t="s">
        <v>395</v>
      </c>
      <c r="D19" s="312"/>
      <c r="E19" s="313" t="s">
        <v>428</v>
      </c>
      <c r="F19" s="314" t="s">
        <v>429</v>
      </c>
      <c r="G19" s="312"/>
    </row>
    <row r="20" spans="2:19" s="315" customFormat="1" x14ac:dyDescent="0.2">
      <c r="B20" s="312"/>
      <c r="C20" s="312" t="s">
        <v>458</v>
      </c>
      <c r="D20" s="312"/>
      <c r="E20" s="313" t="s">
        <v>457</v>
      </c>
      <c r="F20" s="314"/>
      <c r="G20" s="312"/>
    </row>
    <row r="21" spans="2:19" s="315" customFormat="1" x14ac:dyDescent="0.2">
      <c r="B21" s="312"/>
      <c r="C21" s="312" t="s">
        <v>484</v>
      </c>
      <c r="D21" s="321"/>
      <c r="E21" s="321" t="s">
        <v>485</v>
      </c>
      <c r="F21" s="322" t="s">
        <v>486</v>
      </c>
      <c r="G21" s="312"/>
    </row>
    <row r="22" spans="2:19" s="315" customFormat="1" x14ac:dyDescent="0.2">
      <c r="B22" s="312"/>
      <c r="C22" s="312" t="s">
        <v>487</v>
      </c>
      <c r="D22" s="321"/>
      <c r="E22" s="321" t="s">
        <v>430</v>
      </c>
      <c r="F22" s="322" t="s">
        <v>386</v>
      </c>
      <c r="G22" s="312"/>
    </row>
    <row r="23" spans="2:19" s="324" customFormat="1" ht="14.25" x14ac:dyDescent="0.2">
      <c r="B23" s="313"/>
      <c r="C23" s="312" t="s">
        <v>431</v>
      </c>
      <c r="D23" s="321"/>
      <c r="E23" s="321" t="s">
        <v>392</v>
      </c>
      <c r="F23" s="323" t="s">
        <v>388</v>
      </c>
      <c r="G23" s="313"/>
    </row>
    <row r="24" spans="2:19" s="315" customFormat="1" x14ac:dyDescent="0.2">
      <c r="B24" s="312"/>
      <c r="C24" s="312" t="s">
        <v>431</v>
      </c>
      <c r="D24" s="321"/>
      <c r="E24" s="321" t="s">
        <v>453</v>
      </c>
      <c r="F24" s="317" t="s">
        <v>389</v>
      </c>
      <c r="G24" s="312"/>
    </row>
    <row r="25" spans="2:19" s="315" customFormat="1" ht="14.25" x14ac:dyDescent="0.2">
      <c r="B25" s="312"/>
      <c r="C25" s="312" t="s">
        <v>431</v>
      </c>
      <c r="D25" s="321"/>
      <c r="E25" s="321" t="s">
        <v>454</v>
      </c>
      <c r="F25" s="323" t="s">
        <v>390</v>
      </c>
      <c r="G25" s="322"/>
    </row>
    <row r="26" spans="2:19" s="318" customFormat="1" x14ac:dyDescent="0.2">
      <c r="B26" s="316"/>
      <c r="C26" s="312" t="s">
        <v>431</v>
      </c>
      <c r="D26" s="321"/>
      <c r="E26" s="321" t="s">
        <v>455</v>
      </c>
      <c r="F26" s="317" t="s">
        <v>391</v>
      </c>
      <c r="G26" s="325"/>
    </row>
    <row r="27" spans="2:19" x14ac:dyDescent="0.2">
      <c r="B27" s="304"/>
      <c r="C27" s="312" t="s">
        <v>432</v>
      </c>
      <c r="D27" s="313"/>
      <c r="E27" s="321" t="s">
        <v>382</v>
      </c>
      <c r="F27" s="326" t="s">
        <v>383</v>
      </c>
      <c r="G27" s="304"/>
    </row>
    <row r="28" spans="2:19" s="318" customFormat="1" x14ac:dyDescent="0.2">
      <c r="B28" s="316"/>
      <c r="C28" s="312" t="s">
        <v>433</v>
      </c>
      <c r="D28" s="312"/>
      <c r="E28" s="313" t="s">
        <v>380</v>
      </c>
      <c r="F28" s="322" t="s">
        <v>381</v>
      </c>
      <c r="G28" s="304"/>
    </row>
    <row r="29" spans="2:19" s="318" customFormat="1" x14ac:dyDescent="0.2">
      <c r="B29" s="316"/>
      <c r="C29" s="312" t="s">
        <v>408</v>
      </c>
      <c r="D29" s="312"/>
      <c r="E29" s="313" t="s">
        <v>58</v>
      </c>
      <c r="F29" s="322" t="s">
        <v>385</v>
      </c>
      <c r="G29" s="316"/>
    </row>
    <row r="30" spans="2:19" s="315" customFormat="1" ht="89.25" x14ac:dyDescent="0.2">
      <c r="B30" s="312"/>
      <c r="C30" s="312" t="s">
        <v>411</v>
      </c>
      <c r="D30" s="312"/>
      <c r="E30" s="313" t="s">
        <v>434</v>
      </c>
      <c r="F30" s="322"/>
      <c r="G30" s="312"/>
    </row>
    <row r="31" spans="2:19" s="315" customFormat="1" ht="38.25" x14ac:dyDescent="0.2">
      <c r="B31" s="312"/>
      <c r="C31" s="312" t="s">
        <v>404</v>
      </c>
      <c r="D31" s="312"/>
      <c r="E31" s="313" t="s">
        <v>435</v>
      </c>
      <c r="F31" s="322" t="s">
        <v>376</v>
      </c>
      <c r="G31" s="312"/>
      <c r="S31" s="327"/>
    </row>
    <row r="32" spans="2:19" s="315" customFormat="1" x14ac:dyDescent="0.2">
      <c r="B32" s="312"/>
      <c r="C32" s="312" t="s">
        <v>304</v>
      </c>
      <c r="D32" s="313"/>
      <c r="E32" s="321" t="s">
        <v>366</v>
      </c>
      <c r="F32" s="328" t="s">
        <v>369</v>
      </c>
      <c r="G32" s="322"/>
      <c r="S32" s="327"/>
    </row>
    <row r="33" spans="2:19" s="315" customFormat="1" x14ac:dyDescent="0.2">
      <c r="B33" s="312"/>
      <c r="C33" s="312" t="s">
        <v>305</v>
      </c>
      <c r="D33" s="313"/>
      <c r="E33" s="329" t="s">
        <v>367</v>
      </c>
      <c r="F33" s="326" t="s">
        <v>369</v>
      </c>
      <c r="G33" s="312"/>
      <c r="S33" s="327"/>
    </row>
    <row r="34" spans="2:19" s="315" customFormat="1" x14ac:dyDescent="0.2">
      <c r="B34" s="312"/>
      <c r="C34" s="312" t="s">
        <v>306</v>
      </c>
      <c r="D34" s="312"/>
      <c r="E34" s="313" t="s">
        <v>368</v>
      </c>
      <c r="F34" s="314" t="s">
        <v>369</v>
      </c>
      <c r="G34" s="312"/>
    </row>
    <row r="35" spans="2:19" s="315" customFormat="1" ht="25.5" x14ac:dyDescent="0.2">
      <c r="B35" s="312"/>
      <c r="C35" s="312" t="s">
        <v>436</v>
      </c>
      <c r="D35" s="316"/>
      <c r="E35" s="321" t="s">
        <v>437</v>
      </c>
      <c r="F35" s="317" t="s">
        <v>387</v>
      </c>
      <c r="G35" s="312"/>
    </row>
    <row r="36" spans="2:19" s="315" customFormat="1" ht="25.5" x14ac:dyDescent="0.2">
      <c r="B36" s="312"/>
      <c r="C36" s="312" t="s">
        <v>438</v>
      </c>
      <c r="D36" s="316"/>
      <c r="E36" s="321" t="s">
        <v>439</v>
      </c>
      <c r="F36" s="317" t="s">
        <v>387</v>
      </c>
      <c r="G36" s="312"/>
    </row>
    <row r="37" spans="2:19" s="315" customFormat="1" ht="25.5" x14ac:dyDescent="0.2">
      <c r="B37" s="312"/>
      <c r="C37" s="312" t="s">
        <v>440</v>
      </c>
      <c r="D37" s="316"/>
      <c r="E37" s="321" t="s">
        <v>441</v>
      </c>
      <c r="F37" s="317" t="s">
        <v>387</v>
      </c>
      <c r="G37" s="312"/>
    </row>
    <row r="38" spans="2:19" s="315" customFormat="1" x14ac:dyDescent="0.2">
      <c r="B38" s="312"/>
      <c r="C38" s="312" t="s">
        <v>364</v>
      </c>
      <c r="D38" s="312"/>
      <c r="E38" s="313" t="s">
        <v>351</v>
      </c>
      <c r="F38" s="322" t="s">
        <v>301</v>
      </c>
      <c r="G38" s="312"/>
    </row>
    <row r="39" spans="2:19" s="315" customFormat="1" x14ac:dyDescent="0.2">
      <c r="B39" s="312"/>
      <c r="C39" s="312" t="s">
        <v>365</v>
      </c>
      <c r="D39" s="312"/>
      <c r="E39" s="313" t="s">
        <v>353</v>
      </c>
      <c r="F39" s="314" t="s">
        <v>352</v>
      </c>
      <c r="G39" s="312"/>
    </row>
    <row r="40" spans="2:19" s="318" customFormat="1" x14ac:dyDescent="0.2">
      <c r="B40" s="316"/>
      <c r="C40" s="313" t="s">
        <v>362</v>
      </c>
      <c r="D40" s="313"/>
      <c r="E40" s="313" t="s">
        <v>356</v>
      </c>
      <c r="F40" s="322" t="s">
        <v>357</v>
      </c>
      <c r="G40" s="316"/>
    </row>
    <row r="41" spans="2:19" s="315" customFormat="1" x14ac:dyDescent="0.2">
      <c r="B41" s="312"/>
      <c r="C41" s="312" t="s">
        <v>363</v>
      </c>
      <c r="D41" s="312"/>
      <c r="E41" s="313" t="s">
        <v>348</v>
      </c>
      <c r="F41" s="322" t="s">
        <v>347</v>
      </c>
      <c r="G41" s="312"/>
    </row>
    <row r="42" spans="2:19" s="315" customFormat="1" x14ac:dyDescent="0.2">
      <c r="B42" s="312"/>
      <c r="C42" s="312" t="s">
        <v>360</v>
      </c>
      <c r="D42" s="312"/>
      <c r="E42" s="313" t="s">
        <v>358</v>
      </c>
      <c r="F42" s="314" t="s">
        <v>346</v>
      </c>
      <c r="G42" s="312"/>
      <c r="S42" s="327"/>
    </row>
    <row r="43" spans="2:19" s="315" customFormat="1" x14ac:dyDescent="0.2">
      <c r="B43" s="312"/>
      <c r="C43" s="312" t="s">
        <v>361</v>
      </c>
      <c r="D43" s="312"/>
      <c r="E43" s="313" t="s">
        <v>359</v>
      </c>
      <c r="F43" s="322" t="s">
        <v>349</v>
      </c>
      <c r="G43" s="312"/>
    </row>
    <row r="44" spans="2:19" s="318" customFormat="1" ht="25.5" x14ac:dyDescent="0.2">
      <c r="B44" s="316"/>
      <c r="C44" s="312" t="s">
        <v>397</v>
      </c>
      <c r="D44" s="312"/>
      <c r="E44" s="313" t="s">
        <v>442</v>
      </c>
      <c r="F44" s="330" t="s">
        <v>377</v>
      </c>
      <c r="G44" s="316"/>
    </row>
    <row r="45" spans="2:19" s="315" customFormat="1" ht="25.5" x14ac:dyDescent="0.2">
      <c r="B45" s="312"/>
      <c r="C45" s="312" t="s">
        <v>97</v>
      </c>
      <c r="D45" s="312"/>
      <c r="E45" s="313" t="s">
        <v>372</v>
      </c>
      <c r="F45" s="314" t="s">
        <v>373</v>
      </c>
      <c r="G45" s="312"/>
    </row>
    <row r="46" spans="2:19" x14ac:dyDescent="0.2">
      <c r="B46" s="304"/>
      <c r="C46" s="304"/>
      <c r="D46" s="304"/>
      <c r="E46" s="304"/>
      <c r="F46" s="314"/>
      <c r="G46" s="314"/>
    </row>
    <row r="49" spans="3:4" x14ac:dyDescent="0.2">
      <c r="C49" s="128"/>
      <c r="D49" s="128"/>
    </row>
    <row r="50" spans="3:4" x14ac:dyDescent="0.2">
      <c r="C50" s="331"/>
      <c r="D50" s="331"/>
    </row>
    <row r="51" spans="3:4" x14ac:dyDescent="0.2">
      <c r="C51" s="332"/>
      <c r="D51" s="332"/>
    </row>
  </sheetData>
  <sheetProtection algorithmName="SHA-512" hashValue="aG9oNuZ/5K2VNcZLn3ok5v7bfWLS3rNrvF+ReSOdyOfd2hSX4AEC1vQ1mSD2+YozcPAMCBe7H4DCPd7qbZvfNw==" saltValue="Vx+tH0UFmdCdEKoJxKMGbQ==" spinCount="100000" sheet="1" objects="1" scenarios="1" selectLockedCells="1" selectUnlockedCells="1"/>
  <sortState xmlns:xlrd2="http://schemas.microsoft.com/office/spreadsheetml/2017/richdata2" ref="C9:F45">
    <sortCondition ref="C9:C45"/>
  </sortState>
  <phoneticPr fontId="22" type="noConversion"/>
  <conditionalFormatting sqref="C9:F45">
    <cfRule type="expression" dxfId="0" priority="1">
      <formula>MOD(ROW(),2)=0</formula>
    </cfRule>
  </conditionalFormatting>
  <conditionalFormatting sqref="D41:D43">
    <cfRule type="expression" priority="12">
      <formula>MOD(COLUMN(),2)=0</formula>
    </cfRule>
  </conditionalFormatting>
  <conditionalFormatting sqref="D39:E39">
    <cfRule type="expression" priority="10">
      <formula>MOD(COLUMN(),2)=0</formula>
    </cfRule>
  </conditionalFormatting>
  <conditionalFormatting sqref="D24:F25">
    <cfRule type="expression" priority="8">
      <formula>MOD(COLUMN(),2)=0</formula>
    </cfRule>
  </conditionalFormatting>
  <conditionalFormatting sqref="D34:F36">
    <cfRule type="expression" priority="16">
      <formula>MOD(COLUMN(),2)=0</formula>
    </cfRule>
  </conditionalFormatting>
  <conditionalFormatting sqref="E40:E43">
    <cfRule type="expression" priority="3">
      <formula>MOD(COLUMN(),2)=0</formula>
    </cfRule>
  </conditionalFormatting>
  <hyperlinks>
    <hyperlink ref="F42" r:id="rId1" location="abreadcrumb" display="https://www-genesis.destatis.de/genesis/online?operation=abruftabelleBearbeiten&amp;levelindex=1&amp;levelid=1662640912503&amp;auswahloperation=abruftabelleAuspraegungAuswaehlen&amp;auswahlverzeichnis=ordnungsstruktur&amp;auswahlziel=werteabruf&amp;code=61243-0011&amp;auswahltext=&amp;werteabruf=starten#abreadcrumb" xr:uid="{3F16D454-5BF9-4CE1-87B3-7E1E6A2C95D2}"/>
    <hyperlink ref="F39" r:id="rId2" xr:uid="{49C6EC66-8A55-4161-B79A-5FBC34410E11}"/>
    <hyperlink ref="F23" r:id="rId3" xr:uid="{FE0ECAE5-3B9C-4909-993C-B9580CEBC31F}"/>
    <hyperlink ref="F24" r:id="rId4" xr:uid="{082E78CB-6755-43C3-A2FE-F56C138D84B8}"/>
    <hyperlink ref="F25" r:id="rId5" xr:uid="{45398287-B5E0-4FE8-84FE-27406228BB39}"/>
    <hyperlink ref="F26" r:id="rId6" xr:uid="{F0B244EC-F5B6-48E0-BDE5-1B24DB97915C}"/>
    <hyperlink ref="F19" r:id="rId7" xr:uid="{5B1E7CD3-0225-4B2F-AF6B-0416FFD17277}"/>
    <hyperlink ref="F44" r:id="rId8" xr:uid="{B4F91AFC-5DD7-45F5-BE06-694662D3E6B4}"/>
  </hyperlinks>
  <printOptions horizontalCentered="1"/>
  <pageMargins left="0.39370078740157483" right="0.39370078740157483" top="0.39370078740157483" bottom="0.59055118110236227" header="0.19685039370078741" footer="0.19685039370078741"/>
  <pageSetup paperSize="9" orientation="landscape" verticalDpi="601"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B710-4DCA-4F5C-840D-5F338B8717DD}">
  <sheetPr>
    <pageSetUpPr fitToPage="1"/>
  </sheetPr>
  <dimension ref="A1"/>
  <sheetViews>
    <sheetView zoomScale="70" zoomScaleNormal="70" workbookViewId="0">
      <selection activeCell="U64" sqref="U64"/>
    </sheetView>
  </sheetViews>
  <sheetFormatPr baseColWidth="10" defaultColWidth="9" defaultRowHeight="12.75" x14ac:dyDescent="0.2"/>
  <cols>
    <col min="1" max="16384" width="9" style="1"/>
  </cols>
  <sheetData/>
  <sheetProtection algorithmName="SHA-512" hashValue="0WiA2fCWrE0GH0h7RucZaJ4imIOdZGoeljZ08YRlXLlgnXJU0+FZ1yk2OnOIwTBzMfEa1gXrJD5m73GQRN5iwg==" saltValue="yFklhqM4vyt52SutY0N7GQ==" spinCount="100000" sheet="1" objects="1" scenarios="1" selectLockedCells="1" selectUnlockedCells="1"/>
  <printOptions horizontalCentered="1"/>
  <pageMargins left="0.39370078740157483" right="0.39370078740157483" top="0.39370078740157483" bottom="0.59055118110236227" header="0.19685039370078741" footer="0.19685039370078741"/>
  <pageSetup paperSize="9" orientation="landscape" verticalDpi="60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F8DD-21A8-404A-AEF1-E43B96E10CE2}">
  <sheetPr>
    <pageSetUpPr fitToPage="1"/>
  </sheetPr>
  <dimension ref="A1:C15"/>
  <sheetViews>
    <sheetView workbookViewId="0">
      <selection activeCell="B4" sqref="B4:B6"/>
    </sheetView>
  </sheetViews>
  <sheetFormatPr baseColWidth="10" defaultColWidth="9" defaultRowHeight="12.75" x14ac:dyDescent="0.2"/>
  <cols>
    <col min="1" max="16384" width="9" style="1"/>
  </cols>
  <sheetData>
    <row r="1" spans="1:3" x14ac:dyDescent="0.2">
      <c r="A1" s="101"/>
      <c r="B1" s="101"/>
      <c r="C1" s="101"/>
    </row>
    <row r="2" spans="1:3" x14ac:dyDescent="0.2">
      <c r="A2" s="101"/>
      <c r="B2" s="101"/>
      <c r="C2" s="101"/>
    </row>
    <row r="3" spans="1:3" x14ac:dyDescent="0.2">
      <c r="A3" s="101"/>
      <c r="B3" s="101"/>
      <c r="C3" s="101"/>
    </row>
    <row r="4" spans="1:3" x14ac:dyDescent="0.2">
      <c r="A4" s="101"/>
      <c r="B4" s="101" t="s">
        <v>108</v>
      </c>
      <c r="C4" s="101"/>
    </row>
    <row r="5" spans="1:3" x14ac:dyDescent="0.2">
      <c r="A5" s="101"/>
      <c r="B5" s="101" t="s">
        <v>109</v>
      </c>
      <c r="C5" s="101"/>
    </row>
    <row r="6" spans="1:3" x14ac:dyDescent="0.2">
      <c r="A6" s="101"/>
      <c r="B6" s="101" t="s">
        <v>110</v>
      </c>
      <c r="C6" s="101"/>
    </row>
    <row r="7" spans="1:3" x14ac:dyDescent="0.2">
      <c r="A7" s="101"/>
      <c r="B7" s="101"/>
      <c r="C7" s="101"/>
    </row>
    <row r="8" spans="1:3" x14ac:dyDescent="0.2">
      <c r="A8" s="101"/>
      <c r="B8" s="101"/>
      <c r="C8" s="101"/>
    </row>
    <row r="12" spans="1:3" x14ac:dyDescent="0.2">
      <c r="B12" s="1" t="s">
        <v>31</v>
      </c>
    </row>
    <row r="13" spans="1:3" x14ac:dyDescent="0.2">
      <c r="B13" s="1" t="s">
        <v>32</v>
      </c>
    </row>
    <row r="14" spans="1:3" x14ac:dyDescent="0.2">
      <c r="B14" s="1" t="s">
        <v>122</v>
      </c>
    </row>
    <row r="15" spans="1:3" x14ac:dyDescent="0.2">
      <c r="B15" s="1" t="s">
        <v>130</v>
      </c>
    </row>
  </sheetData>
  <printOptions horizontalCentered="1"/>
  <pageMargins left="0.39370078740157483" right="0.39370078740157483" top="0.39370078740157483" bottom="0.59055118110236227" header="0.19685039370078741" footer="0.19685039370078741"/>
  <pageSetup paperSize="9" orientation="landscape" verticalDpi="60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Impressum</vt:lpstr>
      <vt:lpstr>Referenz Plattenwerk</vt:lpstr>
      <vt:lpstr>Eingabe Preise</vt:lpstr>
      <vt:lpstr>Default Preise</vt:lpstr>
      <vt:lpstr>Eingabe EF</vt:lpstr>
      <vt:lpstr>Default EF</vt:lpstr>
      <vt:lpstr>M1 Härtekammern</vt:lpstr>
      <vt:lpstr>M2 Fuhrpark</vt:lpstr>
      <vt:lpstr>M3 Effizienz Stapler</vt:lpstr>
      <vt:lpstr>M4 Grünstrom</vt:lpstr>
      <vt:lpstr>M5 PV-Anlage</vt:lpstr>
      <vt:lpstr>M6 allgemeine Effizienz</vt:lpstr>
      <vt:lpstr>M7 Rezeptur, Einsatzmenge</vt:lpstr>
      <vt:lpstr>M8 Rezeptur, geringerer EF</vt:lpstr>
      <vt:lpstr>M9 Rezeptur, Recycling</vt:lpstr>
      <vt:lpstr>Quellen</vt:lpstr>
      <vt:lpstr>Lizenzbedingungen Ecoinvent</vt:lpstr>
      <vt:lpstr>Drop-Down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2023-09-13T11:55:29Z</dcterms:modified>
</cp:coreProperties>
</file>